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7460" windowHeight="13620" tabRatio="788" firstSheet="3" activeTab="14"/>
  </bookViews>
  <sheets>
    <sheet name="T1-Dotácie podľa DZ" sheetId="1" r:id="rId1"/>
    <sheet name="T2-Ostatné dot mimo MŠ SR" sheetId="2" r:id="rId2"/>
    <sheet name="T3-Výnosy" sheetId="3" r:id="rId3"/>
    <sheet name="T4-Výnosy zo školného" sheetId="4" r:id="rId4"/>
    <sheet name="T5 - Analýza nákladov" sheetId="5" r:id="rId5"/>
    <sheet name="T6-Zamestnanci_a_mzdy" sheetId="6" r:id="rId6"/>
    <sheet name="T7_Doktorandi " sheetId="7" r:id="rId7"/>
    <sheet name="T8-Soc_štipendiá" sheetId="8" r:id="rId8"/>
    <sheet name="T9_ŠD " sheetId="9" r:id="rId9"/>
    <sheet name="T10-ŠJ " sheetId="10" r:id="rId10"/>
    <sheet name="T11-Zdroje KV" sheetId="11" r:id="rId11"/>
    <sheet name="T12-KV" sheetId="12" r:id="rId12"/>
    <sheet name="T13-Fondy" sheetId="13" r:id="rId13"/>
    <sheet name="T16 - Štruktúra hotovosti" sheetId="14" r:id="rId14"/>
    <sheet name="T17-Dotácie zo ŠF EU" sheetId="15" r:id="rId15"/>
    <sheet name="T18-Ostatné dotacie z kap MŠ SR" sheetId="16" r:id="rId16"/>
    <sheet name="T19-Štip_ z vlastných " sheetId="17" r:id="rId17"/>
    <sheet name="T20_motivačné štipendiá" sheetId="18" r:id="rId18"/>
    <sheet name="T21-štruktúra_384" sheetId="19" r:id="rId19"/>
    <sheet name="T22_Výnosy_soc_oblasť" sheetId="20" r:id="rId20"/>
    <sheet name="T23_Náklady_soc_oblasť" sheetId="21" r:id="rId21"/>
    <sheet name="T24a_Aktíva_1" sheetId="22" r:id="rId22"/>
    <sheet name="T24b_Aktíva_2" sheetId="23" r:id="rId23"/>
    <sheet name="T25_Pasíva " sheetId="24" r:id="rId24"/>
    <sheet name="T24__Aktíva" sheetId="25" state="hidden" r:id="rId25"/>
  </sheets>
  <definedNames>
    <definedName name="aaa" hidden="1">3</definedName>
    <definedName name="_xlnm.Print_Area" localSheetId="10">'T11-Zdroje KV'!$A$1:$D$23</definedName>
    <definedName name="_xlnm.Print_Area" localSheetId="12">'T13-Fondy'!$A$1:$N$25</definedName>
    <definedName name="_xlnm.Print_Area" localSheetId="4">'T5 - Analýza nákladov'!$A$1:$H$104</definedName>
    <definedName name="SAPBEXrevision" hidden="1">7</definedName>
    <definedName name="SAPBEXsysID" hidden="1">"BS1"</definedName>
    <definedName name="SAPBEXwbID" hidden="1">"3TG3S316PX9BHXMQEBSXSYZZO"</definedName>
    <definedName name="xxx" hidden="1">"3TGMUFSSIAIMK2KTNC9DELQD0"</definedName>
  </definedNames>
  <calcPr fullCalcOnLoad="1"/>
</workbook>
</file>

<file path=xl/comments5.xml><?xml version="1.0" encoding="utf-8"?>
<comments xmlns="http://schemas.openxmlformats.org/spreadsheetml/2006/main">
  <authors>
    <author>renata.lucanska</author>
  </authors>
  <commentList>
    <comment ref="E91" authorId="0">
      <text>
        <r>
          <rPr>
            <b/>
            <sz val="9"/>
            <rFont val="Tahoma"/>
            <family val="2"/>
          </rPr>
          <t>obsahuje aj odpis z darov HK 551400, z ktorého sa netvorí fond reprodukcie!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Ing. Gond?rov? Beata</author>
  </authors>
  <commentList>
    <comment ref="E3" authorId="0">
      <text>
        <r>
          <rPr>
            <b/>
            <sz val="8"/>
            <rFont val="Tahoma"/>
            <family val="2"/>
          </rPr>
          <t>Ing. Gondárová Beata: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patrí sem objem vyplatených štipendií doktorandom (</t>
        </r>
        <r>
          <rPr>
            <u val="single"/>
            <sz val="10"/>
            <rFont val="Tahoma"/>
            <family val="2"/>
          </rPr>
          <t>zo všetkých zdrojov</t>
        </r>
        <r>
          <rPr>
            <sz val="10"/>
            <rFont val="Tahoma"/>
            <family val="2"/>
          </rPr>
          <t xml:space="preserve">), prijatých do 31.8.2012 - </t>
        </r>
        <r>
          <rPr>
            <b/>
            <sz val="10"/>
            <rFont val="Tahoma"/>
            <family val="2"/>
          </rPr>
          <t>nie</t>
        </r>
        <r>
          <rPr>
            <sz val="10"/>
            <rFont val="Tahoma"/>
            <family val="2"/>
          </rPr>
          <t xml:space="preserve"> z účelovej dotácie (napr. štip.doktorandov platených z neúčelovej dotácie MŠVVaŠ, nebezpečn. príplatok, vyšší plat. stupeň)</t>
        </r>
      </text>
    </comment>
    <comment ref="F3" authorId="0">
      <text>
        <r>
          <rPr>
            <b/>
            <sz val="8"/>
            <rFont val="Tahoma"/>
            <family val="2"/>
          </rPr>
          <t>Ing. Gondárová Beata: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patrí sem objem vyplatených štipendií doktorandom (zo všetkých zdrojov), prijatých po 1.9.2012 na miestach nepridelených "ministerstvom"</t>
        </r>
      </text>
    </comment>
  </commentList>
</comments>
</file>

<file path=xl/sharedStrings.xml><?xml version="1.0" encoding="utf-8"?>
<sst xmlns="http://schemas.openxmlformats.org/spreadsheetml/2006/main" count="1409" uniqueCount="1017">
  <si>
    <t xml:space="preserve">  - tvorba fondu z predaja alebo likvidácie majetku</t>
  </si>
  <si>
    <r>
      <t>Úroky (účet 644)</t>
    </r>
    <r>
      <rPr>
        <sz val="12"/>
        <rFont val="Times New Roman"/>
        <family val="1"/>
      </rPr>
      <t xml:space="preserve"> [R17+R18]</t>
    </r>
  </si>
  <si>
    <r>
      <t>Iné ostatné výnosy (účet 649)</t>
    </r>
    <r>
      <rPr>
        <sz val="12"/>
        <rFont val="Times New Roman"/>
        <family val="1"/>
      </rPr>
      <t xml:space="preserve"> [SUM(R21:R33)]</t>
    </r>
  </si>
  <si>
    <t xml:space="preserve">- za prekročenie štandardnej dĺžky štúdia a súbežné štúdium (§ 92 ods. 5 a 6 zákona) (účet 649 001) </t>
  </si>
  <si>
    <t xml:space="preserve">- od cudzincov (§ 92 ods. 9 zákona)  (účet 649 002) </t>
  </si>
  <si>
    <t xml:space="preserve">- za prijímacie konanie (§ 92 ods. 10 zákona) (účet 649 003) </t>
  </si>
  <si>
    <t xml:space="preserve">- za rigorózne konanie (§ 92 ods. 11 zákona) (účet 649 004) </t>
  </si>
  <si>
    <t xml:space="preserve">- za vydanie diplomu za rigorózne konanie (§ 92 ods. 12 zákona)  (účet 649 005) </t>
  </si>
  <si>
    <t xml:space="preserve">- za vydanie dokladov o štúdiu a ich kópií (§ 92 ods. 13 zákona)  (účet 649 006) </t>
  </si>
  <si>
    <t xml:space="preserve">      - dohody o vykonaní práce - externí účitelia (účet 521 009)</t>
  </si>
  <si>
    <t xml:space="preserve">      - dohody o vykonaní práce, dohody o pracovnej činnosti
        (účet 521 010)</t>
  </si>
  <si>
    <t xml:space="preserve"> - OON [SUM(R58:R60)]</t>
  </si>
  <si>
    <t>Zákonné sociálne náklady (účet 527) [SUM(R64:R69)]</t>
  </si>
  <si>
    <r>
      <t>Ostatné náklady (účtová skupina 54)</t>
    </r>
    <r>
      <rPr>
        <sz val="12"/>
        <rFont val="Times New Roman"/>
        <family val="1"/>
      </rPr>
      <t xml:space="preserve"> [R75+ R76]</t>
    </r>
  </si>
  <si>
    <t>- Iné ostatné  náklady (účet 549) [SUM(R77:R83)]</t>
  </si>
  <si>
    <t>Odpisy, predaný majetok a opravné položky (účtová skupina 55) [SUM(R85:R91)]</t>
  </si>
  <si>
    <r>
      <t xml:space="preserve">Spolu </t>
    </r>
    <r>
      <rPr>
        <sz val="12"/>
        <rFont val="Times New Roman"/>
        <family val="1"/>
      </rPr>
      <t>[R1+R14+R21+R22+R27+R35+R38+R39+R55+SUM (R61:R63) +SUM (R70:R74)+R84+R92+R93]</t>
    </r>
  </si>
  <si>
    <t xml:space="preserve"> - Prvok 021 02 03  </t>
  </si>
  <si>
    <t xml:space="preserve"> - Podprogram 05T 08 </t>
  </si>
  <si>
    <t>2) ostatná tvorba fondu reprodukcie v zmysle § 16a ods. 8 zákona č. 131/2002 Z. z.o vysokých školách v znení neskorších predpisov (kreditné úroky a kurzové zisky)</t>
  </si>
  <si>
    <t xml:space="preserve">- tvorba fondu z výnosov zo školného </t>
  </si>
  <si>
    <r>
      <t>Stav fondu k 31.12. kalendárneho roku</t>
    </r>
    <r>
      <rPr>
        <sz val="12"/>
        <rFont val="Times New Roman"/>
        <family val="1"/>
      </rPr>
      <t xml:space="preserve"> [R1+R2-R11]</t>
    </r>
  </si>
  <si>
    <t>Účty v Štátnej pokladnici spolu [SUM(R2:R15)]</t>
  </si>
  <si>
    <t>Tržby za predaný tovar (účet 604)</t>
  </si>
  <si>
    <r>
      <t>Opravy a udržiavanie (účet 511)</t>
    </r>
    <r>
      <rPr>
        <sz val="12"/>
        <rFont val="Times New Roman"/>
        <family val="1"/>
      </rPr>
      <t xml:space="preserve"> [SUM(R28:R34)]</t>
    </r>
  </si>
  <si>
    <t xml:space="preserve">Ostatné sociálne poistenia (účet 525) </t>
  </si>
  <si>
    <t>C=A+B</t>
  </si>
  <si>
    <t>E=C-A</t>
  </si>
  <si>
    <t>F=D-B</t>
  </si>
  <si>
    <t>E=A+C</t>
  </si>
  <si>
    <t>F=B+D</t>
  </si>
  <si>
    <t>Náklady na štipendiá</t>
  </si>
  <si>
    <t xml:space="preserve">Ostatné sociálne náklady (účet 528)  </t>
  </si>
  <si>
    <t>Stav bankových účtov spolu [R1+R16+R17]</t>
  </si>
  <si>
    <t xml:space="preserve">  - poskytnuté jednorázovo</t>
  </si>
  <si>
    <r>
      <t>Zdroje na obstaranie a technické zhodnotenie majetku  z fondu reprodukcie</t>
    </r>
    <r>
      <rPr>
        <sz val="12"/>
        <rFont val="Times New Roman"/>
        <family val="1"/>
      </rPr>
      <t xml:space="preserve"> [R1+R2]</t>
    </r>
  </si>
  <si>
    <t>- nákup softvéru</t>
  </si>
  <si>
    <t>Výdavky na obstaranie a technické zhodnotenie dlhobého majetku spolu [R1+SUM(R3:R4)+SUM(R10:R14)]</t>
  </si>
  <si>
    <t>- náklady študentských domovov (bez zmluvných zariadení)- mzdy a odvody</t>
  </si>
  <si>
    <t>- náklady študentských domovov  (bez zmluvných zariadení) - ostatné</t>
  </si>
  <si>
    <t>- študentské jedálne</t>
  </si>
  <si>
    <t>- ostatný predaný tovar</t>
  </si>
  <si>
    <t xml:space="preserve">Odborní zamestnanci </t>
  </si>
  <si>
    <t>Prevádzkoví zamestnanci okrem zamestnancov študentských domovov a jedální</t>
  </si>
  <si>
    <t>Zamestnanci študentských domovov</t>
  </si>
  <si>
    <t>Zamestnanci študentských jedální</t>
  </si>
  <si>
    <t>- na oblasť IT</t>
  </si>
  <si>
    <r>
      <t xml:space="preserve">- na sociálnu podporu </t>
    </r>
    <r>
      <rPr>
        <sz val="12"/>
        <rFont val="Times New Roman"/>
        <family val="1"/>
      </rPr>
      <t>[R12+R13]</t>
    </r>
  </si>
  <si>
    <t xml:space="preserve">Výdavky na sociálne štipendiá (§ 96 zákona) za kalendárny rok </t>
  </si>
  <si>
    <t>z EÚ</t>
  </si>
  <si>
    <r>
      <t>Dotácie z rozpočtov obcí a z rozpočtov vyšších územných celkov</t>
    </r>
    <r>
      <rPr>
        <sz val="12"/>
        <rFont val="Times New Roman"/>
        <family val="1"/>
      </rPr>
      <t xml:space="preserve"> [SUM(R2a:R2...)]</t>
    </r>
  </si>
  <si>
    <t>Prostriedky zo zahraničných projektov na budúce aktivity</t>
  </si>
  <si>
    <t>Ostatné</t>
  </si>
  <si>
    <t xml:space="preserve">1) V stĺpcoch B a D sa uvádza prepočítaný počet študentov určený ako počet osobomesiacov, počas ktorých bolo poskytované sociálne štipendium </t>
  </si>
  <si>
    <t>2) uvádzajte počet denných študentov I. a II. stupňa štúdia počas výučbového obdobia, najviac však 10 mesiacov  a denných študentov III. stupňa štúdia (doktorandov)  vrátane hlavných prázdnin maximálne 12 mesiacov</t>
  </si>
  <si>
    <t xml:space="preserve"> - tvorba sociálneho fondu  (účet 527 001)</t>
  </si>
  <si>
    <r>
      <t>Zdroje na obstaranie a technické zhodnotenie dlhodobého majetku spolu</t>
    </r>
    <r>
      <rPr>
        <sz val="12"/>
        <rFont val="Times New Roman"/>
        <family val="1"/>
      </rPr>
      <t xml:space="preserve"> [SUM(R9:R13)]</t>
    </r>
  </si>
  <si>
    <r>
      <t xml:space="preserve">- tvorba fondu z výsledku hospodárenia </t>
    </r>
    <r>
      <rPr>
        <vertAlign val="superscript"/>
        <sz val="12"/>
        <rFont val="Times New Roman"/>
        <family val="1"/>
      </rPr>
      <t>1)</t>
    </r>
  </si>
  <si>
    <r>
      <t xml:space="preserve">- tvorba fondu z dotácie </t>
    </r>
    <r>
      <rPr>
        <vertAlign val="superscript"/>
        <sz val="12"/>
        <rFont val="Times New Roman"/>
        <family val="1"/>
      </rPr>
      <t>2)</t>
    </r>
  </si>
  <si>
    <r>
      <t xml:space="preserve">- ostatná tvorba </t>
    </r>
    <r>
      <rPr>
        <vertAlign val="superscript"/>
        <sz val="12"/>
        <rFont val="Times New Roman"/>
        <family val="1"/>
      </rPr>
      <t>2)</t>
    </r>
  </si>
  <si>
    <t>1) vrátane tvorby z nerozdeleného zisku z minulých rokov</t>
  </si>
  <si>
    <t>2) len ak umožňuje zákon</t>
  </si>
  <si>
    <t>3) uvádza sa v prípade, ak si vysoká škola vytvorila osobitný bankový účet na krytie fondu - napríklad  fondu reprodukcie</t>
  </si>
  <si>
    <t>- z ubytovania študentov (účet 602 001)</t>
  </si>
  <si>
    <t>- zo stravných lístkov študentov a doktorandov (účet 602 009)</t>
  </si>
  <si>
    <t>- z ubytovania a stravovania iných fyzických osôb (účet 602 008 a 602 010)</t>
  </si>
  <si>
    <t>- drobný nehmotný majetok  (účet 518 014)</t>
  </si>
  <si>
    <t>- používanie plavárne (účet 518 019)</t>
  </si>
  <si>
    <t>- z dotačného účtu  (účet 644 001)</t>
  </si>
  <si>
    <t>- z ostatných účtov  (účet 644 002)</t>
  </si>
  <si>
    <t>- poplatky spojené so štúdiom (účet 649 003-006)</t>
  </si>
  <si>
    <t>- ďalšie vzdelávanie  (účet 649 007)</t>
  </si>
  <si>
    <t>- kvalifikačné skúšky  (účet 649 008)</t>
  </si>
  <si>
    <t>- výnosy z dedičstva  (účet 649 010)</t>
  </si>
  <si>
    <t>- výnosy z duševného vlastníctva (účet 649 011)</t>
  </si>
  <si>
    <t>- oprava výnosov minulých účtovných období (účet 649 013)</t>
  </si>
  <si>
    <t>- použitie prostriedkov fondov (účet 649 014)</t>
  </si>
  <si>
    <t>- použitie prostriedkov výnosov budúcich období - projekty  (účet 649 015)</t>
  </si>
  <si>
    <t>- dobropisy minulých období (účet 649 017)</t>
  </si>
  <si>
    <t>- štipendijného fondu (účet 656 200)</t>
  </si>
  <si>
    <t>- knihy, časopisy a noviny  (účet 501 001)</t>
  </si>
  <si>
    <t>- chemikálie a ostatný materiál pre zabezpečenie experimentálnej výučby  (účet 501 002)</t>
  </si>
  <si>
    <t>- kancelárske potreby a materiál   (účet 501 003)</t>
  </si>
  <si>
    <t>- papier  (účet 501 004)</t>
  </si>
  <si>
    <t>- pohonné hmoty a ostatný materiál na dopravu  (účet 501 007)</t>
  </si>
  <si>
    <t>- čistiace, hygienické a dezinfekčné potreby (účet 501 008)</t>
  </si>
  <si>
    <t>- stavebný, vodoinštalačný a elektroinštalačný materiál
 (účet 501 009)</t>
  </si>
  <si>
    <t>- potraviny (účet 501 010)</t>
  </si>
  <si>
    <t>- DHM - prístroje a zariadenia laboratórií, výpočtová technika  (účet 501 011)</t>
  </si>
  <si>
    <t>- DHM - nábytok (účet 501 012)</t>
  </si>
  <si>
    <t>- ostatný materiál (účet 501 099)</t>
  </si>
  <si>
    <t>- elektrická energia (účet 502 001)</t>
  </si>
  <si>
    <t>- tepelná energia  (účet 502 002)</t>
  </si>
  <si>
    <t>- vodné a stočné  (účet 502 003)</t>
  </si>
  <si>
    <t>- plyn  (účet 502 004)</t>
  </si>
  <si>
    <t>- palivá  (účet 502 005)</t>
  </si>
  <si>
    <t>- opravy a udržiavanie stavieb  (účet 511 001)</t>
  </si>
  <si>
    <t>- opravy a udržiavanie strojov, prístrojov, zariadení a inventára  (účet 511 002)</t>
  </si>
  <si>
    <t>- opravy a udržiavanie dopravných prostriedkov  (účet 511 003)</t>
  </si>
  <si>
    <t>- opravy a udržiavanie prostriedkov IT  (účet 511 004)</t>
  </si>
  <si>
    <r>
      <t xml:space="preserve">- za umeleckú alebo športovú činnosť </t>
    </r>
    <r>
      <rPr>
        <sz val="12"/>
        <rFont val="Times New Roman"/>
        <family val="1"/>
      </rPr>
      <t xml:space="preserve">[R9+R10]  </t>
    </r>
    <r>
      <rPr>
        <b/>
        <sz val="12"/>
        <rFont val="Times New Roman"/>
        <family val="1"/>
      </rPr>
      <t xml:space="preserve">                                                     </t>
    </r>
  </si>
  <si>
    <r>
      <t xml:space="preserve">- prospechové </t>
    </r>
    <r>
      <rPr>
        <sz val="12"/>
        <rFont val="Times New Roman"/>
        <family val="1"/>
      </rPr>
      <t xml:space="preserve">[R3+R4] </t>
    </r>
  </si>
  <si>
    <r>
      <t xml:space="preserve">-  za dosiahnutie vynikajúceho výsledku v oblasti štúdia </t>
    </r>
    <r>
      <rPr>
        <sz val="12"/>
        <rFont val="Times New Roman"/>
        <family val="1"/>
      </rPr>
      <t xml:space="preserve">[R6+R7] </t>
    </r>
  </si>
  <si>
    <t>- údržba a opravy meracej techniky, telovýchovných  zariadení ...(účet 511 005)</t>
  </si>
  <si>
    <t>- iné analyticky sledované náklady (účet 511 006-008)</t>
  </si>
  <si>
    <t>- ostatná údržba a opravy (účet 511 099)</t>
  </si>
  <si>
    <t>- domáce cestovné  (účet 512 001)</t>
  </si>
  <si>
    <t>- zahraničné cestovné  (účet 512 002)</t>
  </si>
  <si>
    <t>- prenájom zariadení (účet 518 002)</t>
  </si>
  <si>
    <t>- prenájom priestorov  (účet 518 001)</t>
  </si>
  <si>
    <t>- vložné na konferencie  (účet 518 004)</t>
  </si>
  <si>
    <t>- ďalšie vzdelávanie zamestnancov  (účet 518 005)</t>
  </si>
  <si>
    <t>- telefón, fax  (účet 518 006)</t>
  </si>
  <si>
    <t>- počítačové siete a prenosy údajov  (účet 518 007)</t>
  </si>
  <si>
    <t>- poštovné  (účet 518 008)</t>
  </si>
  <si>
    <t>- odvoz odpadu  (účet 518 009)</t>
  </si>
  <si>
    <t>- revízie zariadení (účet 518 010)</t>
  </si>
  <si>
    <t>- čistenie verejných priestranstiev (účet 518 011)</t>
  </si>
  <si>
    <t>- dopravné služby (účet 518 012)</t>
  </si>
  <si>
    <t>- ostatné služby (účet 518 099)</t>
  </si>
  <si>
    <t xml:space="preserve"> - MZDY (účty 521 001-008, 521 012)</t>
  </si>
  <si>
    <t xml:space="preserve"> - príspevok zamestnancom na stravovanie  (účet 527 002)</t>
  </si>
  <si>
    <t xml:space="preserve"> - zákonné odstupné, odchodné  (účet 527 003)</t>
  </si>
  <si>
    <t xml:space="preserve"> - náhrada príjmu pri PN (účet 527 004)</t>
  </si>
  <si>
    <t xml:space="preserve"> - ochranné pracovné pomôcky podľa Zákonníka práce (účet 527 005) </t>
  </si>
  <si>
    <t xml:space="preserve"> - ostatné zákonné sociálne náklady (účet 527 099)</t>
  </si>
  <si>
    <t xml:space="preserve"> - bankové poplatky (účet 549 002)</t>
  </si>
  <si>
    <t xml:space="preserve"> - úhrada výnosov z úrokov na dotačnom účte (účet 549 003)</t>
  </si>
  <si>
    <t xml:space="preserve"> - štipendiá z vlastných zdrojov - prospechové (549 007)</t>
  </si>
  <si>
    <t xml:space="preserve"> - iné analyticky sledované náklady (účet 549 005-006, 549 008-012)</t>
  </si>
  <si>
    <t xml:space="preserve"> - Podprogram 06K 11</t>
  </si>
  <si>
    <t>Tržby z predaja cenných papierov a podielov (účet 653)</t>
  </si>
  <si>
    <t>Výnosy z nájmu majetku  (účet 658)</t>
  </si>
  <si>
    <t>(uviesť zoznam všetkých dotácií z iných kapitol sumarizovaných podľa prvkov resp. podprogramov, ak sa podprogram nedelí na prvky)</t>
  </si>
  <si>
    <r>
      <t xml:space="preserve">  - poskytované mesačne </t>
    </r>
    <r>
      <rPr>
        <vertAlign val="superscript"/>
        <sz val="12"/>
        <rFont val="Times New Roman"/>
        <family val="1"/>
      </rPr>
      <t>1)</t>
    </r>
  </si>
  <si>
    <t>Výnosy z dlhodobého finančného majetku (účet 652)</t>
  </si>
  <si>
    <t>Prijaté príspevky od iných organizácií (účet 662)</t>
  </si>
  <si>
    <t>Vnútroorganizačné prevody výnosov (účtová skupina 67)</t>
  </si>
  <si>
    <t>Prevádzkové dotácie (účet 691)</t>
  </si>
  <si>
    <t xml:space="preserve">   - Prvok 077 12 05</t>
  </si>
  <si>
    <t>- Podprogram 077 13</t>
  </si>
  <si>
    <t xml:space="preserve">   - Prvok 077 15 01</t>
  </si>
  <si>
    <t xml:space="preserve">   - Prvok 077 15 02</t>
  </si>
  <si>
    <t xml:space="preserve">   - Prvok 077 15 03</t>
  </si>
  <si>
    <t xml:space="preserve"> </t>
  </si>
  <si>
    <r>
      <t xml:space="preserve">Spolu </t>
    </r>
    <r>
      <rPr>
        <sz val="12"/>
        <rFont val="Times New Roman"/>
        <family val="1"/>
      </rPr>
      <t>[R1+R6+SUM(R11:R16)+R19+R20+SUM(R34:R39)+SUM(R44:49)]</t>
    </r>
  </si>
  <si>
    <t xml:space="preserve"> - ostatné náklady z účtovej skupiny 55 (účty 552, 553, 554, 557, 558, 559)</t>
  </si>
  <si>
    <r>
      <t xml:space="preserve">Výnosy z použitia fondov (účet 656) [SUM(R40:R43)]  </t>
    </r>
    <r>
      <rPr>
        <b/>
        <vertAlign val="superscript"/>
        <sz val="12"/>
        <rFont val="Times New Roman"/>
        <family val="1"/>
      </rPr>
      <t xml:space="preserve"> 1)</t>
    </r>
  </si>
  <si>
    <t>- zúčtovanie dotácie zo ŠR na DN a HM vo výške odpisov</t>
  </si>
  <si>
    <t>- ostatných fondov (účet 656 300, 656 500)</t>
  </si>
  <si>
    <t xml:space="preserve">- náklady na tvorbu rezervného fondu (účet 556 100) </t>
  </si>
  <si>
    <t xml:space="preserve">- náklady na tvorbu štipendijného fondu (účet 556 200) </t>
  </si>
  <si>
    <t xml:space="preserve">1) V R89-92 sa uvedú náklady účtované v súvislosti s tvorbou príslušného fondu. </t>
  </si>
  <si>
    <t xml:space="preserve"> - ostatné iné náklady (účet 549 099)</t>
  </si>
  <si>
    <r>
      <t>Tvorba fondu reprodukcie v kalendárnom roku spolu</t>
    </r>
    <r>
      <rPr>
        <sz val="12"/>
        <rFont val="Times New Roman"/>
        <family val="1"/>
      </rPr>
      <t xml:space="preserve"> [SUM(R3:R8)] </t>
    </r>
  </si>
  <si>
    <t>- zamestnanci zaradení na ostatných pracoviskách</t>
  </si>
  <si>
    <t>- bežný účet okrem účtov uvedených v 
  R6:R8</t>
  </si>
  <si>
    <t>- devízové účty</t>
  </si>
  <si>
    <t>- účet štipendijného fondu</t>
  </si>
  <si>
    <t>- účet podnikateľskej činnosti</t>
  </si>
  <si>
    <t>- účet sociálneho fondu</t>
  </si>
  <si>
    <t>- účet fondu reprodukcie</t>
  </si>
  <si>
    <t>- bežný účet - zábezpeka</t>
  </si>
  <si>
    <t>- ostatné bankové účty v Štátnej pokladnici 
  mimo účtov uvedených v R2:R14</t>
  </si>
  <si>
    <t xml:space="preserve">Čerpanie ostatných zdrojov prostredníctvom fondu reprodukcie </t>
  </si>
  <si>
    <t>Zákonné sociálne poistenie (účet 524)</t>
  </si>
  <si>
    <t>Zúčtovanie zákonných opravných položiek (účet 659)</t>
  </si>
  <si>
    <t>Daň z nehnuteľnosti (účet 532)</t>
  </si>
  <si>
    <t>Nákup dopravných prostriedkov všetkých druhov</t>
  </si>
  <si>
    <t>Prípravná a projektová dokumentácia</t>
  </si>
  <si>
    <t>Rekonštrukcia a modernizácia strojov a zariadení</t>
  </si>
  <si>
    <t>Počet zamestnancov spolu</t>
  </si>
  <si>
    <t>D=A+C</t>
  </si>
  <si>
    <t>H=E+G</t>
  </si>
  <si>
    <t>- zamestnanci zaradení na dekanátoch</t>
  </si>
  <si>
    <t>Počet študentov poberajúcich sociálne štipendium</t>
  </si>
  <si>
    <r>
      <t>Nevyčerpaná dotácia (+) / nedoplatok dotácie (-) na motivačné štipendiá</t>
    </r>
    <r>
      <rPr>
        <b/>
        <vertAlign val="superscript"/>
        <sz val="12"/>
        <rFont val="Times New Roman"/>
        <family val="1"/>
      </rPr>
      <t>1)</t>
    </r>
    <r>
      <rPr>
        <b/>
        <sz val="12"/>
        <rFont val="Times New Roman"/>
        <family val="1"/>
      </rPr>
      <t xml:space="preserve"> k 31. 12. predchádzajúceho kalendárneho roka</t>
    </r>
    <r>
      <rPr>
        <sz val="12"/>
        <rFont val="Times New Roman"/>
        <family val="1"/>
      </rPr>
      <t xml:space="preserve">     </t>
    </r>
    <r>
      <rPr>
        <b/>
        <sz val="12"/>
        <rFont val="Times New Roman"/>
        <family val="1"/>
      </rPr>
      <t xml:space="preserve">     </t>
    </r>
  </si>
  <si>
    <r>
      <t>Nevyčerpaná dotácia (+) / nedoplatok dotácie (-) k 31. 12. kalendárneho roka</t>
    </r>
    <r>
      <rPr>
        <b/>
        <vertAlign val="superscript"/>
        <sz val="12"/>
        <rFont val="Times New Roman"/>
        <family val="1"/>
      </rPr>
      <t xml:space="preserve">1) </t>
    </r>
    <r>
      <rPr>
        <b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[R1+R2-R3]                       </t>
    </r>
  </si>
  <si>
    <t>- zostatok nevyčerpanej dotácie (+)/ nedoplatok dotácie (-) z predchádzajúcich rokov [R6_SB=R8_SA]</t>
  </si>
  <si>
    <t>- dotačný účet</t>
  </si>
  <si>
    <t>- zostatkový účet</t>
  </si>
  <si>
    <t>- distribučný účet</t>
  </si>
  <si>
    <t>spolufinanco-
vanie zo ŠR</t>
  </si>
  <si>
    <t xml:space="preserve">Počet študentov  poberajúcich štipendium </t>
  </si>
  <si>
    <t>Počet študentov  poberajúcich štipendium</t>
  </si>
  <si>
    <r>
      <t xml:space="preserve">Stav fondu k 1.1. kalendárneho roku </t>
    </r>
    <r>
      <rPr>
        <sz val="12"/>
        <rFont val="Times New Roman"/>
        <family val="1"/>
      </rPr>
      <t>[R1_SB = R12_SA ...]</t>
    </r>
  </si>
  <si>
    <t>Čerpanie fondu k 31. 12. kalendárneho roku</t>
  </si>
  <si>
    <t>Spolu</t>
  </si>
  <si>
    <t>Dotácia / program</t>
  </si>
  <si>
    <t>Číslo riadku</t>
  </si>
  <si>
    <t>Dotácia spolu</t>
  </si>
  <si>
    <t>Stav fondu reprodukcie k 1.1.</t>
  </si>
  <si>
    <r>
      <t>Ostatné služby (účet 518)</t>
    </r>
    <r>
      <rPr>
        <sz val="12"/>
        <rFont val="Times New Roman"/>
        <family val="1"/>
      </rPr>
      <t xml:space="preserve"> [SUM(R40:R54)]</t>
    </r>
  </si>
  <si>
    <r>
      <t>Mzdové náklady (účet 521)</t>
    </r>
    <r>
      <rPr>
        <sz val="12"/>
        <rFont val="Times New Roman"/>
        <family val="1"/>
      </rPr>
      <t xml:space="preserve">  [SUM(R56:R57)]</t>
    </r>
  </si>
  <si>
    <t xml:space="preserve">- účelová dotácia v danom kalendárnom roku </t>
  </si>
  <si>
    <t>Dotácie spolu</t>
  </si>
  <si>
    <t xml:space="preserve">Bežná dotácia na úlohy budúcich období </t>
  </si>
  <si>
    <t>Čerpanie z úveru</t>
  </si>
  <si>
    <t>Celkové výdavky na obstaranie a technické zhodnotenie dlhodobého majetku</t>
  </si>
  <si>
    <t>Počet zamestnancov platených z prostriedkov štátneho rozpočtu</t>
  </si>
  <si>
    <t>Počet zamestnancov platených z iných zdrojov</t>
  </si>
  <si>
    <t xml:space="preserve">Kategória zamestnancov
</t>
  </si>
  <si>
    <t xml:space="preserve">- vysokoškolskí učitelia s funkčným zaradením "profesor" </t>
  </si>
  <si>
    <t>- vysokoškolskí učitelia s funkčným zaradením "docent"</t>
  </si>
  <si>
    <t>- vysokoškolskí učitelia s funkčným zaradením "odborný asistent"</t>
  </si>
  <si>
    <t>- vysokoškolskí učitelia s funkčným zaradením "asistent"</t>
  </si>
  <si>
    <t>- vysokoškolskí učitelia s funkčným zaradením "lektor"</t>
  </si>
  <si>
    <t>- zamestnanci zaradení na rektorátoch</t>
  </si>
  <si>
    <t xml:space="preserve">- rezervného fondu (účet 656 100) </t>
  </si>
  <si>
    <r>
      <t>- fondu reprodukcie (účet 656 400)</t>
    </r>
    <r>
      <rPr>
        <vertAlign val="superscript"/>
        <sz val="12"/>
        <rFont val="Times New Roman"/>
        <family val="1"/>
      </rPr>
      <t xml:space="preserve"> 2)</t>
    </r>
  </si>
  <si>
    <t xml:space="preserve">2)   Výnosy z Fondu reprodukcie možno účtovať len v súvislosti s krytím nákladov na vedenie príslušného bankového účtu a nákladov vyplývajúcich z kurzových strát
      v zmysle  16a ods. 8 zákona. </t>
  </si>
  <si>
    <t xml:space="preserve">1) V R40-43 sa uvádzajú výnosy z finančných fondov, ktoré slúžia na zvýšenie výnosovej časti rozpočtu VVŠ podľa § 16 ods. 8 písm. g) zákona č. 131/2002 Z. z. 
     o vysokých školách v znení neskorších predpisov. </t>
  </si>
  <si>
    <t xml:space="preserve">    - dohody o brigádnickej práci študentov (účet 521 011)</t>
  </si>
  <si>
    <t>4a</t>
  </si>
  <si>
    <t>- Náklady účtovnej skupiny 54 okrem nákladov účtu 549 (účtovné skupiny 541 až 548)</t>
  </si>
  <si>
    <t xml:space="preserve">Základ pre prídel do štipendijného fondu </t>
  </si>
  <si>
    <t>Nákup strojov, prístrojov, zariadení, techniky a náradia [SUM(R5:R9)]</t>
  </si>
  <si>
    <r>
      <t>Nevyčerpaná dotácia (+) / nedoplatok dotácie (-) k 31. 12. bežného roka</t>
    </r>
    <r>
      <rPr>
        <sz val="12"/>
        <rFont val="Times New Roman"/>
        <family val="1"/>
      </rPr>
      <t xml:space="preserve"> [R4+R5-R1]          </t>
    </r>
    <r>
      <rPr>
        <b/>
        <sz val="12"/>
        <rFont val="Times New Roman"/>
        <family val="1"/>
      </rPr>
      <t xml:space="preserve">               </t>
    </r>
  </si>
  <si>
    <r>
      <t xml:space="preserve">Priemerné štipendium na 1 študenta na mesiac </t>
    </r>
    <r>
      <rPr>
        <sz val="12"/>
        <rFont val="Times New Roman"/>
        <family val="1"/>
      </rPr>
      <t xml:space="preserve"> [R1_SA/R2_SB resp. R1_SC/R2_SD] </t>
    </r>
  </si>
  <si>
    <r>
      <t xml:space="preserve">Výnos z dotácie zo štátneho rozpočtu na študentské jedálne spolu </t>
    </r>
    <r>
      <rPr>
        <sz val="12"/>
        <rFont val="Times New Roman"/>
        <family val="1"/>
      </rPr>
      <t>[R6+R7-R8]</t>
    </r>
  </si>
  <si>
    <r>
      <t xml:space="preserve">Tržby za vlastné výrobky (účet 601) </t>
    </r>
    <r>
      <rPr>
        <sz val="12"/>
        <rFont val="Times New Roman"/>
        <family val="1"/>
      </rPr>
      <t>[SUM(R2:R5)]</t>
    </r>
  </si>
  <si>
    <r>
      <t>Poskytnuté príspevky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(účtová skupina 56)</t>
    </r>
  </si>
  <si>
    <t>Výnosy z krátkodobého finančného majetku  (účet 655)</t>
  </si>
  <si>
    <t>Zdroje na obstaranie a technické zhodnotenie dlhodobého majetku z úverov</t>
  </si>
  <si>
    <t xml:space="preserve">Dotácia na kapitálové výdavky zo štátneho rozpočtu </t>
  </si>
  <si>
    <r>
      <t>Ostatné domáce príjmy s charakterom dotácie</t>
    </r>
    <r>
      <rPr>
        <sz val="12"/>
        <rFont val="Times New Roman"/>
        <family val="1"/>
      </rPr>
      <t xml:space="preserve"> [SUM(R3a:R3...)]</t>
    </r>
  </si>
  <si>
    <r>
      <t>Príjmy zo zahraničia majúce charakter dotácie</t>
    </r>
    <r>
      <rPr>
        <sz val="12"/>
        <rFont val="Times New Roman"/>
        <family val="1"/>
      </rPr>
      <t xml:space="preserve"> [SUM(R4a:R4...)]</t>
    </r>
  </si>
  <si>
    <t>- Podprogram 077 11</t>
  </si>
  <si>
    <t xml:space="preserve">   - Prvok 077 12 01</t>
  </si>
  <si>
    <t xml:space="preserve">   - Prvok 077 12 02</t>
  </si>
  <si>
    <t xml:space="preserve">   - Prvok 077 12 03</t>
  </si>
  <si>
    <t xml:space="preserve">   - Prvok 077 12 04</t>
  </si>
  <si>
    <r>
      <t xml:space="preserve">Priemerný  prepočítaný počet ubytovaných študentov </t>
    </r>
    <r>
      <rPr>
        <sz val="12"/>
        <rFont val="Times New Roman"/>
        <family val="1"/>
      </rPr>
      <t>[(R2</t>
    </r>
    <r>
      <rPr>
        <sz val="12"/>
        <rFont val="Times New Roman"/>
        <family val="1"/>
      </rPr>
      <t>/12]</t>
    </r>
  </si>
  <si>
    <t xml:space="preserve">Počet študentov poberajúcich sociálne štipendium </t>
  </si>
  <si>
    <t xml:space="preserve">    - bežný účet pre študentské domovy</t>
  </si>
  <si>
    <t xml:space="preserve">    - bežný účet pre študentské jedálne</t>
  </si>
  <si>
    <t>Daň z príjmov (účtová skupina 59)</t>
  </si>
  <si>
    <t>- vysokoškolské podniky</t>
  </si>
  <si>
    <t>Výnos z dotácie zo štátneho rozpočtu na študentské domovy (bez zmluvných zariadení)</t>
  </si>
  <si>
    <r>
      <t>Výnosy</t>
    </r>
    <r>
      <rPr>
        <b/>
        <vertAlign val="superscript"/>
        <sz val="12"/>
        <rFont val="Times New Roman"/>
        <family val="1"/>
      </rPr>
      <t xml:space="preserve">2) </t>
    </r>
    <r>
      <rPr>
        <b/>
        <sz val="12"/>
        <rFont val="Times New Roman"/>
        <family val="1"/>
      </rPr>
      <t>študentských jedální súvisiace so stravovaním študentov spolu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[R2+R5]  </t>
    </r>
  </si>
  <si>
    <t>Výskumní pracovníci alebo umeleckí pracovníci</t>
  </si>
  <si>
    <t>15a</t>
  </si>
  <si>
    <r>
      <t>Vysokoškolskí učitelia spolu</t>
    </r>
    <r>
      <rPr>
        <sz val="12"/>
        <rFont val="Times New Roman"/>
        <family val="1"/>
      </rPr>
      <t xml:space="preserve"> [SUM(R2:</t>
    </r>
    <r>
      <rPr>
        <sz val="12"/>
        <rFont val="Times New Roman"/>
        <family val="1"/>
      </rPr>
      <t>R6</t>
    </r>
    <r>
      <rPr>
        <sz val="12"/>
        <rFont val="Times New Roman"/>
        <family val="1"/>
      </rPr>
      <t>)]</t>
    </r>
  </si>
  <si>
    <r>
      <t>Administratívni zamestnanci spolu</t>
    </r>
    <r>
      <rPr>
        <sz val="12"/>
        <rFont val="Times New Roman"/>
        <family val="1"/>
      </rPr>
      <t xml:space="preserve"> [SUM(R10:R12)]                         </t>
    </r>
  </si>
  <si>
    <t>Nákup budov a stavieb</t>
  </si>
  <si>
    <t>A</t>
  </si>
  <si>
    <t>B</t>
  </si>
  <si>
    <t>C</t>
  </si>
  <si>
    <t>E</t>
  </si>
  <si>
    <t>F</t>
  </si>
  <si>
    <t>G</t>
  </si>
  <si>
    <t>H</t>
  </si>
  <si>
    <t>I</t>
  </si>
  <si>
    <t>D</t>
  </si>
  <si>
    <t>Bankový účet</t>
  </si>
  <si>
    <t xml:space="preserve">Ostatné dane a poplatky (účet 538) </t>
  </si>
  <si>
    <t>Realizácia stavieb a ich technického zhodnotenia</t>
  </si>
  <si>
    <t>- ostatné tržby za vlastné výrobky</t>
  </si>
  <si>
    <t>- študentské domovy</t>
  </si>
  <si>
    <t>z toho:</t>
  </si>
  <si>
    <t>Bežné dotácie</t>
  </si>
  <si>
    <t>Kapitálové dotácie</t>
  </si>
  <si>
    <r>
      <t>Spotreba materiálu (účet 501)</t>
    </r>
    <r>
      <rPr>
        <sz val="12"/>
        <rFont val="Times New Roman"/>
        <family val="1"/>
      </rPr>
      <t xml:space="preserve"> [SUM(R2:R13)]</t>
    </r>
  </si>
  <si>
    <r>
      <t>Spolu</t>
    </r>
    <r>
      <rPr>
        <sz val="12"/>
        <rFont val="Times New Roman"/>
        <family val="1"/>
      </rPr>
      <t xml:space="preserve"> [R1+R2+R3+R4]</t>
    </r>
  </si>
  <si>
    <t>Objem zdrojov</t>
  </si>
  <si>
    <t xml:space="preserve">Nákup ostatného dlhodobého majetku </t>
  </si>
  <si>
    <t>Ostatné fondy</t>
  </si>
  <si>
    <t>Účty mimo Štátnej pokladnice spolu</t>
  </si>
  <si>
    <t>X</t>
  </si>
  <si>
    <t>- tvorba fondu z odpisov</t>
  </si>
  <si>
    <t>- tvorba fondu prevodom z rezervného fondu</t>
  </si>
  <si>
    <t>- tvorba fondu z darov a z dedičstva</t>
  </si>
  <si>
    <t>1a</t>
  </si>
  <si>
    <t>2a</t>
  </si>
  <si>
    <t>(uviesť zoznam všetkých dotácií, každú na zvláštny riadok)</t>
  </si>
  <si>
    <t>3a</t>
  </si>
  <si>
    <r>
      <t>Výnosy z poplatkov spojených so štúdiom</t>
    </r>
    <r>
      <rPr>
        <sz val="12"/>
        <rFont val="Times New Roman"/>
        <family val="1"/>
      </rPr>
      <t xml:space="preserve"> [SUM(R5:R8)]</t>
    </r>
  </si>
  <si>
    <r>
      <t>Zamestnanci osobitne financovaných súčastí verejnej vysokej školy (špecifiká) z R1, R7, R9, R13, R14  spolu</t>
    </r>
    <r>
      <rPr>
        <sz val="12"/>
        <rFont val="Times New Roman"/>
        <family val="1"/>
      </rPr>
      <t xml:space="preserve"> [SUM(R15a:R15...)]                                                </t>
    </r>
  </si>
  <si>
    <r>
      <t xml:space="preserve">Spolu </t>
    </r>
    <r>
      <rPr>
        <sz val="12"/>
        <rFont val="Times New Roman"/>
        <family val="1"/>
      </rPr>
      <t>[R1+R7+R9+R13+R14+R16+R17]</t>
    </r>
  </si>
  <si>
    <t>Tržby z predaja materiálu (účet 654)</t>
  </si>
  <si>
    <t>Spotreba ostatných neskladovateľných dodávok (účet 503)</t>
  </si>
  <si>
    <t>Náklady na reprezentáciu (účet 513)</t>
  </si>
  <si>
    <t>Fondy spolu</t>
  </si>
  <si>
    <t>Položka</t>
  </si>
  <si>
    <t>Hlavná činnosť</t>
  </si>
  <si>
    <t>Podnikateľská činnosť</t>
  </si>
  <si>
    <t>Rezervný fond</t>
  </si>
  <si>
    <t>Fond reprodukcie</t>
  </si>
  <si>
    <t>Štipendijný fond</t>
  </si>
  <si>
    <t>Návrh na prídel do štipendijného fondu</t>
  </si>
  <si>
    <t>Zmeny stavu zásob vlastnej výroby (účtová skupina 61)</t>
  </si>
  <si>
    <t>Aktivácia (účtová skupina 62)</t>
  </si>
  <si>
    <t>Pokuty a penále (účet 641+642)</t>
  </si>
  <si>
    <t>Platby za odpísané pohľadávky  (účet 643)</t>
  </si>
  <si>
    <t>Kurzové zisky  (účet 645)</t>
  </si>
  <si>
    <t>v tom:</t>
  </si>
  <si>
    <r>
      <t>Počet študentov poberajúcich sociálne štipendiá v osobomesiacoch</t>
    </r>
    <r>
      <rPr>
        <b/>
        <sz val="9"/>
        <rFont val="Times New Roman"/>
        <family val="1"/>
      </rPr>
      <t xml:space="preserve"> </t>
    </r>
    <r>
      <rPr>
        <b/>
        <vertAlign val="superscript"/>
        <sz val="14"/>
        <rFont val="Times New Roman"/>
        <family val="1"/>
      </rPr>
      <t>1)</t>
    </r>
  </si>
  <si>
    <r>
      <t>Počet ubytovaných študentov (vrátane interných doktorandov)</t>
    </r>
    <r>
      <rPr>
        <b/>
        <vertAlign val="superscript"/>
        <sz val="14"/>
        <rFont val="Times New Roman"/>
        <family val="1"/>
      </rPr>
      <t>2)</t>
    </r>
    <r>
      <rPr>
        <b/>
        <sz val="14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v osobomesiacoch</t>
    </r>
  </si>
  <si>
    <t>Tržby z predaja dlhodobého NM a HM (účet 651)</t>
  </si>
  <si>
    <t>Výnosy z precenenia cenných papierov (účet 657)</t>
  </si>
  <si>
    <r>
      <t>Spotreba energie (účet 502)</t>
    </r>
    <r>
      <rPr>
        <sz val="12"/>
        <rFont val="Times New Roman"/>
        <family val="1"/>
      </rPr>
      <t xml:space="preserve"> [SUM(R15:R20)]</t>
    </r>
  </si>
  <si>
    <r>
      <t>Predaný tovar (účet 504)</t>
    </r>
    <r>
      <rPr>
        <sz val="12"/>
        <rFont val="Times New Roman"/>
        <family val="1"/>
      </rPr>
      <t xml:space="preserve"> [SUM(R23:R26)]</t>
    </r>
  </si>
  <si>
    <r>
      <t>Cestovné (účet 512)</t>
    </r>
    <r>
      <rPr>
        <sz val="12"/>
        <rFont val="Times New Roman"/>
        <family val="1"/>
      </rPr>
      <t xml:space="preserve"> [SUM(R36:R37)]</t>
    </r>
  </si>
  <si>
    <t>- interiérové vybavenie  (713 001)</t>
  </si>
  <si>
    <t>- telekomunikačná technika  (713 003)</t>
  </si>
  <si>
    <t>-  výpočtová technika  (713 002)</t>
  </si>
  <si>
    <t xml:space="preserve"> - prevádzkové stroje, prístroje, zariadenia, technika a náradie (713 004)</t>
  </si>
  <si>
    <t xml:space="preserve">  - špeciálne stroje, prístroje, zariadenia, technika, náradie a materiál  (713 005)</t>
  </si>
  <si>
    <t>Počty ubytovaných</t>
  </si>
  <si>
    <t>Ostatné výnosy zo študentských domovov</t>
  </si>
  <si>
    <t>1) výnosy a náklady z podnikateľskej činnosti sa neuvádzajú</t>
  </si>
  <si>
    <t>Výnosy z poplatkov za ubytovanie od študentov počas výučbového obdobia (10 mesiacov)</t>
  </si>
  <si>
    <t>1) výnosy a náklady z podnikateľskej činnosti sa neuvádzajú, neuvádzajú sa ani výnosy a náklady súvisiace so stravovaním zamestnancov</t>
  </si>
  <si>
    <t>- tržby za stravné lístky študentov</t>
  </si>
  <si>
    <t>- ostatné tržby súvisiace so stravovaním študentov</t>
  </si>
  <si>
    <r>
      <t>Tržby jedální súvisiace so stravovaním študentov v kalendárnom roku spolu</t>
    </r>
    <r>
      <rPr>
        <sz val="12"/>
        <rFont val="Times New Roman"/>
        <family val="1"/>
      </rPr>
      <t xml:space="preserve"> [R3+R4]</t>
    </r>
  </si>
  <si>
    <r>
      <t xml:space="preserve"> - náklady na jedlá študentov</t>
    </r>
    <r>
      <rPr>
        <vertAlign val="superscript"/>
        <sz val="12"/>
        <rFont val="Times New Roman"/>
        <family val="1"/>
      </rPr>
      <t>3)</t>
    </r>
  </si>
  <si>
    <r>
      <t>Dotácia na uskutočňovanie akreditovaných študijných programov</t>
    </r>
    <r>
      <rPr>
        <sz val="12"/>
        <rFont val="Times New Roman"/>
        <family val="1"/>
      </rPr>
      <t xml:space="preserve"> [R2]</t>
    </r>
  </si>
  <si>
    <r>
      <t>Dotácia na výskumnú, vývojovú alebo umeleckú činnosť</t>
    </r>
    <r>
      <rPr>
        <sz val="12"/>
        <rFont val="Times New Roman"/>
        <family val="1"/>
      </rPr>
      <t xml:space="preserve"> [R4+R5+R6+R7+R8]</t>
    </r>
  </si>
  <si>
    <r>
      <t>Dotácia na rozvoj vysokej školy</t>
    </r>
    <r>
      <rPr>
        <sz val="12"/>
        <rFont val="Times New Roman"/>
        <family val="1"/>
      </rPr>
      <t xml:space="preserve"> [R10]</t>
    </r>
  </si>
  <si>
    <r>
      <t>Dotácia na sociálnu podporu študentov</t>
    </r>
    <r>
      <rPr>
        <sz val="12"/>
        <rFont val="Times New Roman"/>
        <family val="1"/>
      </rPr>
      <t xml:space="preserve"> [R12+R13+R14]</t>
    </r>
  </si>
  <si>
    <r>
      <t>Spolu</t>
    </r>
    <r>
      <rPr>
        <sz val="12"/>
        <rFont val="Times New Roman"/>
        <family val="1"/>
      </rPr>
      <t xml:space="preserve"> [R1+R3+R9+R11]</t>
    </r>
  </si>
  <si>
    <t>nadrezortná veda a technika</t>
  </si>
  <si>
    <t>Výnosy z poplatkov za ubytovanie od študentov počas hlavných prázdnin (od interných doktorandov) a počty ubytovaných študentov</t>
  </si>
  <si>
    <r>
      <t xml:space="preserve">Výnosy zo študentských domovov v kalendárnom roku spolu </t>
    </r>
    <r>
      <rPr>
        <sz val="12"/>
        <rFont val="Times New Roman"/>
        <family val="1"/>
      </rPr>
      <t>[SUM(R4:R7)]</t>
    </r>
  </si>
  <si>
    <r>
      <t xml:space="preserve">Náklady študentských domovov  spolu </t>
    </r>
    <r>
      <rPr>
        <sz val="12"/>
        <rFont val="Times New Roman"/>
        <family val="1"/>
      </rPr>
      <t>[R10+R11]</t>
    </r>
  </si>
  <si>
    <r>
      <t xml:space="preserve">Rozdiel výnosov a nákladov na študentské domovy v kalendárnom roku  </t>
    </r>
    <r>
      <rPr>
        <sz val="12"/>
        <rFont val="Times New Roman"/>
        <family val="1"/>
      </rPr>
      <t>[R8-R9]</t>
    </r>
  </si>
  <si>
    <r>
      <t xml:space="preserve">Priemerné ročné náklady na jedného ubytovaného študenta </t>
    </r>
    <r>
      <rPr>
        <sz val="12"/>
        <rFont val="Times New Roman"/>
        <family val="1"/>
      </rPr>
      <t>[R9/R3]</t>
    </r>
  </si>
  <si>
    <t xml:space="preserve">Daň z motorových vozidiel (účet 531) </t>
  </si>
  <si>
    <t>Nákup pozemkov a nehmotných aktív</t>
  </si>
  <si>
    <t xml:space="preserve">2) V stĺpcoch B a D sa uvádza celkový (fyzický) počet študentov, ktorým bolo v príslušnom kalendárnom roku poskytnuté sociálne štipendium bez ohľadu na počet mesiacov.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</si>
  <si>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</si>
  <si>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</si>
  <si>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r>
      <t xml:space="preserve">- tvorba fondu z hospodárskeho výsledku (účet 413  111)  </t>
    </r>
    <r>
      <rPr>
        <vertAlign val="superscript"/>
        <sz val="12"/>
        <rFont val="Times New Roman"/>
        <family val="1"/>
      </rPr>
      <t xml:space="preserve">1) </t>
    </r>
  </si>
  <si>
    <t>- tvorba fondu prevodom z rezervného fondu (účet  413 114)</t>
  </si>
  <si>
    <t>- tvorba fondu z darov a z dedičstva (účet 413 112)</t>
  </si>
  <si>
    <t>- tvorba fondu z výnosov z predaja majetku (účet 413 117)</t>
  </si>
  <si>
    <r>
      <t xml:space="preserve">- ostatná tvorba (účet 413 113) </t>
    </r>
    <r>
      <rPr>
        <vertAlign val="superscript"/>
        <sz val="12"/>
        <rFont val="Times New Roman"/>
        <family val="1"/>
      </rPr>
      <t xml:space="preserve">2) </t>
    </r>
  </si>
  <si>
    <t>92a</t>
  </si>
  <si>
    <t>1b</t>
  </si>
  <si>
    <t>2b</t>
  </si>
  <si>
    <t>3b</t>
  </si>
  <si>
    <t>4b</t>
  </si>
  <si>
    <t>15b</t>
  </si>
  <si>
    <t>15c</t>
  </si>
  <si>
    <t>15d</t>
  </si>
  <si>
    <t xml:space="preserve">Názov verejnej vysokej školy:   
Názov fakulty:  </t>
  </si>
  <si>
    <t xml:space="preserve">Názov verejnej vysokej školy: </t>
  </si>
  <si>
    <t xml:space="preserve">    - bežný účet na riešenie úloh vedy a
      výskumu  zo SR, resp.zahraničia </t>
  </si>
  <si>
    <t xml:space="preserve">  - náklady na štipendiá interných doktorandov pred dizertačnou skúškou 
(v zmysle § 54 ods. 18 písm. a) zákona spolu (SUM(R3:R4))</t>
  </si>
  <si>
    <t>Priemerný mesačný náklad na doktoranda</t>
  </si>
  <si>
    <t xml:space="preserve">  - Prvok 0AE 02 01</t>
  </si>
  <si>
    <t xml:space="preserve">  - Prvok 0AE 02 03</t>
  </si>
  <si>
    <t xml:space="preserve">  - Prvok 0AE 03 01</t>
  </si>
  <si>
    <t xml:space="preserve"> - Podprogram 06K 12            </t>
  </si>
  <si>
    <t>8a</t>
  </si>
  <si>
    <r>
      <t xml:space="preserve">Program 06K </t>
    </r>
    <r>
      <rPr>
        <sz val="12"/>
        <rFont val="Times New Roman"/>
        <family val="1"/>
      </rPr>
      <t>[SUM(R2+R3+R4+R5)]</t>
    </r>
  </si>
  <si>
    <t>Ostatné dotácie [SUM(R8a..R8x)]</t>
  </si>
  <si>
    <t>Účet</t>
  </si>
  <si>
    <t>Polož. výkaz. NUJ</t>
  </si>
  <si>
    <t>Čislo riadku</t>
  </si>
  <si>
    <t>A. NEOBEŽNÝ MAJETOK SPOLU r.002+r.009+r.021</t>
  </si>
  <si>
    <t>001</t>
  </si>
  <si>
    <t>1. Dlhodobý nehmotný majetok r.003 až r.008</t>
  </si>
  <si>
    <t>002</t>
  </si>
  <si>
    <t>Nehmotné výsledky z vývojovej a obdob.činnosti 012-(072+091A</t>
  </si>
  <si>
    <t>003</t>
  </si>
  <si>
    <t>Softvér 013-(073+091AÚ)</t>
  </si>
  <si>
    <t>004</t>
  </si>
  <si>
    <t>005</t>
  </si>
  <si>
    <t>Ostatný.dlhodob.nehmot.majetok(018+019)-(078+079+091AÚ)</t>
  </si>
  <si>
    <t>006</t>
  </si>
  <si>
    <t>Obstaranie dlhodobého nehmotného majetku (041-093)</t>
  </si>
  <si>
    <t>007</t>
  </si>
  <si>
    <t>Poskytnut.preddavky na dlhodob.nehmot.majetok (051-095AÚ)</t>
  </si>
  <si>
    <t>008</t>
  </si>
  <si>
    <t>2. Dlhodobý hmotný majetok (r. 010 až r. 020)</t>
  </si>
  <si>
    <t>009</t>
  </si>
  <si>
    <t>Pozemky (031)</t>
  </si>
  <si>
    <t>010</t>
  </si>
  <si>
    <t>Umelecké diela a zbierky (032)</t>
  </si>
  <si>
    <t>011</t>
  </si>
  <si>
    <t>Stavby 021-(081-092AÚ)</t>
  </si>
  <si>
    <t>012</t>
  </si>
  <si>
    <t>Samostatné hnuteľné veci a súbory hnuteľných vecí (022 - (08</t>
  </si>
  <si>
    <t>013</t>
  </si>
  <si>
    <t>Dopravné prostriedky (023 - (083+092AÚ))</t>
  </si>
  <si>
    <t>014</t>
  </si>
  <si>
    <t>Pestovateľské celky trvalých porastov (025 - (085 + 092AÚ))</t>
  </si>
  <si>
    <t>015</t>
  </si>
  <si>
    <t>Základné stádo a ťažné zvieratá (026 - (086 + 092AÚ))</t>
  </si>
  <si>
    <t>016</t>
  </si>
  <si>
    <t>Drobný dlhodobý hmotný majetok (028 - (088 + 092AÚ))</t>
  </si>
  <si>
    <t>017</t>
  </si>
  <si>
    <t>Ostatný dlhodobý hmotný majetok (029 - (089 +092AÚ))</t>
  </si>
  <si>
    <t>018</t>
  </si>
  <si>
    <t>Obstaranie dlhodobého hmotného majetku (042 - 094)</t>
  </si>
  <si>
    <t>019</t>
  </si>
  <si>
    <t>Poskytnuté preddavky na dlhodob.hmot.majetok (052-095AÚ)</t>
  </si>
  <si>
    <t>020</t>
  </si>
  <si>
    <t>3. Dlhodobý finančný majetok r.022 až r.028</t>
  </si>
  <si>
    <t>021</t>
  </si>
  <si>
    <t>Podiel.cen.papier.a podiely v obchod.spol.v ovládan.osobe (0</t>
  </si>
  <si>
    <t>022</t>
  </si>
  <si>
    <t>Podiel.cen.papiere a podiely v obchod.spol.s podstat.vplyvom</t>
  </si>
  <si>
    <t>023</t>
  </si>
  <si>
    <t>Dlhové cenné papiere držané do splatnosti (065 - 096 AÚ)</t>
  </si>
  <si>
    <t>024</t>
  </si>
  <si>
    <t>Pôžičky podnikom v skup.a ostat.pôžičky (066+067)-096AÚ</t>
  </si>
  <si>
    <t>025</t>
  </si>
  <si>
    <t>Ostatný dlhodobý finančný majetok (069-096AÚ)</t>
  </si>
  <si>
    <t>026</t>
  </si>
  <si>
    <t>Obstaranie dlhodobého finančného majetku (043 - 096AÚ)</t>
  </si>
  <si>
    <t>027</t>
  </si>
  <si>
    <t>Poskytnuté preddavky na dlhodobý finančný majetok (053 - 096</t>
  </si>
  <si>
    <t>028</t>
  </si>
  <si>
    <t>B. OBEŽNÝ MAJETOK SPOLU r.030+r.037+r.042+r.051</t>
  </si>
  <si>
    <t>029</t>
  </si>
  <si>
    <t>1. Zásoby r.031 až r.036</t>
  </si>
  <si>
    <t>030</t>
  </si>
  <si>
    <t>Materiál (112+119) -191</t>
  </si>
  <si>
    <t>031</t>
  </si>
  <si>
    <t>Nedokonč.výroba a polotovary vlast.výroby (121+122)-(192+193</t>
  </si>
  <si>
    <t>032</t>
  </si>
  <si>
    <t>Výrobky (123-194)</t>
  </si>
  <si>
    <t>033</t>
  </si>
  <si>
    <t>Zvieratá (124-195)</t>
  </si>
  <si>
    <t>034</t>
  </si>
  <si>
    <t>Tovar (132+139)-196</t>
  </si>
  <si>
    <t>035</t>
  </si>
  <si>
    <t>Poskytnuté prevádzkové preddavky na zásoby (314AÚ-391AÚ)</t>
  </si>
  <si>
    <t>036</t>
  </si>
  <si>
    <t>2. Dlhodobé pohľadávky (r.038 až 041)</t>
  </si>
  <si>
    <t>037</t>
  </si>
  <si>
    <t>Pohľadávky z obchod.styku (311AÚ až 314AÚ) - 391AÚ</t>
  </si>
  <si>
    <t>038</t>
  </si>
  <si>
    <t>Ostatné pohľadávky (315AÚ - 391AÚ)</t>
  </si>
  <si>
    <t>039</t>
  </si>
  <si>
    <t>Pohľadávky voči účastníkom združení (358AÚ - 391AÚ)</t>
  </si>
  <si>
    <t>040</t>
  </si>
  <si>
    <t>Iné pohľadávky (335AÚ+373AÚ+375AÚ+378AÚ) -391AÚ</t>
  </si>
  <si>
    <t>041</t>
  </si>
  <si>
    <t>3. Krátkodobé pohľadávky r.043 až r.050</t>
  </si>
  <si>
    <t>042</t>
  </si>
  <si>
    <t>Pohľadávky z obchodného styku (311AÚ až 314AÚ) - 391AÚ</t>
  </si>
  <si>
    <t>043</t>
  </si>
  <si>
    <t>044</t>
  </si>
  <si>
    <t>Zúčtovanie zo Sociálnou poisť. a zdravot.poisťovňami (336)</t>
  </si>
  <si>
    <t>045</t>
  </si>
  <si>
    <t>Daňové pohľadávky (341 až 345)</t>
  </si>
  <si>
    <t>046</t>
  </si>
  <si>
    <t>Pohľ.z dôvodu fin.vzťahov k ŠR a rozpočtom úz.správ (346+348</t>
  </si>
  <si>
    <t>047</t>
  </si>
  <si>
    <t>048</t>
  </si>
  <si>
    <t>Spojovací účet pri združení (396-391AÚ)</t>
  </si>
  <si>
    <t>049</t>
  </si>
  <si>
    <t>050</t>
  </si>
  <si>
    <t>4. Finančné účty r.052 až 056</t>
  </si>
  <si>
    <t>051</t>
  </si>
  <si>
    <t>Pokladnica (211+213)</t>
  </si>
  <si>
    <t>052</t>
  </si>
  <si>
    <t>Bankové účty (221AÚ+261)</t>
  </si>
  <si>
    <t>053</t>
  </si>
  <si>
    <t>Bankové účty s dobou viazanosti dlhšou ako jeden rok (221AÚ)</t>
  </si>
  <si>
    <t>054</t>
  </si>
  <si>
    <t>Krátkodobý finančný majetok (251+253+255+256+257)-291AÚ</t>
  </si>
  <si>
    <t>055</t>
  </si>
  <si>
    <t>Obstaranie krátkodobého finančného majetku (259 -291AÚ)</t>
  </si>
  <si>
    <t>056</t>
  </si>
  <si>
    <t>C. ČASOVÉ ROZLÍŠENIE SPOLU r.058 a r.059</t>
  </si>
  <si>
    <t>057</t>
  </si>
  <si>
    <t>1. Náklady budúcich období (381)</t>
  </si>
  <si>
    <t>058</t>
  </si>
  <si>
    <t>Príjmy budúcich období (385)</t>
  </si>
  <si>
    <t>059</t>
  </si>
  <si>
    <t>MAJETOK SPOLU r.001 + r.029 + r.057</t>
  </si>
  <si>
    <t>060</t>
  </si>
  <si>
    <t>Celkový výsledok</t>
  </si>
  <si>
    <t>Brutto</t>
  </si>
  <si>
    <t>Korekcia</t>
  </si>
  <si>
    <t>Netto</t>
  </si>
  <si>
    <t>Predch. účt. obdobie</t>
  </si>
  <si>
    <t>Strana aktív</t>
  </si>
  <si>
    <t>Tabuľka č. 24: Súvaha - Strana aktív</t>
  </si>
  <si>
    <t xml:space="preserve">   Oceniteľné práva 014-(074+091AÚ)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</si>
  <si>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</si>
  <si>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</si>
  <si>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</si>
  <si>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</si>
  <si>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</si>
  <si>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</si>
  <si>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</si>
  <si>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</si>
  <si>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</si>
  <si>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</si>
  <si>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</si>
  <si>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</si>
  <si>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</si>
  <si>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</si>
  <si>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</si>
  <si>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</si>
  <si>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</si>
  <si>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</si>
  <si>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</si>
  <si>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</si>
  <si>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</si>
  <si>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</si>
  <si>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</si>
  <si>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</si>
  <si>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</si>
  <si>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</si>
  <si>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</si>
  <si>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</si>
  <si>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</si>
  <si>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</si>
  <si>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</si>
  <si>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</si>
  <si>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</si>
  <si>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</si>
  <si>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</si>
  <si>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</si>
  <si>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</si>
  <si>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</si>
  <si>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</si>
  <si>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</si>
  <si>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</si>
  <si>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</si>
  <si>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</si>
  <si>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</si>
  <si>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 xml:space="preserve"> Brutto
(v Eur)</t>
  </si>
  <si>
    <t>č. r.</t>
  </si>
  <si>
    <t>Bežné účtovné obdobie</t>
  </si>
  <si>
    <t>Bezprostredne predchádzajúce účtovné obdobie</t>
  </si>
  <si>
    <t>a</t>
  </si>
  <si>
    <t>b</t>
  </si>
  <si>
    <t>1.</t>
  </si>
  <si>
    <t>Nehmotné výsledky z vývojovej a obdob.činnosti 012 -(072 +091 AÚ)</t>
  </si>
  <si>
    <t>Software  013 - (073 + 091 AÚ)</t>
  </si>
  <si>
    <t>Oceniteľné práva  014 - (074 + 091 AÚ)</t>
  </si>
  <si>
    <t>Ostatný dlhodobý nehmotný majetok (018 + 019) - (078 + 079 + 091 AÚ)</t>
  </si>
  <si>
    <t>Poskytnuté preddavky na dlhodobý nehmotný majetok  (051) - (095 AÚ)</t>
  </si>
  <si>
    <t>2.</t>
  </si>
  <si>
    <t>Pozemky  (031)</t>
  </si>
  <si>
    <t>Umelecké diela a zbierky  (032)</t>
  </si>
  <si>
    <t>Stavby  (021) - (081 + 092 AÚ)</t>
  </si>
  <si>
    <t>Dopravné prostriedky  (023) - (083 + 092 AÚ)</t>
  </si>
  <si>
    <t>Pestovateľské celky trvalých porastov  (025) - (085 +092 AÚ)</t>
  </si>
  <si>
    <t>Základné stádo a ťažné zvieratá  (026) - (086 + 092 AÚ)</t>
  </si>
  <si>
    <t>Drobný dlhodobý hmotný majetok  (028) - (088 + 092 AÚ)</t>
  </si>
  <si>
    <t>Ostatný dlhodobý hmotný majetok  (029) - (089 + 092 AÚ)</t>
  </si>
  <si>
    <t>Obstaranie dlhodobého hmotného majetku  (042) - (094)</t>
  </si>
  <si>
    <t>Poskytnuté preddavky na dlhodobý hmot.majetok  (052) - (095 AÚ)</t>
  </si>
  <si>
    <t>3.</t>
  </si>
  <si>
    <t>Podielové cenné papiere a vklady v obchodných spoločnostiach v ovládanej osobe  (061)</t>
  </si>
  <si>
    <t>Podielové cenné papiere a vklady v obchodných spoločnostiach s podstatným vplyvom  (062)</t>
  </si>
  <si>
    <t>Pôžičky podnikom v skupine a ostatné pôžičky  (066 + 067) - (096 AÚ)</t>
  </si>
  <si>
    <t>Ostatný dlhodobý finančný majetok (069) okrem r.040</t>
  </si>
  <si>
    <t>Obstaranie dlhodobého finančného majetku  (043) - (096 AÚ)</t>
  </si>
  <si>
    <t>Poskytnuté preddavky na dlhodobý fin. majetok (053)</t>
  </si>
  <si>
    <t>Účtovné obdobie</t>
  </si>
  <si>
    <t>Zásoby   súčet r. 031 až 036</t>
  </si>
  <si>
    <t>Materiál (112 + 119) - (191)</t>
  </si>
  <si>
    <t>Nedokončená výroba a polotovary vlastnej výroby (121 + 122) - (192 + 193)</t>
  </si>
  <si>
    <t>Výrobky  (123) - (194)</t>
  </si>
  <si>
    <t>Zvieratá  (124) - (195)</t>
  </si>
  <si>
    <t>Tovar  (132 +139) - (196)</t>
  </si>
  <si>
    <t>Ostatné pohľadávky (315 AÚ -391 AÚ)</t>
  </si>
  <si>
    <t>Pohľadávky z obchodného styku  (311 AÚ až 314 AÚ) - 391 AÚ)</t>
  </si>
  <si>
    <t>Zúčtovanie so SP a zdravotnými poisťovňami (336)</t>
  </si>
  <si>
    <t>Daňové pohľadávky  (341 až 345)</t>
  </si>
  <si>
    <t>Pohľadávky z dôvodu finančných vzťahov k ŠR (346+348)</t>
  </si>
  <si>
    <t>4.</t>
  </si>
  <si>
    <t>Pokladnica  (211 +213)</t>
  </si>
  <si>
    <t>Bankové účty s dobou viazanosti dlhšou ako 1 rok (221AÚ)</t>
  </si>
  <si>
    <t>Náklady budúcich období  (381)</t>
  </si>
  <si>
    <t>Príjmy budúcich období  (385)</t>
  </si>
  <si>
    <t>Strana pasív</t>
  </si>
  <si>
    <t>Oceňovacie rozdiely z precenenia majetku a záväzkov    (414)</t>
  </si>
  <si>
    <t>Oceňovacie rozdiely z precenenia kapitálových účastín   (415)</t>
  </si>
  <si>
    <t>Záväzky z obchodného styku   (321 až 326) okrem 323</t>
  </si>
  <si>
    <t>Bežné bankové úvery      (231 + 232 + 461 AÚ)</t>
  </si>
  <si>
    <r>
      <t xml:space="preserve">Ostatné dlhodobé záväzky </t>
    </r>
    <r>
      <rPr>
        <sz val="9"/>
        <rFont val="Times New Roman"/>
        <family val="1"/>
      </rPr>
      <t xml:space="preserve"> (373 AÚ+ 479 AÚ)</t>
    </r>
  </si>
  <si>
    <t>Peňažné fondy tvorené podľa osobitného predpisu     (412)</t>
  </si>
  <si>
    <t>Rezervný fond                          (421)</t>
  </si>
  <si>
    <t>Ostatné fondy                          (427)</t>
  </si>
  <si>
    <t>Fondy tvorené zo zisku            (423)</t>
  </si>
  <si>
    <t>Rezervy zákonné                      (451AÚ)</t>
  </si>
  <si>
    <t>Ostatné rezervy                        (459AÚ)</t>
  </si>
  <si>
    <t>Krátkodobé  rezervy                (323+451AÚ+459AÚ)</t>
  </si>
  <si>
    <t>Záväzky zo sociálneho fondu     (472)</t>
  </si>
  <si>
    <t>Vydané dlhopisy                       (473)</t>
  </si>
  <si>
    <t>Záväzky z nájmu                       (474 AÚ)</t>
  </si>
  <si>
    <t>Dlhodobé prijaté preddavky      (475)</t>
  </si>
  <si>
    <t xml:space="preserve">Dlhodobé nevyfakturované dodávky       (476) </t>
  </si>
  <si>
    <t>Dlhodobé zmenky na úhradu                   (478)</t>
  </si>
  <si>
    <t>Záväzky voči zamestnancom    (331 +333)</t>
  </si>
  <si>
    <t>Zúčtovania so SP a zdravotnými poisťovňami         (336)</t>
  </si>
  <si>
    <t>Daňové záväzky                      (341 až 345)</t>
  </si>
  <si>
    <t>Záväzky z dôvodu finančných vzťahov k štátnemu rozpočtu a rozpočtom územnej j samosprávy       (346 +348)</t>
  </si>
  <si>
    <t>Záväzky voči účastníkom združení   (368)</t>
  </si>
  <si>
    <t>Spojovací účet pri združení   (396)</t>
  </si>
  <si>
    <t>Dlhodobé bankové úvery      (461 AÚ)</t>
  </si>
  <si>
    <t>Výdavky budúcich období       (383)</t>
  </si>
  <si>
    <t>Záväzky z upísaných nesplatených cenných papierov a vkladov (367)</t>
  </si>
  <si>
    <t>Obstaranie dlhodobého nehmotného majetku (041)-(093)</t>
  </si>
  <si>
    <t>A. NEOBEŽNÝ MAJETOK SPOLU r. 002 + 009 + 021</t>
  </si>
  <si>
    <t>Číslo účtu</t>
  </si>
  <si>
    <t>Spotreba materiálu</t>
  </si>
  <si>
    <t>01</t>
  </si>
  <si>
    <t>Spotreba energie</t>
  </si>
  <si>
    <t>02</t>
  </si>
  <si>
    <t>Predaný tovar</t>
  </si>
  <si>
    <t>03</t>
  </si>
  <si>
    <t>Opravy a udržiavanie</t>
  </si>
  <si>
    <t>04</t>
  </si>
  <si>
    <t>Cestovné</t>
  </si>
  <si>
    <t>05</t>
  </si>
  <si>
    <t>Náklady na reprezentáciu</t>
  </si>
  <si>
    <t>06</t>
  </si>
  <si>
    <t>Ostatné služby</t>
  </si>
  <si>
    <t>07</t>
  </si>
  <si>
    <t>Mzdové náklady</t>
  </si>
  <si>
    <t>08</t>
  </si>
  <si>
    <t>Zákonné soc. poistenie a zdr.pois.</t>
  </si>
  <si>
    <t>09</t>
  </si>
  <si>
    <t>Ostatné sociálne poistenie</t>
  </si>
  <si>
    <t>10</t>
  </si>
  <si>
    <t>Zákonné sociálne náklady</t>
  </si>
  <si>
    <t>11</t>
  </si>
  <si>
    <t>Ostatné sociálne náklady</t>
  </si>
  <si>
    <t>12</t>
  </si>
  <si>
    <t>Daň z motorových vozidiel</t>
  </si>
  <si>
    <t>13</t>
  </si>
  <si>
    <t>Daň z nehnuteľností</t>
  </si>
  <si>
    <t>14</t>
  </si>
  <si>
    <t>Ostatné dane a poplatky</t>
  </si>
  <si>
    <t>15</t>
  </si>
  <si>
    <t>Zmluvné pokuty a penále</t>
  </si>
  <si>
    <t>16</t>
  </si>
  <si>
    <t>Ostatné pokuty a penále</t>
  </si>
  <si>
    <t>17</t>
  </si>
  <si>
    <t>Odpísanie pohľadávky</t>
  </si>
  <si>
    <t>18</t>
  </si>
  <si>
    <t>Úroky</t>
  </si>
  <si>
    <t>19</t>
  </si>
  <si>
    <t>Kurzové straty</t>
  </si>
  <si>
    <t>20</t>
  </si>
  <si>
    <t>Dary</t>
  </si>
  <si>
    <t>21</t>
  </si>
  <si>
    <t>Osobitné náklady</t>
  </si>
  <si>
    <t>22</t>
  </si>
  <si>
    <t>Manká a škody</t>
  </si>
  <si>
    <t>23</t>
  </si>
  <si>
    <t>Iné ostatné náklady</t>
  </si>
  <si>
    <t>24</t>
  </si>
  <si>
    <t>Odpisy DNM a DHM</t>
  </si>
  <si>
    <t>25</t>
  </si>
  <si>
    <t>26</t>
  </si>
  <si>
    <t>Predané cenné papiere</t>
  </si>
  <si>
    <t>27</t>
  </si>
  <si>
    <t>Predaný materiál</t>
  </si>
  <si>
    <t>28</t>
  </si>
  <si>
    <t>Náklady na krátkod. finančný maj.</t>
  </si>
  <si>
    <t>29</t>
  </si>
  <si>
    <t>Tvorba fondov</t>
  </si>
  <si>
    <t>30</t>
  </si>
  <si>
    <t xml:space="preserve">Náklady na precenenie cen.pap. </t>
  </si>
  <si>
    <t>31</t>
  </si>
  <si>
    <t>Tvorba a zúčt. opravných položiek</t>
  </si>
  <si>
    <t>32</t>
  </si>
  <si>
    <t>33</t>
  </si>
  <si>
    <t>Poskytnuté príspevky org. zlož.</t>
  </si>
  <si>
    <t>34</t>
  </si>
  <si>
    <t>Poskyt. príspevky iným účt. jednot.</t>
  </si>
  <si>
    <t>35</t>
  </si>
  <si>
    <t>Poskytnuté príspevky fyz. osobám</t>
  </si>
  <si>
    <t>36</t>
  </si>
  <si>
    <t>Poskyt. príspevky z verejnej zbierky</t>
  </si>
  <si>
    <t>37</t>
  </si>
  <si>
    <t>38</t>
  </si>
  <si>
    <t>Tržby za vlastné výrobky</t>
  </si>
  <si>
    <t>39</t>
  </si>
  <si>
    <t>Tržby z predaja služieb</t>
  </si>
  <si>
    <t>40</t>
  </si>
  <si>
    <t>Tržby za predaný tovar</t>
  </si>
  <si>
    <t>41</t>
  </si>
  <si>
    <t>Zmenaq stavu zásob ned. výroby</t>
  </si>
  <si>
    <t>42</t>
  </si>
  <si>
    <t>Zmena stavu zásob polotovarov</t>
  </si>
  <si>
    <t>43</t>
  </si>
  <si>
    <t>Zmena stavu zásob výrobkov</t>
  </si>
  <si>
    <t>44</t>
  </si>
  <si>
    <t>Zmena stavu zásob zvierat</t>
  </si>
  <si>
    <t>45</t>
  </si>
  <si>
    <t>Aktivácia materiálu a tovaru</t>
  </si>
  <si>
    <t>46</t>
  </si>
  <si>
    <t>Aktivácia vnútroorganizačných služieb</t>
  </si>
  <si>
    <t>47</t>
  </si>
  <si>
    <t>Aktivácia dlhodobého nehmot. majetku</t>
  </si>
  <si>
    <t>48</t>
  </si>
  <si>
    <t>Aktivácia dlhodobého hmotného majet.</t>
  </si>
  <si>
    <t>49</t>
  </si>
  <si>
    <t>50</t>
  </si>
  <si>
    <t>51</t>
  </si>
  <si>
    <t>Platby za odpísané pohľadávky</t>
  </si>
  <si>
    <t>52</t>
  </si>
  <si>
    <t>53</t>
  </si>
  <si>
    <t>Kurzové zisky</t>
  </si>
  <si>
    <t>54</t>
  </si>
  <si>
    <t>Prijaté dary</t>
  </si>
  <si>
    <t>55</t>
  </si>
  <si>
    <t>Osobitné výnosy</t>
  </si>
  <si>
    <t>56</t>
  </si>
  <si>
    <t>Zákonné poplatky</t>
  </si>
  <si>
    <t>57</t>
  </si>
  <si>
    <t>Iné ostatné výnosy</t>
  </si>
  <si>
    <t>58</t>
  </si>
  <si>
    <t>Tržby z predaja dlhodobého majetku</t>
  </si>
  <si>
    <t>59</t>
  </si>
  <si>
    <t>Výnosy z dlhodobého finančného maj.</t>
  </si>
  <si>
    <t>60</t>
  </si>
  <si>
    <t>Tržby z predaja cenných papierov a pod.</t>
  </si>
  <si>
    <t>61</t>
  </si>
  <si>
    <t>Tržby z predaja materiálu</t>
  </si>
  <si>
    <t>62</t>
  </si>
  <si>
    <t>Výnosy z krátkod. finančného majetku</t>
  </si>
  <si>
    <t>63</t>
  </si>
  <si>
    <t>Výnosy z použitia fondu</t>
  </si>
  <si>
    <t>64</t>
  </si>
  <si>
    <t>Výnosy z precenenia cenných papierov</t>
  </si>
  <si>
    <t>65</t>
  </si>
  <si>
    <t>Výnosy z nájmu majetku</t>
  </si>
  <si>
    <t>66</t>
  </si>
  <si>
    <t>Prijaté príspevky od organizačných zložiek</t>
  </si>
  <si>
    <t>67</t>
  </si>
  <si>
    <t>Prijaté príspevky od iných organizácií</t>
  </si>
  <si>
    <t>68</t>
  </si>
  <si>
    <t>Prijaté príspevky od fyzických osôb</t>
  </si>
  <si>
    <t>69</t>
  </si>
  <si>
    <t>Prijaté členské príspevky</t>
  </si>
  <si>
    <t>70</t>
  </si>
  <si>
    <t>Príspevky z podielu zaplatenej dane</t>
  </si>
  <si>
    <t>71</t>
  </si>
  <si>
    <t>Prijaté príspevky z verejných zbierok</t>
  </si>
  <si>
    <t>72</t>
  </si>
  <si>
    <t>Dotácie</t>
  </si>
  <si>
    <t>73</t>
  </si>
  <si>
    <t>Účtová trieda 6 spolu r.39 až r. 73</t>
  </si>
  <si>
    <t>74</t>
  </si>
  <si>
    <t>Výsledok hospodárenia pred zdanením r.74-r.38</t>
  </si>
  <si>
    <t>75</t>
  </si>
  <si>
    <t>Daň z príjmov</t>
  </si>
  <si>
    <t>76</t>
  </si>
  <si>
    <t>Dodatočné odvody dane z príjmov</t>
  </si>
  <si>
    <t>77</t>
  </si>
  <si>
    <t xml:space="preserve">Výsledok hospod.  po zdanení r. 75-(r.76 + r.77) </t>
  </si>
  <si>
    <t>78</t>
  </si>
  <si>
    <r>
      <t>Spolu</t>
    </r>
    <r>
      <rPr>
        <sz val="12"/>
        <rFont val="Times New Roman"/>
        <family val="1"/>
      </rPr>
      <t xml:space="preserve"> [R1+R6+R7+R8]</t>
    </r>
  </si>
  <si>
    <t>Základné imanie    (411)</t>
  </si>
  <si>
    <t>Fond reprodukcie   (413)</t>
  </si>
  <si>
    <t xml:space="preserve">  - náklady na štipendiá interných doktorandov po dizertačnej skúške 
(v zmysle § 54 ods. 18 písm. b) zákona spolu (SUM(R6:R7))</t>
  </si>
  <si>
    <t>- ostatné energie</t>
  </si>
  <si>
    <t>Samostatné hnuteľné veci a súbory hnuteľných vecí  (022) - (082 + 092 AÚ)</t>
  </si>
  <si>
    <r>
      <t xml:space="preserve">2) všetky údaje o výnosoch a nákladoch  sa uvádzajú </t>
    </r>
    <r>
      <rPr>
        <sz val="11"/>
        <rFont val="Times New Roman"/>
        <family val="1"/>
      </rPr>
      <t>v Eur</t>
    </r>
  </si>
  <si>
    <r>
      <t xml:space="preserve">Príjem z dotácie na motivačné štipendiá z kapitoly MŠVVaŠ SR v kalendárnom roku </t>
    </r>
    <r>
      <rPr>
        <b/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</t>
    </r>
  </si>
  <si>
    <t>Zamestnanci platení z dotácie MŠVVaŠ SR</t>
  </si>
  <si>
    <r>
      <t xml:space="preserve">3) uvádzajú sa </t>
    </r>
    <r>
      <rPr>
        <b/>
        <sz val="11"/>
        <rFont val="Times New Roman"/>
        <family val="1"/>
      </rPr>
      <t>jedlá vydané študentom len vo vlastnej jedálni</t>
    </r>
    <r>
      <rPr>
        <sz val="11"/>
        <rFont val="Times New Roman"/>
        <family val="1"/>
      </rPr>
      <t xml:space="preserve"> , na ktoré sa poskytuje dotácia</t>
    </r>
  </si>
  <si>
    <r>
      <t xml:space="preserve">4) uvádzajú sa </t>
    </r>
    <r>
      <rPr>
        <b/>
        <sz val="11"/>
        <rFont val="Times New Roman"/>
        <family val="1"/>
      </rPr>
      <t>všetky jedlá vydané študentom v zmluvných zariadeniach</t>
    </r>
    <r>
      <rPr>
        <sz val="11"/>
        <rFont val="Times New Roman"/>
        <family val="1"/>
      </rPr>
      <t>, na ktoré sa poskytuje dotácia</t>
    </r>
  </si>
  <si>
    <r>
      <t xml:space="preserve">Náklady na štipendiá interných doktorandov (R2+R5+R8) </t>
    </r>
    <r>
      <rPr>
        <b/>
        <vertAlign val="superscript"/>
        <sz val="12"/>
        <color indexed="8"/>
        <rFont val="Times New Roman"/>
        <family val="1"/>
      </rPr>
      <t>1)</t>
    </r>
  </si>
  <si>
    <t>z účelovej dotácie MŠVVaŠ SR</t>
  </si>
  <si>
    <t xml:space="preserve">Nevyčerpaná dotácia (+) / nedoplatok dotácie (-) k 31. 12. predchádzajúceho roka  
[R4_SC = R6_SA]                         </t>
  </si>
  <si>
    <r>
      <t>Náklady
hlavnej činnosti
2011</t>
    </r>
    <r>
      <rPr>
        <b/>
        <sz val="12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(v Eur)</t>
    </r>
  </si>
  <si>
    <t>47a</t>
  </si>
  <si>
    <t>Príspevok z podielu zaplatenej dane (účet 665)</t>
  </si>
  <si>
    <t>- iné analyticky sledované náklady (účty 501 005-006, 501 013-018, 501 077)</t>
  </si>
  <si>
    <t>86a</t>
  </si>
  <si>
    <t>Vnútroorganizačné prevody (účtovná skupina 57)</t>
  </si>
  <si>
    <t>Projektovaná lôžková kapacita študentského domova k 31. 12. kalendárneho roka (v počte miest)</t>
  </si>
  <si>
    <r>
      <t xml:space="preserve">Štipendiá z vlastných zdrojov vysokej školy (§ 97 zákona) spolu </t>
    </r>
    <r>
      <rPr>
        <sz val="12"/>
        <rFont val="Times New Roman"/>
        <family val="1"/>
      </rPr>
      <t xml:space="preserve">[R2+R5+R8+R11] </t>
    </r>
  </si>
  <si>
    <t xml:space="preserve">1) V stĺpcoch B a D sa uvádza prepočítaný počet študentov určený ako počet osobomesiacov, počas ktorých bolo poskytované štipendium </t>
  </si>
  <si>
    <t>2) V stĺpcoch B a D sa uvádza celkový (fyzický) počet študentov, ktorým bolo v príslušnom roku poskytované štipendium .</t>
  </si>
  <si>
    <t>F = A+B+C+D+E</t>
  </si>
  <si>
    <t>J</t>
  </si>
  <si>
    <t>K</t>
  </si>
  <si>
    <t>L=
G+H+I+J+K</t>
  </si>
  <si>
    <t>10a</t>
  </si>
  <si>
    <t>G=A+B+C+D+E+F</t>
  </si>
  <si>
    <t xml:space="preserve">  - Prvok 0AA 01 02</t>
  </si>
  <si>
    <t>Poskytnuté príspevky z podielu zaplatenej dane</t>
  </si>
  <si>
    <t>Zost. cena predaného DNM a DHM</t>
  </si>
  <si>
    <t>Dlhové cenné papiere držané do splatnosti  (065) - (096 AÚ)</t>
  </si>
  <si>
    <t>Iné pohľadávky  (335 AÚ + 373 AÚ + 375 AÚ + 378 AÚ) - (391 AÚ)</t>
  </si>
  <si>
    <t xml:space="preserve">zabezpečenie mobilít v súlade s medzinárodnými zmluvami </t>
  </si>
  <si>
    <t xml:space="preserve">Stav k 31. 12. 2011  </t>
  </si>
  <si>
    <t>Peniaze na ceste (účet 261)</t>
  </si>
  <si>
    <t xml:space="preserve">  - Prvok 0AE 01 01</t>
  </si>
  <si>
    <t xml:space="preserve">  - Prvok 0AE 02 02</t>
  </si>
  <si>
    <t xml:space="preserve">  - Prvok 0AE 02 04</t>
  </si>
  <si>
    <r>
      <t xml:space="preserve">- školné  (účet 649 001, </t>
    </r>
    <r>
      <rPr>
        <sz val="12"/>
        <color indexed="10"/>
        <rFont val="Times New Roman"/>
        <family val="1"/>
      </rPr>
      <t>649 002 a 649 020</t>
    </r>
    <r>
      <rPr>
        <sz val="12"/>
        <rFont val="Times New Roman"/>
        <family val="1"/>
      </rPr>
      <t xml:space="preserve">)                                                     </t>
    </r>
  </si>
  <si>
    <t xml:space="preserve">- prvýkrát sa započítavajú do evidenčného počtu zamestnancov vo fyzických osobách s plným týždenným pracovným časom, ktorý sa rovná ich prepočítanému počtu, a to pracovným úväzkom v hlavnom zamestnaní; </t>
  </si>
  <si>
    <t xml:space="preserve">- druhýkrát sa započítavajú do evidenčného počtu zamestnancov prepočítaného, a to svojím pracovným úväzkom v ďalšom pracovnom pomere. </t>
  </si>
  <si>
    <t xml:space="preserve">Do evidenčného počtu zamestnancov prepočítaného sa títo zamestnanci započítavajú dvakrát na rozdiel od evidenčného počtu zamestnancov vo fyzických osobách, v ktorom sú započítaní iba raz. </t>
  </si>
  <si>
    <r>
      <t>T21_R1_</t>
    </r>
    <r>
      <rPr>
        <b/>
        <sz val="12"/>
        <rFont val="Times New Roman"/>
        <family val="1"/>
      </rPr>
      <t>SA</t>
    </r>
    <r>
      <rPr>
        <sz val="12"/>
        <rFont val="Times New Roman"/>
        <family val="1"/>
      </rPr>
      <t xml:space="preserve"> + T11_R10_SB - T5_R85_SC = T21_R1_</t>
    </r>
    <r>
      <rPr>
        <b/>
        <sz val="12"/>
        <rFont val="Times New Roman"/>
        <family val="1"/>
      </rPr>
      <t>SG</t>
    </r>
  </si>
  <si>
    <r>
      <t>T21_R1_</t>
    </r>
    <r>
      <rPr>
        <b/>
        <sz val="12"/>
        <rFont val="Times New Roman"/>
        <family val="1"/>
      </rPr>
      <t>SB</t>
    </r>
    <r>
      <rPr>
        <sz val="12"/>
        <rFont val="Times New Roman"/>
        <family val="1"/>
      </rPr>
      <t xml:space="preserve"> + T11_R10a_SB - T5_R86a_SC = T21_R1_</t>
    </r>
    <r>
      <rPr>
        <b/>
        <sz val="12"/>
        <rFont val="Times New Roman"/>
        <family val="1"/>
      </rPr>
      <t>SH</t>
    </r>
  </si>
  <si>
    <t>Čerpanie z iných zdrojov</t>
  </si>
  <si>
    <t>Náklady na mzdy  poskytované z prostriedkov štátneho rozpočtu   (v Eur)</t>
  </si>
  <si>
    <t>Náklady na mzdy poskytované z dotácie MŠVVaŠ SR  (v Eur)</t>
  </si>
  <si>
    <t>Náklady na mzdy poskytované z iných zdrojov 
 (v Eur)</t>
  </si>
  <si>
    <t>Náklady na mzdy spolu
 (v Eur)</t>
  </si>
  <si>
    <t>Finančné prostriedky  
 (v Eur)</t>
  </si>
  <si>
    <t>Náklady / Výnosy (v Eur)</t>
  </si>
  <si>
    <r>
      <t xml:space="preserve">Pre účely výpočtu počtu zamestnancov bola použitá metóda </t>
    </r>
    <r>
      <rPr>
        <sz val="12"/>
        <color indexed="8"/>
        <rFont val="Tahoma"/>
        <family val="2"/>
      </rPr>
      <t xml:space="preserve">- </t>
    </r>
    <r>
      <rPr>
        <b/>
        <sz val="10"/>
        <color indexed="8"/>
        <rFont val="Tahoma"/>
        <family val="2"/>
      </rPr>
      <t>Priemerný evidenčný počet zamestnancov - prepočítaný počet</t>
    </r>
    <r>
      <rPr>
        <sz val="10"/>
        <color indexed="8"/>
        <rFont val="Tahoma"/>
        <family val="2"/>
      </rPr>
      <t xml:space="preserve"> - je aritmetickým priemerom denných evidenčných počtov zamestnancov 
za sledované obdobie prepočítaných na plnú zamestnanosť podľa dĺžky pracovných úväzkov zamestnancov, resp. podľa skutočne odpracovaných hodín. U zamestnancov, ktorí vykonávajú v organizácii činnosť v ďalšom pracovnom pomere, sa výpočet priemerného evidenčného počtu zamestnancov prepočítaného na plne zamestnaných skladá z dvoch častí : </t>
    </r>
  </si>
  <si>
    <r>
      <t xml:space="preserve">Iné zdroje na obstaranie a technické zhodnotenie dlhodobého majetku </t>
    </r>
    <r>
      <rPr>
        <b/>
        <sz val="12"/>
        <color indexed="10"/>
        <rFont val="Times New Roman"/>
        <family val="1"/>
      </rPr>
      <t>(v danom roku vrátane zostatkov na týchto zdrojoch)</t>
    </r>
  </si>
  <si>
    <r>
      <t>Zostatok kapitálovej dotácie z predchádzajúceho roku</t>
    </r>
    <r>
      <rPr>
        <b/>
        <sz val="10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(z dotácií na R10 a R10a)</t>
    </r>
  </si>
  <si>
    <t xml:space="preserve"> - poistné náklady (havarijné, majetok, na študentov) (účet 549 004, 549 015)</t>
  </si>
  <si>
    <r>
      <t xml:space="preserve">Tabuľka č. 13: Stav a vývoj finančných fondov verejnej vysokej školy v rokoch </t>
    </r>
    <r>
      <rPr>
        <b/>
        <sz val="14"/>
        <color indexed="10"/>
        <rFont val="Times New Roman"/>
        <family val="1"/>
      </rPr>
      <t>2011 a 2012</t>
    </r>
  </si>
  <si>
    <r>
      <t>Tvorba fondu v kalendárnom roku spolu</t>
    </r>
    <r>
      <rPr>
        <sz val="12"/>
        <color indexed="8"/>
        <rFont val="Times New Roman"/>
        <family val="1"/>
      </rPr>
      <t xml:space="preserve"> SUM(R3:R10) </t>
    </r>
  </si>
  <si>
    <r>
      <t xml:space="preserve">Tabuľka č. 1: Príjmy z dotácií verejnej vysokej škole zo štátneho rozpočtu z kapitoly MŠVVaŠ SR
 poskytnuté na základe Zmluvy o poskytnutí dotácie zo štátneho rozpočtu prostredníctvom rozpočtu Ministerstva školstva, vedy, výskumu a športu Slovenskej republiky na rok 2012  na programe 077 </t>
    </r>
    <r>
      <rPr>
        <b/>
        <sz val="14"/>
        <rFont val="Times New Roman"/>
        <family val="1"/>
      </rPr>
      <t xml:space="preserve">(v Eur) </t>
    </r>
  </si>
  <si>
    <t>Tabuľka č. 2: Príjmy verejnej vysokej školy  v roku 2012 majúce charakter dotácie okrem príjmov z dotácií 
 z  kapitoly MŠVVaŠ SR a okrem  prostriedkov EÚ  (štrukturálnych  fondov) (v Eur)</t>
  </si>
  <si>
    <t>Tabuľka č. 3: Výnosy verejnej vysokej školy v rokoch 2011 a 2012 (v Eur)</t>
  </si>
  <si>
    <t>Rozdiel 2012-2011</t>
  </si>
  <si>
    <t>Tabuľka č. 5: Náklady verejnej vysokej školy v rokoch 2011 a 2012 (v Eur)</t>
  </si>
  <si>
    <t xml:space="preserve">Rozdiel 2012-2011 </t>
  </si>
  <si>
    <t>Tabuľka č. 6: Zamestnanci a náklady na mzdy verejnej vysokej školy v roku 2012</t>
  </si>
  <si>
    <t>Priemerný evidenčný prepočítaný počet zamestnancov za rok 2012</t>
  </si>
  <si>
    <t>Tabuľka č. 7: Náklady verejnej vysokej školy na štipendiá interných doktorandov v roku 2012 (v Eur)</t>
  </si>
  <si>
    <t>Tabuľka č. 8: Údaje o systéme sociálnej podpory - časť  sociálne štipendiá  (§ 96 zákona) 
za roky 2011 a 2012</t>
  </si>
  <si>
    <r>
      <t>Tabuľka č. 9: Údaje o systéme sociálnej podpory  - časť výnosy a náklady</t>
    </r>
    <r>
      <rPr>
        <b/>
        <vertAlign val="superscript"/>
        <sz val="14"/>
        <rFont val="Times New Roman"/>
        <family val="1"/>
      </rPr>
      <t>1)</t>
    </r>
    <r>
      <rPr>
        <b/>
        <sz val="14"/>
        <rFont val="Times New Roman"/>
        <family val="1"/>
      </rPr>
      <t xml:space="preserve"> študentských domovov 
(bez zmluvných zariadení) za roky 2011 a 2012</t>
    </r>
  </si>
  <si>
    <t>- prenos zostatku dotácie do nasledujúceho kalendárneho roku [R6+R7-R15]</t>
  </si>
  <si>
    <t>Náklady na činnosť študentských jedální súvisiace so stravovaním študentov za kalendárny rok</t>
  </si>
  <si>
    <r>
      <t xml:space="preserve">Rozdiel výnosov a nákladov študentských jedální súvisiacich so stravovaním študentov  </t>
    </r>
    <r>
      <rPr>
        <sz val="12"/>
        <rFont val="Times New Roman"/>
        <family val="1"/>
      </rPr>
      <t>[R1-R9]</t>
    </r>
  </si>
  <si>
    <r>
      <t xml:space="preserve">Počet vydaných jedál študentom </t>
    </r>
    <r>
      <rPr>
        <b/>
        <vertAlign val="super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v kalendárnom roku  </t>
    </r>
  </si>
  <si>
    <t>- počet vydaných jedál študentom vo vlastných stravovacích zariadeniach 3)</t>
  </si>
  <si>
    <r>
      <t>- počet vydaných jedál študentom v zmluvných zariadeniach</t>
    </r>
    <r>
      <rPr>
        <vertAlign val="superscript"/>
        <sz val="12"/>
        <rFont val="Times New Roman"/>
        <family val="1"/>
      </rPr>
      <t xml:space="preserve"> 4)</t>
    </r>
  </si>
  <si>
    <r>
      <t>Priemerné náklady  na jedlo študenta v Eur [</t>
    </r>
    <r>
      <rPr>
        <sz val="12"/>
        <rFont val="Times New Roman"/>
        <family val="1"/>
      </rPr>
      <t>R10</t>
    </r>
    <r>
      <rPr>
        <sz val="12"/>
        <rFont val="Times New Roman"/>
        <family val="1"/>
      </rPr>
      <t>/R12]</t>
    </r>
  </si>
  <si>
    <r>
      <t>Tabuľka č. 10: Údaje o systéme sociálnej podpory  - časť výnosy a náklady</t>
    </r>
    <r>
      <rPr>
        <b/>
        <vertAlign val="superscript"/>
        <sz val="14"/>
        <rFont val="Times New Roman"/>
        <family val="1"/>
      </rPr>
      <t>1)</t>
    </r>
    <r>
      <rPr>
        <b/>
        <sz val="14"/>
        <rFont val="Times New Roman"/>
        <family val="1"/>
      </rPr>
      <t xml:space="preserve"> študentských jedální 
za roky 2011 a 2012 ( v Eur )</t>
    </r>
  </si>
  <si>
    <t>Tabuľka č. 11: Zdroje verejnej vysokej školy na obstaranie a technické zhodnotenie dlhodobého  majetku v rokoch 2011 a 2012 (v Eur)</t>
  </si>
  <si>
    <t>Tabuľka č. 12: Výdavky verejnej vysokej školy na obstaranie a technické zhodnotenie dlhodobého majetku v roku 2012 (v Eur)</t>
  </si>
  <si>
    <r>
      <t xml:space="preserve">Čerpanie kapitálovej dotácie v roku 2012
</t>
    </r>
    <r>
      <rPr>
        <b/>
        <sz val="12"/>
        <color indexed="10"/>
        <rFont val="Times New Roman"/>
        <family val="1"/>
      </rPr>
      <t>zo štátneho rozpočtu</t>
    </r>
  </si>
  <si>
    <r>
      <t xml:space="preserve">Čerpanie kapitálovej dotácie v roku 2012
</t>
    </r>
    <r>
      <rPr>
        <b/>
        <sz val="11"/>
        <color indexed="10"/>
        <rFont val="Times New Roman"/>
        <family val="1"/>
      </rPr>
      <t>z prostriedkov EÚ (štrukturálnych fondov)</t>
    </r>
  </si>
  <si>
    <t xml:space="preserve">Čerpanie bežnej dotácie v roku 2012 prostredníctvom fondu reprodukcie </t>
  </si>
  <si>
    <t>Tabuľka č. 16: Štruktúra a stav finančných prostriedkov na bankových účtoch verejnej vysokej školy
   k 31. decembru 2012 (v Eur)</t>
  </si>
  <si>
    <t>Stav účtu k 31.12.2012</t>
  </si>
  <si>
    <t>Tabuľka č. 17: Príjmy verejnej vysokej školy z prostriedkov EÚ a z prostriedkov na ich spolufinancovanie 
zo štátneho rozpočtu z kapitoly MŠVVaŠ SR a z iných kapitol štátneho rozpočtu v roku 2012
 (v Eur)</t>
  </si>
  <si>
    <r>
      <t>Tabuľka č. 18: Príjmy z dotácií verejnej vysokej škole zo štátneho rozpočtu z kapitoly MŠVVaŠ SR poskytnuté mimo programu 077 a mimo príjmov z prostriedkov EÚ (zo štrukturálnych fondov) v roku 2012</t>
    </r>
    <r>
      <rPr>
        <sz val="14"/>
        <rFont val="Times New Roman"/>
        <family val="1"/>
      </rPr>
      <t xml:space="preserve"> 
</t>
    </r>
    <r>
      <rPr>
        <b/>
        <sz val="14"/>
        <rFont val="Times New Roman"/>
        <family val="1"/>
      </rPr>
      <t xml:space="preserve"> (v Eur)</t>
    </r>
  </si>
  <si>
    <t>Tabuľka č. 19: Štipendiá z vlastných zdrojov podľa § 97 zákona v rokoch 2011 a 2012 (v Eur)</t>
  </si>
  <si>
    <t>Tabuľka č. 20: Motivačné štipendiá  v rokoch 2011 a 2012 
(v zmysle § 96  zákona ) (v Eur)</t>
  </si>
  <si>
    <r>
      <t xml:space="preserve">Tabuľka č. 21: Štruktúra účtu 384 </t>
    </r>
    <r>
      <rPr>
        <b/>
        <i/>
        <sz val="14"/>
        <rFont val="Times New Roman"/>
        <family val="1"/>
      </rPr>
      <t xml:space="preserve">- </t>
    </r>
    <r>
      <rPr>
        <b/>
        <sz val="14"/>
        <rFont val="Times New Roman"/>
        <family val="1"/>
      </rPr>
      <t>výnosy budúcich období</t>
    </r>
    <r>
      <rPr>
        <b/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v rokoch 2011 a 2012 (v Eur)</t>
    </r>
  </si>
  <si>
    <t xml:space="preserve">Stav k 31. 12. 2012  </t>
  </si>
  <si>
    <t>Tabuľka č. 22: Výnosy verejnej vysokej školy v roku 2012 v oblasti sociálnej podpory študentov (v Eur)</t>
  </si>
  <si>
    <r>
      <t>Výnosy
v hlavnej činnosti
2011</t>
    </r>
    <r>
      <rPr>
        <b/>
        <sz val="12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(v Eur)</t>
    </r>
  </si>
  <si>
    <r>
      <t>Výnosy
hlavnej činnosti
2012</t>
    </r>
    <r>
      <rPr>
        <sz val="12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(v Eur)</t>
    </r>
  </si>
  <si>
    <r>
      <t>Rozdiel 2012-2011</t>
    </r>
    <r>
      <rPr>
        <sz val="12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(v Eur)</t>
    </r>
  </si>
  <si>
    <t>Tabuľka č .23:  Náklady verejnej vysokej školy  v roku 2012 v oblasti sociálnej podpory študentov (v Eur)</t>
  </si>
  <si>
    <r>
      <t>Náklady
hlavnej činnosti
2012</t>
    </r>
    <r>
      <rPr>
        <b/>
        <sz val="12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(v Eur)</t>
    </r>
  </si>
  <si>
    <t>Tabuľka č. 24a: Súvaha k 31. 12. 2012 - Strana aktív 1. časť (v Eur)</t>
  </si>
  <si>
    <t>Tabuľka č. 24b: Súvaha k 31. 12. 2012 - Strana aktív 2. časť (v Eur)</t>
  </si>
  <si>
    <t>Tabuľka č. 25: Súvaha k 31.12. 2012 - Strana pasív (v Eur)</t>
  </si>
  <si>
    <t>Tabuľka č. 4: Výnosy verejnej vysokej školy zo školného a z poplatkov spojených so štúdiom  
v rokoch 2011 a 2012 (v Eur)</t>
  </si>
  <si>
    <r>
      <t>Výdavky na motivačné štipendiá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v kalendárnom roku </t>
    </r>
    <r>
      <rPr>
        <sz val="12"/>
        <rFont val="Times New Roman"/>
        <family val="1"/>
      </rPr>
      <t xml:space="preserve"> </t>
    </r>
  </si>
  <si>
    <r>
      <t xml:space="preserve">Počet študentov, ktorým bolo priznané motivačné štipendium </t>
    </r>
    <r>
      <rPr>
        <b/>
        <vertAlign val="superscript"/>
        <sz val="12"/>
        <rFont val="Times New Roman"/>
        <family val="1"/>
      </rPr>
      <t>1)</t>
    </r>
  </si>
  <si>
    <t xml:space="preserve">1)  v riadku 5 sa uvedie celkový (fyzický) počet študentov, ktorým bolo vyplatené motivačné štipendium v kalendárnom roku </t>
  </si>
  <si>
    <r>
      <t>Výnosy zo školného</t>
    </r>
    <r>
      <rPr>
        <sz val="12"/>
        <color indexed="8"/>
        <rFont val="Times New Roman"/>
        <family val="1"/>
      </rPr>
      <t xml:space="preserve">  [R2+R3 +R4]</t>
    </r>
  </si>
  <si>
    <t xml:space="preserve">- výnosy zo školného za  štúdium v externej forme štúdia (§92 ods. 4) zákona (účet  649020) </t>
  </si>
  <si>
    <r>
      <t xml:space="preserve">Nárok na príspevok zo štátneho rozpočtu na jedlá podľa metodiky </t>
    </r>
    <r>
      <rPr>
        <sz val="12"/>
        <rFont val="Times New Roman"/>
        <family val="1"/>
      </rPr>
      <t xml:space="preserve">                                     </t>
    </r>
  </si>
  <si>
    <t>Číslo účtu/Poznámka</t>
  </si>
  <si>
    <t xml:space="preserve"> - štipendiá doktorandov  (účet 549 001, 549 016, 549 017)</t>
  </si>
  <si>
    <t xml:space="preserve"> - odpisy DN a HM nadobudnutého z kapitálových dotácií zo ŠR 
(účet 551 100, 551 121, 551 123)</t>
  </si>
  <si>
    <r>
      <t xml:space="preserve"> - odpisy ostatného DN a HM (účet 551 </t>
    </r>
    <r>
      <rPr>
        <sz val="12"/>
        <color indexed="10"/>
        <rFont val="Times New Roman"/>
        <family val="1"/>
      </rPr>
      <t>200, 221, 223, 400, 900, 921, 923</t>
    </r>
    <r>
      <rPr>
        <sz val="12"/>
        <rFont val="Times New Roman"/>
        <family val="1"/>
      </rPr>
      <t>)</t>
    </r>
  </si>
  <si>
    <r>
      <t xml:space="preserve"> - odpisy DN a HM nad</t>
    </r>
    <r>
      <rPr>
        <sz val="12"/>
        <rFont val="Times New Roman"/>
        <family val="1"/>
      </rPr>
      <t>obudnutého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z kapitálových dotácií z EÚ (zo štrukturálnych fondov) (účet 551 </t>
    </r>
    <r>
      <rPr>
        <sz val="12"/>
        <color indexed="10"/>
        <rFont val="Times New Roman"/>
        <family val="1"/>
      </rPr>
      <t>300, 321, 323</t>
    </r>
    <r>
      <rPr>
        <sz val="12"/>
        <rFont val="Times New Roman"/>
        <family val="1"/>
      </rPr>
      <t>)</t>
    </r>
  </si>
  <si>
    <r>
      <t xml:space="preserve">  - príspevok na úhradu výdavkov zahraničných študentov/lektorov </t>
    </r>
    <r>
      <rPr>
        <sz val="12"/>
        <color indexed="10"/>
        <rFont val="Times New Roman"/>
        <family val="1"/>
      </rPr>
      <t xml:space="preserve"> (</t>
    </r>
    <r>
      <rPr>
        <sz val="12"/>
        <color indexed="10"/>
        <rFont val="Times New Roman"/>
        <family val="1"/>
      </rPr>
      <t>649 016)</t>
    </r>
  </si>
  <si>
    <t>Nealokované</t>
  </si>
  <si>
    <r>
      <t xml:space="preserve">Podprogram 0AE 01 </t>
    </r>
    <r>
      <rPr>
        <sz val="12"/>
        <rFont val="Times New Roman"/>
        <family val="1"/>
      </rPr>
      <t>[=R2]</t>
    </r>
  </si>
  <si>
    <r>
      <t xml:space="preserve">Podprogram 0AE 02 </t>
    </r>
    <r>
      <rPr>
        <sz val="12"/>
        <rFont val="Times New Roman"/>
        <family val="1"/>
      </rPr>
      <t>[R4:R7]</t>
    </r>
  </si>
  <si>
    <r>
      <t xml:space="preserve">Podprogram 0AE 03 </t>
    </r>
    <r>
      <rPr>
        <sz val="12"/>
        <rFont val="Times New Roman"/>
        <family val="1"/>
      </rPr>
      <t>[=R9]</t>
    </r>
  </si>
  <si>
    <r>
      <t xml:space="preserve">Podprogram 0AA 01  </t>
    </r>
    <r>
      <rPr>
        <sz val="12"/>
        <rFont val="Times New Roman"/>
        <family val="1"/>
      </rPr>
      <t>[=R11]</t>
    </r>
  </si>
  <si>
    <r>
      <t xml:space="preserve">Dotácie z kapitoly MŠVVaŠ SR spolu </t>
    </r>
    <r>
      <rPr>
        <sz val="12"/>
        <rFont val="Times New Roman"/>
        <family val="1"/>
      </rPr>
      <t>[R1+R3+R8+R10+R12]</t>
    </r>
  </si>
  <si>
    <r>
      <t xml:space="preserve">Dotácie </t>
    </r>
    <r>
      <rPr>
        <b/>
        <sz val="12"/>
        <color indexed="10"/>
        <rFont val="Times New Roman"/>
        <family val="1"/>
      </rPr>
      <t>z prostriedkov EÚ</t>
    </r>
    <r>
      <rPr>
        <b/>
        <sz val="12"/>
        <rFont val="Times New Roman"/>
        <family val="1"/>
      </rPr>
      <t xml:space="preserve"> spolu</t>
    </r>
    <r>
      <rPr>
        <sz val="12"/>
        <rFont val="Times New Roman"/>
        <family val="1"/>
      </rPr>
      <t xml:space="preserve"> [R13+R14]</t>
    </r>
  </si>
  <si>
    <r>
      <t xml:space="preserve">Dotácie z kapitol štátneho rozpočtu okrem kapitoly MŠVVaŠ SR </t>
    </r>
    <r>
      <rPr>
        <sz val="12"/>
        <rFont val="Times New Roman"/>
        <family val="1"/>
      </rPr>
      <t xml:space="preserve"> (na zdroji 111) [SUM(R1a:R1...)]</t>
    </r>
  </si>
  <si>
    <t>Príjem z dotácie poskytnutej na sociálne štipendiá v rámci dotačnej zmluvy z kapitoly     MŠVVaŠ k 31.12.</t>
  </si>
  <si>
    <r>
      <t xml:space="preserve">Krytie fondu finančnými prostriedkami na osobitnom bankovom účte </t>
    </r>
    <r>
      <rPr>
        <b/>
        <vertAlign val="superscript"/>
        <sz val="12"/>
        <rFont val="Times New Roman"/>
        <family val="1"/>
      </rPr>
      <t xml:space="preserve">3) 
</t>
    </r>
    <r>
      <rPr>
        <b/>
        <sz val="12"/>
        <rFont val="Times New Roman"/>
        <family val="1"/>
      </rPr>
      <t>k 31.12.</t>
    </r>
  </si>
  <si>
    <t xml:space="preserve">Nevyčerpaná účelová dotácia (+) / nedoplatok účelovej dotácie (-) za rok 2011 </t>
  </si>
  <si>
    <r>
      <rPr>
        <sz val="12"/>
        <color indexed="10"/>
        <rFont val="Times New Roman"/>
        <family val="1"/>
      </rPr>
      <t>K</t>
    </r>
    <r>
      <rPr>
        <sz val="12"/>
        <rFont val="Times New Roman"/>
        <family val="1"/>
      </rPr>
      <t>=A+C+E+G</t>
    </r>
    <r>
      <rPr>
        <sz val="12"/>
        <rFont val="Times New Roman"/>
        <family val="1"/>
      </rPr>
      <t>+I</t>
    </r>
  </si>
  <si>
    <r>
      <rPr>
        <sz val="12"/>
        <color indexed="10"/>
        <rFont val="Times New Roman"/>
        <family val="1"/>
      </rPr>
      <t>L=</t>
    </r>
    <r>
      <rPr>
        <sz val="12"/>
        <rFont val="Times New Roman"/>
        <family val="1"/>
      </rPr>
      <t>B+D+F+H</t>
    </r>
    <r>
      <rPr>
        <sz val="12"/>
        <rFont val="Times New Roman"/>
        <family val="1"/>
      </rPr>
      <t>+J</t>
    </r>
  </si>
  <si>
    <r>
      <t xml:space="preserve">Dotácie z iných kapitol spolu </t>
    </r>
    <r>
      <rPr>
        <sz val="12"/>
        <rFont val="Times New Roman"/>
        <family val="1"/>
      </rPr>
      <t>[SUM(R15:R15a...)]</t>
    </r>
  </si>
  <si>
    <t xml:space="preserve">- náklady na tvorbu fondu reprodukcie (účet 556 400) </t>
  </si>
  <si>
    <t xml:space="preserve">- iné analyticky sledované náklady (účty 518 003, 518 013, 518 015-018, 518 020-030, 518 040, 518 041) </t>
  </si>
  <si>
    <t>- dary (účet 649 009) (646)</t>
  </si>
  <si>
    <t>- iné analyticky sledované výnosy (účty 602 002-007, 602011-18, 602 099)</t>
  </si>
  <si>
    <t>- ostatné výnosy (účty 649 012, 649 018-019, 649 021, 649 099)</t>
  </si>
  <si>
    <r>
      <t>Tržby z predaja služieb (účet 602)</t>
    </r>
    <r>
      <rPr>
        <sz val="12"/>
        <rFont val="Times New Roman"/>
        <family val="1"/>
      </rPr>
      <t xml:space="preserve"> [SUM(R7:R10)] </t>
    </r>
  </si>
  <si>
    <t xml:space="preserve">- náklady na tvorbu ostatných fondov (účty 556 300 556 510, 556 520) </t>
  </si>
  <si>
    <t>Pozn.: Zákon č. 131/2002 Z. z. v znení účinnom do 31.12.2012</t>
  </si>
  <si>
    <r>
      <rPr>
        <b/>
        <sz val="12"/>
        <color indexed="10"/>
        <rFont val="Times New Roman"/>
        <family val="1"/>
      </rPr>
      <t xml:space="preserve"> na miestach pridelených </t>
    </r>
    <r>
      <rPr>
        <b/>
        <sz val="12"/>
        <rFont val="Times New Roman"/>
        <family val="1"/>
      </rPr>
      <t>MŠVVaŠ SR</t>
    </r>
  </si>
  <si>
    <r>
      <t xml:space="preserve">z </t>
    </r>
    <r>
      <rPr>
        <b/>
        <sz val="12"/>
        <color indexed="17"/>
        <rFont val="Times New Roman"/>
        <family val="1"/>
      </rPr>
      <t>neúčelovej</t>
    </r>
    <r>
      <rPr>
        <b/>
        <sz val="12"/>
        <color indexed="8"/>
        <rFont val="Times New Roman"/>
        <family val="1"/>
      </rPr>
      <t xml:space="preserve"> dotácie MŠVVaŠ SR</t>
    </r>
  </si>
  <si>
    <t>E=A+B+C+D</t>
  </si>
  <si>
    <t>Fond na podporu štúdia študentov so špecifickými potrebami</t>
  </si>
  <si>
    <t>Účtová trieda 5 spolu r.01 až r.37</t>
  </si>
  <si>
    <t>Poskytnuté prevádzkové preddavky  (314 AÚ - 391 AÚ)</t>
  </si>
  <si>
    <t>Pohľadávky voči účastníkom združení  (358 AÚ - 391 AÚ)</t>
  </si>
  <si>
    <t>Pohľadávky voči účastníkom združení  (358 AÚ -391 AÚ)</t>
  </si>
  <si>
    <t>Spojovací účet pri združení  (396-391 AÚ)</t>
  </si>
  <si>
    <t>Bankové účty  (221 AÚ + 261)</t>
  </si>
  <si>
    <t>Obstaranie krátkodobého finančného majetku (259-291 AÚ)</t>
  </si>
  <si>
    <t>C. ČASOVÉ ROZLÍŠENIE SPOLU        r. 058 a r. 059</t>
  </si>
  <si>
    <t xml:space="preserve"> MAJETOK SPOLU                           r.001 + 029 +057</t>
  </si>
  <si>
    <t>Finančné účty                                           r.052 až 056</t>
  </si>
  <si>
    <t>Krátkodobé pohľadávky                         r.043 až 050</t>
  </si>
  <si>
    <t>Dlhodobé pohľadávky                              r.038 až 041</t>
  </si>
  <si>
    <t>B. OBEŽNÝ MAJETOK SPOLU    r.030+037+042+051</t>
  </si>
  <si>
    <t>Dlhodobý nehmotný majetok                r.003 až 008</t>
  </si>
  <si>
    <t>Dlhodobý hmotný majetok                     r.010 až 020</t>
  </si>
  <si>
    <t>Dlhodobý finančný majetok                   r.022 až 028</t>
  </si>
  <si>
    <t>A. VLASTNÉ ZDROJE KRYTIA MAJETKU SPOLU         r.062+068+072+073</t>
  </si>
  <si>
    <t>Imanie a peňažné fondy                                       r.063 až 067</t>
  </si>
  <si>
    <t>Fondy tvorené zo zisku                                      r.069 až 071</t>
  </si>
  <si>
    <t>Nevysporiadaný výsledok hospodárenia minulých rokov          (+,- 428)</t>
  </si>
  <si>
    <t>Výsledok hospodárenia za účtovné obdobie       r. 060 -(r.062+068+072+074+101)</t>
  </si>
  <si>
    <t>B. Cudzie zdroje                                             r.075+079+087+097</t>
  </si>
  <si>
    <t>Rezervy                                                                r.076 až 078</t>
  </si>
  <si>
    <t>Dlhodobé  záväzky                                               r.080 až 086</t>
  </si>
  <si>
    <t>Krátkodobé záväzky                                            r.088 až 096</t>
  </si>
  <si>
    <t>Ostatné záväzky  (379 + 373 AÚ +474 AÚ + 479 AÚ)</t>
  </si>
  <si>
    <t>Bankové výpomoci a pôžičky                            r.098 až 100</t>
  </si>
  <si>
    <t>Prijaté krátkodobé finančné výpomoci   (241 + 249)</t>
  </si>
  <si>
    <t>C. ČASOVÉ ROZLÍŠENIE SPOLU                         r. 102 + 103</t>
  </si>
  <si>
    <t>Výnosy budúcich období         (384)</t>
  </si>
  <si>
    <r>
      <t xml:space="preserve">VLASTNÉ ZDROJE A CUDZIE ZDROJE SPOLU </t>
    </r>
    <r>
      <rPr>
        <b/>
        <sz val="11"/>
        <rFont val="Times New Roman"/>
        <family val="1"/>
      </rPr>
      <t>r.061+074+101</t>
    </r>
  </si>
  <si>
    <r>
      <t xml:space="preserve">Počet študentov poberajúcich sociálne štipendiá 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4"/>
        <rFont val="Times New Roman"/>
        <family val="1"/>
      </rPr>
      <t>2)</t>
    </r>
  </si>
  <si>
    <r>
      <t xml:space="preserve">Počet študentov poberajúcich  štipendiá z vlastných zdrojov 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  <r>
      <rPr>
        <b/>
        <sz val="12"/>
        <color indexed="10"/>
        <rFont val="Times New Roman"/>
        <family val="1"/>
      </rPr>
      <t xml:space="preserve"> </t>
    </r>
  </si>
  <si>
    <r>
      <t xml:space="preserve">2) </t>
    </r>
    <r>
      <rPr>
        <sz val="12"/>
        <color indexed="10"/>
        <rFont val="Times New Roman"/>
        <family val="1"/>
      </rPr>
      <t>uvádzajte len študentov denného štúdia</t>
    </r>
  </si>
  <si>
    <r>
      <t>3)</t>
    </r>
    <r>
      <rPr>
        <sz val="12"/>
        <color indexed="10"/>
        <rFont val="Times New Roman"/>
        <family val="1"/>
      </rPr>
      <t xml:space="preserve"> uvádzajte len študentov externého štúdia</t>
    </r>
  </si>
  <si>
    <r>
      <t>B</t>
    </r>
    <r>
      <rPr>
        <vertAlign val="superscript"/>
        <sz val="12"/>
        <color indexed="10"/>
        <rFont val="Times New Roman"/>
        <family val="1"/>
      </rPr>
      <t>2)</t>
    </r>
  </si>
  <si>
    <r>
      <t>C</t>
    </r>
    <r>
      <rPr>
        <vertAlign val="superscript"/>
        <sz val="12"/>
        <color indexed="10"/>
        <rFont val="Times New Roman"/>
        <family val="1"/>
      </rPr>
      <t>3)</t>
    </r>
  </si>
  <si>
    <t>Denné štúdium</t>
  </si>
  <si>
    <t>Externé štúdium</t>
  </si>
  <si>
    <t>Denné a externé štúdium</t>
  </si>
  <si>
    <t>Zvyšok prijatej kapitálovej dotácie zo štátneho rozpočtu používanej na kompenzáciu odpisov majetku z nej obstaraného</t>
  </si>
  <si>
    <t>Pohľadávky z obchodného styku (311 AÚ až 314 AÚ) - 391 AÚ) okrem r.035</t>
  </si>
  <si>
    <t xml:space="preserve">0,00 </t>
  </si>
  <si>
    <t xml:space="preserve">Názov verejnej vysokej školy:   UPJŠ v Košiciach, Šrobárova 2
Názov fakulty:  </t>
  </si>
  <si>
    <t xml:space="preserve">Názov verejnej vysokej školy:   UPJŠ v Košiciach, Šrobárova 2
Názov fakulty: </t>
  </si>
  <si>
    <t>MZ SR - prof.Lazúrová 07B030701/0750</t>
  </si>
  <si>
    <t>MZ SR - prof. Boor 07B030703/0750</t>
  </si>
  <si>
    <t>1c</t>
  </si>
  <si>
    <t>Úrad vlády SR - Protidrogová stratégia 06P020B02/0942</t>
  </si>
  <si>
    <t>1d</t>
  </si>
  <si>
    <t>Úrad vlády SR - Podpora kultúry národnostných menšín 06P020402/01404</t>
  </si>
  <si>
    <t>1e</t>
  </si>
  <si>
    <t>MK SR 3172/2012 pre Univerzitnú knižnicu</t>
  </si>
  <si>
    <t>1f</t>
  </si>
  <si>
    <t>MK SR 3173/2012 pre Univerzitnú knižnicu</t>
  </si>
  <si>
    <t>1g</t>
  </si>
  <si>
    <t>MK SR 4564/2012 pre Botanickú záhradu</t>
  </si>
  <si>
    <t>MZ SR - prof. Podracká 07B030702/0750</t>
  </si>
  <si>
    <t>spoluriešitelia APVV SAV</t>
  </si>
  <si>
    <t>WHO-World Health Organisation- LF Ing.Frištiková</t>
  </si>
  <si>
    <t>INEQ-Cities Barcelona, Mgr.Rajničová</t>
  </si>
  <si>
    <t>4c</t>
  </si>
  <si>
    <t>Ústav verejného zdravotníctva -Chronic Diseases -Mgr.Rajničová</t>
  </si>
  <si>
    <t>4d</t>
  </si>
  <si>
    <t>Výskum.projekt Youth and Health - Mgr.Madarasová-Gecková</t>
  </si>
  <si>
    <t>4e</t>
  </si>
  <si>
    <t>FP7-SCIENCE-IN-Society-2011-1 doc.Kireš</t>
  </si>
  <si>
    <t>4f</t>
  </si>
  <si>
    <t>7.RP Learn2Hear&amp;See doc.Kopčo</t>
  </si>
  <si>
    <t>4g</t>
  </si>
  <si>
    <t xml:space="preserve">7.RP Organisation Europeanne CERN, Švajčiarsko, Ing.Černák </t>
  </si>
  <si>
    <t>4h</t>
  </si>
  <si>
    <t>7.RP MonInterFluoProt RNDr.Štroffeková</t>
  </si>
  <si>
    <t>4i</t>
  </si>
  <si>
    <t>7.RP Dublin University doc.Kireš</t>
  </si>
  <si>
    <t>4j</t>
  </si>
  <si>
    <t>Socrates</t>
  </si>
  <si>
    <t>4k</t>
  </si>
  <si>
    <t>Socrates Monitoring the health status of Migrants within Europe doc. Rimárová</t>
  </si>
  <si>
    <t>7000241949/8180 DBÚN LF UPJŠ KE, 7000241690/8180 DotBÚ Prír.F UPJŠ KE, 7000241762/8180 DBUN PrávF UPJŠ KE, 7000241797/8180 DBUN FVS UPJS KE, 7000241770/8180 DBUN Rekt UPJS KE</t>
  </si>
  <si>
    <t>7000137519/8180 BU-ZOST DOT LF KE, 7000137527/8180 BU-ZOST DOT PrF KE, 7000137500/8180 BU-ZOST DOT PF KE, 7000137543/8180 BU-ZOST DOT FVS KE, 7000137535/8180 BU-ZOST DOT UPJS KE</t>
  </si>
  <si>
    <t>7000152655/8180 Distrib BU UPJS KE</t>
  </si>
  <si>
    <t>7000078360/8180 BÚN LF Ke
7000078491/8180 BÚ PrírodovFakult KE
700078432/8180 BÚ neúr.PrávnFakKE
7000086002/8180 PRIJ FAVSPR KE
7000074351/8180 BÚ UPJŠ Ke</t>
  </si>
  <si>
    <t>7000331485/8180 BU-Grant, LF UPJŠ KE
7000373335/8180 BÚ-ESTABLISH, PF KE
7000371719/8180 MonInterFluoProt, PF
7000388107/8180 FP7 EMI PF UPJŠ KE
7000257641/8180 DÚ ČerFP6 PrírF UPJŠ</t>
  </si>
  <si>
    <t>7000078424/8180 D-USD LF Ke</t>
  </si>
  <si>
    <t>7000078379/8180 ŠF LF Ke,
7000078504/8180 BU ŠtipF PrirodFa KE,
7000078440/8180 BU ŠtFond PravnFa KE,
7000086037/8180 ŠTF FAVSPR KE,
7000252349/8180 Štip BUN Rekt.UPJSKE</t>
  </si>
  <si>
    <t>7000078416/8180 PČ LF Ke
7000078483/8180 BU PodnČin PravFa KE
7000078547/8180 BU PodČin PrirFa KE
7000086053/8180 PODNČIN FAVSPR KE
7000074335/8180 Bu ur.sp. UPJS Košic</t>
  </si>
  <si>
    <t>7000078395/8180 SF LF Ke
7000078520/8180 BU soc.fond PrFak.KE
7000073467/8180 BU SocF PravnicFa KE
7000086029/8180 SF FAVSPR KE
7000074343/8180 SF UPJŠ Košice</t>
  </si>
  <si>
    <t xml:space="preserve">7000078387/8180 DaG LF Ke
7000406125/8180 AŠF EU MŠSR-CEX BIOMED LF
7000078512/8180 BÚ DaGrant Prir Fa KE
7000368034/8180 ESF Doktorand, PF UPJŠ
7000368042/8180 BU-ESF - MIV UPJŠ,PF
7000358776/8180 BU-MVP CCV, UPJŠ
7000353676/8180 HUSK 0801/003 Baraba
7000348623 BU-DVUI, Prf UPJŠ KE
7000454389/8180 CEX IRES,PF
7000078459/8180 BÚ DaGra PrávnFak KE
7000086010/8180 DaG FASPR KE
7000099751/8180 BÚ dar úč UPJŠ KE
7000429052/8180 BÚ SAAIC LEONARDO
7000368026/8180 ESF 1.1.MoVes, FVS-R
7000426417/8180 AŠF 1.2 Expert,FF
7000429677/8180 BU-Vyšehrad.f.TCEC </t>
  </si>
  <si>
    <t>Poznámka pokladňa 21199039 stav k 31.12.2012 29,59 Eur</t>
  </si>
  <si>
    <t xml:space="preserve">Názov verejnej vysokej školy:  UPJŠ v Košiciach, Šrobárova 2
Názov fakulty:  </t>
  </si>
  <si>
    <t xml:space="preserve">Názov verejnej vysokej školy:  UPJŠ v Košiciach, Šrobárova2
Názov fakulty:  </t>
  </si>
  <si>
    <r>
      <t xml:space="preserve">na miestach nepridelených MŠVVaŠ </t>
    </r>
    <r>
      <rPr>
        <b/>
        <sz val="12"/>
        <color indexed="10"/>
        <rFont val="Times New Roman"/>
        <family val="1"/>
      </rPr>
      <t>do 31.8.2012</t>
    </r>
  </si>
  <si>
    <r>
      <t xml:space="preserve">na miestach nepridelených MŠVVaŠ </t>
    </r>
    <r>
      <rPr>
        <b/>
        <sz val="12"/>
        <color indexed="10"/>
        <rFont val="Times New Roman"/>
        <family val="1"/>
      </rPr>
      <t>po 1.9.2012</t>
    </r>
  </si>
  <si>
    <r>
      <t xml:space="preserve">  - náklady na štipendiá vo výške 9. platovej triedy a 1. platového stupňa  
</t>
    </r>
    <r>
      <rPr>
        <sz val="12"/>
        <color indexed="10"/>
        <rFont val="Times New Roman"/>
        <family val="1"/>
      </rPr>
      <t xml:space="preserve">(účet 549001)  </t>
    </r>
    <r>
      <rPr>
        <sz val="12"/>
        <rFont val="Times New Roman"/>
        <family val="1"/>
      </rPr>
      <t>( v CRŠ kod 10 )</t>
    </r>
  </si>
  <si>
    <r>
      <t xml:space="preserve">  - náklady na časť štipendia prevyšujúce 9. platovú triedu a 1. platový stupeň 
</t>
    </r>
    <r>
      <rPr>
        <sz val="12"/>
        <color indexed="10"/>
        <rFont val="Times New Roman"/>
        <family val="1"/>
      </rPr>
      <t>(účet 549016)</t>
    </r>
  </si>
  <si>
    <r>
      <t xml:space="preserve">  - náklady na štipendiá vo výške 10. platovej triedy a 1. platového stupňa 
</t>
    </r>
    <r>
      <rPr>
        <sz val="12"/>
        <color indexed="10"/>
        <rFont val="Times New Roman"/>
        <family val="1"/>
      </rPr>
      <t xml:space="preserve">(účet 549001)   </t>
    </r>
    <r>
      <rPr>
        <sz val="12"/>
        <rFont val="Times New Roman"/>
        <family val="1"/>
      </rPr>
      <t>( v CRŠ kod 11 )</t>
    </r>
  </si>
  <si>
    <r>
      <t xml:space="preserve">  - náklady na časť štipendia prevyšujúce 10. platovú triedu a 1. platový stupeň  
</t>
    </r>
    <r>
      <rPr>
        <sz val="12"/>
        <color indexed="10"/>
        <rFont val="Times New Roman"/>
        <family val="1"/>
      </rPr>
      <t>(účet 549017)</t>
    </r>
  </si>
  <si>
    <r>
      <t xml:space="preserve">Dotácia na štipendiá doktorandov poskytnutá v rámci dotačnej zmluvy v priebehu roka </t>
    </r>
    <r>
      <rPr>
        <sz val="12"/>
        <color indexed="10"/>
        <rFont val="Times New Roman"/>
        <family val="1"/>
      </rPr>
      <t>2012</t>
    </r>
  </si>
  <si>
    <r>
      <t xml:space="preserve">Nevyčerpaná účelová dotácia (+) / nedoplatok účelovej dotácie (-) za rok </t>
    </r>
    <r>
      <rPr>
        <sz val="12"/>
        <color indexed="10"/>
        <rFont val="Times New Roman"/>
        <family val="1"/>
      </rPr>
      <t xml:space="preserve">2012 </t>
    </r>
  </si>
  <si>
    <r>
      <t>Počet osobomesiacov za rok</t>
    </r>
    <r>
      <rPr>
        <sz val="12"/>
        <color indexed="10"/>
        <rFont val="Times New Roman"/>
        <family val="1"/>
      </rPr>
      <t xml:space="preserve"> 2012</t>
    </r>
  </si>
  <si>
    <r>
      <t xml:space="preserve">1) výška nákladov, vykazovaná k </t>
    </r>
    <r>
      <rPr>
        <sz val="12"/>
        <color indexed="10"/>
        <rFont val="Times New Roman"/>
        <family val="1"/>
      </rPr>
      <t xml:space="preserve">31.12.2012 </t>
    </r>
    <r>
      <rPr>
        <sz val="12"/>
        <rFont val="Times New Roman"/>
        <family val="2"/>
      </rPr>
      <t>zohľadnuje aj úhradu štipendií doktorandov, ak ich VVŠ vyplatila v januári</t>
    </r>
    <r>
      <rPr>
        <sz val="12"/>
        <color indexed="10"/>
        <rFont val="Times New Roman"/>
        <family val="1"/>
      </rPr>
      <t xml:space="preserve"> 2013 za december 2012</t>
    </r>
  </si>
  <si>
    <r>
      <t xml:space="preserve">Dotácia na kapitálové výdavky z prostriedkov EÚ (štrukturálnych fondov </t>
    </r>
    <r>
      <rPr>
        <b/>
        <sz val="12"/>
        <color indexed="10"/>
        <rFont val="Times New Roman"/>
        <family val="1"/>
      </rPr>
      <t>vrátane spolufinancovania)</t>
    </r>
  </si>
  <si>
    <r>
      <t xml:space="preserve">Zvyšok prijatej kapitálovej dotácie </t>
    </r>
    <r>
      <rPr>
        <b/>
        <sz val="10"/>
        <color indexed="8"/>
        <rFont val="Times New Roman"/>
        <family val="1"/>
      </rPr>
      <t>z prostriedkov EÚ (štrukturálnych fondov)</t>
    </r>
    <r>
      <rPr>
        <b/>
        <sz val="12"/>
        <color indexed="8"/>
        <rFont val="Times New Roman"/>
        <family val="1"/>
      </rPr>
      <t xml:space="preserve"> používanej na kompenzáciu odpisov majetku z nej obstaraného</t>
    </r>
  </si>
  <si>
    <t>- tvorba fondu z odpisov (účet 413 116 + 413916)</t>
  </si>
  <si>
    <t xml:space="preserve">Názov verejnej vysokej školy:   UPJŠ v Košiciach, Šrobárova 2
Názov fakulty:   </t>
  </si>
  <si>
    <t xml:space="preserve">Názov verejnej vysokej školy: UPJŠ v Košiciach, Šrobárova 2
Názov fakulty:  </t>
  </si>
  <si>
    <t>Názov verejnej vysokej školy: UPJŠ v Košiciach, Šrobárova 2
Názov fakulty:</t>
  </si>
  <si>
    <t>Názov verejnej vysokej školy:  UPJŠ v Košiciach, Šrobárova 2</t>
  </si>
  <si>
    <t xml:space="preserve">Názov verejnej vysokej školy: UPJŠ v Košiciach, Šrobárova 2
Názov fakulty: </t>
  </si>
  <si>
    <t>Názov verejnej vysokej školy: UPJŠ v Košiciach, Šrobárova 2</t>
  </si>
  <si>
    <t>T13_R11_SF sa nerovná T8_R1_SC+T20_R3_SB+T19_R1_SC o čiastku 3 659,00 Eur, ktorá predstavuje čerpanie štipendií interných doktorandov zo štipendijného fondu.</t>
  </si>
  <si>
    <t xml:space="preserve">pozn.1): rozdiel medzi údajom, vykazovaným v stĺpci T6_R18_SH a údajom v T5_R56_(SC+SD) tvorí výšku nákladov na nevyčerpanú dovolenku za rok 2012 v celkovej čiastke 55 741,39 €.  </t>
  </si>
  <si>
    <t>V T4_R11_SB  je návrh na prídel do štipendijného fondu  vypočítaný v zmysle § 92 ods. 18 a to z 20% z prijmov zo školného, nie z výnosov (T4_R10_SB), ktoré podliehajú v bežnom období v zmysle postupov účtovania a zákona o účtovníctve časovému rozlíšeniu prostredníctvom výnosov budúcich období.</t>
  </si>
  <si>
    <r>
      <t xml:space="preserve">R4_SD vykazuje rozdiel voči T5_R86_SC+SD vo výške </t>
    </r>
    <r>
      <rPr>
        <sz val="12"/>
        <color indexed="10"/>
        <rFont val="Times New Roman"/>
        <family val="1"/>
      </rPr>
      <t>240 614,61</t>
    </r>
    <r>
      <rPr>
        <sz val="12"/>
        <rFont val="Times New Roman"/>
        <family val="1"/>
      </rPr>
      <t xml:space="preserve"> €, čo je zostatková hodnota predaného majetku uvedeného na účte 552, ktorý sa nachádza v T5_R87_SC+SD. Ďalej nemôže sa kontrolovať táto súvzťažnosť, nakoľko je v T5_R86_SC+SD zahrnutý aj odpis darovaného majetku na účte HK 551400 v sume 1222 €  avšak podľa Metodiky sa z takého odpisu netvorí fond reprodukcie.</t>
    </r>
  </si>
  <si>
    <r>
      <t>SG_R1 je zohľadnené vyradenie majetku - škoda s odpisom zostatkovej hodnoty na účte HK 548004 v sume</t>
    </r>
    <r>
      <rPr>
        <sz val="12"/>
        <color indexed="10"/>
        <rFont val="Times New Roman"/>
        <family val="1"/>
      </rPr>
      <t xml:space="preserve"> 315,90 €</t>
    </r>
  </si>
  <si>
    <r>
      <t xml:space="preserve">SG_R1 je zohľadnená vratka KD v sume </t>
    </r>
    <r>
      <rPr>
        <sz val="12"/>
        <color indexed="10"/>
        <rFont val="Times New Roman"/>
        <family val="1"/>
      </rPr>
      <t>1 603,44 €</t>
    </r>
  </si>
  <si>
    <r>
      <t xml:space="preserve">SH_R1 je zohľadnený prevod KD na SAV a iné VVŠ v objeme </t>
    </r>
    <r>
      <rPr>
        <sz val="12"/>
        <color indexed="10"/>
        <rFont val="Times New Roman"/>
        <family val="1"/>
      </rPr>
      <t>1 554 524,64 €</t>
    </r>
  </si>
  <si>
    <t>Ústav európskeho práva</t>
  </si>
  <si>
    <t>Botanická záhrada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</si>
</sst>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S_k_-;\-* #,##0\ _S_k_-;_-* &quot;-&quot;\ _S_k_-;_-@_-"/>
    <numFmt numFmtId="165" formatCode="_-* #,##0.00\ _S_k_-;\-* #,##0.00\ _S_k_-;_-* &quot;-&quot;??\ _S_k_-;_-@_-"/>
    <numFmt numFmtId="166" formatCode="#,##0_ ;[Red]\-#,##0\ "/>
    <numFmt numFmtId="167" formatCode="#,##0.000"/>
    <numFmt numFmtId="168" formatCode="#,##0.00_ ;[Red]\-#,##0.00\ "/>
    <numFmt numFmtId="169" formatCode="_-* #,##0.000\ _S_k_-;\-* #,##0.000\ _S_k_-;_-* &quot;-&quot;??\ _S_k_-;_-@_-"/>
    <numFmt numFmtId="170" formatCode="_-* #,##0\ _S_k_-;\-* #,##0\ _S_k_-;_-* &quot;-&quot;??\ _S_k_-;_-@_-"/>
    <numFmt numFmtId="171" formatCode="#,##0_ ;\-#,##0\ "/>
    <numFmt numFmtId="172" formatCode="#,##0.0"/>
  </numFmts>
  <fonts count="9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Arial CE"/>
      <family val="0"/>
    </font>
    <font>
      <sz val="8"/>
      <name val="Arial CE"/>
      <family val="0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4"/>
      <name val="Times New Roman"/>
      <family val="1"/>
    </font>
    <font>
      <vertAlign val="superscript"/>
      <sz val="12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color indexed="17"/>
      <name val="Times New Roman"/>
      <family val="1"/>
    </font>
    <font>
      <strike/>
      <sz val="12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ahoma"/>
      <family val="2"/>
    </font>
    <font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4"/>
      <color indexed="10"/>
      <name val="Times New Roman"/>
      <family val="1"/>
    </font>
    <font>
      <sz val="10"/>
      <name val="Tahoma"/>
      <family val="2"/>
    </font>
    <font>
      <u val="single"/>
      <sz val="10"/>
      <name val="Tahoma"/>
      <family val="2"/>
    </font>
    <font>
      <b/>
      <sz val="10"/>
      <name val="Tahoma"/>
      <family val="2"/>
    </font>
    <font>
      <vertAlign val="superscript"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ahoma"/>
      <family val="2"/>
    </font>
    <font>
      <sz val="10"/>
      <color rgb="FF000000"/>
      <name val="Arial"/>
      <family val="2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medium"/>
      <right/>
      <top/>
      <bottom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</borders>
  <cellStyleXfs count="1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7" borderId="0" applyNumberFormat="0" applyBorder="0" applyAlignment="0" applyProtection="0"/>
    <xf numFmtId="0" fontId="26" fillId="9" borderId="0" applyNumberFormat="0" applyBorder="0" applyAlignment="0" applyProtection="0"/>
    <xf numFmtId="0" fontId="27" fillId="38" borderId="1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2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40" borderId="5" applyNumberFormat="0" applyAlignment="0" applyProtection="0"/>
    <xf numFmtId="0" fontId="34" fillId="13" borderId="1" applyNumberFormat="0" applyAlignment="0" applyProtection="0"/>
    <xf numFmtId="0" fontId="73" fillId="41" borderId="6" applyNumberFormat="0" applyAlignment="0" applyProtection="0"/>
    <xf numFmtId="0" fontId="35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6" fillId="0" borderId="10" applyNumberFormat="0" applyFill="0" applyAlignment="0" applyProtection="0"/>
    <xf numFmtId="0" fontId="76" fillId="0" borderId="0" applyNumberFormat="0" applyFill="0" applyBorder="0" applyAlignment="0" applyProtection="0"/>
    <xf numFmtId="0" fontId="36" fillId="42" borderId="0" applyNumberFormat="0" applyBorder="0" applyAlignment="0" applyProtection="0"/>
    <xf numFmtId="0" fontId="77" fillId="43" borderId="0" applyNumberFormat="0" applyBorder="0" applyAlignment="0" applyProtection="0"/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3" fillId="44" borderId="11" applyNumberFormat="0" applyFont="0" applyAlignment="0" applyProtection="0"/>
    <xf numFmtId="0" fontId="37" fillId="38" borderId="12" applyNumberFormat="0" applyAlignment="0" applyProtection="0"/>
    <xf numFmtId="9" fontId="0" fillId="0" borderId="0" applyFont="0" applyFill="0" applyBorder="0" applyAlignment="0" applyProtection="0"/>
    <xf numFmtId="0" fontId="0" fillId="45" borderId="13" applyNumberFormat="0" applyFont="0" applyAlignment="0" applyProtection="0"/>
    <xf numFmtId="0" fontId="79" fillId="0" borderId="14" applyNumberFormat="0" applyFill="0" applyAlignment="0" applyProtection="0"/>
    <xf numFmtId="4" fontId="9" fillId="42" borderId="15" applyNumberFormat="0" applyProtection="0">
      <alignment vertical="center"/>
    </xf>
    <xf numFmtId="4" fontId="10" fillId="42" borderId="15" applyNumberFormat="0" applyProtection="0">
      <alignment vertical="center"/>
    </xf>
    <xf numFmtId="4" fontId="9" fillId="42" borderId="15" applyNumberFormat="0" applyProtection="0">
      <alignment horizontal="left" vertical="center" indent="1"/>
    </xf>
    <xf numFmtId="0" fontId="9" fillId="42" borderId="15" applyNumberFormat="0" applyProtection="0">
      <alignment horizontal="left" vertical="top" indent="1"/>
    </xf>
    <xf numFmtId="4" fontId="11" fillId="9" borderId="15" applyNumberFormat="0" applyProtection="0">
      <alignment horizontal="right" vertical="center"/>
    </xf>
    <xf numFmtId="4" fontId="11" fillId="21" borderId="15" applyNumberFormat="0" applyProtection="0">
      <alignment horizontal="right" vertical="center"/>
    </xf>
    <xf numFmtId="4" fontId="11" fillId="35" borderId="15" applyNumberFormat="0" applyProtection="0">
      <alignment horizontal="right" vertical="center"/>
    </xf>
    <xf numFmtId="4" fontId="11" fillId="23" borderId="15" applyNumberFormat="0" applyProtection="0">
      <alignment horizontal="right" vertical="center"/>
    </xf>
    <xf numFmtId="4" fontId="11" fillId="33" borderId="15" applyNumberFormat="0" applyProtection="0">
      <alignment horizontal="right" vertical="center"/>
    </xf>
    <xf numFmtId="4" fontId="11" fillId="37" borderId="15" applyNumberFormat="0" applyProtection="0">
      <alignment horizontal="right" vertical="center"/>
    </xf>
    <xf numFmtId="4" fontId="11" fillId="36" borderId="15" applyNumberFormat="0" applyProtection="0">
      <alignment horizontal="right" vertical="center"/>
    </xf>
    <xf numFmtId="4" fontId="11" fillId="46" borderId="15" applyNumberFormat="0" applyProtection="0">
      <alignment horizontal="right" vertical="center"/>
    </xf>
    <xf numFmtId="4" fontId="11" fillId="22" borderId="15" applyNumberFormat="0" applyProtection="0">
      <alignment horizontal="right" vertical="center"/>
    </xf>
    <xf numFmtId="4" fontId="9" fillId="47" borderId="16" applyNumberFormat="0" applyProtection="0">
      <alignment horizontal="left" vertical="center" indent="1"/>
    </xf>
    <xf numFmtId="4" fontId="11" fillId="48" borderId="0" applyNumberFormat="0" applyProtection="0">
      <alignment horizontal="left" vertical="center" indent="1"/>
    </xf>
    <xf numFmtId="4" fontId="12" fillId="49" borderId="0" applyNumberFormat="0" applyProtection="0">
      <alignment horizontal="left" vertical="center" indent="1"/>
    </xf>
    <xf numFmtId="4" fontId="11" fillId="50" borderId="15" applyNumberFormat="0" applyProtection="0">
      <alignment horizontal="right" vertical="center"/>
    </xf>
    <xf numFmtId="4" fontId="11" fillId="48" borderId="0" applyNumberFormat="0" applyProtection="0">
      <alignment horizontal="left" vertical="center" indent="1"/>
    </xf>
    <xf numFmtId="4" fontId="11" fillId="50" borderId="0" applyNumberFormat="0" applyProtection="0">
      <alignment horizontal="left" vertical="center" indent="1"/>
    </xf>
    <xf numFmtId="0" fontId="0" fillId="49" borderId="15" applyNumberFormat="0" applyProtection="0">
      <alignment horizontal="left" vertical="center" indent="1"/>
    </xf>
    <xf numFmtId="0" fontId="0" fillId="49" borderId="15" applyNumberFormat="0" applyProtection="0">
      <alignment horizontal="left" vertical="top" indent="1"/>
    </xf>
    <xf numFmtId="0" fontId="0" fillId="50" borderId="15" applyNumberFormat="0" applyProtection="0">
      <alignment horizontal="left" vertical="center" indent="1"/>
    </xf>
    <xf numFmtId="0" fontId="0" fillId="50" borderId="15" applyNumberFormat="0" applyProtection="0">
      <alignment horizontal="left" vertical="top" indent="1"/>
    </xf>
    <xf numFmtId="0" fontId="0" fillId="20" borderId="15" applyNumberFormat="0" applyProtection="0">
      <alignment horizontal="left" vertical="center" indent="1"/>
    </xf>
    <xf numFmtId="0" fontId="0" fillId="20" borderId="15" applyNumberFormat="0" applyProtection="0">
      <alignment horizontal="left" vertical="top" indent="1"/>
    </xf>
    <xf numFmtId="0" fontId="0" fillId="48" borderId="15" applyNumberFormat="0" applyProtection="0">
      <alignment horizontal="left" vertical="center" indent="1"/>
    </xf>
    <xf numFmtId="0" fontId="0" fillId="48" borderId="15" applyNumberFormat="0" applyProtection="0">
      <alignment horizontal="left" vertical="top" indent="1"/>
    </xf>
    <xf numFmtId="4" fontId="9" fillId="50" borderId="0" applyNumberFormat="0" applyProtection="0">
      <alignment horizontal="left" vertical="center" indent="1"/>
    </xf>
    <xf numFmtId="4" fontId="11" fillId="44" borderId="15" applyNumberFormat="0" applyProtection="0">
      <alignment vertical="center"/>
    </xf>
    <xf numFmtId="4" fontId="13" fillId="44" borderId="15" applyNumberFormat="0" applyProtection="0">
      <alignment vertical="center"/>
    </xf>
    <xf numFmtId="4" fontId="11" fillId="44" borderId="15" applyNumberFormat="0" applyProtection="0">
      <alignment horizontal="left" vertical="center" indent="1"/>
    </xf>
    <xf numFmtId="0" fontId="11" fillId="44" borderId="15" applyNumberFormat="0" applyProtection="0">
      <alignment horizontal="left" vertical="top" indent="1"/>
    </xf>
    <xf numFmtId="4" fontId="11" fillId="48" borderId="15" applyNumberFormat="0" applyProtection="0">
      <alignment horizontal="right" vertical="center"/>
    </xf>
    <xf numFmtId="4" fontId="13" fillId="48" borderId="15" applyNumberFormat="0" applyProtection="0">
      <alignment horizontal="right" vertical="center"/>
    </xf>
    <xf numFmtId="4" fontId="11" fillId="50" borderId="15" applyNumberFormat="0" applyProtection="0">
      <alignment horizontal="left" vertical="center" indent="1"/>
    </xf>
    <xf numFmtId="0" fontId="11" fillId="50" borderId="15" applyNumberFormat="0" applyProtection="0">
      <alignment horizontal="left" vertical="top" indent="1"/>
    </xf>
    <xf numFmtId="4" fontId="14" fillId="51" borderId="0" applyNumberFormat="0" applyProtection="0">
      <alignment horizontal="left" vertical="center" indent="1"/>
    </xf>
    <xf numFmtId="4" fontId="15" fillId="48" borderId="15" applyNumberFormat="0" applyProtection="0">
      <alignment horizontal="right" vertical="center"/>
    </xf>
    <xf numFmtId="0" fontId="80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83" fillId="52" borderId="19" applyNumberFormat="0" applyAlignment="0" applyProtection="0"/>
    <xf numFmtId="0" fontId="84" fillId="53" borderId="19" applyNumberFormat="0" applyAlignment="0" applyProtection="0"/>
    <xf numFmtId="0" fontId="85" fillId="53" borderId="20" applyNumberFormat="0" applyAlignment="0" applyProtection="0"/>
    <xf numFmtId="0" fontId="8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7" fillId="54" borderId="0" applyNumberFormat="0" applyBorder="0" applyAlignment="0" applyProtection="0"/>
    <xf numFmtId="0" fontId="71" fillId="55" borderId="0" applyNumberFormat="0" applyBorder="0" applyAlignment="0" applyProtection="0"/>
    <xf numFmtId="0" fontId="71" fillId="56" borderId="0" applyNumberFormat="0" applyBorder="0" applyAlignment="0" applyProtection="0"/>
    <xf numFmtId="0" fontId="71" fillId="57" borderId="0" applyNumberFormat="0" applyBorder="0" applyAlignment="0" applyProtection="0"/>
    <xf numFmtId="0" fontId="71" fillId="58" borderId="0" applyNumberFormat="0" applyBorder="0" applyAlignment="0" applyProtection="0"/>
    <xf numFmtId="0" fontId="71" fillId="59" borderId="0" applyNumberFormat="0" applyBorder="0" applyAlignment="0" applyProtection="0"/>
    <xf numFmtId="0" fontId="71" fillId="60" borderId="0" applyNumberFormat="0" applyBorder="0" applyAlignment="0" applyProtection="0"/>
  </cellStyleXfs>
  <cellXfs count="706">
    <xf numFmtId="0" fontId="0" fillId="0" borderId="0" xfId="0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0" borderId="22" xfId="0" applyNumberFormat="1" applyFont="1" applyFill="1" applyBorder="1" applyAlignment="1">
      <alignment horizontal="left" vertical="center" wrapText="1" indent="1"/>
    </xf>
    <xf numFmtId="49" fontId="3" fillId="0" borderId="22" xfId="0" applyNumberFormat="1" applyFont="1" applyFill="1" applyBorder="1" applyAlignment="1">
      <alignment horizontal="left" vertical="top" wrapText="1" indent="1"/>
    </xf>
    <xf numFmtId="49" fontId="2" fillId="0" borderId="24" xfId="0" applyNumberFormat="1" applyFont="1" applyFill="1" applyBorder="1" applyAlignment="1">
      <alignment horizontal="left" vertical="top" wrapText="1" indent="1"/>
    </xf>
    <xf numFmtId="49" fontId="2" fillId="0" borderId="22" xfId="0" applyNumberFormat="1" applyFont="1" applyFill="1" applyBorder="1" applyAlignment="1">
      <alignment horizontal="left" vertical="center" wrapText="1" indent="1"/>
    </xf>
    <xf numFmtId="49" fontId="2" fillId="0" borderId="24" xfId="0" applyNumberFormat="1" applyFont="1" applyFill="1" applyBorder="1" applyAlignment="1">
      <alignment horizontal="left" vertical="center" wrapText="1" indent="1"/>
    </xf>
    <xf numFmtId="3" fontId="3" fillId="0" borderId="22" xfId="0" applyNumberFormat="1" applyFont="1" applyFill="1" applyBorder="1" applyAlignment="1">
      <alignment horizontal="right" vertical="center" wrapText="1" indent="1"/>
    </xf>
    <xf numFmtId="49" fontId="2" fillId="0" borderId="22" xfId="0" applyNumberFormat="1" applyFont="1" applyFill="1" applyBorder="1" applyAlignment="1">
      <alignment horizontal="left" vertical="top" wrapText="1" indent="1"/>
    </xf>
    <xf numFmtId="0" fontId="3" fillId="0" borderId="21" xfId="0" applyFont="1" applyFill="1" applyBorder="1" applyAlignment="1">
      <alignment horizontal="left" vertical="center" wrapText="1" indent="1"/>
    </xf>
    <xf numFmtId="3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 indent="1"/>
    </xf>
    <xf numFmtId="0" fontId="3" fillId="0" borderId="0" xfId="0" applyFont="1" applyAlignment="1">
      <alignment/>
    </xf>
    <xf numFmtId="1" fontId="3" fillId="0" borderId="22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left" vertical="center" wrapText="1" indent="1"/>
    </xf>
    <xf numFmtId="49" fontId="2" fillId="0" borderId="22" xfId="0" applyNumberFormat="1" applyFont="1" applyFill="1" applyBorder="1" applyAlignment="1">
      <alignment horizontal="left" vertical="top" wrapText="1" indent="1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 inden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 indent="1"/>
    </xf>
    <xf numFmtId="0" fontId="2" fillId="0" borderId="24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right" vertical="center" wrapText="1" indent="1"/>
    </xf>
    <xf numFmtId="49" fontId="2" fillId="0" borderId="22" xfId="0" applyNumberFormat="1" applyFont="1" applyFill="1" applyBorder="1" applyAlignment="1">
      <alignment horizontal="left" vertical="top" wrapText="1"/>
    </xf>
    <xf numFmtId="49" fontId="3" fillId="0" borderId="22" xfId="0" applyNumberFormat="1" applyFont="1" applyFill="1" applyBorder="1" applyAlignment="1">
      <alignment horizontal="left" wrapText="1" indent="1"/>
    </xf>
    <xf numFmtId="49" fontId="3" fillId="0" borderId="26" xfId="0" applyNumberFormat="1" applyFont="1" applyFill="1" applyBorder="1" applyAlignment="1">
      <alignment horizontal="left" vertical="top" wrapText="1" indent="1"/>
    </xf>
    <xf numFmtId="0" fontId="3" fillId="0" borderId="2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wrapText="1" indent="1"/>
    </xf>
    <xf numFmtId="49" fontId="2" fillId="0" borderId="24" xfId="0" applyNumberFormat="1" applyFont="1" applyFill="1" applyBorder="1" applyAlignment="1">
      <alignment horizontal="left" wrapText="1" indent="1"/>
    </xf>
    <xf numFmtId="0" fontId="2" fillId="0" borderId="23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left" vertical="center" wrapText="1"/>
    </xf>
    <xf numFmtId="3" fontId="3" fillId="0" borderId="21" xfId="0" applyNumberFormat="1" applyFont="1" applyFill="1" applyBorder="1" applyAlignment="1">
      <alignment horizontal="right" vertical="center" wrapText="1" indent="1"/>
    </xf>
    <xf numFmtId="3" fontId="3" fillId="0" borderId="26" xfId="0" applyNumberFormat="1" applyFont="1" applyFill="1" applyBorder="1" applyAlignment="1">
      <alignment vertical="center" wrapText="1"/>
    </xf>
    <xf numFmtId="49" fontId="2" fillId="0" borderId="22" xfId="0" applyNumberFormat="1" applyFont="1" applyFill="1" applyBorder="1" applyAlignment="1">
      <alignment horizontal="left" vertical="top" indent="1"/>
    </xf>
    <xf numFmtId="3" fontId="3" fillId="0" borderId="26" xfId="0" applyNumberFormat="1" applyFont="1" applyFill="1" applyBorder="1" applyAlignment="1">
      <alignment horizontal="right" vertical="center" wrapText="1" indent="1"/>
    </xf>
    <xf numFmtId="0" fontId="8" fillId="0" borderId="22" xfId="0" applyFont="1" applyFill="1" applyBorder="1" applyAlignment="1">
      <alignment horizontal="left" vertical="center" wrapText="1" indent="1"/>
    </xf>
    <xf numFmtId="3" fontId="2" fillId="0" borderId="28" xfId="86" applyNumberFormat="1" applyFont="1" applyFill="1" applyBorder="1" applyAlignment="1">
      <alignment horizontal="center" vertical="center" wrapText="1"/>
      <protection/>
    </xf>
    <xf numFmtId="0" fontId="2" fillId="0" borderId="28" xfId="86" applyNumberFormat="1" applyFont="1" applyFill="1" applyBorder="1" applyAlignment="1">
      <alignment horizontal="center" vertical="center" wrapText="1"/>
      <protection/>
    </xf>
    <xf numFmtId="168" fontId="45" fillId="61" borderId="22" xfId="121" applyNumberFormat="1" applyFont="1" applyFill="1" applyBorder="1" applyAlignment="1" applyProtection="1" quotePrefix="1">
      <alignment horizontal="left" vertical="center" wrapText="1" indent="1"/>
      <protection locked="0"/>
    </xf>
    <xf numFmtId="168" fontId="44" fillId="61" borderId="22" xfId="129" applyNumberFormat="1" applyFont="1" applyFill="1" applyBorder="1" applyAlignment="1" applyProtection="1" quotePrefix="1">
      <alignment horizontal="left" vertical="center" wrapText="1" indent="1"/>
      <protection locked="0"/>
    </xf>
    <xf numFmtId="168" fontId="44" fillId="61" borderId="22" xfId="128" applyNumberFormat="1" applyFont="1" applyFill="1" applyBorder="1" applyProtection="1" quotePrefix="1">
      <alignment horizontal="left" vertical="center" indent="1"/>
      <protection locked="0"/>
    </xf>
    <xf numFmtId="0" fontId="3" fillId="0" borderId="22" xfId="0" applyFont="1" applyBorder="1" applyAlignment="1">
      <alignment/>
    </xf>
    <xf numFmtId="168" fontId="45" fillId="61" borderId="22" xfId="96" applyNumberFormat="1" applyFont="1" applyFill="1" applyBorder="1" quotePrefix="1">
      <alignment horizontal="left" vertical="center" indent="1"/>
    </xf>
    <xf numFmtId="168" fontId="45" fillId="61" borderId="22" xfId="96" applyNumberFormat="1" applyFont="1" applyFill="1" applyBorder="1">
      <alignment horizontal="left" vertical="center" indent="1"/>
    </xf>
    <xf numFmtId="168" fontId="44" fillId="61" borderId="22" xfId="128" applyNumberFormat="1" applyFont="1" applyFill="1" applyBorder="1" applyAlignment="1" applyProtection="1">
      <alignment vertical="center"/>
      <protection locked="0"/>
    </xf>
    <xf numFmtId="168" fontId="45" fillId="61" borderId="22" xfId="128" applyNumberFormat="1" applyFont="1" applyFill="1" applyBorder="1" applyProtection="1" quotePrefix="1">
      <alignment horizontal="left" vertical="center" indent="1"/>
      <protection locked="0"/>
    </xf>
    <xf numFmtId="168" fontId="44" fillId="61" borderId="22" xfId="129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22" xfId="84" applyNumberFormat="1" applyFont="1" applyFill="1" applyBorder="1" applyAlignment="1">
      <alignment horizontal="center"/>
      <protection/>
    </xf>
    <xf numFmtId="164" fontId="2" fillId="0" borderId="22" xfId="61" applyNumberFormat="1" applyFont="1" applyFill="1" applyBorder="1" applyAlignment="1" applyProtection="1">
      <alignment/>
      <protection locked="0"/>
    </xf>
    <xf numFmtId="49" fontId="3" fillId="0" borderId="22" xfId="84" applyNumberFormat="1" applyFont="1" applyFill="1" applyBorder="1" applyAlignment="1">
      <alignment horizontal="center"/>
      <protection/>
    </xf>
    <xf numFmtId="0" fontId="2" fillId="0" borderId="23" xfId="84" applyFont="1" applyFill="1" applyBorder="1" applyAlignment="1">
      <alignment vertical="center" wrapText="1"/>
      <protection/>
    </xf>
    <xf numFmtId="0" fontId="2" fillId="0" borderId="22" xfId="84" applyFont="1" applyFill="1" applyBorder="1" applyAlignment="1">
      <alignment vertical="center" wrapText="1"/>
      <protection/>
    </xf>
    <xf numFmtId="0" fontId="2" fillId="0" borderId="29" xfId="86" applyNumberFormat="1" applyFont="1" applyFill="1" applyBorder="1" applyAlignment="1">
      <alignment horizontal="center" vertical="center" wrapText="1"/>
      <protection/>
    </xf>
    <xf numFmtId="0" fontId="18" fillId="0" borderId="23" xfId="84" applyFont="1" applyFill="1" applyBorder="1" applyAlignment="1">
      <alignment horizontal="left" indent="1"/>
      <protection/>
    </xf>
    <xf numFmtId="3" fontId="18" fillId="0" borderId="30" xfId="61" applyNumberFormat="1" applyFont="1" applyFill="1" applyBorder="1" applyAlignment="1">
      <alignment horizontal="center"/>
    </xf>
    <xf numFmtId="3" fontId="18" fillId="0" borderId="31" xfId="61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right" vertical="center" indent="1"/>
    </xf>
    <xf numFmtId="3" fontId="2" fillId="0" borderId="21" xfId="0" applyNumberFormat="1" applyFont="1" applyFill="1" applyBorder="1" applyAlignment="1">
      <alignment horizontal="right" vertical="center" indent="1"/>
    </xf>
    <xf numFmtId="0" fontId="50" fillId="0" borderId="0" xfId="0" applyFont="1" applyFill="1" applyAlignment="1">
      <alignment horizontal="left" vertical="center" indent="1"/>
    </xf>
    <xf numFmtId="0" fontId="18" fillId="0" borderId="21" xfId="0" applyFont="1" applyFill="1" applyBorder="1" applyAlignment="1">
      <alignment horizontal="center" vertical="center" wrapText="1"/>
    </xf>
    <xf numFmtId="49" fontId="2" fillId="0" borderId="25" xfId="84" applyNumberFormat="1" applyFont="1" applyFill="1" applyBorder="1" applyAlignment="1">
      <alignment horizontal="center"/>
      <protection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9" fontId="88" fillId="0" borderId="22" xfId="0" applyNumberFormat="1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indent="1"/>
    </xf>
    <xf numFmtId="0" fontId="18" fillId="0" borderId="0" xfId="0" applyFont="1" applyFill="1" applyBorder="1" applyAlignment="1">
      <alignment vertical="center"/>
    </xf>
    <xf numFmtId="3" fontId="3" fillId="0" borderId="22" xfId="82" applyNumberFormat="1" applyFont="1" applyFill="1" applyBorder="1" applyAlignment="1">
      <alignment horizontal="center" wrapText="1"/>
      <protection/>
    </xf>
    <xf numFmtId="0" fontId="3" fillId="0" borderId="0" xfId="82" applyFont="1" applyFill="1" applyAlignment="1">
      <alignment horizontal="center"/>
      <protection/>
    </xf>
    <xf numFmtId="0" fontId="3" fillId="0" borderId="0" xfId="82" applyFont="1" applyFill="1">
      <alignment/>
      <protection/>
    </xf>
    <xf numFmtId="0" fontId="3" fillId="0" borderId="0" xfId="82" applyFont="1" applyFill="1" applyBorder="1" applyAlignment="1">
      <alignment horizontal="center" vertical="center" wrapText="1"/>
      <protection/>
    </xf>
    <xf numFmtId="49" fontId="2" fillId="0" borderId="0" xfId="82" applyNumberFormat="1" applyFont="1" applyFill="1" applyBorder="1" applyAlignment="1">
      <alignment horizontal="left" vertical="top" wrapText="1" indent="1"/>
      <protection/>
    </xf>
    <xf numFmtId="3" fontId="2" fillId="0" borderId="0" xfId="82" applyNumberFormat="1" applyFont="1" applyFill="1" applyBorder="1" applyAlignment="1">
      <alignment horizontal="right" vertical="center" wrapText="1" indent="1"/>
      <protection/>
    </xf>
    <xf numFmtId="0" fontId="3" fillId="0" borderId="32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3" fontId="3" fillId="0" borderId="33" xfId="82" applyNumberFormat="1" applyFont="1" applyFill="1" applyBorder="1" applyAlignment="1">
      <alignment horizontal="center" wrapText="1"/>
      <protection/>
    </xf>
    <xf numFmtId="49" fontId="3" fillId="0" borderId="22" xfId="82" applyNumberFormat="1" applyFont="1" applyFill="1" applyBorder="1" applyAlignment="1">
      <alignment horizontal="left" vertical="center" wrapText="1" indent="1"/>
      <protection/>
    </xf>
    <xf numFmtId="49" fontId="89" fillId="0" borderId="22" xfId="0" applyNumberFormat="1" applyFont="1" applyFill="1" applyBorder="1" applyAlignment="1">
      <alignment horizontal="left" vertical="center" wrapText="1" indent="1"/>
    </xf>
    <xf numFmtId="49" fontId="88" fillId="0" borderId="22" xfId="0" applyNumberFormat="1" applyFont="1" applyFill="1" applyBorder="1" applyAlignment="1">
      <alignment horizontal="left" vertical="top" wrapText="1"/>
    </xf>
    <xf numFmtId="0" fontId="3" fillId="0" borderId="23" xfId="84" applyFont="1" applyFill="1" applyBorder="1" applyAlignment="1">
      <alignment horizontal="left" indent="1"/>
      <protection/>
    </xf>
    <xf numFmtId="0" fontId="3" fillId="0" borderId="34" xfId="84" applyFont="1" applyFill="1" applyBorder="1" applyAlignment="1">
      <alignment horizontal="left" indent="1"/>
      <protection/>
    </xf>
    <xf numFmtId="0" fontId="3" fillId="0" borderId="23" xfId="82" applyFont="1" applyFill="1" applyBorder="1" applyAlignment="1">
      <alignment horizontal="center" vertical="center" wrapText="1"/>
      <protection/>
    </xf>
    <xf numFmtId="0" fontId="3" fillId="0" borderId="27" xfId="82" applyFont="1" applyFill="1" applyBorder="1" applyAlignment="1">
      <alignment horizontal="center" vertical="center" wrapText="1"/>
      <protection/>
    </xf>
    <xf numFmtId="49" fontId="90" fillId="0" borderId="0" xfId="0" applyNumberFormat="1" applyFont="1" applyFill="1" applyBorder="1" applyAlignment="1">
      <alignment horizontal="left" indent="1"/>
    </xf>
    <xf numFmtId="3" fontId="3" fillId="0" borderId="24" xfId="0" applyNumberFormat="1" applyFont="1" applyFill="1" applyBorder="1" applyAlignment="1">
      <alignment horizontal="center" vertical="center" wrapText="1"/>
    </xf>
    <xf numFmtId="3" fontId="3" fillId="0" borderId="22" xfId="82" applyNumberFormat="1" applyFont="1" applyFill="1" applyBorder="1" applyAlignment="1">
      <alignment horizontal="right" vertical="center" wrapText="1" indent="1"/>
      <protection/>
    </xf>
    <xf numFmtId="3" fontId="3" fillId="0" borderId="33" xfId="82" applyNumberFormat="1" applyFont="1" applyFill="1" applyBorder="1" applyAlignment="1">
      <alignment horizontal="right" vertical="center" wrapText="1" indent="1"/>
      <protection/>
    </xf>
    <xf numFmtId="3" fontId="2" fillId="0" borderId="22" xfId="0" applyNumberFormat="1" applyFont="1" applyFill="1" applyBorder="1" applyAlignment="1">
      <alignment horizontal="right" vertical="center" wrapText="1" indent="1"/>
    </xf>
    <xf numFmtId="3" fontId="3" fillId="0" borderId="22" xfId="0" applyNumberFormat="1" applyFont="1" applyFill="1" applyBorder="1" applyAlignment="1">
      <alignment horizontal="right" vertical="top" wrapText="1" indent="2"/>
    </xf>
    <xf numFmtId="3" fontId="90" fillId="0" borderId="22" xfId="0" applyNumberFormat="1" applyFont="1" applyFill="1" applyBorder="1" applyAlignment="1">
      <alignment horizontal="right" vertical="center" wrapText="1" indent="1"/>
    </xf>
    <xf numFmtId="3" fontId="3" fillId="0" borderId="22" xfId="0" applyNumberFormat="1" applyFont="1" applyFill="1" applyBorder="1" applyAlignment="1">
      <alignment horizontal="right" vertical="center" wrapText="1" indent="2"/>
    </xf>
    <xf numFmtId="3" fontId="2" fillId="0" borderId="24" xfId="0" applyNumberFormat="1" applyFont="1" applyFill="1" applyBorder="1" applyAlignment="1">
      <alignment horizontal="right" vertical="center" wrapText="1" indent="1"/>
    </xf>
    <xf numFmtId="3" fontId="3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vertical="center"/>
    </xf>
    <xf numFmtId="4" fontId="91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right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0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3" fontId="2" fillId="0" borderId="24" xfId="0" applyNumberFormat="1" applyFont="1" applyFill="1" applyBorder="1" applyAlignment="1" applyProtection="1">
      <alignment horizontal="right" vertical="center" wrapText="1" indent="1"/>
      <protection/>
    </xf>
    <xf numFmtId="3" fontId="2" fillId="0" borderId="35" xfId="0" applyNumberFormat="1" applyFont="1" applyFill="1" applyBorder="1" applyAlignment="1">
      <alignment horizontal="right" vertical="center" wrapText="1" indent="1"/>
    </xf>
    <xf numFmtId="49" fontId="3" fillId="0" borderId="0" xfId="0" applyNumberFormat="1" applyFont="1" applyFill="1" applyBorder="1" applyAlignment="1">
      <alignment horizontal="left" vertical="center" wrapText="1" indent="1"/>
    </xf>
    <xf numFmtId="0" fontId="3" fillId="0" borderId="0" xfId="0" applyFont="1" applyFill="1" applyAlignment="1">
      <alignment horizontal="right" vertical="center" wrapText="1"/>
    </xf>
    <xf numFmtId="49" fontId="7" fillId="0" borderId="0" xfId="0" applyNumberFormat="1" applyFont="1" applyFill="1" applyAlignment="1">
      <alignment horizontal="left" vertical="center" wrapText="1" inden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 indent="1"/>
    </xf>
    <xf numFmtId="0" fontId="4" fillId="0" borderId="0" xfId="0" applyFont="1" applyFill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/>
    </xf>
    <xf numFmtId="0" fontId="2" fillId="0" borderId="22" xfId="0" applyFont="1" applyFill="1" applyBorder="1" applyAlignment="1">
      <alignment horizontal="left" vertical="top" wrapText="1" indent="1"/>
    </xf>
    <xf numFmtId="3" fontId="2" fillId="0" borderId="22" xfId="0" applyNumberFormat="1" applyFont="1" applyFill="1" applyBorder="1" applyAlignment="1">
      <alignment horizontal="right" vertical="center" wrapText="1" indent="1"/>
    </xf>
    <xf numFmtId="3" fontId="2" fillId="0" borderId="21" xfId="0" applyNumberFormat="1" applyFont="1" applyFill="1" applyBorder="1" applyAlignment="1">
      <alignment horizontal="right" indent="1"/>
    </xf>
    <xf numFmtId="0" fontId="3" fillId="0" borderId="22" xfId="0" applyFont="1" applyFill="1" applyBorder="1" applyAlignment="1">
      <alignment horizontal="left" vertical="top" wrapText="1" indent="1"/>
    </xf>
    <xf numFmtId="0" fontId="3" fillId="0" borderId="22" xfId="0" applyFont="1" applyFill="1" applyBorder="1" applyAlignment="1">
      <alignment horizontal="left" indent="1"/>
    </xf>
    <xf numFmtId="0" fontId="3" fillId="0" borderId="0" xfId="0" applyFont="1" applyFill="1" applyAlignment="1">
      <alignment horizontal="left" indent="1"/>
    </xf>
    <xf numFmtId="3" fontId="3" fillId="0" borderId="22" xfId="0" applyNumberFormat="1" applyFont="1" applyFill="1" applyBorder="1" applyAlignment="1">
      <alignment horizontal="right" vertical="center" wrapText="1" indent="1"/>
    </xf>
    <xf numFmtId="0" fontId="3" fillId="0" borderId="26" xfId="0" applyFont="1" applyFill="1" applyBorder="1" applyAlignment="1">
      <alignment horizontal="left" vertical="top" wrapText="1" indent="1"/>
    </xf>
    <xf numFmtId="3" fontId="2" fillId="0" borderId="24" xfId="0" applyNumberFormat="1" applyFont="1" applyFill="1" applyBorder="1" applyAlignment="1">
      <alignment horizontal="right" vertical="center" wrapText="1" indent="1"/>
    </xf>
    <xf numFmtId="3" fontId="2" fillId="0" borderId="35" xfId="0" applyNumberFormat="1" applyFont="1" applyFill="1" applyBorder="1" applyAlignment="1">
      <alignment horizontal="right" inden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indent="1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3" fontId="2" fillId="0" borderId="22" xfId="0" applyNumberFormat="1" applyFont="1" applyFill="1" applyBorder="1" applyAlignment="1">
      <alignment horizontal="right" vertical="center" indent="1"/>
    </xf>
    <xf numFmtId="3" fontId="2" fillId="0" borderId="21" xfId="0" applyNumberFormat="1" applyFont="1" applyFill="1" applyBorder="1" applyAlignment="1">
      <alignment horizontal="right" vertical="center" indent="1"/>
    </xf>
    <xf numFmtId="3" fontId="3" fillId="0" borderId="22" xfId="0" applyNumberFormat="1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top"/>
    </xf>
    <xf numFmtId="3" fontId="3" fillId="0" borderId="22" xfId="0" applyNumberFormat="1" applyFont="1" applyFill="1" applyBorder="1" applyAlignment="1">
      <alignment vertical="center" wrapText="1"/>
    </xf>
    <xf numFmtId="3" fontId="3" fillId="0" borderId="22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 wrapText="1"/>
    </xf>
    <xf numFmtId="0" fontId="88" fillId="0" borderId="23" xfId="0" applyFont="1" applyFill="1" applyBorder="1" applyAlignment="1">
      <alignment horizontal="center" vertical="center"/>
    </xf>
    <xf numFmtId="49" fontId="90" fillId="0" borderId="22" xfId="0" applyNumberFormat="1" applyFont="1" applyFill="1" applyBorder="1" applyAlignment="1">
      <alignment horizontal="left" vertical="top" indent="1"/>
    </xf>
    <xf numFmtId="3" fontId="2" fillId="0" borderId="24" xfId="0" applyNumberFormat="1" applyFont="1" applyFill="1" applyBorder="1" applyAlignment="1">
      <alignment horizontal="right" vertical="center" indent="1"/>
    </xf>
    <xf numFmtId="3" fontId="2" fillId="0" borderId="35" xfId="0" applyNumberFormat="1" applyFont="1" applyFill="1" applyBorder="1" applyAlignment="1">
      <alignment horizontal="right" vertical="center" indent="1"/>
    </xf>
    <xf numFmtId="49" fontId="92" fillId="0" borderId="22" xfId="0" applyNumberFormat="1" applyFont="1" applyFill="1" applyBorder="1" applyAlignment="1">
      <alignment horizontal="left" vertical="center" wrapText="1" indent="1"/>
    </xf>
    <xf numFmtId="0" fontId="88" fillId="0" borderId="0" xfId="0" applyFont="1" applyFill="1" applyAlignment="1">
      <alignment wrapText="1"/>
    </xf>
    <xf numFmtId="49" fontId="78" fillId="0" borderId="22" xfId="0" applyNumberFormat="1" applyFont="1" applyFill="1" applyBorder="1" applyAlignment="1">
      <alignment horizontal="left" vertical="center" wrapText="1" indent="1"/>
    </xf>
    <xf numFmtId="3" fontId="3" fillId="0" borderId="21" xfId="0" applyNumberFormat="1" applyFont="1" applyFill="1" applyBorder="1" applyAlignment="1">
      <alignment horizontal="right" vertical="center" wrapText="1" indent="1"/>
    </xf>
    <xf numFmtId="3" fontId="2" fillId="0" borderId="21" xfId="0" applyNumberFormat="1" applyFont="1" applyFill="1" applyBorder="1" applyAlignment="1">
      <alignment horizontal="right" vertical="center" wrapText="1" indent="1"/>
    </xf>
    <xf numFmtId="3" fontId="2" fillId="0" borderId="33" xfId="0" applyNumberFormat="1" applyFont="1" applyFill="1" applyBorder="1" applyAlignment="1">
      <alignment horizontal="right" vertical="center" wrapText="1" indent="1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/>
    </xf>
    <xf numFmtId="49" fontId="2" fillId="0" borderId="36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 wrapText="1"/>
    </xf>
    <xf numFmtId="3" fontId="44" fillId="0" borderId="37" xfId="84" applyNumberFormat="1" applyFont="1" applyFill="1" applyBorder="1" applyAlignment="1">
      <alignment horizontal="right"/>
      <protection/>
    </xf>
    <xf numFmtId="3" fontId="44" fillId="0" borderId="37" xfId="84" applyNumberFormat="1" applyFont="1" applyFill="1" applyBorder="1" applyAlignment="1">
      <alignment horizontal="right" vertical="center"/>
      <protection/>
    </xf>
    <xf numFmtId="0" fontId="88" fillId="0" borderId="0" xfId="0" applyFont="1" applyFill="1" applyAlignment="1">
      <alignment/>
    </xf>
    <xf numFmtId="3" fontId="3" fillId="0" borderId="22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3" fontId="2" fillId="0" borderId="35" xfId="0" applyNumberFormat="1" applyFont="1" applyFill="1" applyBorder="1" applyAlignment="1">
      <alignment horizontal="right" vertical="center" wrapText="1" indent="1"/>
    </xf>
    <xf numFmtId="0" fontId="3" fillId="0" borderId="38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wrapText="1"/>
    </xf>
    <xf numFmtId="167" fontId="3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3" fontId="3" fillId="0" borderId="22" xfId="59" applyNumberFormat="1" applyFont="1" applyFill="1" applyBorder="1" applyAlignment="1">
      <alignment horizontal="right" vertical="center" wrapText="1" inden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93" fillId="0" borderId="0" xfId="0" applyFont="1" applyFill="1" applyAlignment="1">
      <alignment vertical="center"/>
    </xf>
    <xf numFmtId="0" fontId="78" fillId="0" borderId="0" xfId="83" applyFill="1">
      <alignment/>
      <protection/>
    </xf>
    <xf numFmtId="0" fontId="92" fillId="0" borderId="24" xfId="83" applyFont="1" applyFill="1" applyBorder="1" applyAlignment="1">
      <alignment horizontal="center" vertical="center" wrapText="1"/>
      <protection/>
    </xf>
    <xf numFmtId="0" fontId="92" fillId="0" borderId="39" xfId="83" applyFont="1" applyFill="1" applyBorder="1" applyAlignment="1">
      <alignment horizontal="center" vertical="center" wrapText="1"/>
      <protection/>
    </xf>
    <xf numFmtId="0" fontId="92" fillId="0" borderId="40" xfId="83" applyFont="1" applyFill="1" applyBorder="1" applyAlignment="1">
      <alignment vertical="center"/>
      <protection/>
    </xf>
    <xf numFmtId="0" fontId="92" fillId="0" borderId="36" xfId="83" applyFont="1" applyFill="1" applyBorder="1" applyAlignment="1">
      <alignment vertical="center"/>
      <protection/>
    </xf>
    <xf numFmtId="0" fontId="92" fillId="0" borderId="36" xfId="83" applyFont="1" applyFill="1" applyBorder="1" applyAlignment="1">
      <alignment horizontal="center" vertical="center"/>
      <protection/>
    </xf>
    <xf numFmtId="0" fontId="92" fillId="0" borderId="41" xfId="83" applyFont="1" applyFill="1" applyBorder="1" applyAlignment="1">
      <alignment horizontal="center" vertical="center"/>
      <protection/>
    </xf>
    <xf numFmtId="0" fontId="92" fillId="0" borderId="42" xfId="83" applyFont="1" applyFill="1" applyBorder="1" applyAlignment="1">
      <alignment horizontal="center" vertical="center"/>
      <protection/>
    </xf>
    <xf numFmtId="0" fontId="78" fillId="0" borderId="23" xfId="83" applyFont="1" applyFill="1" applyBorder="1" applyAlignment="1">
      <alignment horizontal="center" vertical="center"/>
      <protection/>
    </xf>
    <xf numFmtId="0" fontId="92" fillId="0" borderId="22" xfId="83" applyFont="1" applyFill="1" applyBorder="1" applyAlignment="1">
      <alignment horizontal="left" vertical="center" indent="1"/>
      <protection/>
    </xf>
    <xf numFmtId="0" fontId="78" fillId="0" borderId="22" xfId="83" applyFont="1" applyFill="1" applyBorder="1" applyAlignment="1">
      <alignment horizontal="left" vertical="center" wrapText="1" indent="1"/>
      <protection/>
    </xf>
    <xf numFmtId="0" fontId="3" fillId="0" borderId="22" xfId="83" applyFont="1" applyFill="1" applyBorder="1" applyAlignment="1">
      <alignment horizontal="left" vertical="center" wrapText="1" indent="1"/>
      <protection/>
    </xf>
    <xf numFmtId="3" fontId="3" fillId="0" borderId="32" xfId="0" applyNumberFormat="1" applyFont="1" applyFill="1" applyBorder="1" applyAlignment="1">
      <alignment horizontal="right" vertical="center" wrapText="1" indent="1"/>
    </xf>
    <xf numFmtId="0" fontId="78" fillId="0" borderId="22" xfId="83" applyFont="1" applyFill="1" applyBorder="1" applyAlignment="1">
      <alignment horizontal="left" vertical="center" indent="1"/>
      <protection/>
    </xf>
    <xf numFmtId="0" fontId="78" fillId="0" borderId="27" xfId="83" applyFont="1" applyFill="1" applyBorder="1" applyAlignment="1">
      <alignment horizontal="center" vertical="center"/>
      <protection/>
    </xf>
    <xf numFmtId="0" fontId="78" fillId="0" borderId="24" xfId="83" applyFont="1" applyFill="1" applyBorder="1" applyAlignment="1">
      <alignment horizontal="left" vertical="center" indent="1"/>
      <protection/>
    </xf>
    <xf numFmtId="3" fontId="3" fillId="0" borderId="24" xfId="0" applyNumberFormat="1" applyFont="1" applyFill="1" applyBorder="1" applyAlignment="1">
      <alignment horizontal="right" vertical="center" wrapText="1" indent="1"/>
    </xf>
    <xf numFmtId="0" fontId="3" fillId="0" borderId="0" xfId="83" applyFont="1" applyFill="1">
      <alignment/>
      <protection/>
    </xf>
    <xf numFmtId="0" fontId="78" fillId="0" borderId="0" xfId="83" applyFill="1" applyAlignment="1">
      <alignment horizontal="right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3" fontId="2" fillId="0" borderId="32" xfId="0" applyNumberFormat="1" applyFont="1" applyFill="1" applyBorder="1" applyAlignment="1">
      <alignment horizontal="right" vertical="center" wrapText="1" indent="1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3" fontId="2" fillId="0" borderId="43" xfId="0" applyNumberFormat="1" applyFont="1" applyFill="1" applyBorder="1" applyAlignment="1">
      <alignment horizontal="right" vertical="center" wrapText="1" indent="1"/>
    </xf>
    <xf numFmtId="3" fontId="2" fillId="0" borderId="39" xfId="0" applyNumberFormat="1" applyFont="1" applyFill="1" applyBorder="1" applyAlignment="1">
      <alignment horizontal="right" vertical="center" wrapText="1" indent="1"/>
    </xf>
    <xf numFmtId="3" fontId="3" fillId="0" borderId="24" xfId="0" applyNumberFormat="1" applyFont="1" applyFill="1" applyBorder="1" applyAlignment="1">
      <alignment horizontal="center" vertical="center" wrapText="1"/>
    </xf>
    <xf numFmtId="3" fontId="3" fillId="0" borderId="3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3" fillId="0" borderId="35" xfId="0" applyNumberFormat="1" applyFont="1" applyFill="1" applyBorder="1" applyAlignment="1">
      <alignment horizontal="center" vertical="center" wrapText="1"/>
    </xf>
    <xf numFmtId="0" fontId="23" fillId="0" borderId="0" xfId="82" applyFont="1" applyFill="1" applyAlignment="1">
      <alignment horizontal="center" vertical="center" wrapText="1"/>
      <protection/>
    </xf>
    <xf numFmtId="0" fontId="2" fillId="0" borderId="23" xfId="82" applyFont="1" applyFill="1" applyBorder="1" applyAlignment="1">
      <alignment horizontal="center" vertical="center" wrapText="1"/>
      <protection/>
    </xf>
    <xf numFmtId="49" fontId="2" fillId="0" borderId="22" xfId="82" applyNumberFormat="1" applyFont="1" applyFill="1" applyBorder="1" applyAlignment="1">
      <alignment horizontal="center" vertical="center" wrapText="1"/>
      <protection/>
    </xf>
    <xf numFmtId="0" fontId="2" fillId="0" borderId="22" xfId="82" applyFont="1" applyFill="1" applyBorder="1" applyAlignment="1">
      <alignment horizontal="center" vertical="center" wrapText="1"/>
      <protection/>
    </xf>
    <xf numFmtId="0" fontId="2" fillId="0" borderId="21" xfId="82" applyFont="1" applyFill="1" applyBorder="1" applyAlignment="1">
      <alignment horizontal="center" vertical="center" wrapText="1"/>
      <protection/>
    </xf>
    <xf numFmtId="0" fontId="3" fillId="0" borderId="23" xfId="82" applyFont="1" applyFill="1" applyBorder="1" applyAlignment="1">
      <alignment horizontal="center" wrapText="1"/>
      <protection/>
    </xf>
    <xf numFmtId="49" fontId="2" fillId="0" borderId="22" xfId="82" applyNumberFormat="1" applyFont="1" applyFill="1" applyBorder="1" applyAlignment="1">
      <alignment vertical="top" wrapText="1"/>
      <protection/>
    </xf>
    <xf numFmtId="49" fontId="2" fillId="0" borderId="22" xfId="82" applyNumberFormat="1" applyFont="1" applyFill="1" applyBorder="1" applyAlignment="1">
      <alignment horizontal="left" vertical="center" wrapText="1" indent="1"/>
      <protection/>
    </xf>
    <xf numFmtId="3" fontId="2" fillId="0" borderId="22" xfId="82" applyNumberFormat="1" applyFont="1" applyFill="1" applyBorder="1" applyAlignment="1">
      <alignment horizontal="right" vertical="center" wrapText="1" indent="1"/>
      <protection/>
    </xf>
    <xf numFmtId="3" fontId="2" fillId="0" borderId="33" xfId="82" applyNumberFormat="1" applyFont="1" applyFill="1" applyBorder="1" applyAlignment="1">
      <alignment horizontal="right" vertical="center" wrapText="1" indent="1"/>
      <protection/>
    </xf>
    <xf numFmtId="49" fontId="3" fillId="0" borderId="22" xfId="82" applyNumberFormat="1" applyFont="1" applyFill="1" applyBorder="1" applyAlignment="1">
      <alignment horizontal="left" vertical="center" wrapText="1" indent="1"/>
      <protection/>
    </xf>
    <xf numFmtId="3" fontId="3" fillId="0" borderId="33" xfId="82" applyNumberFormat="1" applyFont="1" applyFill="1" applyBorder="1" applyAlignment="1">
      <alignment horizontal="right" vertical="center" wrapText="1" indent="1"/>
      <protection/>
    </xf>
    <xf numFmtId="49" fontId="2" fillId="0" borderId="24" xfId="82" applyNumberFormat="1" applyFont="1" applyFill="1" applyBorder="1" applyAlignment="1">
      <alignment horizontal="left" vertical="center" wrapText="1" indent="1"/>
      <protection/>
    </xf>
    <xf numFmtId="3" fontId="2" fillId="0" borderId="24" xfId="82" applyNumberFormat="1" applyFont="1" applyFill="1" applyBorder="1" applyAlignment="1">
      <alignment horizontal="right" vertical="center" wrapText="1" indent="1"/>
      <protection/>
    </xf>
    <xf numFmtId="3" fontId="2" fillId="0" borderId="44" xfId="82" applyNumberFormat="1" applyFont="1" applyFill="1" applyBorder="1" applyAlignment="1">
      <alignment horizontal="right" vertical="center" wrapText="1" indent="1"/>
      <protection/>
    </xf>
    <xf numFmtId="0" fontId="3" fillId="0" borderId="0" xfId="82" applyFont="1" applyFill="1" applyAlignment="1">
      <alignment horizontal="center"/>
      <protection/>
    </xf>
    <xf numFmtId="0" fontId="3" fillId="0" borderId="0" xfId="82" applyFont="1" applyFill="1">
      <alignment/>
      <protection/>
    </xf>
    <xf numFmtId="49" fontId="3" fillId="0" borderId="0" xfId="82" applyNumberFormat="1" applyFont="1" applyFill="1">
      <alignment/>
      <protection/>
    </xf>
    <xf numFmtId="49" fontId="3" fillId="0" borderId="0" xfId="82" applyNumberFormat="1" applyFont="1" applyFill="1">
      <alignment/>
      <protection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vertical="center"/>
    </xf>
    <xf numFmtId="49" fontId="2" fillId="0" borderId="22" xfId="0" applyNumberFormat="1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/>
    </xf>
    <xf numFmtId="0" fontId="2" fillId="0" borderId="45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168" fontId="3" fillId="0" borderId="0" xfId="0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 wrapText="1"/>
    </xf>
    <xf numFmtId="3" fontId="90" fillId="0" borderId="22" xfId="0" applyNumberFormat="1" applyFont="1" applyFill="1" applyBorder="1" applyAlignment="1">
      <alignment horizontal="right" vertical="center" wrapText="1" indent="1"/>
    </xf>
    <xf numFmtId="3" fontId="3" fillId="0" borderId="24" xfId="0" applyNumberFormat="1" applyFont="1" applyFill="1" applyBorder="1" applyAlignment="1">
      <alignment horizontal="right" vertical="center" indent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right" vertical="center" wrapText="1" inden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 wrapText="1" indent="1"/>
    </xf>
    <xf numFmtId="0" fontId="2" fillId="0" borderId="26" xfId="0" applyFont="1" applyFill="1" applyBorder="1" applyAlignment="1">
      <alignment horizontal="left" vertical="center" wrapText="1" indent="1"/>
    </xf>
    <xf numFmtId="3" fontId="3" fillId="0" borderId="26" xfId="0" applyNumberFormat="1" applyFont="1" applyFill="1" applyBorder="1" applyAlignment="1">
      <alignment horizontal="righ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right" vertical="center" wrapText="1" indent="1"/>
    </xf>
    <xf numFmtId="0" fontId="3" fillId="0" borderId="0" xfId="0" applyFont="1" applyFill="1" applyAlignment="1">
      <alignment horizontal="center" vertical="center" wrapText="1"/>
    </xf>
    <xf numFmtId="0" fontId="8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23" xfId="85" applyFont="1" applyFill="1" applyBorder="1" applyAlignment="1">
      <alignment horizontal="center" vertical="center" wrapText="1"/>
      <protection/>
    </xf>
    <xf numFmtId="49" fontId="2" fillId="0" borderId="22" xfId="85" applyNumberFormat="1" applyFont="1" applyFill="1" applyBorder="1" applyAlignment="1">
      <alignment horizontal="left" vertical="center" wrapText="1" indent="1"/>
      <protection/>
    </xf>
    <xf numFmtId="3" fontId="2" fillId="0" borderId="22" xfId="85" applyNumberFormat="1" applyFont="1" applyFill="1" applyBorder="1" applyAlignment="1">
      <alignment horizontal="right" vertical="center" wrapText="1" indent="1"/>
      <protection/>
    </xf>
    <xf numFmtId="3" fontId="2" fillId="0" borderId="21" xfId="85" applyNumberFormat="1" applyFont="1" applyFill="1" applyBorder="1" applyAlignment="1">
      <alignment horizontal="right" vertical="center" wrapText="1" indent="1"/>
      <protection/>
    </xf>
    <xf numFmtId="49" fontId="3" fillId="0" borderId="22" xfId="85" applyNumberFormat="1" applyFont="1" applyFill="1" applyBorder="1" applyAlignment="1">
      <alignment horizontal="left" vertical="center" wrapText="1" indent="1"/>
      <protection/>
    </xf>
    <xf numFmtId="3" fontId="3" fillId="0" borderId="22" xfId="85" applyNumberFormat="1" applyFont="1" applyFill="1" applyBorder="1" applyAlignment="1">
      <alignment horizontal="right" vertical="center" wrapText="1" indent="1"/>
      <protection/>
    </xf>
    <xf numFmtId="0" fontId="3" fillId="0" borderId="22" xfId="85" applyFont="1" applyFill="1" applyBorder="1" applyAlignment="1">
      <alignment horizontal="left" vertical="top" wrapText="1" indent="1"/>
      <protection/>
    </xf>
    <xf numFmtId="3" fontId="3" fillId="0" borderId="26" xfId="85" applyNumberFormat="1" applyFont="1" applyFill="1" applyBorder="1" applyAlignment="1">
      <alignment horizontal="right" vertical="center" wrapText="1" indent="1"/>
      <protection/>
    </xf>
    <xf numFmtId="0" fontId="3" fillId="0" borderId="26" xfId="85" applyFont="1" applyFill="1" applyBorder="1" applyAlignment="1">
      <alignment horizontal="left" vertical="top" wrapText="1" indent="1"/>
      <protection/>
    </xf>
    <xf numFmtId="0" fontId="3" fillId="0" borderId="27" xfId="85" applyFont="1" applyFill="1" applyBorder="1" applyAlignment="1">
      <alignment horizontal="center" vertical="center" wrapText="1"/>
      <protection/>
    </xf>
    <xf numFmtId="49" fontId="2" fillId="0" borderId="24" xfId="85" applyNumberFormat="1" applyFont="1" applyFill="1" applyBorder="1" applyAlignment="1">
      <alignment horizontal="left" vertical="center" wrapText="1" indent="1"/>
      <protection/>
    </xf>
    <xf numFmtId="3" fontId="2" fillId="0" borderId="24" xfId="85" applyNumberFormat="1" applyFont="1" applyFill="1" applyBorder="1" applyAlignment="1">
      <alignment horizontal="right" vertical="center" wrapText="1" indent="1"/>
      <protection/>
    </xf>
    <xf numFmtId="3" fontId="2" fillId="0" borderId="24" xfId="85" applyNumberFormat="1" applyFont="1" applyFill="1" applyBorder="1" applyAlignment="1">
      <alignment horizontal="right" vertical="center" wrapText="1" indent="1"/>
      <protection/>
    </xf>
    <xf numFmtId="3" fontId="2" fillId="0" borderId="35" xfId="85" applyNumberFormat="1" applyFont="1" applyFill="1" applyBorder="1" applyAlignment="1">
      <alignment horizontal="right" vertical="center" wrapText="1" indent="1"/>
      <protection/>
    </xf>
    <xf numFmtId="3" fontId="3" fillId="0" borderId="0" xfId="0" applyNumberFormat="1" applyFont="1" applyFill="1" applyBorder="1" applyAlignment="1">
      <alignment vertical="center" wrapText="1"/>
    </xf>
    <xf numFmtId="3" fontId="2" fillId="0" borderId="26" xfId="0" applyNumberFormat="1" applyFont="1" applyFill="1" applyBorder="1" applyAlignment="1">
      <alignment horizontal="right" vertical="center" wrapText="1" indent="1"/>
    </xf>
    <xf numFmtId="49" fontId="2" fillId="0" borderId="22" xfId="0" applyNumberFormat="1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left" vertical="center" wrapText="1" indent="1"/>
    </xf>
    <xf numFmtId="3" fontId="3" fillId="0" borderId="46" xfId="0" applyNumberFormat="1" applyFont="1" applyFill="1" applyBorder="1" applyAlignment="1">
      <alignment horizontal="right" vertical="center" wrapText="1" indent="1"/>
    </xf>
    <xf numFmtId="3" fontId="3" fillId="0" borderId="35" xfId="0" applyNumberFormat="1" applyFont="1" applyFill="1" applyBorder="1" applyAlignment="1">
      <alignment horizontal="right" vertical="center" wrapText="1" indent="1"/>
    </xf>
    <xf numFmtId="0" fontId="90" fillId="0" borderId="21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3" fontId="3" fillId="0" borderId="36" xfId="0" applyNumberFormat="1" applyFont="1" applyFill="1" applyBorder="1" applyAlignment="1">
      <alignment horizontal="right" vertical="center" wrapText="1" indent="1"/>
    </xf>
    <xf numFmtId="3" fontId="2" fillId="0" borderId="47" xfId="0" applyNumberFormat="1" applyFont="1" applyFill="1" applyBorder="1" applyAlignment="1">
      <alignment horizontal="right" vertical="center" wrapText="1" indent="1"/>
    </xf>
    <xf numFmtId="3" fontId="3" fillId="0" borderId="48" xfId="0" applyNumberFormat="1" applyFont="1" applyFill="1" applyBorder="1" applyAlignment="1">
      <alignment horizontal="right" vertical="center" wrapText="1" indent="1"/>
    </xf>
    <xf numFmtId="0" fontId="3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left" vertical="center" wrapText="1" indent="1"/>
    </xf>
    <xf numFmtId="3" fontId="3" fillId="0" borderId="51" xfId="0" applyNumberFormat="1" applyFont="1" applyFill="1" applyBorder="1" applyAlignment="1">
      <alignment horizontal="right" vertical="center" wrapText="1" indent="1"/>
    </xf>
    <xf numFmtId="49" fontId="21" fillId="0" borderId="0" xfId="0" applyNumberFormat="1" applyFont="1" applyFill="1" applyAlignment="1">
      <alignment/>
    </xf>
    <xf numFmtId="3" fontId="2" fillId="0" borderId="0" xfId="87" applyNumberFormat="1" applyFont="1" applyFill="1" applyBorder="1" applyAlignment="1">
      <alignment vertical="center" wrapText="1"/>
      <protection/>
    </xf>
    <xf numFmtId="0" fontId="92" fillId="0" borderId="22" xfId="87" applyFont="1" applyFill="1" applyBorder="1" applyAlignment="1">
      <alignment horizontal="center" vertical="center" wrapText="1"/>
      <protection/>
    </xf>
    <xf numFmtId="0" fontId="2" fillId="0" borderId="22" xfId="87" applyFont="1" applyFill="1" applyBorder="1" applyAlignment="1">
      <alignment horizontal="center" vertical="center" wrapText="1"/>
      <protection/>
    </xf>
    <xf numFmtId="0" fontId="2" fillId="0" borderId="21" xfId="87" applyFont="1" applyFill="1" applyBorder="1" applyAlignment="1">
      <alignment horizontal="center" vertical="center" wrapText="1"/>
      <protection/>
    </xf>
    <xf numFmtId="3" fontId="2" fillId="0" borderId="0" xfId="87" applyNumberFormat="1" applyFont="1" applyFill="1" applyBorder="1" applyAlignment="1">
      <alignment horizontal="center" vertical="center" wrapText="1"/>
      <protection/>
    </xf>
    <xf numFmtId="3" fontId="3" fillId="0" borderId="23" xfId="87" applyNumberFormat="1" applyFont="1" applyFill="1" applyBorder="1" applyAlignment="1">
      <alignment vertical="center" wrapText="1"/>
      <protection/>
    </xf>
    <xf numFmtId="3" fontId="3" fillId="0" borderId="22" xfId="87" applyNumberFormat="1" applyFont="1" applyFill="1" applyBorder="1" applyAlignment="1">
      <alignment horizontal="center" vertical="center" wrapText="1"/>
      <protection/>
    </xf>
    <xf numFmtId="3" fontId="3" fillId="0" borderId="0" xfId="87" applyNumberFormat="1" applyFont="1" applyFill="1" applyBorder="1" applyAlignment="1">
      <alignment horizontal="center" vertical="center" wrapText="1"/>
      <protection/>
    </xf>
    <xf numFmtId="3" fontId="3" fillId="0" borderId="21" xfId="87" applyNumberFormat="1" applyFont="1" applyFill="1" applyBorder="1" applyAlignment="1">
      <alignment horizontal="center" vertical="center" wrapText="1"/>
      <protection/>
    </xf>
    <xf numFmtId="3" fontId="3" fillId="0" borderId="0" xfId="87" applyNumberFormat="1" applyFont="1" applyFill="1" applyBorder="1" applyAlignment="1">
      <alignment vertical="center" wrapText="1"/>
      <protection/>
    </xf>
    <xf numFmtId="3" fontId="3" fillId="0" borderId="27" xfId="87" applyNumberFormat="1" applyFont="1" applyFill="1" applyBorder="1" applyAlignment="1">
      <alignment horizontal="center" vertical="center" wrapText="1"/>
      <protection/>
    </xf>
    <xf numFmtId="3" fontId="2" fillId="0" borderId="24" xfId="87" applyNumberFormat="1" applyFont="1" applyFill="1" applyBorder="1" applyAlignment="1">
      <alignment horizontal="right" vertical="center" wrapText="1" indent="1"/>
      <protection/>
    </xf>
    <xf numFmtId="3" fontId="2" fillId="0" borderId="35" xfId="87" applyNumberFormat="1" applyFont="1" applyFill="1" applyBorder="1" applyAlignment="1">
      <alignment horizontal="right" vertical="center" wrapText="1" indent="1"/>
      <protection/>
    </xf>
    <xf numFmtId="3" fontId="88" fillId="0" borderId="0" xfId="87" applyNumberFormat="1" applyFont="1" applyFill="1" applyBorder="1" applyAlignment="1">
      <alignment vertical="center" wrapText="1"/>
      <protection/>
    </xf>
    <xf numFmtId="3" fontId="3" fillId="0" borderId="0" xfId="87" applyNumberFormat="1" applyFont="1" applyFill="1" applyBorder="1" applyAlignment="1">
      <alignment horizontal="left" vertical="center" wrapText="1"/>
      <protection/>
    </xf>
    <xf numFmtId="3" fontId="3" fillId="0" borderId="0" xfId="87" applyNumberFormat="1" applyFont="1" applyFill="1" applyBorder="1" applyAlignment="1">
      <alignment vertical="center"/>
      <protection/>
    </xf>
    <xf numFmtId="3" fontId="3" fillId="0" borderId="0" xfId="87" applyNumberFormat="1" applyFont="1" applyFill="1" applyBorder="1" applyAlignment="1">
      <alignment horizontal="right" vertical="center" wrapText="1"/>
      <protection/>
    </xf>
    <xf numFmtId="4" fontId="3" fillId="0" borderId="0" xfId="87" applyNumberFormat="1" applyFont="1" applyFill="1" applyBorder="1" applyAlignment="1">
      <alignment vertical="center" wrapText="1"/>
      <protection/>
    </xf>
    <xf numFmtId="0" fontId="3" fillId="0" borderId="0" xfId="86" applyFont="1" applyFill="1" applyAlignment="1">
      <alignment vertical="center" wrapText="1"/>
      <protection/>
    </xf>
    <xf numFmtId="3" fontId="2" fillId="0" borderId="0" xfId="86" applyNumberFormat="1" applyFont="1" applyFill="1" applyBorder="1" applyAlignment="1">
      <alignment horizontal="left" vertical="center" wrapText="1"/>
      <protection/>
    </xf>
    <xf numFmtId="3" fontId="2" fillId="0" borderId="52" xfId="86" applyNumberFormat="1" applyFont="1" applyFill="1" applyBorder="1" applyAlignment="1">
      <alignment horizontal="left" vertical="center" wrapText="1"/>
      <protection/>
    </xf>
    <xf numFmtId="0" fontId="2" fillId="0" borderId="30" xfId="86" applyFont="1" applyFill="1" applyBorder="1" applyAlignment="1">
      <alignment horizontal="center" vertical="center" wrapText="1"/>
      <protection/>
    </xf>
    <xf numFmtId="0" fontId="2" fillId="0" borderId="31" xfId="86" applyFont="1" applyFill="1" applyBorder="1" applyAlignment="1">
      <alignment horizontal="center" vertical="center" wrapText="1"/>
      <protection/>
    </xf>
    <xf numFmtId="0" fontId="2" fillId="0" borderId="0" xfId="86" applyFont="1" applyFill="1" applyAlignment="1">
      <alignment horizontal="center" vertical="center" wrapText="1"/>
      <protection/>
    </xf>
    <xf numFmtId="0" fontId="18" fillId="0" borderId="40" xfId="84" applyFont="1" applyFill="1" applyBorder="1" applyAlignment="1">
      <alignment horizontal="left" indent="1"/>
      <protection/>
    </xf>
    <xf numFmtId="0" fontId="18" fillId="0" borderId="36" xfId="84" applyFont="1" applyFill="1" applyBorder="1">
      <alignment/>
      <protection/>
    </xf>
    <xf numFmtId="49" fontId="18" fillId="0" borderId="41" xfId="84" applyNumberFormat="1" applyFont="1" applyFill="1" applyBorder="1" applyAlignment="1">
      <alignment horizontal="center"/>
      <protection/>
    </xf>
    <xf numFmtId="3" fontId="3" fillId="0" borderId="36" xfId="86" applyNumberFormat="1" applyFont="1" applyFill="1" applyBorder="1" applyAlignment="1">
      <alignment horizontal="right" vertical="center" wrapText="1" indent="1"/>
      <protection/>
    </xf>
    <xf numFmtId="3" fontId="3" fillId="0" borderId="41" xfId="86" applyNumberFormat="1" applyFont="1" applyFill="1" applyBorder="1" applyAlignment="1">
      <alignment horizontal="right" vertical="center" wrapText="1" indent="1"/>
      <protection/>
    </xf>
    <xf numFmtId="3" fontId="2" fillId="0" borderId="53" xfId="0" applyNumberFormat="1" applyFont="1" applyFill="1" applyBorder="1" applyAlignment="1">
      <alignment horizontal="right" vertical="center" wrapText="1" indent="1"/>
    </xf>
    <xf numFmtId="0" fontId="18" fillId="0" borderId="22" xfId="84" applyFont="1" applyFill="1" applyBorder="1">
      <alignment/>
      <protection/>
    </xf>
    <xf numFmtId="49" fontId="18" fillId="0" borderId="32" xfId="84" applyNumberFormat="1" applyFont="1" applyFill="1" applyBorder="1" applyAlignment="1">
      <alignment horizontal="center"/>
      <protection/>
    </xf>
    <xf numFmtId="3" fontId="3" fillId="0" borderId="22" xfId="86" applyNumberFormat="1" applyFont="1" applyFill="1" applyBorder="1" applyAlignment="1">
      <alignment horizontal="right" vertical="center" wrapText="1" indent="1"/>
      <protection/>
    </xf>
    <xf numFmtId="3" fontId="3" fillId="0" borderId="32" xfId="86" applyNumberFormat="1" applyFont="1" applyFill="1" applyBorder="1" applyAlignment="1">
      <alignment horizontal="right" vertical="center" wrapText="1" indent="1"/>
      <protection/>
    </xf>
    <xf numFmtId="3" fontId="2" fillId="0" borderId="54" xfId="0" applyNumberFormat="1" applyFont="1" applyFill="1" applyBorder="1" applyAlignment="1">
      <alignment horizontal="right" vertical="center" wrapText="1" indent="1"/>
    </xf>
    <xf numFmtId="0" fontId="18" fillId="0" borderId="22" xfId="84" applyFont="1" applyFill="1" applyBorder="1" applyAlignment="1">
      <alignment vertical="center"/>
      <protection/>
    </xf>
    <xf numFmtId="3" fontId="3" fillId="0" borderId="55" xfId="86" applyNumberFormat="1" applyFont="1" applyFill="1" applyBorder="1" applyAlignment="1">
      <alignment horizontal="right" vertical="center" wrapText="1" indent="1"/>
      <protection/>
    </xf>
    <xf numFmtId="49" fontId="41" fillId="0" borderId="32" xfId="84" applyNumberFormat="1" applyFont="1" applyFill="1" applyBorder="1" applyAlignment="1">
      <alignment horizontal="center"/>
      <protection/>
    </xf>
    <xf numFmtId="3" fontId="2" fillId="0" borderId="41" xfId="0" applyNumberFormat="1" applyFont="1" applyFill="1" applyBorder="1" applyAlignment="1">
      <alignment horizontal="right" vertical="center" wrapText="1" indent="1"/>
    </xf>
    <xf numFmtId="3" fontId="2" fillId="0" borderId="32" xfId="0" applyNumberFormat="1" applyFont="1" applyFill="1" applyBorder="1" applyAlignment="1">
      <alignment horizontal="right" vertical="center" wrapText="1" indent="1"/>
    </xf>
    <xf numFmtId="3" fontId="2" fillId="0" borderId="48" xfId="0" applyNumberFormat="1" applyFont="1" applyFill="1" applyBorder="1" applyAlignment="1">
      <alignment horizontal="right" vertical="center" wrapText="1" indent="1"/>
    </xf>
    <xf numFmtId="0" fontId="3" fillId="0" borderId="40" xfId="84" applyFont="1" applyFill="1" applyBorder="1" applyAlignment="1">
      <alignment horizontal="left" indent="1"/>
      <protection/>
    </xf>
    <xf numFmtId="0" fontId="3" fillId="0" borderId="36" xfId="84" applyFont="1" applyFill="1" applyBorder="1">
      <alignment/>
      <protection/>
    </xf>
    <xf numFmtId="49" fontId="3" fillId="0" borderId="41" xfId="84" applyNumberFormat="1" applyFont="1" applyFill="1" applyBorder="1" applyAlignment="1">
      <alignment horizontal="center"/>
      <protection/>
    </xf>
    <xf numFmtId="3" fontId="2" fillId="0" borderId="42" xfId="0" applyNumberFormat="1" applyFont="1" applyFill="1" applyBorder="1" applyAlignment="1">
      <alignment horizontal="right" vertical="center" wrapText="1" indent="1"/>
    </xf>
    <xf numFmtId="0" fontId="3" fillId="0" borderId="22" xfId="84" applyFont="1" applyFill="1" applyBorder="1">
      <alignment/>
      <protection/>
    </xf>
    <xf numFmtId="49" fontId="3" fillId="0" borderId="32" xfId="84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78" fillId="0" borderId="26" xfId="84" applyFont="1" applyFill="1" applyBorder="1">
      <alignment/>
      <protection/>
    </xf>
    <xf numFmtId="3" fontId="3" fillId="0" borderId="26" xfId="86" applyNumberFormat="1" applyFont="1" applyFill="1" applyBorder="1" applyAlignment="1">
      <alignment horizontal="right" vertical="center" wrapText="1" indent="1"/>
      <protection/>
    </xf>
    <xf numFmtId="0" fontId="3" fillId="0" borderId="26" xfId="84" applyFont="1" applyFill="1" applyBorder="1">
      <alignment/>
      <protection/>
    </xf>
    <xf numFmtId="49" fontId="3" fillId="0" borderId="55" xfId="84" applyNumberFormat="1" applyFont="1" applyFill="1" applyBorder="1" applyAlignment="1">
      <alignment horizontal="center"/>
      <protection/>
    </xf>
    <xf numFmtId="3" fontId="2" fillId="0" borderId="46" xfId="0" applyNumberFormat="1" applyFont="1" applyFill="1" applyBorder="1" applyAlignment="1">
      <alignment horizontal="right" vertical="center" wrapText="1" indent="1"/>
    </xf>
    <xf numFmtId="49" fontId="41" fillId="0" borderId="56" xfId="84" applyNumberFormat="1" applyFont="1" applyFill="1" applyBorder="1" applyAlignment="1">
      <alignment horizontal="center" vertical="center"/>
      <protection/>
    </xf>
    <xf numFmtId="3" fontId="2" fillId="0" borderId="30" xfId="0" applyNumberFormat="1" applyFont="1" applyFill="1" applyBorder="1" applyAlignment="1">
      <alignment horizontal="right" vertical="center" wrapText="1" indent="1"/>
    </xf>
    <xf numFmtId="3" fontId="2" fillId="0" borderId="31" xfId="0" applyNumberFormat="1" applyFont="1" applyFill="1" applyBorder="1" applyAlignment="1">
      <alignment horizontal="right" vertical="center" wrapText="1" indent="1"/>
    </xf>
    <xf numFmtId="0" fontId="0" fillId="0" borderId="0" xfId="0" applyNumberFormat="1" applyFill="1" applyAlignment="1">
      <alignment vertical="center" wrapText="1"/>
    </xf>
    <xf numFmtId="0" fontId="0" fillId="0" borderId="0" xfId="84" applyFill="1" applyProtection="1">
      <alignment/>
      <protection/>
    </xf>
    <xf numFmtId="171" fontId="2" fillId="0" borderId="57" xfId="84" applyNumberFormat="1" applyFont="1" applyFill="1" applyBorder="1" applyAlignment="1" applyProtection="1">
      <alignment horizontal="center" vertical="center" wrapText="1"/>
      <protection/>
    </xf>
    <xf numFmtId="171" fontId="2" fillId="0" borderId="26" xfId="84" applyNumberFormat="1" applyFont="1" applyFill="1" applyBorder="1" applyAlignment="1" applyProtection="1">
      <alignment horizontal="center" vertical="center"/>
      <protection/>
    </xf>
    <xf numFmtId="171" fontId="2" fillId="0" borderId="46" xfId="84" applyNumberFormat="1" applyFont="1" applyFill="1" applyBorder="1" applyAlignment="1" applyProtection="1">
      <alignment horizontal="center" vertical="center"/>
      <protection/>
    </xf>
    <xf numFmtId="0" fontId="3" fillId="0" borderId="30" xfId="84" applyFont="1" applyFill="1" applyBorder="1" applyAlignment="1" applyProtection="1">
      <alignment horizontal="center"/>
      <protection/>
    </xf>
    <xf numFmtId="171" fontId="3" fillId="0" borderId="56" xfId="84" applyNumberFormat="1" applyFont="1" applyFill="1" applyBorder="1" applyAlignment="1" applyProtection="1">
      <alignment horizontal="center"/>
      <protection/>
    </xf>
    <xf numFmtId="171" fontId="3" fillId="0" borderId="30" xfId="84" applyNumberFormat="1" applyFont="1" applyFill="1" applyBorder="1" applyAlignment="1" applyProtection="1">
      <alignment horizontal="center"/>
      <protection/>
    </xf>
    <xf numFmtId="171" fontId="3" fillId="0" borderId="31" xfId="84" applyNumberFormat="1" applyFont="1" applyFill="1" applyBorder="1" applyAlignment="1" applyProtection="1">
      <alignment horizontal="center"/>
      <protection/>
    </xf>
    <xf numFmtId="49" fontId="2" fillId="0" borderId="36" xfId="84" applyNumberFormat="1" applyFont="1" applyFill="1" applyBorder="1" applyAlignment="1" applyProtection="1">
      <alignment horizontal="center"/>
      <protection/>
    </xf>
    <xf numFmtId="3" fontId="2" fillId="0" borderId="36" xfId="0" applyNumberFormat="1" applyFont="1" applyFill="1" applyBorder="1" applyAlignment="1">
      <alignment horizontal="right" vertical="center" wrapText="1" indent="1"/>
    </xf>
    <xf numFmtId="0" fontId="2" fillId="0" borderId="34" xfId="84" applyFont="1" applyFill="1" applyBorder="1" applyAlignment="1" applyProtection="1">
      <alignment horizontal="center" wrapText="1"/>
      <protection/>
    </xf>
    <xf numFmtId="0" fontId="2" fillId="0" borderId="58" xfId="84" applyFont="1" applyFill="1" applyBorder="1" applyAlignment="1" applyProtection="1">
      <alignment wrapText="1"/>
      <protection/>
    </xf>
    <xf numFmtId="49" fontId="2" fillId="0" borderId="22" xfId="84" applyNumberFormat="1" applyFont="1" applyFill="1" applyBorder="1" applyAlignment="1" applyProtection="1">
      <alignment horizontal="center"/>
      <protection/>
    </xf>
    <xf numFmtId="0" fontId="3" fillId="0" borderId="43" xfId="84" applyFont="1" applyFill="1" applyBorder="1" applyAlignment="1" applyProtection="1">
      <alignment wrapText="1"/>
      <protection/>
    </xf>
    <xf numFmtId="49" fontId="3" fillId="0" borderId="22" xfId="84" applyNumberFormat="1" applyFont="1" applyFill="1" applyBorder="1" applyAlignment="1" applyProtection="1">
      <alignment horizontal="center"/>
      <protection/>
    </xf>
    <xf numFmtId="3" fontId="3" fillId="0" borderId="21" xfId="86" applyNumberFormat="1" applyFont="1" applyFill="1" applyBorder="1" applyAlignment="1">
      <alignment horizontal="right" vertical="center" wrapText="1" indent="1"/>
      <protection/>
    </xf>
    <xf numFmtId="0" fontId="2" fillId="0" borderId="22" xfId="84" applyFont="1" applyFill="1" applyBorder="1" applyAlignment="1" applyProtection="1">
      <alignment wrapText="1"/>
      <protection/>
    </xf>
    <xf numFmtId="0" fontId="2" fillId="0" borderId="59" xfId="84" applyFont="1" applyFill="1" applyBorder="1" applyAlignment="1" applyProtection="1">
      <alignment vertical="top" wrapText="1"/>
      <protection/>
    </xf>
    <xf numFmtId="0" fontId="3" fillId="0" borderId="22" xfId="84" applyFont="1" applyFill="1" applyBorder="1" applyAlignment="1" applyProtection="1">
      <alignment wrapText="1"/>
      <protection/>
    </xf>
    <xf numFmtId="0" fontId="2" fillId="0" borderId="40" xfId="84" applyFont="1" applyFill="1" applyBorder="1" applyAlignment="1" applyProtection="1">
      <alignment vertical="top" wrapText="1"/>
      <protection/>
    </xf>
    <xf numFmtId="0" fontId="3" fillId="0" borderId="22" xfId="84" applyFont="1" applyFill="1" applyBorder="1" applyAlignment="1" applyProtection="1">
      <alignment vertical="center" wrapText="1"/>
      <protection/>
    </xf>
    <xf numFmtId="0" fontId="2" fillId="0" borderId="27" xfId="84" applyFont="1" applyFill="1" applyBorder="1" applyAlignment="1" applyProtection="1">
      <alignment vertical="top" wrapText="1"/>
      <protection/>
    </xf>
    <xf numFmtId="0" fontId="3" fillId="0" borderId="24" xfId="84" applyFont="1" applyFill="1" applyBorder="1" applyAlignment="1" applyProtection="1">
      <alignment wrapText="1"/>
      <protection/>
    </xf>
    <xf numFmtId="49" fontId="3" fillId="0" borderId="24" xfId="84" applyNumberFormat="1" applyFont="1" applyFill="1" applyBorder="1" applyAlignment="1" applyProtection="1">
      <alignment horizontal="center"/>
      <protection/>
    </xf>
    <xf numFmtId="3" fontId="3" fillId="0" borderId="24" xfId="86" applyNumberFormat="1" applyFont="1" applyFill="1" applyBorder="1" applyAlignment="1">
      <alignment horizontal="right" vertical="center" wrapText="1" indent="1"/>
      <protection/>
    </xf>
    <xf numFmtId="3" fontId="3" fillId="0" borderId="35" xfId="86" applyNumberFormat="1" applyFont="1" applyFill="1" applyBorder="1" applyAlignment="1">
      <alignment horizontal="right" vertical="center" wrapText="1" indent="1"/>
      <protection/>
    </xf>
    <xf numFmtId="0" fontId="0" fillId="0" borderId="0" xfId="84" applyFill="1" applyAlignment="1" applyProtection="1">
      <alignment wrapText="1"/>
      <protection/>
    </xf>
    <xf numFmtId="0" fontId="0" fillId="0" borderId="0" xfId="84" applyFill="1" applyAlignment="1" applyProtection="1">
      <alignment horizontal="center"/>
      <protection/>
    </xf>
    <xf numFmtId="171" fontId="46" fillId="0" borderId="0" xfId="84" applyNumberFormat="1" applyFont="1" applyFill="1" applyProtection="1">
      <alignment/>
      <protection/>
    </xf>
    <xf numFmtId="0" fontId="0" fillId="0" borderId="0" xfId="84" applyFill="1">
      <alignment/>
      <protection/>
    </xf>
    <xf numFmtId="3" fontId="2" fillId="0" borderId="42" xfId="84" applyNumberFormat="1" applyFont="1" applyFill="1" applyBorder="1" applyAlignment="1">
      <alignment horizontal="center" vertical="center" wrapText="1"/>
      <protection/>
    </xf>
    <xf numFmtId="3" fontId="2" fillId="0" borderId="26" xfId="84" applyNumberFormat="1" applyFont="1" applyFill="1" applyBorder="1" applyAlignment="1">
      <alignment horizontal="center" vertical="center"/>
      <protection/>
    </xf>
    <xf numFmtId="3" fontId="2" fillId="0" borderId="46" xfId="84" applyNumberFormat="1" applyFont="1" applyFill="1" applyBorder="1" applyAlignment="1">
      <alignment horizontal="center" vertical="center"/>
      <protection/>
    </xf>
    <xf numFmtId="0" fontId="3" fillId="0" borderId="30" xfId="84" applyFont="1" applyFill="1" applyBorder="1" applyAlignment="1">
      <alignment horizontal="center" vertical="center"/>
      <protection/>
    </xf>
    <xf numFmtId="3" fontId="3" fillId="0" borderId="30" xfId="84" applyNumberFormat="1" applyFont="1" applyFill="1" applyBorder="1" applyAlignment="1">
      <alignment horizontal="center" vertical="center"/>
      <protection/>
    </xf>
    <xf numFmtId="3" fontId="3" fillId="0" borderId="31" xfId="84" applyNumberFormat="1" applyFont="1" applyFill="1" applyBorder="1" applyAlignment="1">
      <alignment horizontal="center" vertical="center"/>
      <protection/>
    </xf>
    <xf numFmtId="49" fontId="2" fillId="0" borderId="36" xfId="84" applyNumberFormat="1" applyFont="1" applyFill="1" applyBorder="1" applyAlignment="1">
      <alignment horizontal="center" vertical="center"/>
      <protection/>
    </xf>
    <xf numFmtId="3" fontId="2" fillId="0" borderId="36" xfId="0" applyNumberFormat="1" applyFont="1" applyFill="1" applyBorder="1" applyAlignment="1">
      <alignment horizontal="right" vertical="center" indent="1"/>
    </xf>
    <xf numFmtId="3" fontId="2" fillId="0" borderId="42" xfId="0" applyNumberFormat="1" applyFont="1" applyFill="1" applyBorder="1" applyAlignment="1">
      <alignment horizontal="right" vertical="center" indent="1"/>
    </xf>
    <xf numFmtId="0" fontId="2" fillId="0" borderId="34" xfId="84" applyFont="1" applyFill="1" applyBorder="1" applyAlignment="1">
      <alignment horizontal="center" vertical="center" wrapText="1"/>
      <protection/>
    </xf>
    <xf numFmtId="49" fontId="2" fillId="0" borderId="22" xfId="84" applyNumberFormat="1" applyFont="1" applyFill="1" applyBorder="1" applyAlignment="1">
      <alignment horizontal="center" vertical="center"/>
      <protection/>
    </xf>
    <xf numFmtId="0" fontId="2" fillId="0" borderId="40" xfId="84" applyFont="1" applyFill="1" applyBorder="1" applyAlignment="1">
      <alignment horizontal="center" vertical="center" wrapText="1"/>
      <protection/>
    </xf>
    <xf numFmtId="0" fontId="3" fillId="0" borderId="22" xfId="84" applyFont="1" applyFill="1" applyBorder="1" applyAlignment="1">
      <alignment vertical="center" wrapText="1"/>
      <protection/>
    </xf>
    <xf numFmtId="49" fontId="3" fillId="0" borderId="32" xfId="84" applyNumberFormat="1" applyFont="1" applyFill="1" applyBorder="1" applyAlignment="1">
      <alignment horizontal="center" vertical="center"/>
      <protection/>
    </xf>
    <xf numFmtId="3" fontId="2" fillId="0" borderId="22" xfId="84" applyNumberFormat="1" applyFont="1" applyFill="1" applyBorder="1" applyAlignment="1">
      <alignment horizontal="right" vertical="center" indent="1"/>
      <protection/>
    </xf>
    <xf numFmtId="3" fontId="2" fillId="0" borderId="43" xfId="84" applyNumberFormat="1" applyFont="1" applyFill="1" applyBorder="1" applyAlignment="1">
      <alignment horizontal="right" vertical="center" indent="1"/>
      <protection/>
    </xf>
    <xf numFmtId="3" fontId="2" fillId="0" borderId="33" xfId="84" applyNumberFormat="1" applyFont="1" applyFill="1" applyBorder="1" applyAlignment="1">
      <alignment horizontal="right" vertical="center" indent="1"/>
      <protection/>
    </xf>
    <xf numFmtId="0" fontId="2" fillId="0" borderId="23" xfId="84" applyFont="1" applyFill="1" applyBorder="1" applyAlignment="1">
      <alignment horizontal="center" vertical="center" wrapText="1"/>
      <protection/>
    </xf>
    <xf numFmtId="49" fontId="2" fillId="0" borderId="32" xfId="84" applyNumberFormat="1" applyFont="1" applyFill="1" applyBorder="1" applyAlignment="1">
      <alignment horizontal="center" vertical="center"/>
      <protection/>
    </xf>
    <xf numFmtId="0" fontId="2" fillId="0" borderId="59" xfId="84" applyFont="1" applyFill="1" applyBorder="1" applyAlignment="1">
      <alignment horizontal="center" vertical="center" wrapText="1"/>
      <protection/>
    </xf>
    <xf numFmtId="0" fontId="78" fillId="0" borderId="36" xfId="84" applyFont="1" applyFill="1" applyBorder="1" applyAlignment="1">
      <alignment vertical="center" wrapText="1"/>
      <protection/>
    </xf>
    <xf numFmtId="3" fontId="2" fillId="0" borderId="33" xfId="0" applyNumberFormat="1" applyFont="1" applyFill="1" applyBorder="1" applyAlignment="1">
      <alignment horizontal="right" vertical="center" indent="1"/>
    </xf>
    <xf numFmtId="0" fontId="3" fillId="0" borderId="36" xfId="84" applyFont="1" applyFill="1" applyBorder="1" applyAlignment="1">
      <alignment vertical="center" wrapText="1"/>
      <protection/>
    </xf>
    <xf numFmtId="0" fontId="3" fillId="0" borderId="26" xfId="84" applyFont="1" applyFill="1" applyBorder="1" applyAlignment="1">
      <alignment vertical="center" wrapText="1"/>
      <protection/>
    </xf>
    <xf numFmtId="49" fontId="3" fillId="0" borderId="55" xfId="84" applyNumberFormat="1" applyFont="1" applyFill="1" applyBorder="1" applyAlignment="1">
      <alignment horizontal="center" vertical="center"/>
      <protection/>
    </xf>
    <xf numFmtId="3" fontId="2" fillId="0" borderId="24" xfId="84" applyNumberFormat="1" applyFont="1" applyFill="1" applyBorder="1" applyAlignment="1">
      <alignment horizontal="right" vertical="center" indent="1"/>
      <protection/>
    </xf>
    <xf numFmtId="3" fontId="2" fillId="0" borderId="60" xfId="84" applyNumberFormat="1" applyFont="1" applyFill="1" applyBorder="1" applyAlignment="1">
      <alignment horizontal="right" vertical="center" indent="1"/>
      <protection/>
    </xf>
    <xf numFmtId="3" fontId="2" fillId="0" borderId="44" xfId="84" applyNumberFormat="1" applyFont="1" applyFill="1" applyBorder="1" applyAlignment="1">
      <alignment horizontal="right" vertical="center" indent="1"/>
      <protection/>
    </xf>
    <xf numFmtId="49" fontId="2" fillId="0" borderId="56" xfId="84" applyNumberFormat="1" applyFont="1" applyFill="1" applyBorder="1" applyAlignment="1">
      <alignment horizontal="center" vertical="center"/>
      <protection/>
    </xf>
    <xf numFmtId="3" fontId="2" fillId="0" borderId="30" xfId="0" applyNumberFormat="1" applyFont="1" applyFill="1" applyBorder="1" applyAlignment="1">
      <alignment horizontal="right" vertical="center" indent="1"/>
    </xf>
    <xf numFmtId="3" fontId="2" fillId="0" borderId="31" xfId="0" applyNumberFormat="1" applyFont="1" applyFill="1" applyBorder="1" applyAlignment="1">
      <alignment horizontal="right" vertical="center" indent="1"/>
    </xf>
    <xf numFmtId="49" fontId="3" fillId="0" borderId="41" xfId="84" applyNumberFormat="1" applyFont="1" applyFill="1" applyBorder="1" applyAlignment="1">
      <alignment horizontal="center" vertical="center"/>
      <protection/>
    </xf>
    <xf numFmtId="3" fontId="2" fillId="0" borderId="25" xfId="84" applyNumberFormat="1" applyFont="1" applyFill="1" applyBorder="1" applyAlignment="1">
      <alignment horizontal="right" vertical="center" indent="1"/>
      <protection/>
    </xf>
    <xf numFmtId="3" fontId="2" fillId="0" borderId="61" xfId="84" applyNumberFormat="1" applyFont="1" applyFill="1" applyBorder="1" applyAlignment="1">
      <alignment horizontal="right" vertical="center" indent="1"/>
      <protection/>
    </xf>
    <xf numFmtId="3" fontId="2" fillId="0" borderId="62" xfId="84" applyNumberFormat="1" applyFont="1" applyFill="1" applyBorder="1" applyAlignment="1">
      <alignment horizontal="right" vertical="center" indent="1"/>
      <protection/>
    </xf>
    <xf numFmtId="49" fontId="3" fillId="0" borderId="56" xfId="84" applyNumberFormat="1" applyFont="1" applyFill="1" applyBorder="1" applyAlignment="1">
      <alignment horizontal="center" vertical="center"/>
      <protection/>
    </xf>
    <xf numFmtId="0" fontId="0" fillId="0" borderId="0" xfId="84" applyFill="1" applyAlignment="1">
      <alignment wrapText="1"/>
      <protection/>
    </xf>
    <xf numFmtId="0" fontId="0" fillId="0" borderId="0" xfId="84" applyFill="1" applyAlignment="1">
      <alignment horizontal="center"/>
      <protection/>
    </xf>
    <xf numFmtId="3" fontId="46" fillId="0" borderId="0" xfId="84" applyNumberFormat="1" applyFont="1" applyFill="1">
      <alignment/>
      <protection/>
    </xf>
    <xf numFmtId="0" fontId="18" fillId="0" borderId="30" xfId="84" applyFont="1" applyFill="1" applyBorder="1" applyAlignment="1">
      <alignment horizontal="center"/>
      <protection/>
    </xf>
    <xf numFmtId="164" fontId="2" fillId="0" borderId="25" xfId="61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 horizontal="right" vertical="center" indent="1"/>
    </xf>
    <xf numFmtId="0" fontId="0" fillId="0" borderId="0" xfId="84" applyFill="1" applyBorder="1" applyAlignment="1">
      <alignment/>
      <protection/>
    </xf>
    <xf numFmtId="0" fontId="0" fillId="0" borderId="0" xfId="84" applyFill="1" applyAlignment="1">
      <alignment/>
      <protection/>
    </xf>
    <xf numFmtId="0" fontId="2" fillId="0" borderId="34" xfId="84" applyFont="1" applyFill="1" applyBorder="1" applyAlignment="1">
      <alignment vertical="center" wrapText="1"/>
      <protection/>
    </xf>
    <xf numFmtId="164" fontId="2" fillId="0" borderId="22" xfId="61" applyNumberFormat="1" applyFont="1" applyFill="1" applyBorder="1" applyAlignment="1">
      <alignment/>
    </xf>
    <xf numFmtId="164" fontId="3" fillId="0" borderId="22" xfId="61" applyNumberFormat="1" applyFont="1" applyFill="1" applyBorder="1" applyAlignment="1" applyProtection="1">
      <alignment/>
      <protection locked="0"/>
    </xf>
    <xf numFmtId="3" fontId="3" fillId="0" borderId="36" xfId="0" applyNumberFormat="1" applyFont="1" applyFill="1" applyBorder="1" applyAlignment="1">
      <alignment horizontal="right" vertical="center" indent="1"/>
    </xf>
    <xf numFmtId="3" fontId="3" fillId="0" borderId="42" xfId="0" applyNumberFormat="1" applyFont="1" applyFill="1" applyBorder="1" applyAlignment="1">
      <alignment horizontal="right" vertical="center" indent="1"/>
    </xf>
    <xf numFmtId="0" fontId="2" fillId="0" borderId="22" xfId="84" applyFont="1" applyFill="1" applyBorder="1" applyAlignment="1">
      <alignment horizontal="left" vertical="center" wrapText="1"/>
      <protection/>
    </xf>
    <xf numFmtId="3" fontId="2" fillId="0" borderId="22" xfId="61" applyNumberFormat="1" applyFont="1" applyFill="1" applyBorder="1" applyAlignment="1">
      <alignment horizontal="right" vertical="center" indent="1"/>
    </xf>
    <xf numFmtId="3" fontId="2" fillId="0" borderId="42" xfId="0" applyNumberFormat="1" applyFont="1" applyFill="1" applyBorder="1" applyAlignment="1">
      <alignment horizontal="right" vertical="center" indent="1"/>
    </xf>
    <xf numFmtId="0" fontId="2" fillId="0" borderId="36" xfId="84" applyFont="1" applyFill="1" applyBorder="1" applyAlignment="1">
      <alignment vertical="center" wrapText="1"/>
      <protection/>
    </xf>
    <xf numFmtId="164" fontId="3" fillId="0" borderId="22" xfId="61" applyNumberFormat="1" applyFont="1" applyFill="1" applyBorder="1" applyAlignment="1">
      <alignment/>
    </xf>
    <xf numFmtId="0" fontId="3" fillId="0" borderId="0" xfId="84" applyFont="1" applyFill="1">
      <alignment/>
      <protection/>
    </xf>
    <xf numFmtId="0" fontId="3" fillId="0" borderId="0" xfId="84" applyFont="1" applyFill="1" applyAlignment="1">
      <alignment horizontal="center"/>
      <protection/>
    </xf>
    <xf numFmtId="3" fontId="3" fillId="0" borderId="0" xfId="84" applyNumberFormat="1" applyFont="1" applyFill="1" applyAlignment="1">
      <alignment horizontal="right"/>
      <protection/>
    </xf>
    <xf numFmtId="3" fontId="3" fillId="0" borderId="0" xfId="84" applyNumberFormat="1" applyFont="1" applyFill="1">
      <alignment/>
      <protection/>
    </xf>
    <xf numFmtId="3" fontId="0" fillId="0" borderId="0" xfId="84" applyNumberFormat="1" applyFont="1" applyFill="1" applyAlignment="1">
      <alignment horizontal="right"/>
      <protection/>
    </xf>
    <xf numFmtId="3" fontId="0" fillId="0" borderId="0" xfId="84" applyNumberFormat="1" applyFont="1" applyFill="1">
      <alignment/>
      <protection/>
    </xf>
    <xf numFmtId="0" fontId="4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justify"/>
    </xf>
    <xf numFmtId="49" fontId="3" fillId="0" borderId="0" xfId="0" applyNumberFormat="1" applyFont="1" applyFill="1" applyAlignment="1">
      <alignment horizontal="left" wrapText="1" indent="1"/>
    </xf>
    <xf numFmtId="49" fontId="3" fillId="0" borderId="38" xfId="0" applyNumberFormat="1" applyFont="1" applyFill="1" applyBorder="1" applyAlignment="1">
      <alignment horizontal="left" vertical="center" indent="1"/>
    </xf>
    <xf numFmtId="0" fontId="4" fillId="0" borderId="45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/>
    </xf>
    <xf numFmtId="0" fontId="56" fillId="0" borderId="57" xfId="0" applyFont="1" applyFill="1" applyBorder="1" applyAlignment="1">
      <alignment/>
    </xf>
    <xf numFmtId="0" fontId="2" fillId="0" borderId="63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49" fontId="3" fillId="0" borderId="55" xfId="0" applyNumberFormat="1" applyFont="1" applyFill="1" applyBorder="1" applyAlignment="1">
      <alignment horizontal="left" wrapText="1"/>
    </xf>
    <xf numFmtId="49" fontId="3" fillId="0" borderId="65" xfId="0" applyNumberFormat="1" applyFont="1" applyFill="1" applyBorder="1" applyAlignment="1">
      <alignment horizontal="left" wrapText="1"/>
    </xf>
    <xf numFmtId="49" fontId="3" fillId="0" borderId="66" xfId="0" applyNumberFormat="1" applyFont="1" applyFill="1" applyBorder="1" applyAlignment="1">
      <alignment horizontal="left" wrapText="1"/>
    </xf>
    <xf numFmtId="49" fontId="3" fillId="0" borderId="41" xfId="0" applyNumberFormat="1" applyFont="1" applyFill="1" applyBorder="1" applyAlignment="1">
      <alignment horizontal="left" wrapText="1"/>
    </xf>
    <xf numFmtId="49" fontId="3" fillId="0" borderId="48" xfId="0" applyNumberFormat="1" applyFont="1" applyFill="1" applyBorder="1" applyAlignment="1">
      <alignment horizontal="left" wrapText="1"/>
    </xf>
    <xf numFmtId="49" fontId="3" fillId="0" borderId="58" xfId="0" applyNumberFormat="1" applyFont="1" applyFill="1" applyBorder="1" applyAlignment="1">
      <alignment horizontal="left" wrapText="1"/>
    </xf>
    <xf numFmtId="0" fontId="4" fillId="0" borderId="4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49" fontId="3" fillId="0" borderId="32" xfId="0" applyNumberFormat="1" applyFont="1" applyFill="1" applyBorder="1" applyAlignment="1">
      <alignment horizontal="left" vertical="center" wrapText="1"/>
    </xf>
    <xf numFmtId="49" fontId="3" fillId="0" borderId="47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0" fontId="4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left" vertical="center" wrapText="1"/>
    </xf>
    <xf numFmtId="0" fontId="2" fillId="0" borderId="71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93" fillId="0" borderId="0" xfId="0" applyFont="1" applyFill="1" applyAlignment="1">
      <alignment horizontal="left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left"/>
    </xf>
    <xf numFmtId="49" fontId="3" fillId="0" borderId="47" xfId="0" applyNumberFormat="1" applyFont="1" applyFill="1" applyBorder="1" applyAlignment="1">
      <alignment horizontal="left"/>
    </xf>
    <xf numFmtId="49" fontId="3" fillId="0" borderId="43" xfId="0" applyNumberFormat="1" applyFont="1" applyFill="1" applyBorder="1" applyAlignment="1">
      <alignment horizontal="left"/>
    </xf>
    <xf numFmtId="0" fontId="92" fillId="0" borderId="69" xfId="83" applyFont="1" applyFill="1" applyBorder="1" applyAlignment="1">
      <alignment horizontal="center" vertical="center" wrapText="1"/>
      <protection/>
    </xf>
    <xf numFmtId="0" fontId="92" fillId="0" borderId="72" xfId="83" applyFont="1" applyFill="1" applyBorder="1" applyAlignment="1">
      <alignment horizontal="center" vertical="center" wrapText="1"/>
      <protection/>
    </xf>
    <xf numFmtId="0" fontId="92" fillId="0" borderId="73" xfId="83" applyFont="1" applyFill="1" applyBorder="1" applyAlignment="1">
      <alignment horizontal="center" vertical="center" wrapText="1"/>
      <protection/>
    </xf>
    <xf numFmtId="0" fontId="92" fillId="0" borderId="74" xfId="83" applyFont="1" applyFill="1" applyBorder="1" applyAlignment="1">
      <alignment horizontal="left" vertical="center" wrapText="1" indent="1"/>
      <protection/>
    </xf>
    <xf numFmtId="0" fontId="92" fillId="0" borderId="75" xfId="83" applyFont="1" applyFill="1" applyBorder="1" applyAlignment="1">
      <alignment horizontal="left" vertical="center" wrapText="1" indent="1"/>
      <protection/>
    </xf>
    <xf numFmtId="0" fontId="92" fillId="0" borderId="76" xfId="83" applyFont="1" applyFill="1" applyBorder="1" applyAlignment="1">
      <alignment horizontal="left" vertical="center" wrapText="1" indent="1"/>
      <protection/>
    </xf>
    <xf numFmtId="0" fontId="92" fillId="0" borderId="0" xfId="83" applyFont="1" applyFill="1" applyBorder="1" applyAlignment="1">
      <alignment horizontal="center" vertical="center"/>
      <protection/>
    </xf>
    <xf numFmtId="0" fontId="92" fillId="0" borderId="45" xfId="83" applyFont="1" applyFill="1" applyBorder="1" applyAlignment="1">
      <alignment horizontal="center" vertical="center" wrapText="1"/>
      <protection/>
    </xf>
    <xf numFmtId="0" fontId="92" fillId="0" borderId="23" xfId="83" applyFont="1" applyFill="1" applyBorder="1" applyAlignment="1">
      <alignment horizontal="center" vertical="center" wrapText="1"/>
      <protection/>
    </xf>
    <xf numFmtId="0" fontId="92" fillId="0" borderId="27" xfId="83" applyFont="1" applyFill="1" applyBorder="1" applyAlignment="1">
      <alignment horizontal="center" vertical="center" wrapText="1"/>
      <protection/>
    </xf>
    <xf numFmtId="0" fontId="92" fillId="0" borderId="68" xfId="83" applyFont="1" applyFill="1" applyBorder="1" applyAlignment="1">
      <alignment horizontal="center" vertical="center"/>
      <protection/>
    </xf>
    <xf numFmtId="0" fontId="92" fillId="0" borderId="77" xfId="83" applyFont="1" applyFill="1" applyBorder="1" applyAlignment="1">
      <alignment horizontal="center" vertical="center"/>
      <protection/>
    </xf>
    <xf numFmtId="0" fontId="92" fillId="0" borderId="50" xfId="83" applyFont="1" applyFill="1" applyBorder="1" applyAlignment="1">
      <alignment horizontal="center" vertical="center"/>
      <protection/>
    </xf>
    <xf numFmtId="0" fontId="2" fillId="0" borderId="78" xfId="83" applyFont="1" applyFill="1" applyBorder="1" applyAlignment="1">
      <alignment horizontal="center" vertical="center" wrapText="1"/>
      <protection/>
    </xf>
    <xf numFmtId="0" fontId="2" fillId="0" borderId="71" xfId="83" applyFont="1" applyFill="1" applyBorder="1" applyAlignment="1">
      <alignment horizontal="center" vertical="center" wrapText="1"/>
      <protection/>
    </xf>
    <xf numFmtId="0" fontId="92" fillId="0" borderId="32" xfId="83" applyFont="1" applyFill="1" applyBorder="1" applyAlignment="1">
      <alignment horizontal="center" vertical="center"/>
      <protection/>
    </xf>
    <xf numFmtId="0" fontId="92" fillId="0" borderId="43" xfId="83" applyFont="1" applyFill="1" applyBorder="1" applyAlignment="1">
      <alignment horizontal="center" vertical="center"/>
      <protection/>
    </xf>
    <xf numFmtId="0" fontId="2" fillId="0" borderId="68" xfId="83" applyFont="1" applyFill="1" applyBorder="1" applyAlignment="1">
      <alignment horizontal="center" vertical="center" wrapText="1"/>
      <protection/>
    </xf>
    <xf numFmtId="0" fontId="2" fillId="0" borderId="77" xfId="83" applyFont="1" applyFill="1" applyBorder="1" applyAlignment="1">
      <alignment horizontal="center" vertical="center" wrapText="1"/>
      <protection/>
    </xf>
    <xf numFmtId="0" fontId="2" fillId="0" borderId="50" xfId="83" applyFont="1" applyFill="1" applyBorder="1" applyAlignment="1">
      <alignment horizontal="center" vertical="center" wrapText="1"/>
      <protection/>
    </xf>
    <xf numFmtId="0" fontId="18" fillId="0" borderId="55" xfId="0" applyFont="1" applyFill="1" applyBorder="1" applyAlignment="1">
      <alignment horizontal="left" vertical="center"/>
    </xf>
    <xf numFmtId="0" fontId="18" fillId="0" borderId="65" xfId="0" applyFont="1" applyFill="1" applyBorder="1" applyAlignment="1">
      <alignment horizontal="left" vertical="center"/>
    </xf>
    <xf numFmtId="0" fontId="18" fillId="0" borderId="66" xfId="0" applyFont="1" applyFill="1" applyBorder="1" applyAlignment="1">
      <alignment horizontal="left" vertical="center"/>
    </xf>
    <xf numFmtId="0" fontId="18" fillId="0" borderId="41" xfId="0" applyFont="1" applyFill="1" applyBorder="1" applyAlignment="1">
      <alignment horizontal="left" vertical="center"/>
    </xf>
    <xf numFmtId="0" fontId="18" fillId="0" borderId="48" xfId="0" applyFont="1" applyFill="1" applyBorder="1" applyAlignment="1">
      <alignment horizontal="left" vertical="center"/>
    </xf>
    <xf numFmtId="0" fontId="18" fillId="0" borderId="58" xfId="0" applyFont="1" applyFill="1" applyBorder="1" applyAlignment="1">
      <alignment horizontal="left" vertical="center"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18" fillId="0" borderId="58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3" fillId="0" borderId="38" xfId="82" applyFont="1" applyFill="1" applyBorder="1" applyAlignment="1">
      <alignment horizontal="left"/>
      <protection/>
    </xf>
    <xf numFmtId="0" fontId="3" fillId="0" borderId="0" xfId="82" applyFont="1" applyFill="1" applyAlignment="1">
      <alignment horizontal="left"/>
      <protection/>
    </xf>
    <xf numFmtId="0" fontId="18" fillId="0" borderId="41" xfId="82" applyFont="1" applyFill="1" applyBorder="1" applyAlignment="1">
      <alignment horizontal="left" vertical="center"/>
      <protection/>
    </xf>
    <xf numFmtId="0" fontId="18" fillId="0" borderId="48" xfId="82" applyFont="1" applyFill="1" applyBorder="1" applyAlignment="1">
      <alignment horizontal="left" vertical="center"/>
      <protection/>
    </xf>
    <xf numFmtId="0" fontId="18" fillId="0" borderId="58" xfId="82" applyFont="1" applyFill="1" applyBorder="1" applyAlignment="1">
      <alignment horizontal="left" vertical="center"/>
      <protection/>
    </xf>
    <xf numFmtId="0" fontId="4" fillId="0" borderId="67" xfId="82" applyFont="1" applyFill="1" applyBorder="1" applyAlignment="1">
      <alignment horizontal="center" vertical="center" wrapText="1"/>
      <protection/>
    </xf>
    <xf numFmtId="0" fontId="4" fillId="0" borderId="68" xfId="82" applyFont="1" applyFill="1" applyBorder="1" applyAlignment="1">
      <alignment horizontal="center" vertical="center"/>
      <protection/>
    </xf>
    <xf numFmtId="0" fontId="4" fillId="0" borderId="69" xfId="82" applyFont="1" applyFill="1" applyBorder="1" applyAlignment="1">
      <alignment horizontal="center" vertical="center"/>
      <protection/>
    </xf>
    <xf numFmtId="0" fontId="2" fillId="0" borderId="45" xfId="82" applyFont="1" applyFill="1" applyBorder="1" applyAlignment="1">
      <alignment horizontal="left" vertical="center" wrapText="1"/>
      <protection/>
    </xf>
    <xf numFmtId="0" fontId="2" fillId="0" borderId="25" xfId="82" applyFont="1" applyFill="1" applyBorder="1" applyAlignment="1">
      <alignment horizontal="left" vertical="center" wrapText="1"/>
      <protection/>
    </xf>
    <xf numFmtId="0" fontId="2" fillId="0" borderId="57" xfId="82" applyFont="1" applyFill="1" applyBorder="1" applyAlignment="1">
      <alignment horizontal="left" vertical="center" wrapText="1"/>
      <protection/>
    </xf>
    <xf numFmtId="0" fontId="18" fillId="0" borderId="55" xfId="82" applyFont="1" applyFill="1" applyBorder="1" applyAlignment="1">
      <alignment horizontal="left" vertical="center"/>
      <protection/>
    </xf>
    <xf numFmtId="0" fontId="18" fillId="0" borderId="65" xfId="82" applyFont="1" applyFill="1" applyBorder="1" applyAlignment="1">
      <alignment horizontal="left" vertical="center"/>
      <protection/>
    </xf>
    <xf numFmtId="0" fontId="18" fillId="0" borderId="66" xfId="82" applyFont="1" applyFill="1" applyBorder="1" applyAlignment="1">
      <alignment horizontal="left" vertical="center"/>
      <protection/>
    </xf>
    <xf numFmtId="0" fontId="18" fillId="0" borderId="79" xfId="82" applyFont="1" applyFill="1" applyBorder="1" applyAlignment="1">
      <alignment horizontal="left" vertical="center"/>
      <protection/>
    </xf>
    <xf numFmtId="0" fontId="18" fillId="0" borderId="0" xfId="82" applyFont="1" applyFill="1" applyBorder="1" applyAlignment="1">
      <alignment horizontal="left" vertical="center"/>
      <protection/>
    </xf>
    <xf numFmtId="0" fontId="18" fillId="0" borderId="80" xfId="82" applyFont="1" applyFill="1" applyBorder="1" applyAlignment="1">
      <alignment horizontal="left" vertical="center"/>
      <protection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82" xfId="0" applyFont="1" applyFill="1" applyBorder="1" applyAlignment="1">
      <alignment horizontal="left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90" fillId="0" borderId="2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9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4" fillId="0" borderId="45" xfId="85" applyFont="1" applyFill="1" applyBorder="1" applyAlignment="1">
      <alignment horizontal="center" vertical="center" wrapText="1"/>
      <protection/>
    </xf>
    <xf numFmtId="0" fontId="4" fillId="0" borderId="25" xfId="85" applyFont="1" applyFill="1" applyBorder="1" applyAlignment="1">
      <alignment horizontal="center" vertical="center" wrapText="1"/>
      <protection/>
    </xf>
    <xf numFmtId="0" fontId="4" fillId="0" borderId="57" xfId="85" applyFont="1" applyFill="1" applyBorder="1" applyAlignment="1">
      <alignment horizontal="center" vertical="center" wrapText="1"/>
      <protection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3" fillId="0" borderId="55" xfId="0" applyFont="1" applyFill="1" applyBorder="1" applyAlignment="1">
      <alignment horizontal="left" vertical="center"/>
    </xf>
    <xf numFmtId="0" fontId="23" fillId="0" borderId="65" xfId="0" applyFont="1" applyFill="1" applyBorder="1" applyAlignment="1">
      <alignment horizontal="left" vertical="center"/>
    </xf>
    <xf numFmtId="0" fontId="23" fillId="0" borderId="66" xfId="0" applyFont="1" applyFill="1" applyBorder="1" applyAlignment="1">
      <alignment horizontal="left" vertical="center"/>
    </xf>
    <xf numFmtId="0" fontId="23" fillId="0" borderId="41" xfId="0" applyFont="1" applyFill="1" applyBorder="1" applyAlignment="1">
      <alignment horizontal="left" vertical="center"/>
    </xf>
    <xf numFmtId="0" fontId="23" fillId="0" borderId="48" xfId="0" applyFont="1" applyFill="1" applyBorder="1" applyAlignment="1">
      <alignment horizontal="left" vertical="center"/>
    </xf>
    <xf numFmtId="0" fontId="23" fillId="0" borderId="58" xfId="0" applyFont="1" applyFill="1" applyBorder="1" applyAlignment="1">
      <alignment horizontal="left" vertical="center"/>
    </xf>
    <xf numFmtId="0" fontId="95" fillId="0" borderId="79" xfId="0" applyFont="1" applyFill="1" applyBorder="1" applyAlignment="1">
      <alignment horizontal="left" vertical="center"/>
    </xf>
    <xf numFmtId="0" fontId="95" fillId="0" borderId="0" xfId="0" applyFont="1" applyFill="1" applyBorder="1" applyAlignment="1">
      <alignment horizontal="left" vertical="center"/>
    </xf>
    <xf numFmtId="0" fontId="4" fillId="0" borderId="8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2" fillId="0" borderId="75" xfId="0" applyFont="1" applyFill="1" applyBorder="1" applyAlignment="1">
      <alignment horizontal="left" vertical="center" wrapText="1"/>
    </xf>
    <xf numFmtId="0" fontId="2" fillId="0" borderId="76" xfId="0" applyFont="1" applyFill="1" applyBorder="1" applyAlignment="1">
      <alignment horizontal="left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3" fillId="0" borderId="79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3" fontId="3" fillId="0" borderId="0" xfId="87" applyNumberFormat="1" applyFont="1" applyFill="1" applyBorder="1" applyAlignment="1">
      <alignment horizontal="center" vertical="center"/>
      <protection/>
    </xf>
    <xf numFmtId="3" fontId="4" fillId="0" borderId="83" xfId="87" applyNumberFormat="1" applyFont="1" applyFill="1" applyBorder="1" applyAlignment="1">
      <alignment horizontal="center" vertical="center" wrapText="1"/>
      <protection/>
    </xf>
    <xf numFmtId="3" fontId="4" fillId="0" borderId="64" xfId="87" applyNumberFormat="1" applyFont="1" applyFill="1" applyBorder="1" applyAlignment="1">
      <alignment horizontal="center" vertical="center" wrapText="1"/>
      <protection/>
    </xf>
    <xf numFmtId="3" fontId="4" fillId="0" borderId="84" xfId="87" applyNumberFormat="1" applyFont="1" applyFill="1" applyBorder="1" applyAlignment="1">
      <alignment horizontal="center" vertical="center" wrapText="1"/>
      <protection/>
    </xf>
    <xf numFmtId="0" fontId="2" fillId="0" borderId="81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82" xfId="0" applyFont="1" applyFill="1" applyBorder="1" applyAlignment="1">
      <alignment horizontal="left" vertical="center" wrapText="1" indent="1"/>
    </xf>
    <xf numFmtId="3" fontId="3" fillId="0" borderId="0" xfId="87" applyNumberFormat="1" applyFont="1" applyFill="1" applyBorder="1" applyAlignment="1">
      <alignment horizontal="left" vertical="center" wrapText="1"/>
      <protection/>
    </xf>
    <xf numFmtId="3" fontId="2" fillId="0" borderId="23" xfId="87" applyNumberFormat="1" applyFont="1" applyFill="1" applyBorder="1" applyAlignment="1">
      <alignment horizontal="center" vertical="center" wrapText="1"/>
      <protection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3" fontId="3" fillId="0" borderId="0" xfId="87" applyNumberFormat="1" applyFont="1" applyFill="1" applyBorder="1" applyAlignment="1">
      <alignment horizontal="center" vertical="center" wrapText="1"/>
      <protection/>
    </xf>
    <xf numFmtId="0" fontId="41" fillId="0" borderId="23" xfId="84" applyFont="1" applyFill="1" applyBorder="1" applyAlignment="1">
      <alignment/>
      <protection/>
    </xf>
    <xf numFmtId="0" fontId="41" fillId="0" borderId="22" xfId="84" applyFont="1" applyFill="1" applyBorder="1" applyAlignment="1">
      <alignment/>
      <protection/>
    </xf>
    <xf numFmtId="3" fontId="4" fillId="0" borderId="74" xfId="86" applyNumberFormat="1" applyFont="1" applyFill="1" applyBorder="1" applyAlignment="1">
      <alignment horizontal="center" vertical="center" wrapText="1"/>
      <protection/>
    </xf>
    <xf numFmtId="3" fontId="4" fillId="0" borderId="75" xfId="86" applyNumberFormat="1" applyFont="1" applyFill="1" applyBorder="1" applyAlignment="1">
      <alignment horizontal="center" vertical="center" wrapText="1"/>
      <protection/>
    </xf>
    <xf numFmtId="3" fontId="4" fillId="0" borderId="76" xfId="86" applyNumberFormat="1" applyFont="1" applyFill="1" applyBorder="1" applyAlignment="1">
      <alignment horizontal="center" vertical="center" wrapText="1"/>
      <protection/>
    </xf>
    <xf numFmtId="3" fontId="2" fillId="0" borderId="74" xfId="86" applyNumberFormat="1" applyFont="1" applyFill="1" applyBorder="1" applyAlignment="1">
      <alignment horizontal="left" vertical="center" wrapText="1"/>
      <protection/>
    </xf>
    <xf numFmtId="3" fontId="2" fillId="0" borderId="75" xfId="86" applyNumberFormat="1" applyFont="1" applyFill="1" applyBorder="1" applyAlignment="1">
      <alignment horizontal="left" vertical="center" wrapText="1"/>
      <protection/>
    </xf>
    <xf numFmtId="0" fontId="2" fillId="0" borderId="74" xfId="0" applyFont="1" applyFill="1" applyBorder="1" applyAlignment="1">
      <alignment horizontal="left" wrapText="1"/>
    </xf>
    <xf numFmtId="0" fontId="2" fillId="0" borderId="75" xfId="0" applyFont="1" applyFill="1" applyBorder="1" applyAlignment="1">
      <alignment horizontal="left" wrapText="1"/>
    </xf>
    <xf numFmtId="0" fontId="2" fillId="0" borderId="76" xfId="0" applyFont="1" applyFill="1" applyBorder="1" applyAlignment="1">
      <alignment horizontal="left" wrapText="1"/>
    </xf>
    <xf numFmtId="0" fontId="4" fillId="0" borderId="83" xfId="0" applyNumberFormat="1" applyFont="1" applyFill="1" applyBorder="1" applyAlignment="1">
      <alignment horizontal="center" vertical="center" wrapText="1"/>
    </xf>
    <xf numFmtId="0" fontId="4" fillId="0" borderId="64" xfId="0" applyNumberFormat="1" applyFont="1" applyFill="1" applyBorder="1" applyAlignment="1">
      <alignment horizontal="center" vertical="center" wrapText="1"/>
    </xf>
    <xf numFmtId="0" fontId="4" fillId="0" borderId="84" xfId="0" applyNumberFormat="1" applyFont="1" applyFill="1" applyBorder="1" applyAlignment="1">
      <alignment horizontal="center" vertical="center" wrapText="1"/>
    </xf>
    <xf numFmtId="0" fontId="41" fillId="0" borderId="28" xfId="84" applyFont="1" applyFill="1" applyBorder="1" applyAlignment="1">
      <alignment horizontal="left" vertical="center" indent="1"/>
      <protection/>
    </xf>
    <xf numFmtId="0" fontId="41" fillId="0" borderId="30" xfId="84" applyFont="1" applyFill="1" applyBorder="1" applyAlignment="1">
      <alignment horizontal="left" vertical="center" indent="1"/>
      <protection/>
    </xf>
    <xf numFmtId="0" fontId="2" fillId="0" borderId="81" xfId="84" applyFont="1" applyFill="1" applyBorder="1" applyAlignment="1" applyProtection="1">
      <alignment horizontal="left"/>
      <protection/>
    </xf>
    <xf numFmtId="0" fontId="2" fillId="0" borderId="58" xfId="84" applyFont="1" applyFill="1" applyBorder="1" applyAlignment="1" applyProtection="1">
      <alignment horizontal="left"/>
      <protection/>
    </xf>
    <xf numFmtId="0" fontId="2" fillId="0" borderId="40" xfId="84" applyFont="1" applyFill="1" applyBorder="1" applyAlignment="1" applyProtection="1">
      <alignment horizontal="center" vertical="top" wrapText="1"/>
      <protection/>
    </xf>
    <xf numFmtId="0" fontId="2" fillId="0" borderId="23" xfId="84" applyFont="1" applyFill="1" applyBorder="1" applyAlignment="1" applyProtection="1">
      <alignment horizontal="center" vertical="top" wrapText="1"/>
      <protection/>
    </xf>
    <xf numFmtId="0" fontId="48" fillId="0" borderId="85" xfId="84" applyFont="1" applyFill="1" applyBorder="1" applyAlignment="1" applyProtection="1">
      <alignment horizontal="left" vertical="center" wrapText="1"/>
      <protection/>
    </xf>
    <xf numFmtId="0" fontId="48" fillId="0" borderId="65" xfId="84" applyFont="1" applyFill="1" applyBorder="1" applyAlignment="1" applyProtection="1">
      <alignment horizontal="left" vertical="center" wrapText="1"/>
      <protection/>
    </xf>
    <xf numFmtId="0" fontId="48" fillId="0" borderId="86" xfId="84" applyFont="1" applyFill="1" applyBorder="1" applyAlignment="1" applyProtection="1">
      <alignment horizontal="left" vertical="center" wrapText="1"/>
      <protection/>
    </xf>
    <xf numFmtId="0" fontId="2" fillId="0" borderId="45" xfId="84" applyFont="1" applyFill="1" applyBorder="1" applyAlignment="1" applyProtection="1">
      <alignment horizontal="center" vertical="center"/>
      <protection/>
    </xf>
    <xf numFmtId="0" fontId="2" fillId="0" borderId="25" xfId="84" applyFont="1" applyFill="1" applyBorder="1" applyAlignment="1" applyProtection="1">
      <alignment horizontal="center" vertical="center"/>
      <protection/>
    </xf>
    <xf numFmtId="0" fontId="2" fillId="0" borderId="34" xfId="84" applyFont="1" applyFill="1" applyBorder="1" applyAlignment="1" applyProtection="1">
      <alignment horizontal="center" vertical="center"/>
      <protection/>
    </xf>
    <xf numFmtId="0" fontId="2" fillId="0" borderId="26" xfId="84" applyFont="1" applyFill="1" applyBorder="1" applyAlignment="1" applyProtection="1">
      <alignment horizontal="center" vertical="center"/>
      <protection/>
    </xf>
    <xf numFmtId="171" fontId="2" fillId="0" borderId="25" xfId="84" applyNumberFormat="1" applyFont="1" applyFill="1" applyBorder="1" applyAlignment="1" applyProtection="1">
      <alignment horizontal="center" vertical="center"/>
      <protection/>
    </xf>
    <xf numFmtId="0" fontId="3" fillId="0" borderId="28" xfId="84" applyFont="1" applyFill="1" applyBorder="1" applyAlignment="1" applyProtection="1">
      <alignment horizontal="center"/>
      <protection/>
    </xf>
    <xf numFmtId="0" fontId="3" fillId="0" borderId="30" xfId="84" applyFont="1" applyFill="1" applyBorder="1" applyAlignment="1" applyProtection="1">
      <alignment horizontal="center"/>
      <protection/>
    </xf>
    <xf numFmtId="0" fontId="3" fillId="0" borderId="28" xfId="84" applyFont="1" applyFill="1" applyBorder="1" applyAlignment="1">
      <alignment horizontal="center" vertical="center"/>
      <protection/>
    </xf>
    <xf numFmtId="0" fontId="3" fillId="0" borderId="30" xfId="84" applyFont="1" applyFill="1" applyBorder="1" applyAlignment="1">
      <alignment horizontal="center" vertical="center"/>
      <protection/>
    </xf>
    <xf numFmtId="0" fontId="2" fillId="0" borderId="81" xfId="84" applyFont="1" applyFill="1" applyBorder="1" applyAlignment="1">
      <alignment horizontal="left" vertical="center" wrapText="1"/>
      <protection/>
    </xf>
    <xf numFmtId="0" fontId="2" fillId="0" borderId="58" xfId="84" applyFont="1" applyFill="1" applyBorder="1" applyAlignment="1">
      <alignment horizontal="left" vertical="center" wrapText="1"/>
      <protection/>
    </xf>
    <xf numFmtId="0" fontId="2" fillId="0" borderId="40" xfId="84" applyFont="1" applyFill="1" applyBorder="1" applyAlignment="1">
      <alignment horizontal="center" vertical="center" wrapText="1"/>
      <protection/>
    </xf>
    <xf numFmtId="0" fontId="2" fillId="0" borderId="23" xfId="84" applyFont="1" applyFill="1" applyBorder="1" applyAlignment="1">
      <alignment horizontal="center" vertical="center" wrapText="1"/>
      <protection/>
    </xf>
    <xf numFmtId="0" fontId="48" fillId="0" borderId="81" xfId="84" applyFont="1" applyFill="1" applyBorder="1" applyAlignment="1" applyProtection="1">
      <alignment horizontal="left" vertical="center" wrapText="1"/>
      <protection/>
    </xf>
    <xf numFmtId="0" fontId="48" fillId="0" borderId="48" xfId="84" applyFont="1" applyFill="1" applyBorder="1" applyAlignment="1" applyProtection="1">
      <alignment horizontal="left" vertical="center" wrapText="1"/>
      <protection/>
    </xf>
    <xf numFmtId="0" fontId="48" fillId="0" borderId="82" xfId="84" applyFont="1" applyFill="1" applyBorder="1" applyAlignment="1" applyProtection="1">
      <alignment horizontal="left" vertical="center" wrapText="1"/>
      <protection/>
    </xf>
    <xf numFmtId="0" fontId="3" fillId="0" borderId="40" xfId="84" applyFont="1" applyFill="1" applyBorder="1" applyAlignment="1">
      <alignment horizontal="center" vertical="center" wrapText="1"/>
      <protection/>
    </xf>
    <xf numFmtId="0" fontId="2" fillId="0" borderId="34" xfId="84" applyFont="1" applyFill="1" applyBorder="1" applyAlignment="1">
      <alignment horizontal="center" vertical="center" wrapText="1"/>
      <protection/>
    </xf>
    <xf numFmtId="0" fontId="2" fillId="0" borderId="74" xfId="84" applyFont="1" applyFill="1" applyBorder="1" applyAlignment="1">
      <alignment horizontal="left" vertical="center" wrapText="1"/>
      <protection/>
    </xf>
    <xf numFmtId="0" fontId="2" fillId="0" borderId="29" xfId="84" applyFont="1" applyFill="1" applyBorder="1" applyAlignment="1">
      <alignment horizontal="left" vertical="center" wrapText="1"/>
      <protection/>
    </xf>
    <xf numFmtId="0" fontId="2" fillId="0" borderId="74" xfId="84" applyFont="1" applyFill="1" applyBorder="1" applyAlignment="1">
      <alignment vertical="center" wrapText="1"/>
      <protection/>
    </xf>
    <xf numFmtId="0" fontId="3" fillId="0" borderId="29" xfId="84" applyFont="1" applyFill="1" applyBorder="1" applyAlignment="1">
      <alignment vertical="center" wrapText="1"/>
      <protection/>
    </xf>
    <xf numFmtId="0" fontId="2" fillId="0" borderId="40" xfId="84" applyFont="1" applyFill="1" applyBorder="1" applyAlignment="1">
      <alignment horizontal="center" vertical="center"/>
      <protection/>
    </xf>
    <xf numFmtId="0" fontId="2" fillId="0" borderId="36" xfId="84" applyFont="1" applyFill="1" applyBorder="1" applyAlignment="1">
      <alignment horizontal="center" vertical="center"/>
      <protection/>
    </xf>
    <xf numFmtId="0" fontId="2" fillId="0" borderId="34" xfId="84" applyFont="1" applyFill="1" applyBorder="1" applyAlignment="1">
      <alignment horizontal="center" vertical="center"/>
      <protection/>
    </xf>
    <xf numFmtId="0" fontId="2" fillId="0" borderId="26" xfId="84" applyFont="1" applyFill="1" applyBorder="1" applyAlignment="1">
      <alignment horizontal="center" vertical="center"/>
      <protection/>
    </xf>
    <xf numFmtId="0" fontId="4" fillId="0" borderId="74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2" fillId="0" borderId="59" xfId="84" applyFont="1" applyFill="1" applyBorder="1" applyAlignment="1">
      <alignment horizontal="center" vertical="center" wrapText="1"/>
      <protection/>
    </xf>
    <xf numFmtId="3" fontId="2" fillId="0" borderId="36" xfId="84" applyNumberFormat="1" applyFont="1" applyFill="1" applyBorder="1" applyAlignment="1">
      <alignment horizontal="center" vertical="center"/>
      <protection/>
    </xf>
    <xf numFmtId="0" fontId="2" fillId="0" borderId="63" xfId="84" applyFont="1" applyFill="1" applyBorder="1" applyAlignment="1">
      <alignment horizontal="left" vertical="center" wrapText="1"/>
      <protection/>
    </xf>
    <xf numFmtId="0" fontId="2" fillId="0" borderId="43" xfId="84" applyFont="1" applyFill="1" applyBorder="1" applyAlignment="1">
      <alignment horizontal="left" vertical="center" wrapText="1"/>
      <protection/>
    </xf>
    <xf numFmtId="0" fontId="41" fillId="0" borderId="40" xfId="84" applyFont="1" applyFill="1" applyBorder="1" applyAlignment="1">
      <alignment horizontal="center" vertical="center"/>
      <protection/>
    </xf>
    <xf numFmtId="0" fontId="41" fillId="0" borderId="36" xfId="84" applyFont="1" applyFill="1" applyBorder="1" applyAlignment="1">
      <alignment horizontal="center" vertical="center"/>
      <protection/>
    </xf>
    <xf numFmtId="0" fontId="41" fillId="0" borderId="27" xfId="84" applyFont="1" applyFill="1" applyBorder="1" applyAlignment="1">
      <alignment horizontal="center" vertical="center"/>
      <protection/>
    </xf>
    <xf numFmtId="0" fontId="41" fillId="0" borderId="24" xfId="84" applyFont="1" applyFill="1" applyBorder="1" applyAlignment="1">
      <alignment horizontal="center" vertical="center"/>
      <protection/>
    </xf>
    <xf numFmtId="0" fontId="41" fillId="0" borderId="79" xfId="84" applyFont="1" applyFill="1" applyBorder="1" applyAlignment="1">
      <alignment horizontal="center" vertical="center"/>
      <protection/>
    </xf>
    <xf numFmtId="0" fontId="41" fillId="0" borderId="0" xfId="84" applyFont="1" applyFill="1" applyBorder="1" applyAlignment="1">
      <alignment horizontal="center" vertical="center"/>
      <protection/>
    </xf>
    <xf numFmtId="0" fontId="41" fillId="0" borderId="80" xfId="84" applyFont="1" applyFill="1" applyBorder="1" applyAlignment="1">
      <alignment horizontal="center" vertical="center"/>
      <protection/>
    </xf>
    <xf numFmtId="0" fontId="18" fillId="0" borderId="87" xfId="84" applyFont="1" applyFill="1" applyBorder="1" applyAlignment="1">
      <alignment/>
      <protection/>
    </xf>
    <xf numFmtId="0" fontId="18" fillId="0" borderId="51" xfId="84" applyFont="1" applyFill="1" applyBorder="1" applyAlignment="1">
      <alignment/>
      <protection/>
    </xf>
    <xf numFmtId="0" fontId="18" fillId="0" borderId="88" xfId="84" applyFont="1" applyFill="1" applyBorder="1" applyAlignment="1">
      <alignment/>
      <protection/>
    </xf>
    <xf numFmtId="3" fontId="41" fillId="0" borderId="72" xfId="84" applyNumberFormat="1" applyFont="1" applyFill="1" applyBorder="1" applyAlignment="1">
      <alignment horizontal="center" vertical="center" wrapText="1"/>
      <protection/>
    </xf>
    <xf numFmtId="0" fontId="18" fillId="0" borderId="73" xfId="84" applyFont="1" applyFill="1" applyBorder="1" applyAlignment="1">
      <alignment horizontal="center"/>
      <protection/>
    </xf>
    <xf numFmtId="0" fontId="18" fillId="0" borderId="28" xfId="84" applyFont="1" applyFill="1" applyBorder="1" applyAlignment="1">
      <alignment horizontal="center"/>
      <protection/>
    </xf>
    <xf numFmtId="0" fontId="18" fillId="0" borderId="30" xfId="84" applyFont="1" applyFill="1" applyBorder="1" applyAlignment="1">
      <alignment horizontal="center"/>
      <protection/>
    </xf>
    <xf numFmtId="0" fontId="2" fillId="0" borderId="85" xfId="84" applyFont="1" applyFill="1" applyBorder="1" applyAlignment="1">
      <alignment vertical="center" wrapText="1"/>
      <protection/>
    </xf>
    <xf numFmtId="0" fontId="3" fillId="0" borderId="66" xfId="84" applyFont="1" applyFill="1" applyBorder="1" applyAlignment="1">
      <alignment vertical="center" wrapText="1"/>
      <protection/>
    </xf>
    <xf numFmtId="0" fontId="41" fillId="0" borderId="74" xfId="84" applyFont="1" applyFill="1" applyBorder="1" applyAlignment="1" applyProtection="1">
      <alignment horizontal="left" vertical="center" wrapText="1"/>
      <protection/>
    </xf>
    <xf numFmtId="0" fontId="41" fillId="0" borderId="75" xfId="84" applyFont="1" applyFill="1" applyBorder="1" applyAlignment="1" applyProtection="1">
      <alignment horizontal="left" vertical="center" wrapText="1"/>
      <protection/>
    </xf>
    <xf numFmtId="0" fontId="41" fillId="0" borderId="76" xfId="84" applyFont="1" applyFill="1" applyBorder="1" applyAlignment="1" applyProtection="1">
      <alignment horizontal="left" vertical="center" wrapText="1"/>
      <protection/>
    </xf>
    <xf numFmtId="0" fontId="2" fillId="0" borderId="70" xfId="84" applyFont="1" applyFill="1" applyBorder="1" applyAlignment="1">
      <alignment vertical="center" wrapText="1"/>
      <protection/>
    </xf>
    <xf numFmtId="0" fontId="3" fillId="0" borderId="61" xfId="84" applyFont="1" applyFill="1" applyBorder="1" applyAlignment="1">
      <alignment vertical="center" wrapText="1"/>
      <protection/>
    </xf>
    <xf numFmtId="0" fontId="3" fillId="0" borderId="48" xfId="0" applyFont="1" applyBorder="1" applyAlignment="1">
      <alignment horizontal="left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3" fillId="0" borderId="0" xfId="82" applyFont="1" applyFill="1" applyBorder="1">
      <alignment/>
      <protection/>
    </xf>
    <xf numFmtId="0" fontId="3" fillId="0" borderId="0" xfId="82" applyFont="1" applyFill="1" applyBorder="1">
      <alignment/>
      <protection/>
    </xf>
  </cellXfs>
  <cellStyles count="13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čiarky 2" xfId="61"/>
    <cellStyle name="Dobrá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Check Cell" xfId="70"/>
    <cellStyle name="Input" xfId="71"/>
    <cellStyle name="Kontrolná bun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eutral" xfId="80"/>
    <cellStyle name="Neutrálna" xfId="81"/>
    <cellStyle name="Normálna 2" xfId="82"/>
    <cellStyle name="normálne 2" xfId="83"/>
    <cellStyle name="normálne 3" xfId="84"/>
    <cellStyle name="normálne 4" xfId="85"/>
    <cellStyle name="normálne_Databazy_VVŠ_2007_ severská" xfId="86"/>
    <cellStyle name="normálne_sprava_VVŠ_2004_tabuľky_vláda" xfId="87"/>
    <cellStyle name="normální_List1" xfId="88"/>
    <cellStyle name="Note" xfId="89"/>
    <cellStyle name="Output" xfId="90"/>
    <cellStyle name="Percent" xfId="91"/>
    <cellStyle name="Poznámka" xfId="92"/>
    <cellStyle name="Prepojená bunka" xfId="93"/>
    <cellStyle name="SAPBEXaggData" xfId="94"/>
    <cellStyle name="SAPBEXaggDataEmph" xfId="95"/>
    <cellStyle name="SAPBEXaggItem" xfId="96"/>
    <cellStyle name="SAPBEXaggItemX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chaText" xfId="121"/>
    <cellStyle name="SAPBEXresData" xfId="122"/>
    <cellStyle name="SAPBEXresDataEmph" xfId="123"/>
    <cellStyle name="SAPBEXresItem" xfId="124"/>
    <cellStyle name="SAPBEXresItemX" xfId="125"/>
    <cellStyle name="SAPBEXstdData" xfId="126"/>
    <cellStyle name="SAPBEXstdDataEmph" xfId="127"/>
    <cellStyle name="SAPBEXstdItem" xfId="128"/>
    <cellStyle name="SAPBEXstdItemX" xfId="129"/>
    <cellStyle name="SAPBEXtitle" xfId="130"/>
    <cellStyle name="SAPBEXundefined" xfId="131"/>
    <cellStyle name="Spolu" xfId="132"/>
    <cellStyle name="Text upozornenia" xfId="133"/>
    <cellStyle name="Title" xfId="134"/>
    <cellStyle name="Titul" xfId="135"/>
    <cellStyle name="Total" xfId="136"/>
    <cellStyle name="Vstup" xfId="137"/>
    <cellStyle name="Výpočet" xfId="138"/>
    <cellStyle name="Výstup" xfId="139"/>
    <cellStyle name="Vysvetľujúci text" xfId="140"/>
    <cellStyle name="Warning Text" xfId="141"/>
    <cellStyle name="Zlá" xfId="142"/>
    <cellStyle name="Zvýraznenie1" xfId="143"/>
    <cellStyle name="Zvýraznenie2" xfId="144"/>
    <cellStyle name="Zvýraznenie3" xfId="145"/>
    <cellStyle name="Zvýraznenie4" xfId="146"/>
    <cellStyle name="Zvýraznenie5" xfId="147"/>
    <cellStyle name="Zvýraznenie6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E23"/>
  <sheetViews>
    <sheetView zoomScalePageLayoutView="0" workbookViewId="0" topLeftCell="A1">
      <pane xSplit="2" ySplit="4" topLeftCell="C5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B25" sqref="B25"/>
    </sheetView>
  </sheetViews>
  <sheetFormatPr defaultColWidth="9.140625" defaultRowHeight="12.75"/>
  <cols>
    <col min="1" max="1" width="9.140625" style="132" customWidth="1"/>
    <col min="2" max="2" width="77.8515625" style="133" customWidth="1"/>
    <col min="3" max="5" width="17.421875" style="37" customWidth="1"/>
    <col min="6" max="6" width="12.421875" style="37" customWidth="1"/>
    <col min="7" max="16384" width="9.140625" style="37" customWidth="1"/>
  </cols>
  <sheetData>
    <row r="1" spans="1:5" s="126" customFormat="1" ht="87" customHeight="1">
      <c r="A1" s="450" t="s">
        <v>817</v>
      </c>
      <c r="B1" s="451"/>
      <c r="C1" s="451"/>
      <c r="D1" s="451"/>
      <c r="E1" s="452"/>
    </row>
    <row r="2" spans="1:5" s="126" customFormat="1" ht="34.5" customHeight="1">
      <c r="A2" s="453" t="s">
        <v>940</v>
      </c>
      <c r="B2" s="454"/>
      <c r="C2" s="454"/>
      <c r="D2" s="454"/>
      <c r="E2" s="455"/>
    </row>
    <row r="3" spans="1:5" ht="43.5" customHeight="1">
      <c r="A3" s="50" t="s">
        <v>189</v>
      </c>
      <c r="B3" s="15" t="s">
        <v>188</v>
      </c>
      <c r="C3" s="2" t="s">
        <v>260</v>
      </c>
      <c r="D3" s="2" t="s">
        <v>261</v>
      </c>
      <c r="E3" s="8" t="s">
        <v>195</v>
      </c>
    </row>
    <row r="4" spans="1:5" ht="17.25" customHeight="1">
      <c r="A4" s="9"/>
      <c r="B4" s="15"/>
      <c r="C4" s="4" t="s">
        <v>245</v>
      </c>
      <c r="D4" s="4" t="s">
        <v>246</v>
      </c>
      <c r="E4" s="5" t="s">
        <v>26</v>
      </c>
    </row>
    <row r="5" spans="1:5" ht="15.75">
      <c r="A5" s="9">
        <v>1</v>
      </c>
      <c r="B5" s="15" t="s">
        <v>317</v>
      </c>
      <c r="C5" s="114">
        <f>C6</f>
        <v>14261135</v>
      </c>
      <c r="D5" s="114">
        <f>D6</f>
        <v>100000</v>
      </c>
      <c r="E5" s="43">
        <f>C5+D5</f>
        <v>14361135</v>
      </c>
    </row>
    <row r="6" spans="1:5" ht="15.75">
      <c r="A6" s="9">
        <f>A5+1</f>
        <v>2</v>
      </c>
      <c r="B6" s="12" t="s">
        <v>227</v>
      </c>
      <c r="C6" s="17">
        <v>14261135</v>
      </c>
      <c r="D6" s="17">
        <v>100000</v>
      </c>
      <c r="E6" s="43">
        <f>C6+D6</f>
        <v>14361135</v>
      </c>
    </row>
    <row r="7" spans="1:5" ht="15.75" customHeight="1">
      <c r="A7" s="9">
        <f>A6+1</f>
        <v>3</v>
      </c>
      <c r="B7" s="15" t="s">
        <v>318</v>
      </c>
      <c r="C7" s="114">
        <f>C8+C9+C10+C11+C12</f>
        <v>9360825</v>
      </c>
      <c r="D7" s="114">
        <f>D8+D9+D10+D11+D12</f>
        <v>153768</v>
      </c>
      <c r="E7" s="43">
        <f>C7+D7</f>
        <v>9514593</v>
      </c>
    </row>
    <row r="8" spans="1:5" ht="15.75">
      <c r="A8" s="9">
        <f aca="true" t="shared" si="0" ref="A8:A19">A7+1</f>
        <v>4</v>
      </c>
      <c r="B8" s="12" t="s">
        <v>228</v>
      </c>
      <c r="C8" s="17">
        <v>8654757</v>
      </c>
      <c r="D8" s="17"/>
      <c r="E8" s="43">
        <f>C8+D8</f>
        <v>8654757</v>
      </c>
    </row>
    <row r="9" spans="1:5" ht="15.75">
      <c r="A9" s="9">
        <f t="shared" si="0"/>
        <v>5</v>
      </c>
      <c r="B9" s="12" t="s">
        <v>229</v>
      </c>
      <c r="C9" s="17">
        <v>581951.96</v>
      </c>
      <c r="D9" s="17">
        <v>153768</v>
      </c>
      <c r="E9" s="43">
        <f>C9+D9</f>
        <v>735719.96</v>
      </c>
    </row>
    <row r="10" spans="1:5" ht="15.75">
      <c r="A10" s="9">
        <f t="shared" si="0"/>
        <v>6</v>
      </c>
      <c r="B10" s="12" t="s">
        <v>230</v>
      </c>
      <c r="C10" s="17"/>
      <c r="D10" s="17"/>
      <c r="E10" s="43">
        <f aca="true" t="shared" si="1" ref="E10:E19">C10+D10</f>
        <v>0</v>
      </c>
    </row>
    <row r="11" spans="1:5" ht="15.75">
      <c r="A11" s="9">
        <f t="shared" si="0"/>
        <v>7</v>
      </c>
      <c r="B11" s="12" t="s">
        <v>231</v>
      </c>
      <c r="C11" s="17"/>
      <c r="D11" s="17"/>
      <c r="E11" s="43">
        <f t="shared" si="1"/>
        <v>0</v>
      </c>
    </row>
    <row r="12" spans="1:5" ht="15.75">
      <c r="A12" s="9">
        <f t="shared" si="0"/>
        <v>8</v>
      </c>
      <c r="B12" s="12" t="s">
        <v>139</v>
      </c>
      <c r="C12" s="17">
        <v>124116.04000000001</v>
      </c>
      <c r="D12" s="17"/>
      <c r="E12" s="43">
        <f t="shared" si="1"/>
        <v>124116.04000000001</v>
      </c>
    </row>
    <row r="13" spans="1:5" ht="15.75" customHeight="1">
      <c r="A13" s="9">
        <f t="shared" si="0"/>
        <v>9</v>
      </c>
      <c r="B13" s="15" t="s">
        <v>319</v>
      </c>
      <c r="C13" s="114">
        <f>C14</f>
        <v>73900</v>
      </c>
      <c r="D13" s="114">
        <f>D14</f>
        <v>0</v>
      </c>
      <c r="E13" s="43">
        <f t="shared" si="1"/>
        <v>73900</v>
      </c>
    </row>
    <row r="14" spans="1:5" ht="15.75">
      <c r="A14" s="9">
        <f t="shared" si="0"/>
        <v>10</v>
      </c>
      <c r="B14" s="12" t="s">
        <v>140</v>
      </c>
      <c r="C14" s="17">
        <v>73900</v>
      </c>
      <c r="D14" s="17"/>
      <c r="E14" s="43">
        <f t="shared" si="1"/>
        <v>73900</v>
      </c>
    </row>
    <row r="15" spans="1:5" ht="15.75">
      <c r="A15" s="9">
        <f t="shared" si="0"/>
        <v>11</v>
      </c>
      <c r="B15" s="15" t="s">
        <v>320</v>
      </c>
      <c r="C15" s="114">
        <f>SUM(C16:C18)</f>
        <v>3440229</v>
      </c>
      <c r="D15" s="114">
        <f>SUM(D16:D18)</f>
        <v>0</v>
      </c>
      <c r="E15" s="43">
        <f t="shared" si="1"/>
        <v>3440229</v>
      </c>
    </row>
    <row r="16" spans="1:5" ht="15.75">
      <c r="A16" s="9">
        <f t="shared" si="0"/>
        <v>12</v>
      </c>
      <c r="B16" s="12" t="s">
        <v>141</v>
      </c>
      <c r="C16" s="17">
        <v>2204394</v>
      </c>
      <c r="D16" s="17"/>
      <c r="E16" s="43">
        <f t="shared" si="1"/>
        <v>2204394</v>
      </c>
    </row>
    <row r="17" spans="1:5" ht="15.75">
      <c r="A17" s="9">
        <f t="shared" si="0"/>
        <v>13</v>
      </c>
      <c r="B17" s="12" t="s">
        <v>142</v>
      </c>
      <c r="C17" s="17">
        <v>405750</v>
      </c>
      <c r="D17" s="17"/>
      <c r="E17" s="43">
        <f t="shared" si="1"/>
        <v>405750</v>
      </c>
    </row>
    <row r="18" spans="1:5" ht="15.75">
      <c r="A18" s="9">
        <f t="shared" si="0"/>
        <v>14</v>
      </c>
      <c r="B18" s="12" t="s">
        <v>143</v>
      </c>
      <c r="C18" s="17">
        <v>830085</v>
      </c>
      <c r="D18" s="17"/>
      <c r="E18" s="43">
        <f t="shared" si="1"/>
        <v>830085</v>
      </c>
    </row>
    <row r="19" spans="1:5" ht="16.5" thickBot="1">
      <c r="A19" s="89">
        <f t="shared" si="0"/>
        <v>15</v>
      </c>
      <c r="B19" s="16" t="s">
        <v>321</v>
      </c>
      <c r="C19" s="127">
        <f>C5+C7+C13+C15</f>
        <v>27136089</v>
      </c>
      <c r="D19" s="127">
        <f>D5+D7+D13+D15</f>
        <v>253768</v>
      </c>
      <c r="E19" s="128">
        <f t="shared" si="1"/>
        <v>27389857</v>
      </c>
    </row>
    <row r="20" spans="1:4" ht="15.75">
      <c r="A20" s="32"/>
      <c r="B20" s="129"/>
      <c r="C20" s="456"/>
      <c r="D20" s="456"/>
    </row>
    <row r="21" spans="1:2" ht="15.75">
      <c r="A21" s="130"/>
      <c r="B21" s="131"/>
    </row>
    <row r="23" ht="15.75">
      <c r="B23" s="133" t="s">
        <v>144</v>
      </c>
    </row>
  </sheetData>
  <sheetProtection selectLockedCells="1"/>
  <protectedRanges>
    <protectedRange sqref="C8:D12 C16 C14:D14 C6:D6 C18" name="Rozsah2"/>
    <protectedRange sqref="C19:D19" name="Rozsah1"/>
  </protectedRanges>
  <mergeCells count="3">
    <mergeCell ref="A1:E1"/>
    <mergeCell ref="A2:E2"/>
    <mergeCell ref="C20:D20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I87"/>
  <sheetViews>
    <sheetView zoomScalePageLayoutView="0" workbookViewId="0" topLeftCell="A1">
      <pane xSplit="2" ySplit="4" topLeftCell="C5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A27" sqref="A27"/>
    </sheetView>
  </sheetViews>
  <sheetFormatPr defaultColWidth="9.140625" defaultRowHeight="12.75"/>
  <cols>
    <col min="1" max="1" width="8.140625" style="94" customWidth="1"/>
    <col min="2" max="2" width="94.00390625" style="242" customWidth="1"/>
    <col min="3" max="3" width="18.7109375" style="94" customWidth="1"/>
    <col min="4" max="4" width="18.57421875" style="94" customWidth="1"/>
    <col min="5" max="5" width="11.421875" style="93" customWidth="1"/>
    <col min="6" max="16384" width="9.140625" style="94" customWidth="1"/>
  </cols>
  <sheetData>
    <row r="1" spans="1:5" ht="49.5" customHeight="1" thickBot="1">
      <c r="A1" s="547" t="s">
        <v>835</v>
      </c>
      <c r="B1" s="548"/>
      <c r="C1" s="548"/>
      <c r="D1" s="549"/>
      <c r="E1" s="224"/>
    </row>
    <row r="2" spans="1:4" ht="29.25" customHeight="1">
      <c r="A2" s="550" t="s">
        <v>1005</v>
      </c>
      <c r="B2" s="551"/>
      <c r="C2" s="551"/>
      <c r="D2" s="552"/>
    </row>
    <row r="3" spans="1:4" ht="33" customHeight="1">
      <c r="A3" s="225" t="s">
        <v>189</v>
      </c>
      <c r="B3" s="226" t="s">
        <v>283</v>
      </c>
      <c r="C3" s="227">
        <v>2011</v>
      </c>
      <c r="D3" s="228">
        <v>2012</v>
      </c>
    </row>
    <row r="4" spans="1:4" ht="15.75">
      <c r="A4" s="229"/>
      <c r="B4" s="230"/>
      <c r="C4" s="92" t="s">
        <v>245</v>
      </c>
      <c r="D4" s="102" t="s">
        <v>246</v>
      </c>
    </row>
    <row r="5" spans="1:4" ht="18.75">
      <c r="A5" s="108">
        <v>1</v>
      </c>
      <c r="B5" s="231" t="s">
        <v>239</v>
      </c>
      <c r="C5" s="232">
        <f>+C6+C9</f>
        <v>167684.07</v>
      </c>
      <c r="D5" s="233">
        <f>D6+D9</f>
        <v>166264.82</v>
      </c>
    </row>
    <row r="6" spans="1:4" ht="18.75" customHeight="1">
      <c r="A6" s="108">
        <f aca="true" t="shared" si="0" ref="A6:A13">A5+1</f>
        <v>2</v>
      </c>
      <c r="B6" s="231" t="s">
        <v>315</v>
      </c>
      <c r="C6" s="232">
        <f>+C7+C8</f>
        <v>103819.27</v>
      </c>
      <c r="D6" s="233">
        <f>+D7+D8</f>
        <v>115057.62</v>
      </c>
    </row>
    <row r="7" spans="1:4" ht="15.75">
      <c r="A7" s="108">
        <f t="shared" si="0"/>
        <v>3</v>
      </c>
      <c r="B7" s="103" t="s">
        <v>313</v>
      </c>
      <c r="C7" s="112">
        <v>103819.27</v>
      </c>
      <c r="D7" s="113">
        <v>115057.62</v>
      </c>
    </row>
    <row r="8" spans="1:4" ht="15.75">
      <c r="A8" s="108">
        <f t="shared" si="0"/>
        <v>4</v>
      </c>
      <c r="B8" s="103" t="s">
        <v>314</v>
      </c>
      <c r="C8" s="112"/>
      <c r="D8" s="113"/>
    </row>
    <row r="9" spans="1:4" ht="15.75">
      <c r="A9" s="108">
        <f t="shared" si="0"/>
        <v>5</v>
      </c>
      <c r="B9" s="231" t="s">
        <v>219</v>
      </c>
      <c r="C9" s="112">
        <f>+C10+C11-C12</f>
        <v>63864.8</v>
      </c>
      <c r="D9" s="113">
        <f>+D10+D11-D12</f>
        <v>51207.200000000004</v>
      </c>
    </row>
    <row r="10" spans="1:4" ht="19.5" customHeight="1">
      <c r="A10" s="108">
        <f t="shared" si="0"/>
        <v>6</v>
      </c>
      <c r="B10" s="103" t="s">
        <v>178</v>
      </c>
      <c r="C10" s="112">
        <v>-69.79</v>
      </c>
      <c r="D10" s="113">
        <f>+C12</f>
        <v>-13732.590000000004</v>
      </c>
    </row>
    <row r="11" spans="1:4" ht="15.75">
      <c r="A11" s="108">
        <f t="shared" si="0"/>
        <v>7</v>
      </c>
      <c r="B11" s="103" t="s">
        <v>194</v>
      </c>
      <c r="C11" s="112">
        <v>50202</v>
      </c>
      <c r="D11" s="113">
        <v>114004</v>
      </c>
    </row>
    <row r="12" spans="1:4" ht="15.75">
      <c r="A12" s="108">
        <f t="shared" si="0"/>
        <v>8</v>
      </c>
      <c r="B12" s="103" t="s">
        <v>828</v>
      </c>
      <c r="C12" s="112">
        <f>C10+C11-C20</f>
        <v>-13732.590000000004</v>
      </c>
      <c r="D12" s="113">
        <f>D10+D11-D20</f>
        <v>49064.21</v>
      </c>
    </row>
    <row r="13" spans="1:4" ht="30" customHeight="1">
      <c r="A13" s="108">
        <f t="shared" si="0"/>
        <v>9</v>
      </c>
      <c r="B13" s="231" t="s">
        <v>829</v>
      </c>
      <c r="C13" s="232">
        <v>181624.2</v>
      </c>
      <c r="D13" s="233">
        <v>234756.24</v>
      </c>
    </row>
    <row r="14" spans="1:4" ht="15.75">
      <c r="A14" s="108"/>
      <c r="B14" s="234" t="s">
        <v>259</v>
      </c>
      <c r="C14" s="112"/>
      <c r="D14" s="113"/>
    </row>
    <row r="15" spans="1:4" ht="18.75">
      <c r="A15" s="108">
        <f>A13+1</f>
        <v>10</v>
      </c>
      <c r="B15" s="103" t="s">
        <v>316</v>
      </c>
      <c r="C15" s="112">
        <v>181624.2</v>
      </c>
      <c r="D15" s="113">
        <v>234756.24</v>
      </c>
    </row>
    <row r="16" spans="1:4" ht="30.75" customHeight="1">
      <c r="A16" s="108">
        <f aca="true" t="shared" si="1" ref="A16:A21">+A15+1</f>
        <v>11</v>
      </c>
      <c r="B16" s="231" t="s">
        <v>830</v>
      </c>
      <c r="C16" s="232">
        <f>C5-C13</f>
        <v>-13940.130000000005</v>
      </c>
      <c r="D16" s="233">
        <f>D5-D13</f>
        <v>-68491.41999999998</v>
      </c>
    </row>
    <row r="17" spans="1:4" ht="18.75">
      <c r="A17" s="108">
        <f t="shared" si="1"/>
        <v>12</v>
      </c>
      <c r="B17" s="231" t="s">
        <v>831</v>
      </c>
      <c r="C17" s="232">
        <f>C18+C19</f>
        <v>71899</v>
      </c>
      <c r="D17" s="233">
        <f>D18+D19</f>
        <v>64009</v>
      </c>
    </row>
    <row r="18" spans="1:9" ht="15.75">
      <c r="A18" s="108">
        <f t="shared" si="1"/>
        <v>13</v>
      </c>
      <c r="B18" s="234" t="s">
        <v>832</v>
      </c>
      <c r="C18" s="232">
        <v>71899</v>
      </c>
      <c r="D18" s="235">
        <v>64009</v>
      </c>
      <c r="E18" s="542"/>
      <c r="F18" s="543"/>
      <c r="G18" s="543"/>
      <c r="H18" s="543"/>
      <c r="I18" s="543"/>
    </row>
    <row r="19" spans="1:4" ht="18.75">
      <c r="A19" s="108">
        <f>+A18+1</f>
        <v>14</v>
      </c>
      <c r="B19" s="234" t="s">
        <v>833</v>
      </c>
      <c r="C19" s="232"/>
      <c r="D19" s="235"/>
    </row>
    <row r="20" spans="1:4" ht="15.75">
      <c r="A20" s="108">
        <f>+A19+1</f>
        <v>15</v>
      </c>
      <c r="B20" s="231" t="s">
        <v>864</v>
      </c>
      <c r="C20" s="232">
        <v>63864.8</v>
      </c>
      <c r="D20" s="233">
        <f>(D18*0.8+D19*0.8)</f>
        <v>51207.200000000004</v>
      </c>
    </row>
    <row r="21" spans="1:4" ht="16.5" thickBot="1">
      <c r="A21" s="109">
        <f t="shared" si="1"/>
        <v>16</v>
      </c>
      <c r="B21" s="236" t="s">
        <v>834</v>
      </c>
      <c r="C21" s="237">
        <f>IF(C18=0,0,C15/C18)</f>
        <v>2.5261018929331427</v>
      </c>
      <c r="D21" s="238">
        <f>IF(D18=0,0,D15/D17)</f>
        <v>3.6675505007108375</v>
      </c>
    </row>
    <row r="22" spans="1:4" ht="15.75">
      <c r="A22" s="95"/>
      <c r="B22" s="96"/>
      <c r="C22" s="97"/>
      <c r="D22" s="97"/>
    </row>
    <row r="23" spans="1:5" s="240" customFormat="1" ht="15.75">
      <c r="A23" s="553" t="s">
        <v>312</v>
      </c>
      <c r="B23" s="554"/>
      <c r="C23" s="554"/>
      <c r="D23" s="555"/>
      <c r="E23" s="239"/>
    </row>
    <row r="24" spans="1:5" s="240" customFormat="1" ht="15.75">
      <c r="A24" s="556" t="s">
        <v>763</v>
      </c>
      <c r="B24" s="557"/>
      <c r="C24" s="557"/>
      <c r="D24" s="558"/>
      <c r="E24" s="239"/>
    </row>
    <row r="25" spans="1:5" s="240" customFormat="1" ht="15.75">
      <c r="A25" s="556" t="s">
        <v>766</v>
      </c>
      <c r="B25" s="557"/>
      <c r="C25" s="557"/>
      <c r="D25" s="558"/>
      <c r="E25" s="239"/>
    </row>
    <row r="26" spans="1:5" s="240" customFormat="1" ht="15.75">
      <c r="A26" s="544" t="s">
        <v>767</v>
      </c>
      <c r="B26" s="545"/>
      <c r="C26" s="545"/>
      <c r="D26" s="546"/>
      <c r="E26" s="239"/>
    </row>
    <row r="27" spans="2:5" s="240" customFormat="1" ht="15.75">
      <c r="B27" s="241"/>
      <c r="E27" s="239"/>
    </row>
    <row r="28" spans="1:5" s="240" customFormat="1" ht="15.75">
      <c r="A28" s="704"/>
      <c r="B28" s="241"/>
      <c r="E28" s="239"/>
    </row>
    <row r="29" spans="1:5" s="240" customFormat="1" ht="15.75">
      <c r="A29" s="220"/>
      <c r="B29" s="241"/>
      <c r="E29" s="239"/>
    </row>
    <row r="30" ht="15.75">
      <c r="A30" s="705"/>
    </row>
    <row r="31" ht="15.75">
      <c r="A31" s="705"/>
    </row>
    <row r="32" ht="15.75">
      <c r="A32" s="705"/>
    </row>
    <row r="33" ht="15.75">
      <c r="A33" s="705"/>
    </row>
    <row r="34" ht="15.75">
      <c r="A34" s="705"/>
    </row>
    <row r="35" ht="15.75">
      <c r="A35" s="705"/>
    </row>
    <row r="36" ht="15.75">
      <c r="A36" s="705"/>
    </row>
    <row r="37" ht="15.75">
      <c r="A37" s="705"/>
    </row>
    <row r="38" ht="15.75">
      <c r="A38" s="705"/>
    </row>
    <row r="39" ht="15.75">
      <c r="A39" s="705"/>
    </row>
    <row r="40" ht="15.75">
      <c r="A40" s="705"/>
    </row>
    <row r="41" ht="15.75">
      <c r="A41" s="705"/>
    </row>
    <row r="42" ht="15.75">
      <c r="A42" s="705"/>
    </row>
    <row r="43" ht="15.75">
      <c r="A43" s="705"/>
    </row>
    <row r="44" ht="15.75">
      <c r="A44" s="705"/>
    </row>
    <row r="45" ht="15.75">
      <c r="A45" s="705"/>
    </row>
    <row r="46" ht="15.75">
      <c r="A46" s="705"/>
    </row>
    <row r="47" ht="15.75">
      <c r="A47" s="705"/>
    </row>
    <row r="48" ht="15.75">
      <c r="A48" s="705"/>
    </row>
    <row r="49" ht="15.75">
      <c r="A49" s="705"/>
    </row>
    <row r="50" ht="15.75">
      <c r="A50" s="705"/>
    </row>
    <row r="51" ht="15.75">
      <c r="A51" s="705"/>
    </row>
    <row r="52" ht="15.75">
      <c r="A52" s="705"/>
    </row>
    <row r="53" ht="15.75">
      <c r="A53" s="705"/>
    </row>
    <row r="54" ht="15.75">
      <c r="A54" s="705"/>
    </row>
    <row r="55" ht="15.75">
      <c r="A55" s="705"/>
    </row>
    <row r="56" ht="15.75">
      <c r="A56" s="705"/>
    </row>
    <row r="57" ht="15.75">
      <c r="A57" s="705"/>
    </row>
    <row r="58" ht="15.75">
      <c r="A58" s="705"/>
    </row>
    <row r="59" ht="15.75">
      <c r="A59" s="705"/>
    </row>
    <row r="60" ht="15.75">
      <c r="A60" s="705"/>
    </row>
    <row r="61" ht="15.75">
      <c r="A61" s="705"/>
    </row>
    <row r="62" ht="15.75">
      <c r="A62" s="705"/>
    </row>
    <row r="63" ht="15.75">
      <c r="A63" s="705"/>
    </row>
    <row r="64" ht="15.75">
      <c r="A64" s="705"/>
    </row>
    <row r="65" ht="15.75">
      <c r="A65" s="705"/>
    </row>
    <row r="66" ht="15.75">
      <c r="A66" s="705"/>
    </row>
    <row r="67" ht="15.75">
      <c r="A67" s="705"/>
    </row>
    <row r="68" ht="15.75">
      <c r="A68" s="705"/>
    </row>
    <row r="69" ht="15.75">
      <c r="A69" s="705"/>
    </row>
    <row r="70" ht="15.75">
      <c r="A70" s="705"/>
    </row>
    <row r="71" ht="15.75">
      <c r="A71" s="705"/>
    </row>
    <row r="72" ht="15.75">
      <c r="A72" s="705"/>
    </row>
    <row r="73" ht="15.75">
      <c r="A73" s="705"/>
    </row>
    <row r="74" ht="15.75">
      <c r="A74" s="705"/>
    </row>
    <row r="75" ht="15.75">
      <c r="A75" s="705"/>
    </row>
    <row r="76" ht="15.75">
      <c r="A76" s="705"/>
    </row>
    <row r="77" ht="15.75">
      <c r="A77" s="705"/>
    </row>
    <row r="78" ht="15.75">
      <c r="A78" s="705"/>
    </row>
    <row r="79" ht="15.75">
      <c r="A79" s="705"/>
    </row>
    <row r="80" ht="15.75">
      <c r="A80" s="705"/>
    </row>
    <row r="81" ht="15.75">
      <c r="A81" s="705"/>
    </row>
    <row r="82" ht="15.75">
      <c r="A82" s="705"/>
    </row>
    <row r="83" ht="15.75">
      <c r="A83" s="705"/>
    </row>
    <row r="84" ht="15.75">
      <c r="A84" s="705"/>
    </row>
    <row r="85" ht="15.75">
      <c r="A85" s="705"/>
    </row>
    <row r="86" ht="15.75">
      <c r="A86" s="705"/>
    </row>
    <row r="87" ht="15.75">
      <c r="A87" s="705"/>
    </row>
  </sheetData>
  <sheetProtection/>
  <mergeCells count="7">
    <mergeCell ref="E18:I18"/>
    <mergeCell ref="A26:D26"/>
    <mergeCell ref="A1:D1"/>
    <mergeCell ref="A2:D2"/>
    <mergeCell ref="A23:D23"/>
    <mergeCell ref="A24:D24"/>
    <mergeCell ref="A25:D2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2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8" sqref="H18"/>
    </sheetView>
  </sheetViews>
  <sheetFormatPr defaultColWidth="9.140625" defaultRowHeight="12.75"/>
  <cols>
    <col min="1" max="1" width="9.140625" style="85" customWidth="1"/>
    <col min="2" max="2" width="88.7109375" style="249" customWidth="1"/>
    <col min="3" max="4" width="23.421875" style="85" customWidth="1"/>
    <col min="5" max="5" width="15.28125" style="243" bestFit="1" customWidth="1"/>
    <col min="6" max="6" width="9.140625" style="243" customWidth="1"/>
    <col min="7" max="16384" width="9.140625" style="85" customWidth="1"/>
  </cols>
  <sheetData>
    <row r="1" spans="1:4" ht="49.5" customHeight="1">
      <c r="A1" s="450" t="s">
        <v>836</v>
      </c>
      <c r="B1" s="539"/>
      <c r="C1" s="539"/>
      <c r="D1" s="540"/>
    </row>
    <row r="2" spans="1:4" ht="27.75" customHeight="1">
      <c r="A2" s="561" t="s">
        <v>1005</v>
      </c>
      <c r="B2" s="562"/>
      <c r="C2" s="562"/>
      <c r="D2" s="563"/>
    </row>
    <row r="3" spans="1:4" ht="15.75">
      <c r="A3" s="469" t="s">
        <v>189</v>
      </c>
      <c r="B3" s="493" t="s">
        <v>283</v>
      </c>
      <c r="C3" s="559" t="s">
        <v>264</v>
      </c>
      <c r="D3" s="560"/>
    </row>
    <row r="4" spans="1:6" s="86" customFormat="1" ht="15.75">
      <c r="A4" s="469"/>
      <c r="B4" s="493"/>
      <c r="C4" s="2">
        <v>2011</v>
      </c>
      <c r="D4" s="1">
        <v>2012</v>
      </c>
      <c r="E4" s="244"/>
      <c r="F4" s="244"/>
    </row>
    <row r="5" spans="1:6" s="86" customFormat="1" ht="15.75">
      <c r="A5" s="9"/>
      <c r="B5" s="245"/>
      <c r="C5" s="2" t="s">
        <v>245</v>
      </c>
      <c r="D5" s="1" t="s">
        <v>246</v>
      </c>
      <c r="E5" s="244"/>
      <c r="F5" s="244"/>
    </row>
    <row r="6" spans="1:6" s="86" customFormat="1" ht="15.75">
      <c r="A6" s="42">
        <v>1</v>
      </c>
      <c r="B6" s="18" t="s">
        <v>191</v>
      </c>
      <c r="C6" s="114">
        <v>3538110.73</v>
      </c>
      <c r="D6" s="43">
        <v>20354254.64</v>
      </c>
      <c r="E6" s="244"/>
      <c r="F6" s="244"/>
    </row>
    <row r="7" spans="1:6" s="86" customFormat="1" ht="15.75">
      <c r="A7" s="42">
        <f aca="true" t="shared" si="0" ref="A7:A20">A6+1</f>
        <v>2</v>
      </c>
      <c r="B7" s="15" t="s">
        <v>154</v>
      </c>
      <c r="C7" s="114">
        <f>SUM(C8:C13)</f>
        <v>1255396.66</v>
      </c>
      <c r="D7" s="43">
        <f>SUM(D8:D13)</f>
        <v>1493823.67</v>
      </c>
      <c r="E7" s="244"/>
      <c r="F7" s="244"/>
    </row>
    <row r="8" spans="1:6" s="86" customFormat="1" ht="18.75">
      <c r="A8" s="42">
        <f t="shared" si="0"/>
        <v>3</v>
      </c>
      <c r="B8" s="13" t="s">
        <v>333</v>
      </c>
      <c r="C8" s="143"/>
      <c r="D8" s="165"/>
      <c r="E8" s="244"/>
      <c r="F8" s="244"/>
    </row>
    <row r="9" spans="1:6" s="86" customFormat="1" ht="15.75">
      <c r="A9" s="42">
        <f t="shared" si="0"/>
        <v>4</v>
      </c>
      <c r="B9" s="13" t="s">
        <v>1001</v>
      </c>
      <c r="C9" s="143">
        <v>1183745.2</v>
      </c>
      <c r="D9" s="165">
        <f>1497340.4+23485.86-9846.72-17155.87</f>
        <v>1493823.67</v>
      </c>
      <c r="E9" s="244"/>
      <c r="F9" s="244"/>
    </row>
    <row r="10" spans="1:6" s="86" customFormat="1" ht="15.75">
      <c r="A10" s="42">
        <f t="shared" si="0"/>
        <v>5</v>
      </c>
      <c r="B10" s="13" t="s">
        <v>336</v>
      </c>
      <c r="C10" s="143">
        <v>71651.46</v>
      </c>
      <c r="D10" s="165"/>
      <c r="E10" s="244"/>
      <c r="F10" s="244"/>
    </row>
    <row r="11" spans="1:6" s="86" customFormat="1" ht="15.75">
      <c r="A11" s="42">
        <f t="shared" si="0"/>
        <v>6</v>
      </c>
      <c r="B11" s="13" t="s">
        <v>334</v>
      </c>
      <c r="C11" s="143"/>
      <c r="D11" s="165"/>
      <c r="E11" s="244"/>
      <c r="F11" s="244"/>
    </row>
    <row r="12" spans="1:6" s="86" customFormat="1" ht="15.75">
      <c r="A12" s="42">
        <f t="shared" si="0"/>
        <v>7</v>
      </c>
      <c r="B12" s="13" t="s">
        <v>335</v>
      </c>
      <c r="C12" s="143"/>
      <c r="D12" s="165"/>
      <c r="E12" s="244"/>
      <c r="F12" s="244"/>
    </row>
    <row r="13" spans="1:6" s="86" customFormat="1" ht="19.5" customHeight="1">
      <c r="A13" s="42">
        <f t="shared" si="0"/>
        <v>8</v>
      </c>
      <c r="B13" s="13" t="s">
        <v>337</v>
      </c>
      <c r="C13" s="143"/>
      <c r="D13" s="165"/>
      <c r="E13" s="244"/>
      <c r="F13" s="244"/>
    </row>
    <row r="14" spans="1:6" s="86" customFormat="1" ht="21.75" customHeight="1">
      <c r="A14" s="42">
        <f t="shared" si="0"/>
        <v>9</v>
      </c>
      <c r="B14" s="15" t="s">
        <v>35</v>
      </c>
      <c r="C14" s="114">
        <f>C6+C7</f>
        <v>4793507.39</v>
      </c>
      <c r="D14" s="43">
        <f>D6+D7</f>
        <v>21848078.310000002</v>
      </c>
      <c r="E14" s="244"/>
      <c r="F14" s="244"/>
    </row>
    <row r="15" spans="1:6" s="86" customFormat="1" ht="40.5" customHeight="1">
      <c r="A15" s="42">
        <f t="shared" si="0"/>
        <v>10</v>
      </c>
      <c r="B15" s="15" t="s">
        <v>224</v>
      </c>
      <c r="C15" s="114">
        <v>463411</v>
      </c>
      <c r="D15" s="43">
        <v>263688</v>
      </c>
      <c r="E15" s="246"/>
      <c r="F15" s="247"/>
    </row>
    <row r="16" spans="1:6" s="86" customFormat="1" ht="31.5">
      <c r="A16" s="42" t="s">
        <v>785</v>
      </c>
      <c r="B16" s="15" t="s">
        <v>999</v>
      </c>
      <c r="C16" s="114">
        <v>7952935.04</v>
      </c>
      <c r="D16" s="43">
        <v>10454423.81</v>
      </c>
      <c r="E16" s="244"/>
      <c r="F16" s="247"/>
    </row>
    <row r="17" spans="1:6" s="86" customFormat="1" ht="28.5" customHeight="1">
      <c r="A17" s="42">
        <f>A15+1</f>
        <v>11</v>
      </c>
      <c r="B17" s="15" t="s">
        <v>813</v>
      </c>
      <c r="C17" s="114">
        <v>817237.32</v>
      </c>
      <c r="D17" s="43">
        <v>306888.41</v>
      </c>
      <c r="E17" s="244"/>
      <c r="F17" s="244"/>
    </row>
    <row r="18" spans="1:6" s="86" customFormat="1" ht="23.25" customHeight="1">
      <c r="A18" s="42">
        <f t="shared" si="0"/>
        <v>12</v>
      </c>
      <c r="B18" s="15" t="s">
        <v>223</v>
      </c>
      <c r="C18" s="114">
        <v>0</v>
      </c>
      <c r="D18" s="43">
        <v>0</v>
      </c>
      <c r="E18" s="244"/>
      <c r="F18" s="244"/>
    </row>
    <row r="19" spans="1:6" s="86" customFormat="1" ht="33" customHeight="1">
      <c r="A19" s="42">
        <f t="shared" si="0"/>
        <v>13</v>
      </c>
      <c r="B19" s="15" t="s">
        <v>812</v>
      </c>
      <c r="C19" s="114">
        <v>1578872.45</v>
      </c>
      <c r="D19" s="43">
        <v>735703.29</v>
      </c>
      <c r="E19" s="244"/>
      <c r="F19" s="244"/>
    </row>
    <row r="20" spans="1:6" s="86" customFormat="1" ht="16.5" thickBot="1">
      <c r="A20" s="248">
        <f t="shared" si="0"/>
        <v>14</v>
      </c>
      <c r="B20" s="16" t="s">
        <v>56</v>
      </c>
      <c r="C20" s="145">
        <f>SUM(C14:C19)</f>
        <v>15605963.2</v>
      </c>
      <c r="D20" s="128">
        <f>SUM(D14:D19)</f>
        <v>33608781.82000001</v>
      </c>
      <c r="E20" s="244"/>
      <c r="F20" s="244"/>
    </row>
    <row r="22" spans="1:4" ht="18" customHeight="1">
      <c r="A22" s="519" t="s">
        <v>60</v>
      </c>
      <c r="B22" s="520"/>
      <c r="C22" s="520"/>
      <c r="D22" s="521"/>
    </row>
    <row r="23" spans="1:9" ht="26.25" customHeight="1">
      <c r="A23" s="536" t="s">
        <v>19</v>
      </c>
      <c r="B23" s="537"/>
      <c r="C23" s="537"/>
      <c r="D23" s="538"/>
      <c r="E23" s="244"/>
      <c r="F23" s="244"/>
      <c r="G23" s="91"/>
      <c r="H23" s="91"/>
      <c r="I23" s="91"/>
    </row>
  </sheetData>
  <sheetProtection/>
  <mergeCells count="7">
    <mergeCell ref="A23:D23"/>
    <mergeCell ref="A22:D22"/>
    <mergeCell ref="A1:D1"/>
    <mergeCell ref="A3:A4"/>
    <mergeCell ref="B3:B4"/>
    <mergeCell ref="C3:D3"/>
    <mergeCell ref="A2:D2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82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2" sqref="J12"/>
    </sheetView>
  </sheetViews>
  <sheetFormatPr defaultColWidth="9.140625" defaultRowHeight="12.75"/>
  <cols>
    <col min="1" max="1" width="7.421875" style="85" customWidth="1"/>
    <col min="2" max="2" width="51.57421875" style="249" customWidth="1"/>
    <col min="3" max="3" width="15.28125" style="249" customWidth="1"/>
    <col min="4" max="4" width="18.140625" style="85" customWidth="1"/>
    <col min="5" max="5" width="18.57421875" style="85" customWidth="1"/>
    <col min="6" max="6" width="16.28125" style="85" customWidth="1"/>
    <col min="7" max="7" width="12.8515625" style="85" customWidth="1"/>
    <col min="8" max="8" width="17.00390625" style="85" customWidth="1"/>
    <col min="9" max="9" width="21.00390625" style="85" customWidth="1"/>
    <col min="10" max="10" width="25.7109375" style="85" customWidth="1"/>
    <col min="11" max="16384" width="9.140625" style="85" customWidth="1"/>
  </cols>
  <sheetData>
    <row r="1" spans="1:9" ht="34.5" customHeight="1">
      <c r="A1" s="567" t="s">
        <v>837</v>
      </c>
      <c r="B1" s="568"/>
      <c r="C1" s="568"/>
      <c r="D1" s="568"/>
      <c r="E1" s="568"/>
      <c r="F1" s="568"/>
      <c r="G1" s="568"/>
      <c r="H1" s="568"/>
      <c r="I1" s="569"/>
    </row>
    <row r="2" spans="1:9" ht="34.5" customHeight="1" thickBot="1">
      <c r="A2" s="570" t="s">
        <v>1005</v>
      </c>
      <c r="B2" s="571"/>
      <c r="C2" s="571"/>
      <c r="D2" s="571"/>
      <c r="E2" s="571"/>
      <c r="F2" s="571"/>
      <c r="G2" s="571"/>
      <c r="H2" s="571"/>
      <c r="I2" s="572"/>
    </row>
    <row r="3" spans="1:9" s="86" customFormat="1" ht="35.25" customHeight="1">
      <c r="A3" s="573" t="s">
        <v>189</v>
      </c>
      <c r="B3" s="564" t="s">
        <v>283</v>
      </c>
      <c r="C3" s="564" t="s">
        <v>838</v>
      </c>
      <c r="D3" s="564" t="s">
        <v>839</v>
      </c>
      <c r="E3" s="564" t="s">
        <v>840</v>
      </c>
      <c r="F3" s="564" t="s">
        <v>164</v>
      </c>
      <c r="G3" s="564" t="s">
        <v>197</v>
      </c>
      <c r="H3" s="564" t="s">
        <v>804</v>
      </c>
      <c r="I3" s="565" t="s">
        <v>198</v>
      </c>
    </row>
    <row r="4" spans="1:9" s="86" customFormat="1" ht="72" customHeight="1">
      <c r="A4" s="469"/>
      <c r="B4" s="493"/>
      <c r="C4" s="493"/>
      <c r="D4" s="493"/>
      <c r="E4" s="493"/>
      <c r="F4" s="493"/>
      <c r="G4" s="493"/>
      <c r="H4" s="493"/>
      <c r="I4" s="566"/>
    </row>
    <row r="5" spans="1:9" s="86" customFormat="1" ht="15.75">
      <c r="A5" s="9"/>
      <c r="B5" s="210"/>
      <c r="C5" s="26" t="s">
        <v>245</v>
      </c>
      <c r="D5" s="26" t="s">
        <v>246</v>
      </c>
      <c r="E5" s="3" t="s">
        <v>247</v>
      </c>
      <c r="F5" s="3" t="s">
        <v>253</v>
      </c>
      <c r="G5" s="3" t="s">
        <v>248</v>
      </c>
      <c r="H5" s="3" t="s">
        <v>249</v>
      </c>
      <c r="I5" s="80" t="s">
        <v>786</v>
      </c>
    </row>
    <row r="6" spans="1:9" s="86" customFormat="1" ht="15.75">
      <c r="A6" s="9">
        <v>1</v>
      </c>
      <c r="B6" s="24" t="s">
        <v>329</v>
      </c>
      <c r="C6" s="17">
        <v>3387.97</v>
      </c>
      <c r="D6" s="17">
        <v>491537.37</v>
      </c>
      <c r="E6" s="17">
        <v>44160</v>
      </c>
      <c r="F6" s="17">
        <v>37090.33</v>
      </c>
      <c r="G6" s="17"/>
      <c r="H6" s="17"/>
      <c r="I6" s="166">
        <f aca="true" t="shared" si="0" ref="I6:I16">SUM(C6:H6)</f>
        <v>576175.6699999999</v>
      </c>
    </row>
    <row r="7" spans="1:9" s="86" customFormat="1" ht="15.75">
      <c r="A7" s="9"/>
      <c r="B7" s="29" t="s">
        <v>259</v>
      </c>
      <c r="C7" s="17"/>
      <c r="D7" s="17"/>
      <c r="E7" s="17"/>
      <c r="F7" s="17"/>
      <c r="G7" s="17"/>
      <c r="H7" s="17"/>
      <c r="I7" s="166"/>
    </row>
    <row r="8" spans="1:9" s="86" customFormat="1" ht="15.75">
      <c r="A8" s="9">
        <v>2</v>
      </c>
      <c r="B8" s="41" t="s">
        <v>36</v>
      </c>
      <c r="C8" s="17">
        <v>3387.97</v>
      </c>
      <c r="D8" s="17">
        <v>370075.14</v>
      </c>
      <c r="E8" s="17">
        <v>44160</v>
      </c>
      <c r="F8" s="17">
        <v>25067.11</v>
      </c>
      <c r="G8" s="17"/>
      <c r="H8" s="17"/>
      <c r="I8" s="166">
        <f t="shared" si="0"/>
        <v>442690.22</v>
      </c>
    </row>
    <row r="9" spans="1:9" ht="15.75">
      <c r="A9" s="9">
        <v>3</v>
      </c>
      <c r="B9" s="24" t="s">
        <v>244</v>
      </c>
      <c r="C9" s="17"/>
      <c r="D9" s="17"/>
      <c r="E9" s="17"/>
      <c r="F9" s="17"/>
      <c r="G9" s="17"/>
      <c r="H9" s="17"/>
      <c r="I9" s="166">
        <f t="shared" si="0"/>
        <v>0</v>
      </c>
    </row>
    <row r="10" spans="1:9" ht="31.5">
      <c r="A10" s="9">
        <v>4</v>
      </c>
      <c r="B10" s="24" t="s">
        <v>216</v>
      </c>
      <c r="C10" s="138">
        <f aca="true" t="shared" si="1" ref="C10:H10">SUM(C11:C15)</f>
        <v>87387.45</v>
      </c>
      <c r="D10" s="138">
        <f t="shared" si="1"/>
        <v>7120045.07</v>
      </c>
      <c r="E10" s="138">
        <f t="shared" si="1"/>
        <v>171043.2</v>
      </c>
      <c r="F10" s="138">
        <f t="shared" si="1"/>
        <v>408647.37</v>
      </c>
      <c r="G10" s="138">
        <f t="shared" si="1"/>
        <v>0</v>
      </c>
      <c r="H10" s="138">
        <f t="shared" si="1"/>
        <v>0</v>
      </c>
      <c r="I10" s="166">
        <f t="shared" si="0"/>
        <v>7787123.090000001</v>
      </c>
    </row>
    <row r="11" spans="1:9" ht="15.75">
      <c r="A11" s="9">
        <v>5</v>
      </c>
      <c r="B11" s="41" t="s">
        <v>303</v>
      </c>
      <c r="C11" s="17">
        <v>2325.78</v>
      </c>
      <c r="D11" s="17"/>
      <c r="E11" s="17"/>
      <c r="F11" s="17"/>
      <c r="G11" s="17"/>
      <c r="H11" s="17"/>
      <c r="I11" s="166">
        <f t="shared" si="0"/>
        <v>2325.78</v>
      </c>
    </row>
    <row r="12" spans="1:9" ht="15.75">
      <c r="A12" s="9">
        <v>6</v>
      </c>
      <c r="B12" s="41" t="s">
        <v>304</v>
      </c>
      <c r="C12" s="17"/>
      <c r="D12" s="17">
        <v>57029.08</v>
      </c>
      <c r="E12" s="17"/>
      <c r="F12" s="17">
        <v>1433.74</v>
      </c>
      <c r="G12" s="17"/>
      <c r="H12" s="17"/>
      <c r="I12" s="166">
        <f t="shared" si="0"/>
        <v>58462.82</v>
      </c>
    </row>
    <row r="13" spans="1:9" ht="15.75">
      <c r="A13" s="9">
        <v>7</v>
      </c>
      <c r="B13" s="41" t="s">
        <v>305</v>
      </c>
      <c r="C13" s="17">
        <v>12736.94</v>
      </c>
      <c r="D13" s="17">
        <v>905758.86</v>
      </c>
      <c r="E13" s="17">
        <v>10000</v>
      </c>
      <c r="F13" s="17">
        <v>41584.21</v>
      </c>
      <c r="G13" s="17"/>
      <c r="H13" s="17"/>
      <c r="I13" s="166">
        <f t="shared" si="0"/>
        <v>970080.0099999999</v>
      </c>
    </row>
    <row r="14" spans="1:10" ht="31.5">
      <c r="A14" s="9">
        <v>8</v>
      </c>
      <c r="B14" s="41" t="s">
        <v>306</v>
      </c>
      <c r="C14" s="17">
        <v>72324.73</v>
      </c>
      <c r="D14" s="17">
        <v>6157257.13</v>
      </c>
      <c r="E14" s="17">
        <v>161043.2</v>
      </c>
      <c r="F14" s="17">
        <v>361459.18</v>
      </c>
      <c r="G14" s="17"/>
      <c r="H14" s="17"/>
      <c r="I14" s="166">
        <f t="shared" si="0"/>
        <v>6752084.24</v>
      </c>
      <c r="J14" s="252"/>
    </row>
    <row r="15" spans="1:9" ht="31.5">
      <c r="A15" s="9">
        <v>9</v>
      </c>
      <c r="B15" s="41" t="s">
        <v>307</v>
      </c>
      <c r="C15" s="17"/>
      <c r="D15" s="17"/>
      <c r="E15" s="17"/>
      <c r="F15" s="17">
        <v>4170.24</v>
      </c>
      <c r="G15" s="17"/>
      <c r="H15" s="17"/>
      <c r="I15" s="166">
        <f t="shared" si="0"/>
        <v>4170.24</v>
      </c>
    </row>
    <row r="16" spans="1:9" ht="15.75">
      <c r="A16" s="9">
        <v>10</v>
      </c>
      <c r="B16" s="21" t="s">
        <v>168</v>
      </c>
      <c r="C16" s="17"/>
      <c r="D16" s="17"/>
      <c r="E16" s="17">
        <v>20657.5</v>
      </c>
      <c r="F16" s="17"/>
      <c r="G16" s="17"/>
      <c r="H16" s="17"/>
      <c r="I16" s="166">
        <f t="shared" si="0"/>
        <v>20657.5</v>
      </c>
    </row>
    <row r="17" spans="1:9" ht="15.75">
      <c r="A17" s="9">
        <v>11</v>
      </c>
      <c r="B17" s="24" t="s">
        <v>169</v>
      </c>
      <c r="C17" s="17">
        <v>33590</v>
      </c>
      <c r="D17" s="17">
        <v>59783.38</v>
      </c>
      <c r="E17" s="17"/>
      <c r="F17" s="17">
        <v>69212</v>
      </c>
      <c r="G17" s="17"/>
      <c r="H17" s="17"/>
      <c r="I17" s="166">
        <f>SUM(C17:H17)</f>
        <v>162585.38</v>
      </c>
    </row>
    <row r="18" spans="1:9" ht="15.75">
      <c r="A18" s="9">
        <v>12</v>
      </c>
      <c r="B18" s="24" t="s">
        <v>256</v>
      </c>
      <c r="C18" s="17">
        <v>90446.49</v>
      </c>
      <c r="D18" s="17">
        <v>1228533.35</v>
      </c>
      <c r="E18" s="17">
        <v>18945.91</v>
      </c>
      <c r="F18" s="17">
        <v>212128.41</v>
      </c>
      <c r="G18" s="17"/>
      <c r="H18" s="17"/>
      <c r="I18" s="166">
        <f>SUM(C18:H18)</f>
        <v>1550054.16</v>
      </c>
    </row>
    <row r="19" spans="1:9" ht="15.75">
      <c r="A19" s="9">
        <v>13</v>
      </c>
      <c r="B19" s="24" t="s">
        <v>170</v>
      </c>
      <c r="C19" s="17">
        <v>23664</v>
      </c>
      <c r="D19" s="17"/>
      <c r="E19" s="17"/>
      <c r="F19" s="17">
        <v>8625.18</v>
      </c>
      <c r="G19" s="17"/>
      <c r="H19" s="17"/>
      <c r="I19" s="166">
        <f>SUM(C19:H19)</f>
        <v>32289.18</v>
      </c>
    </row>
    <row r="20" spans="1:9" ht="15.75">
      <c r="A20" s="9">
        <v>14</v>
      </c>
      <c r="B20" s="24" t="s">
        <v>265</v>
      </c>
      <c r="C20" s="17">
        <v>1603.44</v>
      </c>
      <c r="D20" s="17">
        <v>1554524.64</v>
      </c>
      <c r="E20" s="17"/>
      <c r="F20" s="17"/>
      <c r="G20" s="17"/>
      <c r="H20" s="17"/>
      <c r="I20" s="166">
        <f>SUM(C20:H20)</f>
        <v>1556128.0799999998</v>
      </c>
    </row>
    <row r="21" spans="1:9" ht="48" thickBot="1">
      <c r="A21" s="89">
        <v>15</v>
      </c>
      <c r="B21" s="34" t="s">
        <v>37</v>
      </c>
      <c r="C21" s="118">
        <f aca="true" t="shared" si="2" ref="C21:H21">+C6+C9+C10+C16+C17+C18+C19+C20</f>
        <v>240079.35</v>
      </c>
      <c r="D21" s="118">
        <f t="shared" si="2"/>
        <v>10454423.81</v>
      </c>
      <c r="E21" s="118">
        <f t="shared" si="2"/>
        <v>254806.61000000002</v>
      </c>
      <c r="F21" s="118">
        <f t="shared" si="2"/>
        <v>735703.29</v>
      </c>
      <c r="G21" s="118">
        <f t="shared" si="2"/>
        <v>0</v>
      </c>
      <c r="H21" s="118">
        <f t="shared" si="2"/>
        <v>0</v>
      </c>
      <c r="I21" s="178">
        <f>SUM(C21:H21)</f>
        <v>11685013.059999999</v>
      </c>
    </row>
    <row r="22" spans="3:8" ht="15.75">
      <c r="C22" s="253"/>
      <c r="D22" s="253"/>
      <c r="E22" s="253"/>
      <c r="F22" s="253"/>
      <c r="G22" s="253"/>
      <c r="H22" s="253"/>
    </row>
    <row r="23" spans="3:8" ht="15.75">
      <c r="C23" s="254"/>
      <c r="D23" s="253"/>
      <c r="E23" s="253"/>
      <c r="F23" s="253"/>
      <c r="G23" s="253"/>
      <c r="H23" s="253"/>
    </row>
    <row r="24" spans="3:8" ht="15.75">
      <c r="C24" s="253"/>
      <c r="D24" s="253"/>
      <c r="E24" s="253"/>
      <c r="F24" s="253"/>
      <c r="G24" s="253"/>
      <c r="H24" s="253"/>
    </row>
    <row r="25" spans="3:8" ht="15.75">
      <c r="C25" s="253"/>
      <c r="D25" s="253"/>
      <c r="E25" s="253"/>
      <c r="F25" s="253"/>
      <c r="G25" s="253"/>
      <c r="H25" s="253"/>
    </row>
    <row r="26" spans="3:8" ht="15.75">
      <c r="C26" s="253"/>
      <c r="D26" s="253"/>
      <c r="E26" s="253"/>
      <c r="F26" s="253"/>
      <c r="G26" s="253"/>
      <c r="H26" s="253"/>
    </row>
    <row r="27" spans="3:8" ht="15.75">
      <c r="C27" s="253"/>
      <c r="D27" s="253"/>
      <c r="E27" s="253"/>
      <c r="F27" s="253"/>
      <c r="G27" s="253"/>
      <c r="H27" s="253"/>
    </row>
    <row r="28" spans="3:8" ht="15.75">
      <c r="C28" s="253"/>
      <c r="D28" s="253"/>
      <c r="E28" s="253"/>
      <c r="F28" s="253"/>
      <c r="G28" s="253"/>
      <c r="H28" s="253"/>
    </row>
    <row r="29" spans="3:8" ht="15.75">
      <c r="C29" s="253"/>
      <c r="D29" s="253"/>
      <c r="E29" s="253"/>
      <c r="F29" s="253"/>
      <c r="G29" s="253"/>
      <c r="H29" s="253"/>
    </row>
    <row r="30" spans="3:8" ht="15.75">
      <c r="C30" s="253"/>
      <c r="D30" s="253"/>
      <c r="E30" s="253"/>
      <c r="F30" s="253"/>
      <c r="G30" s="253"/>
      <c r="H30" s="253"/>
    </row>
    <row r="31" spans="3:8" ht="15.75">
      <c r="C31" s="253"/>
      <c r="D31" s="253"/>
      <c r="E31" s="253"/>
      <c r="F31" s="253"/>
      <c r="G31" s="253"/>
      <c r="H31" s="253"/>
    </row>
    <row r="32" spans="3:8" ht="15.75">
      <c r="C32" s="253"/>
      <c r="D32" s="253"/>
      <c r="E32" s="253"/>
      <c r="F32" s="253"/>
      <c r="G32" s="253"/>
      <c r="H32" s="253"/>
    </row>
    <row r="33" spans="3:8" ht="15.75">
      <c r="C33" s="253"/>
      <c r="D33" s="253"/>
      <c r="E33" s="253"/>
      <c r="F33" s="253"/>
      <c r="G33" s="253"/>
      <c r="H33" s="253"/>
    </row>
    <row r="34" spans="3:8" ht="15.75">
      <c r="C34" s="253"/>
      <c r="D34" s="253"/>
      <c r="E34" s="253"/>
      <c r="F34" s="253"/>
      <c r="G34" s="253"/>
      <c r="H34" s="253"/>
    </row>
    <row r="35" spans="3:8" ht="15.75">
      <c r="C35" s="253"/>
      <c r="D35" s="253"/>
      <c r="E35" s="253"/>
      <c r="F35" s="253"/>
      <c r="G35" s="253"/>
      <c r="H35" s="253"/>
    </row>
    <row r="36" spans="3:8" ht="15.75">
      <c r="C36" s="253"/>
      <c r="D36" s="253"/>
      <c r="E36" s="253"/>
      <c r="F36" s="253"/>
      <c r="G36" s="253"/>
      <c r="H36" s="253"/>
    </row>
    <row r="37" spans="3:8" ht="15.75">
      <c r="C37" s="253"/>
      <c r="D37" s="253"/>
      <c r="E37" s="253"/>
      <c r="F37" s="253"/>
      <c r="G37" s="253"/>
      <c r="H37" s="253"/>
    </row>
    <row r="38" spans="3:8" ht="15.75">
      <c r="C38" s="253"/>
      <c r="D38" s="253"/>
      <c r="E38" s="253"/>
      <c r="F38" s="253"/>
      <c r="G38" s="253"/>
      <c r="H38" s="253"/>
    </row>
    <row r="39" spans="3:8" ht="15.75">
      <c r="C39" s="253"/>
      <c r="D39" s="253"/>
      <c r="E39" s="253"/>
      <c r="F39" s="253"/>
      <c r="G39" s="253"/>
      <c r="H39" s="253"/>
    </row>
    <row r="40" spans="3:8" ht="15.75">
      <c r="C40" s="253"/>
      <c r="D40" s="253"/>
      <c r="E40" s="253"/>
      <c r="F40" s="253"/>
      <c r="G40" s="253"/>
      <c r="H40" s="253"/>
    </row>
    <row r="41" spans="3:8" ht="15.75">
      <c r="C41" s="253"/>
      <c r="D41" s="253"/>
      <c r="E41" s="253"/>
      <c r="F41" s="253"/>
      <c r="G41" s="253"/>
      <c r="H41" s="253"/>
    </row>
    <row r="42" spans="3:8" ht="15.75">
      <c r="C42" s="253"/>
      <c r="D42" s="253"/>
      <c r="E42" s="253"/>
      <c r="F42" s="253"/>
      <c r="G42" s="253"/>
      <c r="H42" s="253"/>
    </row>
    <row r="43" spans="3:8" ht="15.75">
      <c r="C43" s="253"/>
      <c r="D43" s="253"/>
      <c r="E43" s="253"/>
      <c r="F43" s="253"/>
      <c r="G43" s="253"/>
      <c r="H43" s="253"/>
    </row>
    <row r="44" spans="3:8" ht="15.75">
      <c r="C44" s="253"/>
      <c r="D44" s="253"/>
      <c r="E44" s="253"/>
      <c r="F44" s="253"/>
      <c r="G44" s="253"/>
      <c r="H44" s="253"/>
    </row>
    <row r="45" spans="3:8" ht="15.75">
      <c r="C45" s="253"/>
      <c r="D45" s="253"/>
      <c r="E45" s="253"/>
      <c r="F45" s="253"/>
      <c r="G45" s="253"/>
      <c r="H45" s="253"/>
    </row>
    <row r="46" spans="3:8" ht="15.75">
      <c r="C46" s="253"/>
      <c r="D46" s="253"/>
      <c r="E46" s="253"/>
      <c r="F46" s="253"/>
      <c r="G46" s="253"/>
      <c r="H46" s="253"/>
    </row>
    <row r="47" spans="3:8" ht="15.75">
      <c r="C47" s="253"/>
      <c r="D47" s="253"/>
      <c r="E47" s="253"/>
      <c r="F47" s="253"/>
      <c r="G47" s="253"/>
      <c r="H47" s="253"/>
    </row>
    <row r="48" spans="3:8" ht="15.75">
      <c r="C48" s="253"/>
      <c r="D48" s="253"/>
      <c r="E48" s="253"/>
      <c r="F48" s="253"/>
      <c r="G48" s="253"/>
      <c r="H48" s="253"/>
    </row>
    <row r="49" spans="3:8" ht="15.75">
      <c r="C49" s="253"/>
      <c r="D49" s="253"/>
      <c r="E49" s="253"/>
      <c r="F49" s="253"/>
      <c r="G49" s="253"/>
      <c r="H49" s="253"/>
    </row>
    <row r="50" spans="3:8" ht="15.75">
      <c r="C50" s="253"/>
      <c r="D50" s="253"/>
      <c r="E50" s="253"/>
      <c r="F50" s="253"/>
      <c r="G50" s="253"/>
      <c r="H50" s="253"/>
    </row>
    <row r="51" spans="3:8" ht="15.75">
      <c r="C51" s="253"/>
      <c r="D51" s="253"/>
      <c r="E51" s="253"/>
      <c r="F51" s="253"/>
      <c r="G51" s="253"/>
      <c r="H51" s="253"/>
    </row>
    <row r="52" spans="3:8" ht="15.75">
      <c r="C52" s="253"/>
      <c r="D52" s="253"/>
      <c r="E52" s="253"/>
      <c r="F52" s="253"/>
      <c r="G52" s="253"/>
      <c r="H52" s="253"/>
    </row>
    <row r="53" spans="3:8" ht="15.75">
      <c r="C53" s="253"/>
      <c r="D53" s="253"/>
      <c r="E53" s="253"/>
      <c r="F53" s="253"/>
      <c r="G53" s="253"/>
      <c r="H53" s="253"/>
    </row>
    <row r="54" spans="3:8" ht="15.75">
      <c r="C54" s="253"/>
      <c r="D54" s="253"/>
      <c r="E54" s="253"/>
      <c r="F54" s="253"/>
      <c r="G54" s="253"/>
      <c r="H54" s="253"/>
    </row>
    <row r="55" spans="3:8" ht="15.75">
      <c r="C55" s="253"/>
      <c r="D55" s="253"/>
      <c r="E55" s="253"/>
      <c r="F55" s="253"/>
      <c r="G55" s="253"/>
      <c r="H55" s="253"/>
    </row>
    <row r="56" spans="3:8" ht="15.75">
      <c r="C56" s="253"/>
      <c r="D56" s="253"/>
      <c r="E56" s="253"/>
      <c r="F56" s="253"/>
      <c r="G56" s="253"/>
      <c r="H56" s="253"/>
    </row>
    <row r="57" spans="3:8" ht="15.75">
      <c r="C57" s="253"/>
      <c r="D57" s="253"/>
      <c r="E57" s="253"/>
      <c r="F57" s="253"/>
      <c r="G57" s="253"/>
      <c r="H57" s="253"/>
    </row>
    <row r="58" spans="3:8" ht="15.75">
      <c r="C58" s="253"/>
      <c r="D58" s="253"/>
      <c r="E58" s="253"/>
      <c r="F58" s="253"/>
      <c r="G58" s="253"/>
      <c r="H58" s="253"/>
    </row>
    <row r="59" spans="3:8" ht="15.75">
      <c r="C59" s="253"/>
      <c r="D59" s="253"/>
      <c r="E59" s="253"/>
      <c r="F59" s="253"/>
      <c r="G59" s="253"/>
      <c r="H59" s="253"/>
    </row>
    <row r="60" spans="3:8" ht="15.75">
      <c r="C60" s="253"/>
      <c r="D60" s="253"/>
      <c r="E60" s="253"/>
      <c r="F60" s="253"/>
      <c r="G60" s="253"/>
      <c r="H60" s="253"/>
    </row>
    <row r="61" spans="3:8" ht="15.75">
      <c r="C61" s="253"/>
      <c r="D61" s="253"/>
      <c r="E61" s="253"/>
      <c r="F61" s="253"/>
      <c r="G61" s="253"/>
      <c r="H61" s="253"/>
    </row>
    <row r="62" spans="3:8" ht="15.75">
      <c r="C62" s="253"/>
      <c r="D62" s="253"/>
      <c r="E62" s="253"/>
      <c r="F62" s="253"/>
      <c r="G62" s="253"/>
      <c r="H62" s="253"/>
    </row>
    <row r="63" spans="3:8" ht="15.75">
      <c r="C63" s="253"/>
      <c r="D63" s="253"/>
      <c r="E63" s="253"/>
      <c r="F63" s="253"/>
      <c r="G63" s="253"/>
      <c r="H63" s="253"/>
    </row>
    <row r="64" spans="3:8" ht="15.75">
      <c r="C64" s="253"/>
      <c r="D64" s="253"/>
      <c r="E64" s="253"/>
      <c r="F64" s="253"/>
      <c r="G64" s="253"/>
      <c r="H64" s="253"/>
    </row>
    <row r="65" spans="3:8" ht="15.75">
      <c r="C65" s="253"/>
      <c r="D65" s="253"/>
      <c r="E65" s="253"/>
      <c r="F65" s="253"/>
      <c r="G65" s="253"/>
      <c r="H65" s="253"/>
    </row>
    <row r="66" spans="3:8" ht="15.75">
      <c r="C66" s="253"/>
      <c r="D66" s="253"/>
      <c r="E66" s="253"/>
      <c r="F66" s="253"/>
      <c r="G66" s="253"/>
      <c r="H66" s="253"/>
    </row>
    <row r="67" spans="3:8" ht="15.75">
      <c r="C67" s="253"/>
      <c r="D67" s="253"/>
      <c r="E67" s="253"/>
      <c r="F67" s="253"/>
      <c r="G67" s="253"/>
      <c r="H67" s="253"/>
    </row>
    <row r="68" spans="3:8" ht="15.75">
      <c r="C68" s="253"/>
      <c r="D68" s="253"/>
      <c r="E68" s="253"/>
      <c r="F68" s="253"/>
      <c r="G68" s="253"/>
      <c r="H68" s="253"/>
    </row>
    <row r="69" spans="3:8" ht="15.75">
      <c r="C69" s="253"/>
      <c r="D69" s="253"/>
      <c r="E69" s="253"/>
      <c r="F69" s="253"/>
      <c r="G69" s="253"/>
      <c r="H69" s="253"/>
    </row>
    <row r="70" spans="3:8" ht="15.75">
      <c r="C70" s="253"/>
      <c r="D70" s="253"/>
      <c r="E70" s="253"/>
      <c r="F70" s="253"/>
      <c r="G70" s="253"/>
      <c r="H70" s="253"/>
    </row>
    <row r="71" spans="3:8" ht="15.75">
      <c r="C71" s="253"/>
      <c r="D71" s="253"/>
      <c r="E71" s="253"/>
      <c r="F71" s="253"/>
      <c r="G71" s="253"/>
      <c r="H71" s="253"/>
    </row>
    <row r="72" spans="3:8" ht="15.75">
      <c r="C72" s="253"/>
      <c r="D72" s="253"/>
      <c r="E72" s="253"/>
      <c r="F72" s="253"/>
      <c r="G72" s="253"/>
      <c r="H72" s="253"/>
    </row>
    <row r="73" spans="3:8" ht="15.75">
      <c r="C73" s="253"/>
      <c r="D73" s="253"/>
      <c r="E73" s="253"/>
      <c r="F73" s="253"/>
      <c r="G73" s="253"/>
      <c r="H73" s="253"/>
    </row>
    <row r="74" spans="3:8" ht="15.75">
      <c r="C74" s="253"/>
      <c r="D74" s="253"/>
      <c r="E74" s="253"/>
      <c r="F74" s="253"/>
      <c r="G74" s="253"/>
      <c r="H74" s="253"/>
    </row>
    <row r="75" spans="3:8" ht="15.75">
      <c r="C75" s="253"/>
      <c r="D75" s="253"/>
      <c r="E75" s="253"/>
      <c r="F75" s="253"/>
      <c r="G75" s="253"/>
      <c r="H75" s="253"/>
    </row>
    <row r="76" spans="3:8" ht="15.75">
      <c r="C76" s="253"/>
      <c r="D76" s="253"/>
      <c r="E76" s="253"/>
      <c r="F76" s="253"/>
      <c r="G76" s="253"/>
      <c r="H76" s="253"/>
    </row>
    <row r="77" spans="3:8" ht="15.75">
      <c r="C77" s="253"/>
      <c r="D77" s="253"/>
      <c r="E77" s="253"/>
      <c r="F77" s="253"/>
      <c r="G77" s="253"/>
      <c r="H77" s="253"/>
    </row>
    <row r="78" spans="3:8" ht="15.75">
      <c r="C78" s="253"/>
      <c r="D78" s="253"/>
      <c r="E78" s="253"/>
      <c r="F78" s="253"/>
      <c r="G78" s="253"/>
      <c r="H78" s="253"/>
    </row>
    <row r="79" spans="3:8" ht="15.75">
      <c r="C79" s="253"/>
      <c r="D79" s="253"/>
      <c r="E79" s="253"/>
      <c r="F79" s="253"/>
      <c r="G79" s="253"/>
      <c r="H79" s="253"/>
    </row>
    <row r="80" spans="3:8" ht="15.75">
      <c r="C80" s="253"/>
      <c r="D80" s="253"/>
      <c r="E80" s="253"/>
      <c r="F80" s="253"/>
      <c r="G80" s="253"/>
      <c r="H80" s="253"/>
    </row>
    <row r="81" spans="3:8" ht="15.75">
      <c r="C81" s="253"/>
      <c r="D81" s="253"/>
      <c r="E81" s="253"/>
      <c r="F81" s="253"/>
      <c r="G81" s="253"/>
      <c r="H81" s="253"/>
    </row>
    <row r="82" spans="3:8" ht="15.75">
      <c r="C82" s="253"/>
      <c r="D82" s="253"/>
      <c r="E82" s="253"/>
      <c r="F82" s="253"/>
      <c r="G82" s="253"/>
      <c r="H82" s="253"/>
    </row>
  </sheetData>
  <sheetProtection/>
  <mergeCells count="11">
    <mergeCell ref="A3:A4"/>
    <mergeCell ref="B3:B4"/>
    <mergeCell ref="D3:D4"/>
    <mergeCell ref="F3:F4"/>
    <mergeCell ref="E3:E4"/>
    <mergeCell ref="I3:I4"/>
    <mergeCell ref="A1:I1"/>
    <mergeCell ref="A2:I2"/>
    <mergeCell ref="G3:G4"/>
    <mergeCell ref="C3:C4"/>
    <mergeCell ref="H3:H4"/>
  </mergeCells>
  <printOptions gridLines="1"/>
  <pageMargins left="0.48" right="0.44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IV28"/>
  <sheetViews>
    <sheetView zoomScalePageLayoutView="0" workbookViewId="0" topLeftCell="A1">
      <selection activeCell="P13" sqref="P13"/>
    </sheetView>
  </sheetViews>
  <sheetFormatPr defaultColWidth="9.140625" defaultRowHeight="12.75"/>
  <cols>
    <col min="1" max="1" width="7.28125" style="85" customWidth="1"/>
    <col min="2" max="2" width="39.8515625" style="90" customWidth="1"/>
    <col min="3" max="3" width="20.00390625" style="85" customWidth="1"/>
    <col min="4" max="4" width="15.8515625" style="85" customWidth="1"/>
    <col min="5" max="5" width="16.28125" style="85" customWidth="1"/>
    <col min="6" max="6" width="17.421875" style="85" customWidth="1"/>
    <col min="7" max="7" width="15.8515625" style="85" customWidth="1"/>
    <col min="8" max="8" width="16.00390625" style="85" customWidth="1"/>
    <col min="9" max="9" width="13.421875" style="85" customWidth="1"/>
    <col min="10" max="10" width="12.421875" style="85" customWidth="1"/>
    <col min="11" max="11" width="14.57421875" style="85" customWidth="1"/>
    <col min="12" max="12" width="13.421875" style="85" bestFit="1" customWidth="1"/>
    <col min="13" max="13" width="19.7109375" style="85" customWidth="1"/>
    <col min="14" max="14" width="13.8515625" style="85" bestFit="1" customWidth="1"/>
    <col min="15" max="15" width="14.140625" style="85" customWidth="1"/>
    <col min="16" max="16384" width="9.140625" style="85" customWidth="1"/>
  </cols>
  <sheetData>
    <row r="1" spans="1:14" ht="27.75" customHeight="1">
      <c r="A1" s="574" t="s">
        <v>815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6"/>
    </row>
    <row r="2" spans="1:14" ht="28.5" customHeight="1">
      <c r="A2" s="577" t="s">
        <v>1005</v>
      </c>
      <c r="B2" s="578"/>
      <c r="C2" s="578"/>
      <c r="D2" s="578"/>
      <c r="E2" s="578"/>
      <c r="F2" s="578"/>
      <c r="G2" s="578"/>
      <c r="H2" s="578"/>
      <c r="I2" s="571"/>
      <c r="J2" s="571"/>
      <c r="K2" s="578"/>
      <c r="L2" s="578"/>
      <c r="M2" s="578"/>
      <c r="N2" s="579"/>
    </row>
    <row r="3" spans="1:256" ht="51.75" customHeight="1">
      <c r="A3" s="580" t="s">
        <v>189</v>
      </c>
      <c r="B3" s="470"/>
      <c r="C3" s="492" t="s">
        <v>286</v>
      </c>
      <c r="D3" s="492"/>
      <c r="E3" s="492" t="s">
        <v>287</v>
      </c>
      <c r="F3" s="492"/>
      <c r="G3" s="492" t="s">
        <v>288</v>
      </c>
      <c r="H3" s="559"/>
      <c r="I3" s="581" t="s">
        <v>896</v>
      </c>
      <c r="J3" s="581"/>
      <c r="K3" s="582" t="s">
        <v>266</v>
      </c>
      <c r="L3" s="492"/>
      <c r="M3" s="492" t="s">
        <v>282</v>
      </c>
      <c r="N3" s="495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</row>
    <row r="4" spans="1:256" ht="17.25" customHeight="1">
      <c r="A4" s="580"/>
      <c r="B4" s="470"/>
      <c r="C4" s="2">
        <v>2011</v>
      </c>
      <c r="D4" s="2">
        <v>2012</v>
      </c>
      <c r="E4" s="2">
        <v>2011</v>
      </c>
      <c r="F4" s="2">
        <v>2012</v>
      </c>
      <c r="G4" s="2">
        <v>2011</v>
      </c>
      <c r="H4" s="100">
        <v>2012</v>
      </c>
      <c r="I4" s="2">
        <v>2011</v>
      </c>
      <c r="J4" s="2">
        <v>2012</v>
      </c>
      <c r="K4" s="2">
        <v>2011</v>
      </c>
      <c r="L4" s="2">
        <v>2012</v>
      </c>
      <c r="M4" s="2">
        <v>2011</v>
      </c>
      <c r="N4" s="1">
        <v>2012</v>
      </c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</row>
    <row r="5" spans="1:256" ht="31.5">
      <c r="A5" s="9"/>
      <c r="B5" s="87"/>
      <c r="C5" s="3" t="s">
        <v>245</v>
      </c>
      <c r="D5" s="3" t="s">
        <v>246</v>
      </c>
      <c r="E5" s="3" t="s">
        <v>247</v>
      </c>
      <c r="F5" s="3" t="s">
        <v>253</v>
      </c>
      <c r="G5" s="3" t="s">
        <v>248</v>
      </c>
      <c r="H5" s="98" t="s">
        <v>249</v>
      </c>
      <c r="I5" s="3" t="s">
        <v>250</v>
      </c>
      <c r="J5" s="3" t="s">
        <v>251</v>
      </c>
      <c r="K5" s="3" t="s">
        <v>252</v>
      </c>
      <c r="L5" s="3" t="s">
        <v>782</v>
      </c>
      <c r="M5" s="22" t="s">
        <v>882</v>
      </c>
      <c r="N5" s="23" t="s">
        <v>883</v>
      </c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  <c r="IU5" s="88"/>
      <c r="IV5" s="88"/>
    </row>
    <row r="6" spans="1:14" ht="31.5">
      <c r="A6" s="9">
        <v>1</v>
      </c>
      <c r="B6" s="15" t="s">
        <v>185</v>
      </c>
      <c r="C6" s="114">
        <v>375695.71</v>
      </c>
      <c r="D6" s="114">
        <f>C17</f>
        <v>719155.3</v>
      </c>
      <c r="E6" s="114">
        <v>3538110.73</v>
      </c>
      <c r="F6" s="114">
        <f>E17</f>
        <v>20354254.639999997</v>
      </c>
      <c r="G6" s="114">
        <v>370028.19</v>
      </c>
      <c r="H6" s="114">
        <f>G17</f>
        <v>148754.3700000001</v>
      </c>
      <c r="I6" s="114">
        <v>0</v>
      </c>
      <c r="J6" s="114">
        <f>SUM(I17)</f>
        <v>0</v>
      </c>
      <c r="K6" s="114">
        <v>0</v>
      </c>
      <c r="L6" s="114">
        <f>SUM(K17)</f>
        <v>0</v>
      </c>
      <c r="M6" s="114">
        <f aca="true" t="shared" si="0" ref="M6:N8">C6+E6+G6+I6+K6</f>
        <v>4283834.63</v>
      </c>
      <c r="N6" s="43">
        <f t="shared" si="0"/>
        <v>21222164.31</v>
      </c>
    </row>
    <row r="7" spans="1:14" ht="31.5">
      <c r="A7" s="9">
        <v>2</v>
      </c>
      <c r="B7" s="104" t="s">
        <v>816</v>
      </c>
      <c r="C7" s="114">
        <f aca="true" t="shared" si="1" ref="C7:L7">SUM(C8:C15)</f>
        <v>365448.87</v>
      </c>
      <c r="D7" s="114">
        <f t="shared" si="1"/>
        <v>371773.72</v>
      </c>
      <c r="E7" s="114">
        <f t="shared" si="1"/>
        <v>1255396.66</v>
      </c>
      <c r="F7" s="114">
        <f t="shared" si="1"/>
        <v>1493823.67</v>
      </c>
      <c r="G7" s="114">
        <f t="shared" si="1"/>
        <v>2090864.1</v>
      </c>
      <c r="H7" s="114">
        <f t="shared" si="1"/>
        <v>2665125.2</v>
      </c>
      <c r="I7" s="114">
        <f t="shared" si="1"/>
        <v>0</v>
      </c>
      <c r="J7" s="114">
        <f t="shared" si="1"/>
        <v>0</v>
      </c>
      <c r="K7" s="114">
        <f t="shared" si="1"/>
        <v>0</v>
      </c>
      <c r="L7" s="114">
        <f t="shared" si="1"/>
        <v>0</v>
      </c>
      <c r="M7" s="114">
        <f t="shared" si="0"/>
        <v>3711709.63</v>
      </c>
      <c r="N7" s="43">
        <f t="shared" si="0"/>
        <v>4530722.59</v>
      </c>
    </row>
    <row r="8" spans="1:14" ht="22.5" customHeight="1">
      <c r="A8" s="9">
        <v>3</v>
      </c>
      <c r="B8" s="12" t="s">
        <v>57</v>
      </c>
      <c r="C8" s="17">
        <f>373682.13-8233.26</f>
        <v>365448.87</v>
      </c>
      <c r="D8" s="17">
        <v>371773.72</v>
      </c>
      <c r="E8" s="17"/>
      <c r="F8" s="17"/>
      <c r="G8" s="17"/>
      <c r="H8" s="17"/>
      <c r="I8" s="17"/>
      <c r="J8" s="17"/>
      <c r="K8" s="17"/>
      <c r="L8" s="17"/>
      <c r="M8" s="114">
        <f t="shared" si="0"/>
        <v>365448.87</v>
      </c>
      <c r="N8" s="43">
        <f t="shared" si="0"/>
        <v>371773.72</v>
      </c>
    </row>
    <row r="9" spans="1:14" ht="21.75" customHeight="1">
      <c r="A9" s="9">
        <v>4</v>
      </c>
      <c r="B9" s="12" t="s">
        <v>269</v>
      </c>
      <c r="C9" s="114" t="s">
        <v>268</v>
      </c>
      <c r="D9" s="114" t="s">
        <v>268</v>
      </c>
      <c r="E9" s="115">
        <f>1154172.02+29573.18</f>
        <v>1183745.2</v>
      </c>
      <c r="F9" s="115">
        <f>1497340.4+23485.86-9846.72-17155.87</f>
        <v>1493823.67</v>
      </c>
      <c r="G9" s="114" t="s">
        <v>268</v>
      </c>
      <c r="H9" s="114" t="s">
        <v>268</v>
      </c>
      <c r="I9" s="116" t="s">
        <v>268</v>
      </c>
      <c r="J9" s="116" t="s">
        <v>268</v>
      </c>
      <c r="K9" s="114" t="s">
        <v>268</v>
      </c>
      <c r="L9" s="114" t="s">
        <v>268</v>
      </c>
      <c r="M9" s="114">
        <f>E9</f>
        <v>1183745.2</v>
      </c>
      <c r="N9" s="43">
        <f>F9</f>
        <v>1493823.67</v>
      </c>
    </row>
    <row r="10" spans="1:256" ht="31.5">
      <c r="A10" s="9">
        <v>5</v>
      </c>
      <c r="B10" s="12" t="s">
        <v>0</v>
      </c>
      <c r="C10" s="114" t="s">
        <v>268</v>
      </c>
      <c r="D10" s="114" t="s">
        <v>268</v>
      </c>
      <c r="E10" s="117">
        <f>14242.58+35802.96+21605.92</f>
        <v>71651.45999999999</v>
      </c>
      <c r="F10" s="117"/>
      <c r="G10" s="114" t="s">
        <v>268</v>
      </c>
      <c r="H10" s="114" t="s">
        <v>268</v>
      </c>
      <c r="I10" s="116" t="s">
        <v>268</v>
      </c>
      <c r="J10" s="116" t="s">
        <v>268</v>
      </c>
      <c r="K10" s="114" t="s">
        <v>268</v>
      </c>
      <c r="L10" s="114" t="s">
        <v>268</v>
      </c>
      <c r="M10" s="114">
        <f>E10</f>
        <v>71651.45999999999</v>
      </c>
      <c r="N10" s="43">
        <f>F10</f>
        <v>0</v>
      </c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</row>
    <row r="11" spans="1:14" ht="31.5">
      <c r="A11" s="9">
        <v>6</v>
      </c>
      <c r="B11" s="12" t="s">
        <v>270</v>
      </c>
      <c r="C11" s="114" t="s">
        <v>268</v>
      </c>
      <c r="D11" s="114" t="s">
        <v>268</v>
      </c>
      <c r="E11" s="17"/>
      <c r="F11" s="17"/>
      <c r="G11" s="17"/>
      <c r="H11" s="17"/>
      <c r="I11" s="17"/>
      <c r="J11" s="17"/>
      <c r="K11" s="114"/>
      <c r="L11" s="114"/>
      <c r="M11" s="114">
        <f>E11+G11+I11+K11</f>
        <v>0</v>
      </c>
      <c r="N11" s="43">
        <f>F11+H11+J11+L11</f>
        <v>0</v>
      </c>
    </row>
    <row r="12" spans="1:14" ht="17.25" customHeight="1">
      <c r="A12" s="9">
        <v>7</v>
      </c>
      <c r="B12" s="12" t="s">
        <v>271</v>
      </c>
      <c r="C12" s="17"/>
      <c r="D12" s="17"/>
      <c r="E12" s="17"/>
      <c r="F12" s="17"/>
      <c r="G12" s="17">
        <v>100</v>
      </c>
      <c r="H12" s="17">
        <v>0</v>
      </c>
      <c r="I12" s="17"/>
      <c r="J12" s="17"/>
      <c r="K12" s="17"/>
      <c r="L12" s="17"/>
      <c r="M12" s="114">
        <f>C12+E12+G12+I12+K12</f>
        <v>100</v>
      </c>
      <c r="N12" s="43">
        <f>D12+F12+H12+J12+L12</f>
        <v>0</v>
      </c>
    </row>
    <row r="13" spans="1:14" ht="18.75">
      <c r="A13" s="9">
        <v>8</v>
      </c>
      <c r="B13" s="41" t="s">
        <v>58</v>
      </c>
      <c r="C13" s="114" t="s">
        <v>268</v>
      </c>
      <c r="D13" s="114" t="s">
        <v>268</v>
      </c>
      <c r="E13" s="114" t="s">
        <v>268</v>
      </c>
      <c r="F13" s="114" t="s">
        <v>268</v>
      </c>
      <c r="G13" s="17">
        <f>1669282+431328-1874-76628</f>
        <v>2022108</v>
      </c>
      <c r="H13" s="17">
        <f>2204394+507408-101658</f>
        <v>2610144</v>
      </c>
      <c r="I13" s="255"/>
      <c r="J13" s="255"/>
      <c r="K13" s="17" t="s">
        <v>268</v>
      </c>
      <c r="L13" s="17" t="s">
        <v>268</v>
      </c>
      <c r="M13" s="114">
        <f>G13</f>
        <v>2022108</v>
      </c>
      <c r="N13" s="43">
        <f>H13</f>
        <v>2610144</v>
      </c>
    </row>
    <row r="14" spans="1:14" ht="19.5" customHeight="1">
      <c r="A14" s="9">
        <v>9</v>
      </c>
      <c r="B14" s="12" t="s">
        <v>20</v>
      </c>
      <c r="C14" s="114" t="s">
        <v>268</v>
      </c>
      <c r="D14" s="114" t="s">
        <v>268</v>
      </c>
      <c r="E14" s="114" t="s">
        <v>268</v>
      </c>
      <c r="F14" s="114" t="s">
        <v>268</v>
      </c>
      <c r="G14" s="17">
        <v>68656.1</v>
      </c>
      <c r="H14" s="17">
        <f>54981.2</f>
        <v>54981.2</v>
      </c>
      <c r="I14" s="255" t="s">
        <v>268</v>
      </c>
      <c r="J14" s="255" t="s">
        <v>268</v>
      </c>
      <c r="K14" s="17" t="s">
        <v>268</v>
      </c>
      <c r="L14" s="17" t="s">
        <v>268</v>
      </c>
      <c r="M14" s="114">
        <f>G14</f>
        <v>68656.1</v>
      </c>
      <c r="N14" s="43">
        <f>H14</f>
        <v>54981.2</v>
      </c>
    </row>
    <row r="15" spans="1:14" ht="18.75">
      <c r="A15" s="9">
        <v>10</v>
      </c>
      <c r="B15" s="12" t="s">
        <v>59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14">
        <f>C15+E15+G15+I15+K15</f>
        <v>0</v>
      </c>
      <c r="N15" s="43">
        <f>D15+F15+H15+J15+L15</f>
        <v>0</v>
      </c>
    </row>
    <row r="16" spans="1:14" ht="31.5">
      <c r="A16" s="9">
        <v>11</v>
      </c>
      <c r="B16" s="15" t="s">
        <v>186</v>
      </c>
      <c r="C16" s="114">
        <v>21989.28</v>
      </c>
      <c r="D16" s="114">
        <v>0</v>
      </c>
      <c r="E16" s="116">
        <f>6130197.93-21748354.06+35802.96+21605.92</f>
        <v>-15560747.249999998</v>
      </c>
      <c r="F16" s="114">
        <f>18347366.46-503231.42</f>
        <v>17844135.04</v>
      </c>
      <c r="G16" s="17">
        <f>40906.2+1962949+404292.72-2650-88685-4675</f>
        <v>2312137.92</v>
      </c>
      <c r="H16" s="17">
        <f>46609.17+2013290+395326.17-1130-1200</f>
        <v>2452895.34</v>
      </c>
      <c r="I16" s="114"/>
      <c r="J16" s="114"/>
      <c r="K16" s="114"/>
      <c r="L16" s="114"/>
      <c r="M16" s="116">
        <f>C16+E16+G16+I16+K16</f>
        <v>-13226620.049999999</v>
      </c>
      <c r="N16" s="43">
        <f aca="true" t="shared" si="2" ref="M16:N18">D16+F16+H16+J16+L16</f>
        <v>20297030.38</v>
      </c>
    </row>
    <row r="17" spans="1:14" ht="31.5">
      <c r="A17" s="9">
        <v>12</v>
      </c>
      <c r="B17" s="15" t="s">
        <v>21</v>
      </c>
      <c r="C17" s="114">
        <f aca="true" t="shared" si="3" ref="C17:L17">C6+C7-C16</f>
        <v>719155.3</v>
      </c>
      <c r="D17" s="114">
        <f t="shared" si="3"/>
        <v>1090929.02</v>
      </c>
      <c r="E17" s="114">
        <f t="shared" si="3"/>
        <v>20354254.639999997</v>
      </c>
      <c r="F17" s="114">
        <f t="shared" si="3"/>
        <v>4003943.269999996</v>
      </c>
      <c r="G17" s="114">
        <f t="shared" si="3"/>
        <v>148754.3700000001</v>
      </c>
      <c r="H17" s="114">
        <f t="shared" si="3"/>
        <v>360984.23000000045</v>
      </c>
      <c r="I17" s="114">
        <f t="shared" si="3"/>
        <v>0</v>
      </c>
      <c r="J17" s="114">
        <f t="shared" si="3"/>
        <v>0</v>
      </c>
      <c r="K17" s="114">
        <f t="shared" si="3"/>
        <v>0</v>
      </c>
      <c r="L17" s="114">
        <f t="shared" si="3"/>
        <v>0</v>
      </c>
      <c r="M17" s="114">
        <f>C17+E17+G17+I17+K17</f>
        <v>21222164.31</v>
      </c>
      <c r="N17" s="43">
        <f>D17+F17+H17+J17+L17</f>
        <v>5455856.519999996</v>
      </c>
    </row>
    <row r="18" spans="1:14" ht="62.25" customHeight="1" thickBot="1">
      <c r="A18" s="89">
        <v>13</v>
      </c>
      <c r="B18" s="27" t="s">
        <v>880</v>
      </c>
      <c r="C18" s="256">
        <v>0</v>
      </c>
      <c r="D18" s="256">
        <v>0</v>
      </c>
      <c r="E18" s="256">
        <v>0</v>
      </c>
      <c r="F18" s="256">
        <v>0</v>
      </c>
      <c r="G18" s="256">
        <v>0</v>
      </c>
      <c r="H18" s="256">
        <v>0</v>
      </c>
      <c r="I18" s="256">
        <v>0</v>
      </c>
      <c r="J18" s="256">
        <v>0</v>
      </c>
      <c r="K18" s="256">
        <v>0</v>
      </c>
      <c r="L18" s="256">
        <v>0</v>
      </c>
      <c r="M18" s="145">
        <f t="shared" si="2"/>
        <v>0</v>
      </c>
      <c r="N18" s="128">
        <f t="shared" si="2"/>
        <v>0</v>
      </c>
    </row>
    <row r="19" spans="5:10" ht="15.75">
      <c r="E19" s="122"/>
      <c r="F19" s="119"/>
      <c r="H19" s="119"/>
      <c r="I19" s="91"/>
      <c r="J19" s="91"/>
    </row>
    <row r="20" spans="1:14" ht="15.75">
      <c r="A20" s="91" t="s">
        <v>60</v>
      </c>
      <c r="B20" s="91"/>
      <c r="C20" s="91"/>
      <c r="D20" s="91"/>
      <c r="E20" s="91"/>
      <c r="F20" s="121"/>
      <c r="G20" s="91"/>
      <c r="H20" s="120"/>
      <c r="I20" s="91"/>
      <c r="J20" s="91"/>
      <c r="K20" s="91"/>
      <c r="L20" s="91"/>
      <c r="M20" s="91"/>
      <c r="N20" s="91"/>
    </row>
    <row r="21" spans="1:14" ht="15.75">
      <c r="A21" s="91" t="s">
        <v>61</v>
      </c>
      <c r="B21" s="91"/>
      <c r="C21" s="91"/>
      <c r="D21" s="91"/>
      <c r="E21" s="91"/>
      <c r="F21" s="91"/>
      <c r="G21" s="91"/>
      <c r="H21" s="120"/>
      <c r="I21" s="91"/>
      <c r="J21" s="91"/>
      <c r="K21" s="91"/>
      <c r="L21" s="91"/>
      <c r="M21" s="91"/>
      <c r="N21" s="91"/>
    </row>
    <row r="22" spans="1:14" ht="33" customHeight="1">
      <c r="A22" s="585" t="s">
        <v>62</v>
      </c>
      <c r="B22" s="585"/>
      <c r="C22" s="585"/>
      <c r="D22" s="91"/>
      <c r="E22" s="91"/>
      <c r="F22" s="91"/>
      <c r="G22" s="91"/>
      <c r="H22" s="120">
        <f>H16-H21</f>
        <v>2452895.34</v>
      </c>
      <c r="I22" s="91"/>
      <c r="J22" s="91"/>
      <c r="K22" s="91"/>
      <c r="L22" s="91"/>
      <c r="M22" s="91"/>
      <c r="N22" s="91"/>
    </row>
    <row r="23" spans="1:14" ht="36" customHeight="1">
      <c r="A23" s="584" t="s">
        <v>1011</v>
      </c>
      <c r="B23" s="584"/>
      <c r="C23" s="584"/>
      <c r="D23" s="584"/>
      <c r="E23" s="584"/>
      <c r="F23" s="584"/>
      <c r="G23" s="584"/>
      <c r="H23" s="584"/>
      <c r="I23" s="584"/>
      <c r="J23" s="584"/>
      <c r="K23" s="584"/>
      <c r="L23" s="584"/>
      <c r="M23" s="584"/>
      <c r="N23" s="584"/>
    </row>
    <row r="24" spans="1:14" ht="15.75">
      <c r="A24" s="583"/>
      <c r="B24" s="583"/>
      <c r="C24" s="583"/>
      <c r="D24" s="583"/>
      <c r="E24" s="583"/>
      <c r="F24" s="583"/>
      <c r="G24" s="583"/>
      <c r="H24" s="583"/>
      <c r="I24" s="583"/>
      <c r="J24" s="583"/>
      <c r="K24" s="583"/>
      <c r="L24" s="583"/>
      <c r="M24" s="583"/>
      <c r="N24" s="583"/>
    </row>
    <row r="25" spans="1:2" ht="15.75">
      <c r="A25" s="85" t="s">
        <v>1008</v>
      </c>
      <c r="B25" s="110"/>
    </row>
    <row r="28" ht="15.75">
      <c r="F28" s="85" t="s">
        <v>144</v>
      </c>
    </row>
  </sheetData>
  <sheetProtection/>
  <mergeCells count="13">
    <mergeCell ref="A24:N24"/>
    <mergeCell ref="A23:N23"/>
    <mergeCell ref="A22:C22"/>
    <mergeCell ref="A1:N1"/>
    <mergeCell ref="A2:N2"/>
    <mergeCell ref="A3:A4"/>
    <mergeCell ref="B3:B4"/>
    <mergeCell ref="C3:D3"/>
    <mergeCell ref="E3:F3"/>
    <mergeCell ref="G3:H3"/>
    <mergeCell ref="I3:J3"/>
    <mergeCell ref="K3:L3"/>
    <mergeCell ref="M3:N3"/>
  </mergeCells>
  <printOptions/>
  <pageMargins left="0.4330708661417323" right="0.2755905511811024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24"/>
  <sheetViews>
    <sheetView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9" sqref="F19"/>
    </sheetView>
  </sheetViews>
  <sheetFormatPr defaultColWidth="9.140625" defaultRowHeight="12.75"/>
  <cols>
    <col min="1" max="1" width="10.57421875" style="266" customWidth="1"/>
    <col min="2" max="2" width="43.140625" style="31" customWidth="1"/>
    <col min="3" max="3" width="28.421875" style="30" customWidth="1"/>
    <col min="4" max="4" width="52.7109375" style="30" customWidth="1"/>
    <col min="5" max="16384" width="9.140625" style="30" customWidth="1"/>
  </cols>
  <sheetData>
    <row r="1" spans="1:4" ht="49.5" customHeight="1">
      <c r="A1" s="457" t="s">
        <v>841</v>
      </c>
      <c r="B1" s="458"/>
      <c r="C1" s="458"/>
      <c r="D1" s="459"/>
    </row>
    <row r="2" spans="1:4" ht="34.5" customHeight="1">
      <c r="A2" s="453" t="s">
        <v>1006</v>
      </c>
      <c r="B2" s="454"/>
      <c r="C2" s="454"/>
      <c r="D2" s="455"/>
    </row>
    <row r="3" spans="1:4" ht="31.5">
      <c r="A3" s="257" t="s">
        <v>189</v>
      </c>
      <c r="B3" s="24" t="s">
        <v>254</v>
      </c>
      <c r="C3" s="7" t="s">
        <v>842</v>
      </c>
      <c r="D3" s="8" t="s">
        <v>865</v>
      </c>
    </row>
    <row r="4" spans="1:4" s="39" customFormat="1" ht="18" customHeight="1">
      <c r="A4" s="42"/>
      <c r="B4" s="22" t="s">
        <v>245</v>
      </c>
      <c r="C4" s="22" t="s">
        <v>246</v>
      </c>
      <c r="D4" s="23" t="s">
        <v>247</v>
      </c>
    </row>
    <row r="5" spans="1:4" s="39" customFormat="1" ht="31.5">
      <c r="A5" s="42">
        <v>1</v>
      </c>
      <c r="B5" s="24" t="s">
        <v>22</v>
      </c>
      <c r="C5" s="138">
        <f>SUM(C6:C19)</f>
        <v>11632504.98</v>
      </c>
      <c r="D5" s="258"/>
    </row>
    <row r="6" spans="1:4" ht="78.75">
      <c r="A6" s="42">
        <v>2</v>
      </c>
      <c r="B6" s="13" t="s">
        <v>179</v>
      </c>
      <c r="C6" s="143">
        <v>0</v>
      </c>
      <c r="D6" s="259" t="s">
        <v>976</v>
      </c>
    </row>
    <row r="7" spans="1:4" ht="78.75">
      <c r="A7" s="42">
        <v>3</v>
      </c>
      <c r="B7" s="13" t="s">
        <v>180</v>
      </c>
      <c r="C7" s="143">
        <v>4522205.82</v>
      </c>
      <c r="D7" s="259" t="s">
        <v>977</v>
      </c>
    </row>
    <row r="8" spans="1:4" ht="15.75">
      <c r="A8" s="42">
        <v>4</v>
      </c>
      <c r="B8" s="41" t="s">
        <v>181</v>
      </c>
      <c r="C8" s="143"/>
      <c r="D8" s="259" t="s">
        <v>978</v>
      </c>
    </row>
    <row r="9" spans="1:4" ht="78.75">
      <c r="A9" s="42">
        <v>5</v>
      </c>
      <c r="B9" s="41" t="s">
        <v>156</v>
      </c>
      <c r="C9" s="143">
        <v>5061506.529999999</v>
      </c>
      <c r="D9" s="260" t="s">
        <v>979</v>
      </c>
    </row>
    <row r="10" spans="1:4" ht="15.75">
      <c r="A10" s="42">
        <v>6</v>
      </c>
      <c r="B10" s="41" t="s">
        <v>234</v>
      </c>
      <c r="C10" s="143"/>
      <c r="D10" s="19"/>
    </row>
    <row r="11" spans="1:4" ht="15.75">
      <c r="A11" s="42">
        <v>7</v>
      </c>
      <c r="B11" s="41" t="s">
        <v>235</v>
      </c>
      <c r="C11" s="143"/>
      <c r="D11" s="19"/>
    </row>
    <row r="12" spans="1:4" ht="78.75">
      <c r="A12" s="42">
        <v>8</v>
      </c>
      <c r="B12" s="41" t="s">
        <v>348</v>
      </c>
      <c r="C12" s="143">
        <v>154011.91</v>
      </c>
      <c r="D12" s="19" t="s">
        <v>980</v>
      </c>
    </row>
    <row r="13" spans="1:4" ht="15.75">
      <c r="A13" s="42">
        <v>9</v>
      </c>
      <c r="B13" s="41" t="s">
        <v>157</v>
      </c>
      <c r="C13" s="143">
        <v>489642.23000000004</v>
      </c>
      <c r="D13" s="261" t="s">
        <v>981</v>
      </c>
    </row>
    <row r="14" spans="1:4" ht="78.75">
      <c r="A14" s="42">
        <v>10</v>
      </c>
      <c r="B14" s="41" t="s">
        <v>158</v>
      </c>
      <c r="C14" s="143">
        <v>0</v>
      </c>
      <c r="D14" s="259" t="s">
        <v>982</v>
      </c>
    </row>
    <row r="15" spans="1:4" ht="78.75">
      <c r="A15" s="42">
        <v>11</v>
      </c>
      <c r="B15" s="41" t="s">
        <v>159</v>
      </c>
      <c r="C15" s="143">
        <v>334104.93</v>
      </c>
      <c r="D15" s="259" t="s">
        <v>983</v>
      </c>
    </row>
    <row r="16" spans="1:4" ht="78.75">
      <c r="A16" s="42">
        <v>12</v>
      </c>
      <c r="B16" s="41" t="s">
        <v>160</v>
      </c>
      <c r="C16" s="143">
        <v>77164.22</v>
      </c>
      <c r="D16" s="259" t="s">
        <v>984</v>
      </c>
    </row>
    <row r="17" spans="1:4" ht="15.75">
      <c r="A17" s="42">
        <v>13</v>
      </c>
      <c r="B17" s="41" t="s">
        <v>161</v>
      </c>
      <c r="C17" s="143"/>
      <c r="D17" s="19"/>
    </row>
    <row r="18" spans="1:4" ht="15.75">
      <c r="A18" s="42">
        <v>14</v>
      </c>
      <c r="B18" s="41" t="s">
        <v>162</v>
      </c>
      <c r="C18" s="143"/>
      <c r="D18" s="19"/>
    </row>
    <row r="19" spans="1:4" ht="252">
      <c r="A19" s="42">
        <v>15</v>
      </c>
      <c r="B19" s="41" t="s">
        <v>163</v>
      </c>
      <c r="C19" s="143">
        <v>993869.34</v>
      </c>
      <c r="D19" s="259" t="s">
        <v>985</v>
      </c>
    </row>
    <row r="20" spans="1:4" ht="15.75">
      <c r="A20" s="42">
        <v>16</v>
      </c>
      <c r="B20" s="24" t="s">
        <v>267</v>
      </c>
      <c r="C20" s="143"/>
      <c r="D20" s="19"/>
    </row>
    <row r="21" spans="1:4" ht="15.75">
      <c r="A21" s="42">
        <v>17</v>
      </c>
      <c r="B21" s="262" t="s">
        <v>794</v>
      </c>
      <c r="C21" s="263"/>
      <c r="D21" s="264"/>
    </row>
    <row r="22" spans="1:4" ht="32.25" thickBot="1">
      <c r="A22" s="248">
        <v>18</v>
      </c>
      <c r="B22" s="34" t="s">
        <v>33</v>
      </c>
      <c r="C22" s="118">
        <f>+C5+C20+C21</f>
        <v>11632504.98</v>
      </c>
      <c r="D22" s="265"/>
    </row>
    <row r="24" spans="1:4" ht="15.75" customHeight="1">
      <c r="A24" s="586" t="s">
        <v>986</v>
      </c>
      <c r="B24" s="586"/>
      <c r="C24" s="586"/>
      <c r="D24" s="37"/>
    </row>
  </sheetData>
  <sheetProtection/>
  <mergeCells count="3">
    <mergeCell ref="A1:D1"/>
    <mergeCell ref="A2:D2"/>
    <mergeCell ref="A24:C24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I24"/>
  <sheetViews>
    <sheetView tabSelected="1"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19" sqref="P19"/>
    </sheetView>
  </sheetViews>
  <sheetFormatPr defaultColWidth="9.140625" defaultRowHeight="12.75"/>
  <cols>
    <col min="1" max="1" width="7.7109375" style="32" customWidth="1"/>
    <col min="2" max="2" width="47.57421875" style="186" customWidth="1"/>
    <col min="3" max="3" width="17.8515625" style="83" customWidth="1"/>
    <col min="4" max="4" width="16.8515625" style="83" customWidth="1"/>
    <col min="5" max="5" width="17.140625" style="83" customWidth="1"/>
    <col min="6" max="6" width="18.140625" style="83" customWidth="1"/>
    <col min="7" max="7" width="17.421875" style="83" customWidth="1"/>
    <col min="8" max="8" width="17.00390625" style="83" customWidth="1"/>
    <col min="9" max="16384" width="9.140625" style="83" customWidth="1"/>
  </cols>
  <sheetData>
    <row r="1" spans="1:9" s="268" customFormat="1" ht="60" customHeight="1">
      <c r="A1" s="587" t="s">
        <v>843</v>
      </c>
      <c r="B1" s="588"/>
      <c r="C1" s="588"/>
      <c r="D1" s="588"/>
      <c r="E1" s="588"/>
      <c r="F1" s="588"/>
      <c r="G1" s="588"/>
      <c r="H1" s="589"/>
      <c r="I1" s="267"/>
    </row>
    <row r="2" spans="1:8" s="268" customFormat="1" ht="34.5" customHeight="1">
      <c r="A2" s="453" t="s">
        <v>987</v>
      </c>
      <c r="B2" s="454"/>
      <c r="C2" s="454"/>
      <c r="D2" s="454"/>
      <c r="E2" s="454"/>
      <c r="F2" s="454"/>
      <c r="G2" s="454"/>
      <c r="H2" s="455"/>
    </row>
    <row r="3" spans="1:8" ht="27" customHeight="1">
      <c r="A3" s="469" t="s">
        <v>189</v>
      </c>
      <c r="B3" s="493"/>
      <c r="C3" s="492" t="s">
        <v>260</v>
      </c>
      <c r="D3" s="492"/>
      <c r="E3" s="492" t="s">
        <v>261</v>
      </c>
      <c r="F3" s="492"/>
      <c r="G3" s="590" t="s">
        <v>195</v>
      </c>
      <c r="H3" s="591"/>
    </row>
    <row r="4" spans="1:8" ht="33" customHeight="1">
      <c r="A4" s="469"/>
      <c r="B4" s="493"/>
      <c r="C4" s="2" t="s">
        <v>49</v>
      </c>
      <c r="D4" s="2" t="s">
        <v>182</v>
      </c>
      <c r="E4" s="2" t="s">
        <v>49</v>
      </c>
      <c r="F4" s="2" t="s">
        <v>182</v>
      </c>
      <c r="G4" s="2" t="s">
        <v>49</v>
      </c>
      <c r="H4" s="1" t="s">
        <v>182</v>
      </c>
    </row>
    <row r="5" spans="1:8" ht="21" customHeight="1">
      <c r="A5" s="50"/>
      <c r="B5" s="123"/>
      <c r="C5" s="10" t="s">
        <v>245</v>
      </c>
      <c r="D5" s="10" t="s">
        <v>246</v>
      </c>
      <c r="E5" s="10" t="s">
        <v>247</v>
      </c>
      <c r="F5" s="10" t="s">
        <v>253</v>
      </c>
      <c r="G5" s="10" t="s">
        <v>29</v>
      </c>
      <c r="H5" s="101" t="s">
        <v>30</v>
      </c>
    </row>
    <row r="6" spans="1:8" ht="15.75">
      <c r="A6" s="269">
        <v>1</v>
      </c>
      <c r="B6" s="270" t="s">
        <v>872</v>
      </c>
      <c r="C6" s="271">
        <f>C7</f>
        <v>0</v>
      </c>
      <c r="D6" s="271">
        <f>D7</f>
        <v>0</v>
      </c>
      <c r="E6" s="271">
        <f>E7</f>
        <v>0</v>
      </c>
      <c r="F6" s="271">
        <f>F7</f>
        <v>0</v>
      </c>
      <c r="G6" s="271">
        <f aca="true" t="shared" si="0" ref="G6:H22">C6+E6</f>
        <v>0</v>
      </c>
      <c r="H6" s="272">
        <f t="shared" si="0"/>
        <v>0</v>
      </c>
    </row>
    <row r="7" spans="1:8" ht="15.75">
      <c r="A7" s="269">
        <v>2</v>
      </c>
      <c r="B7" s="273" t="s">
        <v>795</v>
      </c>
      <c r="C7" s="274"/>
      <c r="D7" s="274"/>
      <c r="E7" s="274"/>
      <c r="F7" s="274"/>
      <c r="G7" s="271">
        <f t="shared" si="0"/>
        <v>0</v>
      </c>
      <c r="H7" s="272">
        <f t="shared" si="0"/>
        <v>0</v>
      </c>
    </row>
    <row r="8" spans="1:8" ht="15.75">
      <c r="A8" s="269">
        <f aca="true" t="shared" si="1" ref="A8:A20">A7+1</f>
        <v>3</v>
      </c>
      <c r="B8" s="270" t="s">
        <v>873</v>
      </c>
      <c r="C8" s="271">
        <f>SUM(C9:C12)</f>
        <v>703292.9299999999</v>
      </c>
      <c r="D8" s="271">
        <f>SUM(D9:D12)</f>
        <v>88352.75</v>
      </c>
      <c r="E8" s="271">
        <f>SUM(E9:E12)</f>
        <v>6964294.4399999995</v>
      </c>
      <c r="F8" s="271">
        <f>SUM(F9:F12)</f>
        <v>857760.46</v>
      </c>
      <c r="G8" s="271">
        <f t="shared" si="0"/>
        <v>7667587.369999999</v>
      </c>
      <c r="H8" s="272">
        <f t="shared" si="0"/>
        <v>946113.21</v>
      </c>
    </row>
    <row r="9" spans="1:8" ht="15.75">
      <c r="A9" s="269">
        <f t="shared" si="1"/>
        <v>4</v>
      </c>
      <c r="B9" s="273" t="s">
        <v>351</v>
      </c>
      <c r="C9" s="274">
        <v>609965.49</v>
      </c>
      <c r="D9" s="274">
        <v>76204.14</v>
      </c>
      <c r="E9" s="274">
        <v>6573858.22</v>
      </c>
      <c r="F9" s="274">
        <v>810876.7999999999</v>
      </c>
      <c r="G9" s="271">
        <f t="shared" si="0"/>
        <v>7183823.71</v>
      </c>
      <c r="H9" s="272">
        <f t="shared" si="0"/>
        <v>887080.94</v>
      </c>
    </row>
    <row r="10" spans="1:8" ht="15.75">
      <c r="A10" s="269">
        <f t="shared" si="1"/>
        <v>5</v>
      </c>
      <c r="B10" s="273" t="s">
        <v>796</v>
      </c>
      <c r="C10" s="274">
        <v>93327.44</v>
      </c>
      <c r="D10" s="274">
        <v>12148.61</v>
      </c>
      <c r="E10" s="274">
        <v>390436.22000000003</v>
      </c>
      <c r="F10" s="274">
        <v>46883.659999999996</v>
      </c>
      <c r="G10" s="271">
        <f t="shared" si="0"/>
        <v>483763.66000000003</v>
      </c>
      <c r="H10" s="272">
        <f t="shared" si="0"/>
        <v>59032.27</v>
      </c>
    </row>
    <row r="11" spans="1:8" ht="15.75">
      <c r="A11" s="269">
        <f t="shared" si="1"/>
        <v>6</v>
      </c>
      <c r="B11" s="273" t="s">
        <v>352</v>
      </c>
      <c r="C11" s="274">
        <v>0</v>
      </c>
      <c r="D11" s="274">
        <v>0</v>
      </c>
      <c r="E11" s="274">
        <v>0</v>
      </c>
      <c r="F11" s="274">
        <v>0</v>
      </c>
      <c r="G11" s="271">
        <f t="shared" si="0"/>
        <v>0</v>
      </c>
      <c r="H11" s="272">
        <f t="shared" si="0"/>
        <v>0</v>
      </c>
    </row>
    <row r="12" spans="1:8" ht="15.75">
      <c r="A12" s="269">
        <f t="shared" si="1"/>
        <v>7</v>
      </c>
      <c r="B12" s="273" t="s">
        <v>797</v>
      </c>
      <c r="C12" s="274">
        <v>0</v>
      </c>
      <c r="D12" s="274">
        <v>0</v>
      </c>
      <c r="E12" s="274">
        <v>0</v>
      </c>
      <c r="F12" s="274">
        <v>0</v>
      </c>
      <c r="G12" s="271">
        <f t="shared" si="0"/>
        <v>0</v>
      </c>
      <c r="H12" s="272">
        <f t="shared" si="0"/>
        <v>0</v>
      </c>
    </row>
    <row r="13" spans="1:8" ht="15.75">
      <c r="A13" s="269">
        <f t="shared" si="1"/>
        <v>8</v>
      </c>
      <c r="B13" s="270" t="s">
        <v>874</v>
      </c>
      <c r="C13" s="271">
        <f>C14</f>
        <v>123468.04</v>
      </c>
      <c r="D13" s="271">
        <f>D14</f>
        <v>14525.76</v>
      </c>
      <c r="E13" s="271">
        <f>E14</f>
        <v>2355277.26</v>
      </c>
      <c r="F13" s="271">
        <f>F14</f>
        <v>277091.65</v>
      </c>
      <c r="G13" s="271">
        <f t="shared" si="0"/>
        <v>2478745.3</v>
      </c>
      <c r="H13" s="272">
        <f t="shared" si="0"/>
        <v>291617.41000000003</v>
      </c>
    </row>
    <row r="14" spans="1:8" ht="15.75">
      <c r="A14" s="269">
        <f t="shared" si="1"/>
        <v>9</v>
      </c>
      <c r="B14" s="273" t="s">
        <v>353</v>
      </c>
      <c r="C14" s="17">
        <v>123468.04</v>
      </c>
      <c r="D14" s="17">
        <v>14525.76</v>
      </c>
      <c r="E14" s="17">
        <v>2355277.26</v>
      </c>
      <c r="F14" s="17">
        <v>277091.65</v>
      </c>
      <c r="G14" s="271">
        <f t="shared" si="0"/>
        <v>2478745.3</v>
      </c>
      <c r="H14" s="272">
        <f t="shared" si="0"/>
        <v>291617.41000000003</v>
      </c>
    </row>
    <row r="15" spans="1:9" ht="15.75">
      <c r="A15" s="269">
        <f t="shared" si="1"/>
        <v>10</v>
      </c>
      <c r="B15" s="270" t="s">
        <v>875</v>
      </c>
      <c r="C15" s="271">
        <f>C16</f>
        <v>1167190.62</v>
      </c>
      <c r="D15" s="271">
        <f>D16</f>
        <v>137316.67</v>
      </c>
      <c r="E15" s="271">
        <f>E16</f>
        <v>0</v>
      </c>
      <c r="F15" s="271">
        <f>F16</f>
        <v>0</v>
      </c>
      <c r="G15" s="271">
        <f t="shared" si="0"/>
        <v>1167190.62</v>
      </c>
      <c r="H15" s="272">
        <f t="shared" si="0"/>
        <v>137316.67</v>
      </c>
      <c r="I15" s="88"/>
    </row>
    <row r="16" spans="1:8" ht="15.75">
      <c r="A16" s="269">
        <f t="shared" si="1"/>
        <v>11</v>
      </c>
      <c r="B16" s="273" t="s">
        <v>787</v>
      </c>
      <c r="C16" s="55">
        <v>1167190.62</v>
      </c>
      <c r="D16" s="55">
        <v>137316.67</v>
      </c>
      <c r="E16" s="55"/>
      <c r="F16" s="55"/>
      <c r="G16" s="271">
        <f t="shared" si="0"/>
        <v>1167190.62</v>
      </c>
      <c r="H16" s="272">
        <f t="shared" si="0"/>
        <v>137316.67</v>
      </c>
    </row>
    <row r="17" spans="1:8" ht="15.75">
      <c r="A17" s="269">
        <f t="shared" si="1"/>
        <v>12</v>
      </c>
      <c r="B17" s="270" t="s">
        <v>871</v>
      </c>
      <c r="C17" s="55"/>
      <c r="D17" s="55"/>
      <c r="E17" s="55"/>
      <c r="F17" s="55"/>
      <c r="G17" s="271">
        <f>C17+E17</f>
        <v>0</v>
      </c>
      <c r="H17" s="272">
        <f>D17+F17</f>
        <v>0</v>
      </c>
    </row>
    <row r="18" spans="1:8" ht="31.5">
      <c r="A18" s="269">
        <f t="shared" si="1"/>
        <v>13</v>
      </c>
      <c r="B18" s="270" t="s">
        <v>876</v>
      </c>
      <c r="C18" s="271">
        <f>C6+C8+C13+C15+C17</f>
        <v>1993951.59</v>
      </c>
      <c r="D18" s="271">
        <f>D6+D8+D13+D15+D17</f>
        <v>240195.18</v>
      </c>
      <c r="E18" s="271">
        <f>E6+E8+E13+E15+E17</f>
        <v>9319571.7</v>
      </c>
      <c r="F18" s="271">
        <f>F6+F8+F13+F15+F17</f>
        <v>1134852.1099999999</v>
      </c>
      <c r="G18" s="271">
        <f t="shared" si="0"/>
        <v>11313523.29</v>
      </c>
      <c r="H18" s="272">
        <f t="shared" si="0"/>
        <v>1375047.2899999998</v>
      </c>
    </row>
    <row r="19" spans="1:8" ht="31.5">
      <c r="A19" s="269">
        <f t="shared" si="1"/>
        <v>14</v>
      </c>
      <c r="B19" s="270" t="s">
        <v>884</v>
      </c>
      <c r="C19" s="271">
        <f>SUM(C20:C21)</f>
        <v>0</v>
      </c>
      <c r="D19" s="271">
        <f>SUM(D20:D21)</f>
        <v>0</v>
      </c>
      <c r="E19" s="271">
        <f>SUM(E20:E21)</f>
        <v>0</v>
      </c>
      <c r="F19" s="271">
        <f>SUM(F20:F21)</f>
        <v>0</v>
      </c>
      <c r="G19" s="271">
        <f t="shared" si="0"/>
        <v>0</v>
      </c>
      <c r="H19" s="272">
        <f t="shared" si="0"/>
        <v>0</v>
      </c>
    </row>
    <row r="20" spans="1:8" ht="51" customHeight="1">
      <c r="A20" s="269">
        <f t="shared" si="1"/>
        <v>15</v>
      </c>
      <c r="B20" s="275" t="s">
        <v>133</v>
      </c>
      <c r="C20" s="276"/>
      <c r="D20" s="276"/>
      <c r="E20" s="276"/>
      <c r="F20" s="276"/>
      <c r="G20" s="271">
        <f t="shared" si="0"/>
        <v>0</v>
      </c>
      <c r="H20" s="272">
        <f t="shared" si="0"/>
        <v>0</v>
      </c>
    </row>
    <row r="21" spans="1:8" ht="24.75" customHeight="1">
      <c r="A21" s="269" t="s">
        <v>241</v>
      </c>
      <c r="B21" s="277"/>
      <c r="C21" s="276"/>
      <c r="D21" s="276"/>
      <c r="E21" s="276"/>
      <c r="F21" s="276"/>
      <c r="G21" s="271">
        <f t="shared" si="0"/>
        <v>0</v>
      </c>
      <c r="H21" s="272">
        <f t="shared" si="0"/>
        <v>0</v>
      </c>
    </row>
    <row r="22" spans="1:8" ht="23.25" customHeight="1" thickBot="1">
      <c r="A22" s="278">
        <v>16</v>
      </c>
      <c r="B22" s="279" t="s">
        <v>877</v>
      </c>
      <c r="C22" s="280">
        <f>C18+C19</f>
        <v>1993951.59</v>
      </c>
      <c r="D22" s="280">
        <f>D18+D19</f>
        <v>240195.18</v>
      </c>
      <c r="E22" s="280">
        <f>E18+E19</f>
        <v>9319571.7</v>
      </c>
      <c r="F22" s="280">
        <f>F18+F19</f>
        <v>1134852.1099999999</v>
      </c>
      <c r="G22" s="281">
        <f t="shared" si="0"/>
        <v>11313523.29</v>
      </c>
      <c r="H22" s="282">
        <f t="shared" si="0"/>
        <v>1375047.2899999998</v>
      </c>
    </row>
    <row r="24" spans="3:6" ht="15.75">
      <c r="C24" s="283"/>
      <c r="D24" s="283"/>
      <c r="E24" s="283"/>
      <c r="F24" s="283"/>
    </row>
  </sheetData>
  <sheetProtection selectLockedCells="1"/>
  <mergeCells count="7">
    <mergeCell ref="A1:H1"/>
    <mergeCell ref="A2:H2"/>
    <mergeCell ref="A3:A4"/>
    <mergeCell ref="B3:B4"/>
    <mergeCell ref="C3:D3"/>
    <mergeCell ref="E3:F3"/>
    <mergeCell ref="G3:H3"/>
  </mergeCells>
  <printOptions gridLines="1"/>
  <pageMargins left="0.7480314960629921" right="0.7480314960629921" top="0.984251968503937" bottom="0.88" header="0.5118110236220472" footer="0.5118110236220472"/>
  <pageSetup fitToHeight="1" fitToWidth="1"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G2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9" sqref="H19"/>
    </sheetView>
  </sheetViews>
  <sheetFormatPr defaultColWidth="9.140625" defaultRowHeight="12.75"/>
  <cols>
    <col min="1" max="1" width="9.57421875" style="150" customWidth="1"/>
    <col min="2" max="2" width="58.421875" style="11" customWidth="1"/>
    <col min="3" max="3" width="22.140625" style="37" customWidth="1"/>
    <col min="4" max="4" width="21.140625" style="37" customWidth="1"/>
    <col min="5" max="5" width="24.140625" style="37" customWidth="1"/>
    <col min="6" max="16384" width="9.140625" style="11" customWidth="1"/>
  </cols>
  <sheetData>
    <row r="1" spans="1:7" ht="65.25" customHeight="1">
      <c r="A1" s="567" t="s">
        <v>844</v>
      </c>
      <c r="B1" s="568"/>
      <c r="C1" s="568"/>
      <c r="D1" s="568"/>
      <c r="E1" s="569"/>
      <c r="F1" s="134"/>
      <c r="G1" s="134"/>
    </row>
    <row r="2" spans="1:7" ht="34.5" customHeight="1">
      <c r="A2" s="453" t="s">
        <v>987</v>
      </c>
      <c r="B2" s="454"/>
      <c r="C2" s="454"/>
      <c r="D2" s="454"/>
      <c r="E2" s="455"/>
      <c r="F2" s="134"/>
      <c r="G2" s="134"/>
    </row>
    <row r="3" spans="1:5" s="136" customFormat="1" ht="46.5" customHeight="1">
      <c r="A3" s="50" t="s">
        <v>189</v>
      </c>
      <c r="B3" s="2" t="s">
        <v>283</v>
      </c>
      <c r="C3" s="2" t="s">
        <v>260</v>
      </c>
      <c r="D3" s="2" t="s">
        <v>261</v>
      </c>
      <c r="E3" s="1" t="s">
        <v>190</v>
      </c>
    </row>
    <row r="4" spans="1:5" s="136" customFormat="1" ht="16.5" customHeight="1">
      <c r="A4" s="50"/>
      <c r="B4" s="2"/>
      <c r="C4" s="2" t="s">
        <v>245</v>
      </c>
      <c r="D4" s="2" t="s">
        <v>246</v>
      </c>
      <c r="E4" s="1" t="s">
        <v>26</v>
      </c>
    </row>
    <row r="5" spans="1:5" s="136" customFormat="1" ht="17.25" customHeight="1">
      <c r="A5" s="50"/>
      <c r="B5" s="56" t="s">
        <v>322</v>
      </c>
      <c r="C5" s="17"/>
      <c r="D5" s="17"/>
      <c r="E5" s="43"/>
    </row>
    <row r="6" spans="1:5" s="136" customFormat="1" ht="17.25" customHeight="1">
      <c r="A6" s="42">
        <v>1</v>
      </c>
      <c r="B6" s="135" t="s">
        <v>356</v>
      </c>
      <c r="C6" s="114">
        <f>SUM(C7:C10)</f>
        <v>962064.9500000001</v>
      </c>
      <c r="D6" s="114">
        <f>SUM(D7:D10)</f>
        <v>0</v>
      </c>
      <c r="E6" s="43">
        <f>C6+D6</f>
        <v>962064.9500000001</v>
      </c>
    </row>
    <row r="7" spans="1:5" s="37" customFormat="1" ht="15.75">
      <c r="A7" s="9">
        <f>A6+1</f>
        <v>2</v>
      </c>
      <c r="B7" s="41" t="s">
        <v>130</v>
      </c>
      <c r="C7" s="17">
        <v>947064.9500000001</v>
      </c>
      <c r="D7" s="143"/>
      <c r="E7" s="43">
        <f>C7+D7</f>
        <v>947064.9500000001</v>
      </c>
    </row>
    <row r="8" spans="1:5" s="37" customFormat="1" ht="15.75">
      <c r="A8" s="9">
        <f>A7+1</f>
        <v>3</v>
      </c>
      <c r="B8" s="41" t="s">
        <v>354</v>
      </c>
      <c r="C8" s="17">
        <v>15000</v>
      </c>
      <c r="D8" s="17"/>
      <c r="E8" s="43">
        <f aca="true" t="shared" si="0" ref="E8:E16">C8+D8</f>
        <v>15000</v>
      </c>
    </row>
    <row r="9" spans="1:5" s="37" customFormat="1" ht="15.75">
      <c r="A9" s="9">
        <f>A8+1</f>
        <v>4</v>
      </c>
      <c r="B9" s="41"/>
      <c r="C9" s="17"/>
      <c r="D9" s="17"/>
      <c r="E9" s="43"/>
    </row>
    <row r="10" spans="1:5" s="37" customFormat="1" ht="15.75">
      <c r="A10" s="9">
        <f>A9+1</f>
        <v>5</v>
      </c>
      <c r="B10" s="41"/>
      <c r="C10" s="17"/>
      <c r="D10" s="17"/>
      <c r="E10" s="43">
        <f t="shared" si="0"/>
        <v>0</v>
      </c>
    </row>
    <row r="11" spans="1:5" s="37" customFormat="1" ht="15.75">
      <c r="A11" s="9"/>
      <c r="B11" s="56" t="s">
        <v>792</v>
      </c>
      <c r="C11" s="17"/>
      <c r="D11" s="17"/>
      <c r="E11" s="43"/>
    </row>
    <row r="12" spans="1:5" ht="15.75">
      <c r="A12" s="9">
        <v>6</v>
      </c>
      <c r="B12" s="41" t="s">
        <v>17</v>
      </c>
      <c r="C12" s="55"/>
      <c r="D12" s="55"/>
      <c r="E12" s="43">
        <f t="shared" si="0"/>
        <v>0</v>
      </c>
    </row>
    <row r="13" spans="1:5" ht="15.75">
      <c r="A13" s="9">
        <v>7</v>
      </c>
      <c r="B13" s="41" t="s">
        <v>18</v>
      </c>
      <c r="C13" s="17">
        <v>9720</v>
      </c>
      <c r="D13" s="17"/>
      <c r="E13" s="43">
        <f t="shared" si="0"/>
        <v>9720</v>
      </c>
    </row>
    <row r="14" spans="1:5" ht="15.75">
      <c r="A14" s="9"/>
      <c r="B14" s="21"/>
      <c r="C14" s="55"/>
      <c r="D14" s="55"/>
      <c r="E14" s="43"/>
    </row>
    <row r="15" spans="1:5" ht="15.75">
      <c r="A15" s="9">
        <v>8</v>
      </c>
      <c r="B15" s="21" t="s">
        <v>357</v>
      </c>
      <c r="C15" s="284">
        <f>SUM(C16:C17)</f>
        <v>0</v>
      </c>
      <c r="D15" s="284">
        <f>SUM(D16:D17)</f>
        <v>0</v>
      </c>
      <c r="E15" s="43">
        <f t="shared" si="0"/>
        <v>0</v>
      </c>
    </row>
    <row r="16" spans="1:5" ht="15.75">
      <c r="A16" s="9" t="s">
        <v>355</v>
      </c>
      <c r="B16" s="41" t="s">
        <v>274</v>
      </c>
      <c r="C16" s="55"/>
      <c r="D16" s="55"/>
      <c r="E16" s="43">
        <f t="shared" si="0"/>
        <v>0</v>
      </c>
    </row>
    <row r="17" spans="1:5" ht="15.75">
      <c r="A17" s="9"/>
      <c r="B17" s="21"/>
      <c r="C17" s="55"/>
      <c r="D17" s="55"/>
      <c r="E17" s="43"/>
    </row>
    <row r="18" spans="1:5" ht="16.5" thickBot="1">
      <c r="A18" s="47">
        <v>9</v>
      </c>
      <c r="B18" s="48" t="s">
        <v>757</v>
      </c>
      <c r="C18" s="118">
        <f>C6+C12+C13+C15</f>
        <v>971784.9500000001</v>
      </c>
      <c r="D18" s="118">
        <f>D6+D15</f>
        <v>0</v>
      </c>
      <c r="E18" s="178">
        <f>E6+E12+E13+E15</f>
        <v>971784.9500000001</v>
      </c>
    </row>
    <row r="19" ht="15.75">
      <c r="E19" s="83"/>
    </row>
    <row r="21" spans="2:3" ht="15.75">
      <c r="B21" s="79"/>
      <c r="C21" s="150"/>
    </row>
    <row r="22" spans="2:3" ht="15.75">
      <c r="B22" s="150"/>
      <c r="C22" s="150"/>
    </row>
    <row r="23" spans="2:3" ht="15.75">
      <c r="B23" s="150"/>
      <c r="C23" s="150"/>
    </row>
  </sheetData>
  <sheetProtection/>
  <protectedRanges>
    <protectedRange sqref="C8:D10" name="Rozsah2_1"/>
    <protectedRange sqref="C11:D11" name="Rozsah2_2"/>
  </protectedRanges>
  <mergeCells count="2">
    <mergeCell ref="A1:E1"/>
    <mergeCell ref="A2:E2"/>
  </mergeCells>
  <printOptions/>
  <pageMargins left="0.79" right="0.7480314960629921" top="0.984251968503937" bottom="0.77" header="0.5118110236220472" footer="0.5118110236220472"/>
  <pageSetup fitToHeight="1" fitToWidth="1" horizontalDpi="600" verticalDpi="600" orientation="landscape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2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4" sqref="D14"/>
    </sheetView>
  </sheetViews>
  <sheetFormatPr defaultColWidth="9.140625" defaultRowHeight="12.75"/>
  <cols>
    <col min="1" max="1" width="9.140625" style="37" customWidth="1"/>
    <col min="2" max="2" width="75.421875" style="219" customWidth="1"/>
    <col min="3" max="6" width="17.28125" style="37" customWidth="1"/>
    <col min="7" max="7" width="16.00390625" style="37" customWidth="1"/>
    <col min="8" max="16384" width="9.140625" style="37" customWidth="1"/>
  </cols>
  <sheetData>
    <row r="1" spans="1:6" ht="34.5" customHeight="1">
      <c r="A1" s="450" t="s">
        <v>845</v>
      </c>
      <c r="B1" s="539"/>
      <c r="C1" s="539"/>
      <c r="D1" s="539"/>
      <c r="E1" s="539"/>
      <c r="F1" s="540"/>
    </row>
    <row r="2" spans="1:6" ht="34.5" customHeight="1">
      <c r="A2" s="453" t="s">
        <v>988</v>
      </c>
      <c r="B2" s="454"/>
      <c r="C2" s="454"/>
      <c r="D2" s="454"/>
      <c r="E2" s="454"/>
      <c r="F2" s="455"/>
    </row>
    <row r="3" spans="1:6" ht="22.5" customHeight="1">
      <c r="A3" s="469" t="s">
        <v>189</v>
      </c>
      <c r="B3" s="493" t="s">
        <v>283</v>
      </c>
      <c r="C3" s="492">
        <v>2011</v>
      </c>
      <c r="D3" s="492"/>
      <c r="E3" s="492">
        <v>2012</v>
      </c>
      <c r="F3" s="495"/>
    </row>
    <row r="4" spans="1:6" ht="75" customHeight="1">
      <c r="A4" s="469"/>
      <c r="B4" s="493"/>
      <c r="C4" s="2" t="s">
        <v>31</v>
      </c>
      <c r="D4" s="2" t="s">
        <v>183</v>
      </c>
      <c r="E4" s="2" t="s">
        <v>31</v>
      </c>
      <c r="F4" s="1" t="s">
        <v>184</v>
      </c>
    </row>
    <row r="5" spans="1:6" ht="15.75">
      <c r="A5" s="9"/>
      <c r="B5" s="285"/>
      <c r="C5" s="7" t="s">
        <v>245</v>
      </c>
      <c r="D5" s="7" t="s">
        <v>246</v>
      </c>
      <c r="E5" s="7" t="s">
        <v>247</v>
      </c>
      <c r="F5" s="8" t="s">
        <v>253</v>
      </c>
    </row>
    <row r="6" spans="1:6" ht="31.5">
      <c r="A6" s="9">
        <v>1</v>
      </c>
      <c r="B6" s="21" t="s">
        <v>778</v>
      </c>
      <c r="C6" s="138">
        <f>C7+C10+C13+C16</f>
        <v>29496.8</v>
      </c>
      <c r="D6" s="138">
        <f>D7+D10+D13+D16</f>
        <v>250</v>
      </c>
      <c r="E6" s="138">
        <f>E7+E10+E13+E16</f>
        <v>42950.17</v>
      </c>
      <c r="F6" s="138">
        <f>F7+F10+F13+F16</f>
        <v>322</v>
      </c>
    </row>
    <row r="7" spans="1:6" ht="15.75">
      <c r="A7" s="9">
        <v>2</v>
      </c>
      <c r="B7" s="21" t="s">
        <v>101</v>
      </c>
      <c r="C7" s="138">
        <f>SUM(C8:C9)</f>
        <v>1006.8</v>
      </c>
      <c r="D7" s="138">
        <f>SUM(D8:D9)</f>
        <v>3</v>
      </c>
      <c r="E7" s="138">
        <f>SUM(E8:E9)</f>
        <v>9166.62</v>
      </c>
      <c r="F7" s="166">
        <f>SUM(F8:F9)</f>
        <v>50</v>
      </c>
    </row>
    <row r="8" spans="1:6" ht="15.75">
      <c r="A8" s="9">
        <v>3</v>
      </c>
      <c r="B8" s="12" t="s">
        <v>34</v>
      </c>
      <c r="C8" s="17">
        <v>1006.8</v>
      </c>
      <c r="D8" s="17">
        <v>3</v>
      </c>
      <c r="E8" s="17">
        <v>9166.62</v>
      </c>
      <c r="F8" s="52">
        <v>50</v>
      </c>
    </row>
    <row r="9" spans="1:6" ht="18.75">
      <c r="A9" s="9">
        <v>4</v>
      </c>
      <c r="B9" s="12" t="s">
        <v>134</v>
      </c>
      <c r="C9" s="17">
        <v>0</v>
      </c>
      <c r="D9" s="17">
        <v>0</v>
      </c>
      <c r="E9" s="17">
        <v>0</v>
      </c>
      <c r="F9" s="52">
        <v>0</v>
      </c>
    </row>
    <row r="10" spans="1:6" ht="15.75">
      <c r="A10" s="9">
        <v>5</v>
      </c>
      <c r="B10" s="21" t="s">
        <v>102</v>
      </c>
      <c r="C10" s="138">
        <f>SUM(C11:C12)</f>
        <v>24800</v>
      </c>
      <c r="D10" s="138">
        <f>SUM(D11:D12)</f>
        <v>200</v>
      </c>
      <c r="E10" s="138">
        <f>SUM(E11:E12)</f>
        <v>27273.55</v>
      </c>
      <c r="F10" s="166">
        <f>SUM(F11:F12)</f>
        <v>215</v>
      </c>
    </row>
    <row r="11" spans="1:6" ht="15.75">
      <c r="A11" s="9">
        <v>6</v>
      </c>
      <c r="B11" s="12" t="s">
        <v>34</v>
      </c>
      <c r="C11" s="17">
        <v>24800</v>
      </c>
      <c r="D11" s="17">
        <v>200</v>
      </c>
      <c r="E11" s="17">
        <v>27273.55</v>
      </c>
      <c r="F11" s="52">
        <v>215</v>
      </c>
    </row>
    <row r="12" spans="1:6" ht="18.75">
      <c r="A12" s="9">
        <v>7</v>
      </c>
      <c r="B12" s="12" t="s">
        <v>134</v>
      </c>
      <c r="C12" s="17"/>
      <c r="D12" s="17"/>
      <c r="E12" s="17"/>
      <c r="F12" s="52"/>
    </row>
    <row r="13" spans="1:6" ht="15.75">
      <c r="A13" s="9">
        <v>8</v>
      </c>
      <c r="B13" s="21" t="s">
        <v>100</v>
      </c>
      <c r="C13" s="138">
        <f>SUM(C14:C15)</f>
        <v>1810</v>
      </c>
      <c r="D13" s="138">
        <f>SUM(D14:D15)</f>
        <v>42</v>
      </c>
      <c r="E13" s="138">
        <f>SUM(E14:E15)</f>
        <v>4640</v>
      </c>
      <c r="F13" s="138">
        <f>SUM(F14:F15)</f>
        <v>46</v>
      </c>
    </row>
    <row r="14" spans="1:6" ht="15.75">
      <c r="A14" s="9">
        <v>9</v>
      </c>
      <c r="B14" s="12" t="s">
        <v>34</v>
      </c>
      <c r="C14" s="17">
        <v>1810</v>
      </c>
      <c r="D14" s="17">
        <v>42</v>
      </c>
      <c r="E14" s="17">
        <v>4640</v>
      </c>
      <c r="F14" s="52">
        <v>46</v>
      </c>
    </row>
    <row r="15" spans="1:6" ht="18.75">
      <c r="A15" s="9">
        <v>10</v>
      </c>
      <c r="B15" s="12" t="s">
        <v>134</v>
      </c>
      <c r="C15" s="17"/>
      <c r="D15" s="17"/>
      <c r="E15" s="17"/>
      <c r="F15" s="52"/>
    </row>
    <row r="16" spans="1:6" ht="15.75">
      <c r="A16" s="9">
        <v>11</v>
      </c>
      <c r="B16" s="21" t="s">
        <v>47</v>
      </c>
      <c r="C16" s="138">
        <f>SUM(C17:C18)</f>
        <v>1880</v>
      </c>
      <c r="D16" s="138">
        <f>SUM(D17:D18)</f>
        <v>5</v>
      </c>
      <c r="E16" s="138">
        <f>SUM(E17:E18)</f>
        <v>1870</v>
      </c>
      <c r="F16" s="166">
        <f>SUM(F17:F18)</f>
        <v>11</v>
      </c>
    </row>
    <row r="17" spans="1:6" ht="15.75">
      <c r="A17" s="9">
        <v>12</v>
      </c>
      <c r="B17" s="12" t="s">
        <v>34</v>
      </c>
      <c r="C17" s="17">
        <v>1880</v>
      </c>
      <c r="D17" s="17">
        <v>5</v>
      </c>
      <c r="E17" s="17">
        <v>1070</v>
      </c>
      <c r="F17" s="52">
        <v>3</v>
      </c>
    </row>
    <row r="18" spans="1:6" ht="18.75">
      <c r="A18" s="286">
        <v>13</v>
      </c>
      <c r="B18" s="287" t="s">
        <v>134</v>
      </c>
      <c r="C18" s="55">
        <v>0</v>
      </c>
      <c r="D18" s="55">
        <v>0</v>
      </c>
      <c r="E18" s="55">
        <v>800</v>
      </c>
      <c r="F18" s="288">
        <v>8</v>
      </c>
    </row>
    <row r="19" spans="1:10" ht="19.5" thickBot="1">
      <c r="A19" s="89">
        <v>14</v>
      </c>
      <c r="B19" s="34" t="s">
        <v>929</v>
      </c>
      <c r="C19" s="118" t="s">
        <v>268</v>
      </c>
      <c r="D19" s="204">
        <v>139</v>
      </c>
      <c r="E19" s="118" t="s">
        <v>268</v>
      </c>
      <c r="F19" s="289">
        <v>306</v>
      </c>
      <c r="G19" s="592"/>
      <c r="H19" s="593"/>
      <c r="I19" s="593"/>
      <c r="J19" s="593"/>
    </row>
    <row r="20" spans="1:6" ht="15.75">
      <c r="A20" s="32"/>
      <c r="B20" s="35"/>
      <c r="C20" s="36"/>
      <c r="D20" s="36"/>
      <c r="E20" s="36"/>
      <c r="F20" s="33"/>
    </row>
    <row r="21" spans="1:6" ht="15.75">
      <c r="A21" s="594" t="s">
        <v>779</v>
      </c>
      <c r="B21" s="595"/>
      <c r="C21" s="595"/>
      <c r="D21" s="595"/>
      <c r="E21" s="595"/>
      <c r="F21" s="596"/>
    </row>
    <row r="22" spans="1:6" ht="15.75">
      <c r="A22" s="597" t="s">
        <v>780</v>
      </c>
      <c r="B22" s="598"/>
      <c r="C22" s="598"/>
      <c r="D22" s="598"/>
      <c r="E22" s="598"/>
      <c r="F22" s="599"/>
    </row>
    <row r="24" spans="1:2" s="85" customFormat="1" ht="15.75">
      <c r="A24" s="85" t="s">
        <v>1008</v>
      </c>
      <c r="B24" s="110"/>
    </row>
  </sheetData>
  <sheetProtection/>
  <mergeCells count="9">
    <mergeCell ref="G19:J19"/>
    <mergeCell ref="A21:F21"/>
    <mergeCell ref="A22:F22"/>
    <mergeCell ref="A1:F1"/>
    <mergeCell ref="A2:F2"/>
    <mergeCell ref="A3:A4"/>
    <mergeCell ref="B3:B4"/>
    <mergeCell ref="C3:D3"/>
    <mergeCell ref="E3:F3"/>
  </mergeCells>
  <printOptions/>
  <pageMargins left="0.7480314960629921" right="0.56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</sheetPr>
  <dimension ref="A1:E1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1" sqref="D21"/>
    </sheetView>
  </sheetViews>
  <sheetFormatPr defaultColWidth="9.140625" defaultRowHeight="12.75"/>
  <cols>
    <col min="1" max="1" width="9.140625" style="11" customWidth="1"/>
    <col min="2" max="2" width="67.28125" style="170" customWidth="1"/>
    <col min="3" max="3" width="17.421875" style="298" customWidth="1"/>
    <col min="4" max="4" width="18.421875" style="11" customWidth="1"/>
    <col min="5" max="5" width="19.421875" style="11" customWidth="1"/>
    <col min="6" max="16384" width="9.140625" style="11" customWidth="1"/>
  </cols>
  <sheetData>
    <row r="1" spans="1:5" ht="49.5" customHeight="1" thickBot="1">
      <c r="A1" s="602" t="s">
        <v>846</v>
      </c>
      <c r="B1" s="603"/>
      <c r="C1" s="603"/>
      <c r="D1" s="603"/>
      <c r="E1" s="604"/>
    </row>
    <row r="2" spans="1:5" ht="27.75" customHeight="1" thickBot="1">
      <c r="A2" s="605" t="s">
        <v>1007</v>
      </c>
      <c r="B2" s="606"/>
      <c r="C2" s="606"/>
      <c r="D2" s="606"/>
      <c r="E2" s="607"/>
    </row>
    <row r="3" spans="1:5" ht="33" customHeight="1">
      <c r="A3" s="250" t="s">
        <v>189</v>
      </c>
      <c r="B3" s="251" t="s">
        <v>283</v>
      </c>
      <c r="C3" s="40">
        <v>2011</v>
      </c>
      <c r="D3" s="608">
        <v>2012</v>
      </c>
      <c r="E3" s="609"/>
    </row>
    <row r="4" spans="1:5" ht="33" customHeight="1">
      <c r="A4" s="208"/>
      <c r="B4" s="171"/>
      <c r="C4" s="125" t="s">
        <v>936</v>
      </c>
      <c r="D4" s="125" t="s">
        <v>934</v>
      </c>
      <c r="E4" s="290" t="s">
        <v>935</v>
      </c>
    </row>
    <row r="5" spans="1:5" ht="22.5" customHeight="1">
      <c r="A5" s="50"/>
      <c r="B5" s="123"/>
      <c r="C5" s="2" t="s">
        <v>245</v>
      </c>
      <c r="D5" s="291" t="s">
        <v>932</v>
      </c>
      <c r="E5" s="1" t="s">
        <v>933</v>
      </c>
    </row>
    <row r="6" spans="1:5" s="37" customFormat="1" ht="38.25" customHeight="1">
      <c r="A6" s="9">
        <v>1</v>
      </c>
      <c r="B6" s="24" t="s">
        <v>176</v>
      </c>
      <c r="C6" s="292">
        <v>54161.020000000004</v>
      </c>
      <c r="D6" s="293">
        <f>C9</f>
        <v>7218.300000000047</v>
      </c>
      <c r="E6" s="20" t="s">
        <v>268</v>
      </c>
    </row>
    <row r="7" spans="1:5" ht="36" customHeight="1">
      <c r="A7" s="9">
        <v>2</v>
      </c>
      <c r="B7" s="24" t="s">
        <v>764</v>
      </c>
      <c r="C7" s="292">
        <v>354700</v>
      </c>
      <c r="D7" s="294">
        <v>354700</v>
      </c>
      <c r="E7" s="52">
        <v>51050</v>
      </c>
    </row>
    <row r="8" spans="1:5" ht="35.25" customHeight="1">
      <c r="A8" s="9">
        <v>3</v>
      </c>
      <c r="B8" s="24" t="s">
        <v>859</v>
      </c>
      <c r="C8" s="292">
        <v>401642.72</v>
      </c>
      <c r="D8" s="294">
        <v>354701.17</v>
      </c>
      <c r="E8" s="52">
        <v>39425</v>
      </c>
    </row>
    <row r="9" spans="1:5" ht="39.75" customHeight="1">
      <c r="A9" s="9">
        <v>4</v>
      </c>
      <c r="B9" s="24" t="s">
        <v>177</v>
      </c>
      <c r="C9" s="138">
        <f>C6+C7-C8</f>
        <v>7218.300000000047</v>
      </c>
      <c r="D9" s="293">
        <f>D6+D7-D8</f>
        <v>7217.130000000063</v>
      </c>
      <c r="E9" s="166">
        <f>E7-E8</f>
        <v>11625</v>
      </c>
    </row>
    <row r="10" spans="1:5" ht="21" customHeight="1" thickBot="1">
      <c r="A10" s="295">
        <v>5</v>
      </c>
      <c r="B10" s="296" t="s">
        <v>860</v>
      </c>
      <c r="C10" s="204">
        <v>1213</v>
      </c>
      <c r="D10" s="297">
        <v>734</v>
      </c>
      <c r="E10" s="292">
        <v>85</v>
      </c>
    </row>
    <row r="11" spans="1:5" ht="21" customHeight="1">
      <c r="A11" s="32"/>
      <c r="B11" s="35"/>
      <c r="C11" s="11"/>
      <c r="E11" s="37"/>
    </row>
    <row r="12" spans="1:5" ht="21" customHeight="1">
      <c r="A12" s="610" t="s">
        <v>861</v>
      </c>
      <c r="B12" s="611"/>
      <c r="C12" s="611"/>
      <c r="D12" s="611"/>
      <c r="E12" s="611"/>
    </row>
    <row r="13" spans="1:2" ht="18.75">
      <c r="A13" s="600" t="s">
        <v>930</v>
      </c>
      <c r="B13" s="601"/>
    </row>
    <row r="14" spans="1:2" ht="18.75">
      <c r="A14" s="600" t="s">
        <v>931</v>
      </c>
      <c r="B14" s="601"/>
    </row>
    <row r="15" ht="18.75">
      <c r="C15" s="298" t="s">
        <v>144</v>
      </c>
    </row>
  </sheetData>
  <sheetProtection/>
  <mergeCells count="6">
    <mergeCell ref="A14:B14"/>
    <mergeCell ref="A1:E1"/>
    <mergeCell ref="A2:E2"/>
    <mergeCell ref="D3:E3"/>
    <mergeCell ref="A12:E12"/>
    <mergeCell ref="A13:B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M1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2" sqref="K12"/>
    </sheetView>
  </sheetViews>
  <sheetFormatPr defaultColWidth="9.140625" defaultRowHeight="12.75"/>
  <cols>
    <col min="1" max="1" width="8.8515625" style="308" customWidth="1"/>
    <col min="2" max="2" width="20.57421875" style="308" customWidth="1"/>
    <col min="3" max="3" width="18.28125" style="308" customWidth="1"/>
    <col min="4" max="4" width="15.8515625" style="308" customWidth="1"/>
    <col min="5" max="5" width="15.7109375" style="308" customWidth="1"/>
    <col min="6" max="6" width="14.57421875" style="308" customWidth="1"/>
    <col min="7" max="7" width="18.57421875" style="308" customWidth="1"/>
    <col min="8" max="8" width="20.28125" style="308" customWidth="1"/>
    <col min="9" max="9" width="18.00390625" style="308" customWidth="1"/>
    <col min="10" max="10" width="17.00390625" style="308" customWidth="1"/>
    <col min="11" max="11" width="18.140625" style="308" customWidth="1"/>
    <col min="12" max="12" width="16.28125" style="308" customWidth="1"/>
    <col min="13" max="13" width="17.140625" style="308" customWidth="1"/>
    <col min="14" max="16384" width="9.140625" style="308" customWidth="1"/>
  </cols>
  <sheetData>
    <row r="1" spans="1:13" s="299" customFormat="1" ht="34.5" customHeight="1">
      <c r="A1" s="613" t="s">
        <v>847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5"/>
    </row>
    <row r="2" spans="1:13" s="299" customFormat="1" ht="34.5" customHeight="1">
      <c r="A2" s="616" t="s">
        <v>1005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8"/>
    </row>
    <row r="3" spans="1:13" s="299" customFormat="1" ht="29.25" customHeight="1">
      <c r="A3" s="620" t="s">
        <v>189</v>
      </c>
      <c r="B3" s="621" t="s">
        <v>793</v>
      </c>
      <c r="C3" s="621"/>
      <c r="D3" s="621"/>
      <c r="E3" s="621"/>
      <c r="F3" s="621"/>
      <c r="G3" s="621"/>
      <c r="H3" s="621" t="s">
        <v>848</v>
      </c>
      <c r="I3" s="621"/>
      <c r="J3" s="621"/>
      <c r="K3" s="621"/>
      <c r="L3" s="621"/>
      <c r="M3" s="622"/>
    </row>
    <row r="4" spans="1:13" s="303" customFormat="1" ht="171.75" customHeight="1">
      <c r="A4" s="620"/>
      <c r="B4" s="300" t="s">
        <v>937</v>
      </c>
      <c r="C4" s="300" t="s">
        <v>1000</v>
      </c>
      <c r="D4" s="300" t="s">
        <v>196</v>
      </c>
      <c r="E4" s="300" t="s">
        <v>51</v>
      </c>
      <c r="F4" s="300" t="s">
        <v>52</v>
      </c>
      <c r="G4" s="300" t="s">
        <v>187</v>
      </c>
      <c r="H4" s="300" t="s">
        <v>937</v>
      </c>
      <c r="I4" s="300" t="s">
        <v>1000</v>
      </c>
      <c r="J4" s="300" t="s">
        <v>196</v>
      </c>
      <c r="K4" s="300" t="s">
        <v>51</v>
      </c>
      <c r="L4" s="301" t="s">
        <v>52</v>
      </c>
      <c r="M4" s="302" t="s">
        <v>187</v>
      </c>
    </row>
    <row r="5" spans="1:13" ht="31.5">
      <c r="A5" s="304"/>
      <c r="B5" s="305" t="s">
        <v>245</v>
      </c>
      <c r="C5" s="305" t="s">
        <v>246</v>
      </c>
      <c r="D5" s="305" t="s">
        <v>247</v>
      </c>
      <c r="E5" s="305" t="s">
        <v>253</v>
      </c>
      <c r="F5" s="305" t="s">
        <v>248</v>
      </c>
      <c r="G5" s="305" t="s">
        <v>781</v>
      </c>
      <c r="H5" s="305" t="s">
        <v>250</v>
      </c>
      <c r="I5" s="305" t="s">
        <v>251</v>
      </c>
      <c r="J5" s="305" t="s">
        <v>252</v>
      </c>
      <c r="K5" s="305" t="s">
        <v>782</v>
      </c>
      <c r="L5" s="306" t="s">
        <v>783</v>
      </c>
      <c r="M5" s="307" t="s">
        <v>784</v>
      </c>
    </row>
    <row r="6" spans="1:13" ht="36" customHeight="1" thickBot="1">
      <c r="A6" s="309">
        <v>1</v>
      </c>
      <c r="B6" s="204">
        <v>13246580.14</v>
      </c>
      <c r="C6" s="204">
        <v>12063070.4</v>
      </c>
      <c r="D6" s="204">
        <v>659952.43</v>
      </c>
      <c r="E6" s="204">
        <v>302354.74</v>
      </c>
      <c r="F6" s="204">
        <v>1618940.22</v>
      </c>
      <c r="G6" s="310">
        <f>SUM(B6:F6)</f>
        <v>27890897.929999996</v>
      </c>
      <c r="H6" s="204">
        <f>B6+'T11-Zdroje KV'!D15-'T5 - Analýza nákladov'!E90-1603.44-315.9</f>
        <v>12610398.75</v>
      </c>
      <c r="I6" s="204">
        <f>C6+'T11-Zdroje KV'!D16-'T5 - Analýza nákladov'!E92-1554524.64</f>
        <v>17826790.96</v>
      </c>
      <c r="J6" s="204">
        <v>1350699.45</v>
      </c>
      <c r="K6" s="204">
        <v>352463.57</v>
      </c>
      <c r="L6" s="204">
        <f>35339608.87-32140352.73</f>
        <v>3199256.139999997</v>
      </c>
      <c r="M6" s="311">
        <f>SUM(H6:L6)</f>
        <v>35339608.87</v>
      </c>
    </row>
    <row r="8" spans="7:9" ht="15.75">
      <c r="G8" s="315"/>
      <c r="I8" s="312"/>
    </row>
    <row r="9" spans="1:8" ht="15.75">
      <c r="A9" s="619" t="s">
        <v>1012</v>
      </c>
      <c r="B9" s="619"/>
      <c r="C9" s="619"/>
      <c r="D9" s="619"/>
      <c r="E9" s="619"/>
      <c r="F9" s="619"/>
      <c r="G9" s="619"/>
      <c r="H9" s="316"/>
    </row>
    <row r="10" spans="1:7" ht="15.75">
      <c r="A10" s="619" t="s">
        <v>1013</v>
      </c>
      <c r="B10" s="619"/>
      <c r="C10" s="619"/>
      <c r="D10" s="619"/>
      <c r="E10" s="619"/>
      <c r="F10" s="619"/>
      <c r="G10" s="619"/>
    </row>
    <row r="11" spans="1:7" ht="15.75" customHeight="1">
      <c r="A11" s="623" t="s">
        <v>1014</v>
      </c>
      <c r="B11" s="623"/>
      <c r="C11" s="623"/>
      <c r="D11" s="623"/>
      <c r="E11" s="623"/>
      <c r="F11" s="313"/>
      <c r="G11" s="313"/>
    </row>
    <row r="12" spans="1:9" ht="15.75">
      <c r="A12" s="313"/>
      <c r="B12" s="313"/>
      <c r="C12" s="313"/>
      <c r="D12" s="313"/>
      <c r="E12" s="313"/>
      <c r="F12" s="313"/>
      <c r="G12" s="313"/>
      <c r="H12" s="612"/>
      <c r="I12" s="612"/>
    </row>
    <row r="13" spans="1:7" ht="15.75">
      <c r="A13" s="313"/>
      <c r="B13" s="313"/>
      <c r="C13" s="313"/>
      <c r="D13" s="313"/>
      <c r="E13" s="313"/>
      <c r="F13" s="313"/>
      <c r="G13" s="313"/>
    </row>
    <row r="14" ht="15.75">
      <c r="B14" s="314" t="s">
        <v>802</v>
      </c>
    </row>
    <row r="15" ht="15.75">
      <c r="B15" s="314" t="s">
        <v>803</v>
      </c>
    </row>
  </sheetData>
  <sheetProtection/>
  <mergeCells count="9">
    <mergeCell ref="H12:I12"/>
    <mergeCell ref="A1:M1"/>
    <mergeCell ref="A2:M2"/>
    <mergeCell ref="A10:G10"/>
    <mergeCell ref="A9:G9"/>
    <mergeCell ref="A3:A4"/>
    <mergeCell ref="B3:G3"/>
    <mergeCell ref="H3:M3"/>
    <mergeCell ref="A11:E11"/>
  </mergeCells>
  <printOptions/>
  <pageMargins left="0.4" right="0.47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G39"/>
  <sheetViews>
    <sheetView zoomScalePageLayoutView="0" workbookViewId="0" topLeftCell="A1">
      <pane xSplit="2" ySplit="5" topLeftCell="C21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B41" sqref="B41"/>
    </sheetView>
  </sheetViews>
  <sheetFormatPr defaultColWidth="9.140625" defaultRowHeight="12.75"/>
  <cols>
    <col min="1" max="1" width="10.140625" style="150" customWidth="1"/>
    <col min="2" max="2" width="83.00390625" style="142" customWidth="1"/>
    <col min="3" max="3" width="15.421875" style="11" customWidth="1"/>
    <col min="4" max="4" width="14.28125" style="11" customWidth="1"/>
    <col min="5" max="5" width="14.7109375" style="11" customWidth="1"/>
    <col min="6" max="16384" width="9.140625" style="11" customWidth="1"/>
  </cols>
  <sheetData>
    <row r="1" spans="1:7" ht="49.5" customHeight="1">
      <c r="A1" s="457" t="s">
        <v>818</v>
      </c>
      <c r="B1" s="458"/>
      <c r="C1" s="458"/>
      <c r="D1" s="458"/>
      <c r="E1" s="459"/>
      <c r="F1" s="134"/>
      <c r="G1" s="134"/>
    </row>
    <row r="2" spans="1:5" s="126" customFormat="1" ht="38.25" customHeight="1">
      <c r="A2" s="453" t="s">
        <v>941</v>
      </c>
      <c r="B2" s="454"/>
      <c r="C2" s="454"/>
      <c r="D2" s="454"/>
      <c r="E2" s="455"/>
    </row>
    <row r="3" spans="1:5" s="136" customFormat="1" ht="35.25" customHeight="1">
      <c r="A3" s="50" t="s">
        <v>189</v>
      </c>
      <c r="B3" s="135" t="s">
        <v>283</v>
      </c>
      <c r="C3" s="2" t="s">
        <v>260</v>
      </c>
      <c r="D3" s="2" t="s">
        <v>261</v>
      </c>
      <c r="E3" s="8" t="s">
        <v>195</v>
      </c>
    </row>
    <row r="4" spans="1:5" s="37" customFormat="1" ht="17.25" customHeight="1">
      <c r="A4" s="9"/>
      <c r="B4" s="15"/>
      <c r="C4" s="4" t="s">
        <v>245</v>
      </c>
      <c r="D4" s="4" t="s">
        <v>246</v>
      </c>
      <c r="E4" s="5" t="s">
        <v>26</v>
      </c>
    </row>
    <row r="5" spans="1:5" ht="31.5">
      <c r="A5" s="82">
        <v>1</v>
      </c>
      <c r="B5" s="137" t="s">
        <v>878</v>
      </c>
      <c r="C5" s="138">
        <f>SUM(C6:C12)</f>
        <v>130607.54</v>
      </c>
      <c r="D5" s="138">
        <f>SUM(D6:D12)</f>
        <v>9920</v>
      </c>
      <c r="E5" s="139">
        <f>C5+D5</f>
        <v>140527.53999999998</v>
      </c>
    </row>
    <row r="6" spans="1:5" ht="15.75">
      <c r="A6" s="82" t="s">
        <v>272</v>
      </c>
      <c r="B6" s="140" t="s">
        <v>942</v>
      </c>
      <c r="C6" s="17">
        <v>17741.55</v>
      </c>
      <c r="D6" s="17"/>
      <c r="E6" s="139">
        <f aca="true" t="shared" si="0" ref="E6:E37">C6+D6</f>
        <v>17741.55</v>
      </c>
    </row>
    <row r="7" spans="1:5" ht="15.75">
      <c r="A7" s="82" t="s">
        <v>339</v>
      </c>
      <c r="B7" s="140" t="s">
        <v>943</v>
      </c>
      <c r="C7" s="17">
        <v>6555.19</v>
      </c>
      <c r="D7" s="17"/>
      <c r="E7" s="139">
        <f t="shared" si="0"/>
        <v>6555.19</v>
      </c>
    </row>
    <row r="8" spans="1:5" ht="15.75">
      <c r="A8" s="82" t="s">
        <v>944</v>
      </c>
      <c r="B8" s="140" t="s">
        <v>949</v>
      </c>
      <c r="C8" s="17">
        <v>5000</v>
      </c>
      <c r="D8" s="17"/>
      <c r="E8" s="139">
        <f t="shared" si="0"/>
        <v>5000</v>
      </c>
    </row>
    <row r="9" spans="1:5" ht="15.75">
      <c r="A9" s="82" t="s">
        <v>946</v>
      </c>
      <c r="B9" s="140" t="s">
        <v>951</v>
      </c>
      <c r="C9" s="17"/>
      <c r="D9" s="17">
        <v>9920</v>
      </c>
      <c r="E9" s="139">
        <f t="shared" si="0"/>
        <v>9920</v>
      </c>
    </row>
    <row r="10" spans="1:5" ht="15.75">
      <c r="A10" s="82" t="s">
        <v>948</v>
      </c>
      <c r="B10" s="140" t="s">
        <v>953</v>
      </c>
      <c r="C10" s="17">
        <v>3000</v>
      </c>
      <c r="D10" s="17"/>
      <c r="E10" s="139">
        <f>C8+D8</f>
        <v>5000</v>
      </c>
    </row>
    <row r="11" spans="1:5" ht="15.75">
      <c r="A11" s="82" t="s">
        <v>950</v>
      </c>
      <c r="B11" s="140" t="s">
        <v>954</v>
      </c>
      <c r="C11" s="17">
        <v>22207.8</v>
      </c>
      <c r="D11" s="17"/>
      <c r="E11" s="139">
        <f>C9+D9</f>
        <v>9920</v>
      </c>
    </row>
    <row r="12" spans="1:5" ht="15.75">
      <c r="A12" s="82" t="s">
        <v>952</v>
      </c>
      <c r="B12" s="140" t="s">
        <v>955</v>
      </c>
      <c r="C12" s="17">
        <v>76103</v>
      </c>
      <c r="D12" s="17"/>
      <c r="E12" s="139">
        <f>C10+D10</f>
        <v>3000</v>
      </c>
    </row>
    <row r="13" spans="1:5" ht="15.75">
      <c r="A13" s="82"/>
      <c r="B13" s="141"/>
      <c r="C13" s="17"/>
      <c r="D13" s="17"/>
      <c r="E13" s="139">
        <f>C11+D11</f>
        <v>22207.8</v>
      </c>
    </row>
    <row r="14" spans="1:5" ht="15.75">
      <c r="A14" s="82"/>
      <c r="C14" s="17"/>
      <c r="D14" s="17"/>
      <c r="E14" s="139">
        <f>C12+D12</f>
        <v>76103</v>
      </c>
    </row>
    <row r="15" spans="1:5" ht="15.75">
      <c r="A15" s="82"/>
      <c r="B15" s="140"/>
      <c r="C15" s="17"/>
      <c r="D15" s="17"/>
      <c r="E15" s="139">
        <f t="shared" si="0"/>
        <v>0</v>
      </c>
    </row>
    <row r="16" spans="1:5" ht="15.75">
      <c r="A16" s="82">
        <v>2</v>
      </c>
      <c r="B16" s="137" t="s">
        <v>50</v>
      </c>
      <c r="C16" s="138">
        <f>SUM(C17:C18)</f>
        <v>0</v>
      </c>
      <c r="D16" s="138">
        <f>SUM(D17:D18)</f>
        <v>0</v>
      </c>
      <c r="E16" s="139">
        <f t="shared" si="0"/>
        <v>0</v>
      </c>
    </row>
    <row r="17" spans="1:5" ht="15.75">
      <c r="A17" s="82" t="s">
        <v>273</v>
      </c>
      <c r="B17" s="140"/>
      <c r="C17" s="17"/>
      <c r="D17" s="17"/>
      <c r="E17" s="139">
        <f t="shared" si="0"/>
        <v>0</v>
      </c>
    </row>
    <row r="18" spans="1:5" ht="15.75">
      <c r="A18" s="82" t="s">
        <v>340</v>
      </c>
      <c r="B18" s="140"/>
      <c r="C18" s="17"/>
      <c r="D18" s="17"/>
      <c r="E18" s="139">
        <f t="shared" si="0"/>
        <v>0</v>
      </c>
    </row>
    <row r="19" spans="1:5" ht="15.75">
      <c r="A19" s="82"/>
      <c r="B19" s="140"/>
      <c r="C19" s="17"/>
      <c r="D19" s="17"/>
      <c r="E19" s="139">
        <f t="shared" si="0"/>
        <v>0</v>
      </c>
    </row>
    <row r="20" spans="1:5" ht="15.75">
      <c r="A20" s="82">
        <v>3</v>
      </c>
      <c r="B20" s="137" t="s">
        <v>225</v>
      </c>
      <c r="C20" s="138">
        <f>SUM(C21:C22)</f>
        <v>11587</v>
      </c>
      <c r="D20" s="138">
        <f>SUM(D23:D23)</f>
        <v>0</v>
      </c>
      <c r="E20" s="139">
        <f t="shared" si="0"/>
        <v>11587</v>
      </c>
    </row>
    <row r="21" spans="1:5" ht="15.75">
      <c r="A21" s="82" t="s">
        <v>275</v>
      </c>
      <c r="B21" s="140" t="s">
        <v>945</v>
      </c>
      <c r="C21" s="17">
        <v>9687</v>
      </c>
      <c r="D21" s="17"/>
      <c r="E21" s="139">
        <f t="shared" si="0"/>
        <v>9687</v>
      </c>
    </row>
    <row r="22" spans="1:5" ht="15.75">
      <c r="A22" s="82" t="s">
        <v>341</v>
      </c>
      <c r="B22" s="140" t="s">
        <v>947</v>
      </c>
      <c r="C22" s="17">
        <v>1900</v>
      </c>
      <c r="D22" s="17"/>
      <c r="E22" s="139">
        <f t="shared" si="0"/>
        <v>1900</v>
      </c>
    </row>
    <row r="23" spans="1:5" ht="15.75">
      <c r="A23" s="82"/>
      <c r="B23" s="140"/>
      <c r="C23" s="17"/>
      <c r="D23" s="17"/>
      <c r="E23" s="139">
        <f t="shared" si="0"/>
        <v>0</v>
      </c>
    </row>
    <row r="24" spans="1:5" ht="15.75">
      <c r="A24" s="82">
        <v>4</v>
      </c>
      <c r="B24" s="137" t="s">
        <v>226</v>
      </c>
      <c r="C24" s="138">
        <f>SUM(C25:C35)</f>
        <v>779677.4199999999</v>
      </c>
      <c r="D24" s="138">
        <f>SUM(D36:D36)</f>
        <v>0</v>
      </c>
      <c r="E24" s="139">
        <f t="shared" si="0"/>
        <v>779677.4199999999</v>
      </c>
    </row>
    <row r="25" spans="1:5" ht="15.75">
      <c r="A25" s="82" t="s">
        <v>213</v>
      </c>
      <c r="B25" s="140" t="s">
        <v>956</v>
      </c>
      <c r="C25" s="143">
        <v>18541.2</v>
      </c>
      <c r="D25" s="143"/>
      <c r="E25" s="139">
        <f t="shared" si="0"/>
        <v>18541.2</v>
      </c>
    </row>
    <row r="26" spans="1:5" ht="15.75">
      <c r="A26" s="82" t="s">
        <v>342</v>
      </c>
      <c r="B26" s="140" t="s">
        <v>957</v>
      </c>
      <c r="C26" s="143">
        <v>1911.62</v>
      </c>
      <c r="D26" s="143"/>
      <c r="E26" s="139">
        <f t="shared" si="0"/>
        <v>1911.62</v>
      </c>
    </row>
    <row r="27" spans="1:5" ht="15.75">
      <c r="A27" s="82" t="s">
        <v>958</v>
      </c>
      <c r="B27" s="140" t="s">
        <v>959</v>
      </c>
      <c r="C27" s="143">
        <v>51690.88</v>
      </c>
      <c r="D27" s="143"/>
      <c r="E27" s="139">
        <f t="shared" si="0"/>
        <v>51690.88</v>
      </c>
    </row>
    <row r="28" spans="1:5" ht="15.75">
      <c r="A28" s="82" t="s">
        <v>960</v>
      </c>
      <c r="B28" s="140" t="s">
        <v>961</v>
      </c>
      <c r="C28" s="143">
        <v>32533.12</v>
      </c>
      <c r="D28" s="143"/>
      <c r="E28" s="139">
        <f t="shared" si="0"/>
        <v>32533.12</v>
      </c>
    </row>
    <row r="29" spans="1:5" ht="15.75">
      <c r="A29" s="82" t="s">
        <v>962</v>
      </c>
      <c r="B29" s="140" t="s">
        <v>963</v>
      </c>
      <c r="C29" s="143">
        <v>119893.25</v>
      </c>
      <c r="D29" s="143"/>
      <c r="E29" s="139">
        <f t="shared" si="0"/>
        <v>119893.25</v>
      </c>
    </row>
    <row r="30" spans="1:5" ht="15.75">
      <c r="A30" s="82" t="s">
        <v>964</v>
      </c>
      <c r="B30" s="140" t="s">
        <v>965</v>
      </c>
      <c r="C30" s="143">
        <v>39500.74</v>
      </c>
      <c r="D30" s="143"/>
      <c r="E30" s="139">
        <f t="shared" si="0"/>
        <v>39500.74</v>
      </c>
    </row>
    <row r="31" spans="1:5" ht="15.75">
      <c r="A31" s="82" t="s">
        <v>966</v>
      </c>
      <c r="B31" s="144" t="s">
        <v>967</v>
      </c>
      <c r="C31" s="143">
        <v>48443</v>
      </c>
      <c r="D31" s="143"/>
      <c r="E31" s="139">
        <f t="shared" si="0"/>
        <v>48443</v>
      </c>
    </row>
    <row r="32" spans="1:5" ht="15.75">
      <c r="A32" s="82" t="s">
        <v>968</v>
      </c>
      <c r="B32" s="140" t="s">
        <v>969</v>
      </c>
      <c r="C32" s="143">
        <v>17500</v>
      </c>
      <c r="D32" s="143"/>
      <c r="E32" s="139">
        <f t="shared" si="0"/>
        <v>17500</v>
      </c>
    </row>
    <row r="33" spans="1:5" ht="15.75">
      <c r="A33" s="82" t="s">
        <v>970</v>
      </c>
      <c r="B33" s="140" t="s">
        <v>971</v>
      </c>
      <c r="C33" s="143">
        <v>35848.11</v>
      </c>
      <c r="D33" s="143"/>
      <c r="E33" s="139">
        <f t="shared" si="0"/>
        <v>35848.11</v>
      </c>
    </row>
    <row r="34" spans="1:5" ht="15.75">
      <c r="A34" s="82" t="s">
        <v>972</v>
      </c>
      <c r="B34" s="140" t="s">
        <v>973</v>
      </c>
      <c r="C34" s="143">
        <v>393888.5</v>
      </c>
      <c r="D34" s="143"/>
      <c r="E34" s="139">
        <f t="shared" si="0"/>
        <v>393888.5</v>
      </c>
    </row>
    <row r="35" spans="1:5" ht="15.75">
      <c r="A35" s="82" t="s">
        <v>974</v>
      </c>
      <c r="B35" s="140" t="s">
        <v>975</v>
      </c>
      <c r="C35" s="143">
        <v>19927</v>
      </c>
      <c r="D35" s="143"/>
      <c r="E35" s="139">
        <f t="shared" si="0"/>
        <v>19927</v>
      </c>
    </row>
    <row r="36" spans="1:5" ht="15.75">
      <c r="A36" s="82"/>
      <c r="B36" s="140"/>
      <c r="C36" s="17"/>
      <c r="D36" s="17"/>
      <c r="E36" s="139"/>
    </row>
    <row r="37" spans="1:5" ht="16.5" thickBot="1">
      <c r="A37" s="47">
        <v>5</v>
      </c>
      <c r="B37" s="48" t="s">
        <v>263</v>
      </c>
      <c r="C37" s="145">
        <f>C5+C16+C20+C24</f>
        <v>921871.96</v>
      </c>
      <c r="D37" s="145">
        <f>D5+D16+D20+D24</f>
        <v>9920</v>
      </c>
      <c r="E37" s="146">
        <f t="shared" si="0"/>
        <v>931791.96</v>
      </c>
    </row>
    <row r="39" spans="1:5" s="149" customFormat="1" ht="15.75">
      <c r="A39" s="147"/>
      <c r="B39" s="148"/>
      <c r="E39" s="37"/>
    </row>
  </sheetData>
  <sheetProtection/>
  <mergeCells count="2">
    <mergeCell ref="A1:E1"/>
    <mergeCell ref="A2:E2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43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12" sqref="H12"/>
    </sheetView>
  </sheetViews>
  <sheetFormatPr defaultColWidth="9.140625" defaultRowHeight="12.75"/>
  <cols>
    <col min="1" max="1" width="7.28125" style="317" customWidth="1"/>
    <col min="2" max="2" width="39.8515625" style="317" customWidth="1"/>
    <col min="3" max="3" width="9.421875" style="317" customWidth="1"/>
    <col min="4" max="4" width="18.421875" style="317" customWidth="1"/>
    <col min="5" max="5" width="16.7109375" style="317" customWidth="1"/>
    <col min="6" max="6" width="14.00390625" style="317" customWidth="1"/>
    <col min="7" max="7" width="10.28125" style="317" customWidth="1"/>
    <col min="8" max="16384" width="9.140625" style="317" customWidth="1"/>
  </cols>
  <sheetData>
    <row r="1" spans="1:6" ht="66.75" customHeight="1" thickBot="1">
      <c r="A1" s="626" t="s">
        <v>849</v>
      </c>
      <c r="B1" s="627"/>
      <c r="C1" s="627"/>
      <c r="D1" s="627"/>
      <c r="E1" s="627"/>
      <c r="F1" s="628"/>
    </row>
    <row r="2" spans="1:6" ht="36.75" customHeight="1" thickBot="1">
      <c r="A2" s="629" t="s">
        <v>940</v>
      </c>
      <c r="B2" s="630"/>
      <c r="C2" s="630"/>
      <c r="D2" s="630"/>
      <c r="E2" s="318"/>
      <c r="F2" s="319"/>
    </row>
    <row r="3" spans="1:7" s="322" customFormat="1" ht="69" customHeight="1" thickBot="1">
      <c r="A3" s="57" t="s">
        <v>606</v>
      </c>
      <c r="B3" s="57" t="s">
        <v>358</v>
      </c>
      <c r="C3" s="320" t="s">
        <v>189</v>
      </c>
      <c r="D3" s="320" t="s">
        <v>850</v>
      </c>
      <c r="E3" s="320" t="s">
        <v>851</v>
      </c>
      <c r="F3" s="321" t="s">
        <v>852</v>
      </c>
      <c r="G3" s="317"/>
    </row>
    <row r="4" spans="1:7" s="38" customFormat="1" ht="15.75">
      <c r="A4" s="323">
        <v>601</v>
      </c>
      <c r="B4" s="324" t="s">
        <v>680</v>
      </c>
      <c r="C4" s="325" t="s">
        <v>681</v>
      </c>
      <c r="D4" s="326">
        <v>103819.27</v>
      </c>
      <c r="E4" s="327">
        <v>115057.62</v>
      </c>
      <c r="F4" s="328">
        <f>E4-D4</f>
        <v>11238.349999999991</v>
      </c>
      <c r="G4" s="317"/>
    </row>
    <row r="5" spans="1:7" s="38" customFormat="1" ht="15.75">
      <c r="A5" s="74">
        <v>602</v>
      </c>
      <c r="B5" s="329" t="s">
        <v>682</v>
      </c>
      <c r="C5" s="330" t="s">
        <v>683</v>
      </c>
      <c r="D5" s="331">
        <v>747856.21</v>
      </c>
      <c r="E5" s="332">
        <v>779213.65</v>
      </c>
      <c r="F5" s="333">
        <f aca="true" t="shared" si="0" ref="F5:F38">E5-D5</f>
        <v>31357.44000000006</v>
      </c>
      <c r="G5" s="317"/>
    </row>
    <row r="6" spans="1:7" s="38" customFormat="1" ht="15.75">
      <c r="A6" s="74">
        <v>604</v>
      </c>
      <c r="B6" s="334" t="s">
        <v>684</v>
      </c>
      <c r="C6" s="330" t="s">
        <v>685</v>
      </c>
      <c r="D6" s="331"/>
      <c r="E6" s="332"/>
      <c r="F6" s="333">
        <f t="shared" si="0"/>
        <v>0</v>
      </c>
      <c r="G6" s="317"/>
    </row>
    <row r="7" spans="1:7" s="38" customFormat="1" ht="15.75">
      <c r="A7" s="74">
        <v>611</v>
      </c>
      <c r="B7" s="329" t="s">
        <v>686</v>
      </c>
      <c r="C7" s="330" t="s">
        <v>687</v>
      </c>
      <c r="D7" s="331"/>
      <c r="E7" s="332"/>
      <c r="F7" s="333">
        <f t="shared" si="0"/>
        <v>0</v>
      </c>
      <c r="G7" s="317"/>
    </row>
    <row r="8" spans="1:7" s="38" customFormat="1" ht="15.75">
      <c r="A8" s="74">
        <v>612</v>
      </c>
      <c r="B8" s="329" t="s">
        <v>688</v>
      </c>
      <c r="C8" s="330" t="s">
        <v>689</v>
      </c>
      <c r="D8" s="331"/>
      <c r="E8" s="332"/>
      <c r="F8" s="333">
        <f t="shared" si="0"/>
        <v>0</v>
      </c>
      <c r="G8" s="317"/>
    </row>
    <row r="9" spans="1:7" s="38" customFormat="1" ht="15.75">
      <c r="A9" s="74">
        <v>613</v>
      </c>
      <c r="B9" s="329" t="s">
        <v>690</v>
      </c>
      <c r="C9" s="330" t="s">
        <v>691</v>
      </c>
      <c r="D9" s="331"/>
      <c r="E9" s="332"/>
      <c r="F9" s="333">
        <f t="shared" si="0"/>
        <v>0</v>
      </c>
      <c r="G9" s="317"/>
    </row>
    <row r="10" spans="1:7" s="38" customFormat="1" ht="15.75">
      <c r="A10" s="74">
        <v>614</v>
      </c>
      <c r="B10" s="329" t="s">
        <v>692</v>
      </c>
      <c r="C10" s="330" t="s">
        <v>693</v>
      </c>
      <c r="D10" s="331"/>
      <c r="E10" s="332"/>
      <c r="F10" s="333">
        <f t="shared" si="0"/>
        <v>0</v>
      </c>
      <c r="G10" s="317"/>
    </row>
    <row r="11" spans="1:7" s="38" customFormat="1" ht="15.75">
      <c r="A11" s="74">
        <v>621</v>
      </c>
      <c r="B11" s="329" t="s">
        <v>694</v>
      </c>
      <c r="C11" s="330" t="s">
        <v>695</v>
      </c>
      <c r="D11" s="331"/>
      <c r="E11" s="332"/>
      <c r="F11" s="333">
        <f t="shared" si="0"/>
        <v>0</v>
      </c>
      <c r="G11" s="317"/>
    </row>
    <row r="12" spans="1:7" s="38" customFormat="1" ht="15.75">
      <c r="A12" s="74">
        <v>622</v>
      </c>
      <c r="B12" s="329" t="s">
        <v>696</v>
      </c>
      <c r="C12" s="330" t="s">
        <v>697</v>
      </c>
      <c r="D12" s="331"/>
      <c r="E12" s="332"/>
      <c r="F12" s="333">
        <f t="shared" si="0"/>
        <v>0</v>
      </c>
      <c r="G12" s="317"/>
    </row>
    <row r="13" spans="1:6" s="38" customFormat="1" ht="15.75">
      <c r="A13" s="74">
        <v>623</v>
      </c>
      <c r="B13" s="329" t="s">
        <v>698</v>
      </c>
      <c r="C13" s="330" t="s">
        <v>699</v>
      </c>
      <c r="D13" s="331"/>
      <c r="E13" s="332"/>
      <c r="F13" s="333">
        <f t="shared" si="0"/>
        <v>0</v>
      </c>
    </row>
    <row r="14" spans="1:6" s="38" customFormat="1" ht="15.75">
      <c r="A14" s="74">
        <v>624</v>
      </c>
      <c r="B14" s="329" t="s">
        <v>700</v>
      </c>
      <c r="C14" s="330" t="s">
        <v>701</v>
      </c>
      <c r="D14" s="331"/>
      <c r="E14" s="332"/>
      <c r="F14" s="333">
        <f t="shared" si="0"/>
        <v>0</v>
      </c>
    </row>
    <row r="15" spans="1:6" s="38" customFormat="1" ht="15.75">
      <c r="A15" s="74">
        <v>641</v>
      </c>
      <c r="B15" s="329" t="s">
        <v>637</v>
      </c>
      <c r="C15" s="330" t="s">
        <v>702</v>
      </c>
      <c r="D15" s="331"/>
      <c r="E15" s="332"/>
      <c r="F15" s="333">
        <f t="shared" si="0"/>
        <v>0</v>
      </c>
    </row>
    <row r="16" spans="1:6" s="38" customFormat="1" ht="15.75">
      <c r="A16" s="74">
        <v>642</v>
      </c>
      <c r="B16" s="329" t="s">
        <v>639</v>
      </c>
      <c r="C16" s="330" t="s">
        <v>703</v>
      </c>
      <c r="D16" s="331"/>
      <c r="E16" s="332"/>
      <c r="F16" s="333">
        <f t="shared" si="0"/>
        <v>0</v>
      </c>
    </row>
    <row r="17" spans="1:6" s="38" customFormat="1" ht="15.75">
      <c r="A17" s="74">
        <v>643</v>
      </c>
      <c r="B17" s="329" t="s">
        <v>704</v>
      </c>
      <c r="C17" s="330" t="s">
        <v>705</v>
      </c>
      <c r="D17" s="331"/>
      <c r="E17" s="332"/>
      <c r="F17" s="333">
        <f t="shared" si="0"/>
        <v>0</v>
      </c>
    </row>
    <row r="18" spans="1:6" s="38" customFormat="1" ht="15.75">
      <c r="A18" s="74">
        <v>644</v>
      </c>
      <c r="B18" s="329" t="s">
        <v>643</v>
      </c>
      <c r="C18" s="330" t="s">
        <v>706</v>
      </c>
      <c r="D18" s="331"/>
      <c r="E18" s="332"/>
      <c r="F18" s="333">
        <f t="shared" si="0"/>
        <v>0</v>
      </c>
    </row>
    <row r="19" spans="1:6" s="38" customFormat="1" ht="15.75">
      <c r="A19" s="74">
        <v>645</v>
      </c>
      <c r="B19" s="329" t="s">
        <v>707</v>
      </c>
      <c r="C19" s="330" t="s">
        <v>708</v>
      </c>
      <c r="D19" s="331">
        <v>0.02</v>
      </c>
      <c r="E19" s="332"/>
      <c r="F19" s="333">
        <f t="shared" si="0"/>
        <v>-0.02</v>
      </c>
    </row>
    <row r="20" spans="1:6" s="38" customFormat="1" ht="15.75">
      <c r="A20" s="74">
        <v>646</v>
      </c>
      <c r="B20" s="329" t="s">
        <v>709</v>
      </c>
      <c r="C20" s="330" t="s">
        <v>710</v>
      </c>
      <c r="D20" s="331"/>
      <c r="E20" s="332"/>
      <c r="F20" s="333">
        <f t="shared" si="0"/>
        <v>0</v>
      </c>
    </row>
    <row r="21" spans="1:6" s="38" customFormat="1" ht="15.75">
      <c r="A21" s="74">
        <v>647</v>
      </c>
      <c r="B21" s="329" t="s">
        <v>711</v>
      </c>
      <c r="C21" s="330" t="s">
        <v>712</v>
      </c>
      <c r="D21" s="331"/>
      <c r="E21" s="332"/>
      <c r="F21" s="333">
        <f t="shared" si="0"/>
        <v>0</v>
      </c>
    </row>
    <row r="22" spans="1:6" s="38" customFormat="1" ht="15.75">
      <c r="A22" s="74">
        <v>648</v>
      </c>
      <c r="B22" s="329" t="s">
        <v>713</v>
      </c>
      <c r="C22" s="330" t="s">
        <v>714</v>
      </c>
      <c r="D22" s="331"/>
      <c r="E22" s="332"/>
      <c r="F22" s="333">
        <f t="shared" si="0"/>
        <v>0</v>
      </c>
    </row>
    <row r="23" spans="1:6" s="38" customFormat="1" ht="15.75">
      <c r="A23" s="74">
        <v>649</v>
      </c>
      <c r="B23" s="329" t="s">
        <v>715</v>
      </c>
      <c r="C23" s="330" t="s">
        <v>716</v>
      </c>
      <c r="D23" s="331">
        <f>2421.78</f>
        <v>2421.78</v>
      </c>
      <c r="E23" s="332">
        <f>6757.16+0</f>
        <v>6757.16</v>
      </c>
      <c r="F23" s="333">
        <f t="shared" si="0"/>
        <v>4335.379999999999</v>
      </c>
    </row>
    <row r="24" spans="1:6" s="38" customFormat="1" ht="15.75">
      <c r="A24" s="74">
        <v>651</v>
      </c>
      <c r="B24" s="329" t="s">
        <v>717</v>
      </c>
      <c r="C24" s="330" t="s">
        <v>718</v>
      </c>
      <c r="D24" s="331"/>
      <c r="E24" s="332"/>
      <c r="F24" s="333">
        <f t="shared" si="0"/>
        <v>0</v>
      </c>
    </row>
    <row r="25" spans="1:6" s="38" customFormat="1" ht="15.75">
      <c r="A25" s="74">
        <v>652</v>
      </c>
      <c r="B25" s="329" t="s">
        <v>719</v>
      </c>
      <c r="C25" s="330" t="s">
        <v>720</v>
      </c>
      <c r="D25" s="331"/>
      <c r="E25" s="332"/>
      <c r="F25" s="333">
        <f t="shared" si="0"/>
        <v>0</v>
      </c>
    </row>
    <row r="26" spans="1:6" s="38" customFormat="1" ht="15.75">
      <c r="A26" s="74">
        <v>653</v>
      </c>
      <c r="B26" s="329" t="s">
        <v>721</v>
      </c>
      <c r="C26" s="330" t="s">
        <v>722</v>
      </c>
      <c r="D26" s="331"/>
      <c r="E26" s="332"/>
      <c r="F26" s="333">
        <f t="shared" si="0"/>
        <v>0</v>
      </c>
    </row>
    <row r="27" spans="1:6" s="38" customFormat="1" ht="15.75">
      <c r="A27" s="74">
        <v>654</v>
      </c>
      <c r="B27" s="329" t="s">
        <v>723</v>
      </c>
      <c r="C27" s="330" t="s">
        <v>724</v>
      </c>
      <c r="D27" s="331"/>
      <c r="E27" s="332"/>
      <c r="F27" s="333">
        <f t="shared" si="0"/>
        <v>0</v>
      </c>
    </row>
    <row r="28" spans="1:6" s="38" customFormat="1" ht="15.75">
      <c r="A28" s="74">
        <v>655</v>
      </c>
      <c r="B28" s="329" t="s">
        <v>725</v>
      </c>
      <c r="C28" s="330" t="s">
        <v>726</v>
      </c>
      <c r="D28" s="331"/>
      <c r="E28" s="332"/>
      <c r="F28" s="333">
        <f t="shared" si="0"/>
        <v>0</v>
      </c>
    </row>
    <row r="29" spans="1:6" s="38" customFormat="1" ht="15.75">
      <c r="A29" s="74">
        <v>656</v>
      </c>
      <c r="B29" s="329" t="s">
        <v>727</v>
      </c>
      <c r="C29" s="330" t="s">
        <v>728</v>
      </c>
      <c r="D29" s="331"/>
      <c r="E29" s="332">
        <v>46609.17</v>
      </c>
      <c r="F29" s="333">
        <f t="shared" si="0"/>
        <v>46609.17</v>
      </c>
    </row>
    <row r="30" spans="1:6" s="38" customFormat="1" ht="15.75">
      <c r="A30" s="74">
        <v>657</v>
      </c>
      <c r="B30" s="329" t="s">
        <v>729</v>
      </c>
      <c r="C30" s="330" t="s">
        <v>730</v>
      </c>
      <c r="D30" s="331"/>
      <c r="E30" s="332"/>
      <c r="F30" s="333">
        <f t="shared" si="0"/>
        <v>0</v>
      </c>
    </row>
    <row r="31" spans="1:6" s="38" customFormat="1" ht="15.75">
      <c r="A31" s="74">
        <v>658</v>
      </c>
      <c r="B31" s="329" t="s">
        <v>731</v>
      </c>
      <c r="C31" s="330" t="s">
        <v>732</v>
      </c>
      <c r="D31" s="331"/>
      <c r="E31" s="332"/>
      <c r="F31" s="333">
        <f t="shared" si="0"/>
        <v>0</v>
      </c>
    </row>
    <row r="32" spans="1:6" s="38" customFormat="1" ht="15.75">
      <c r="A32" s="74">
        <v>661</v>
      </c>
      <c r="B32" s="329" t="s">
        <v>733</v>
      </c>
      <c r="C32" s="330" t="s">
        <v>734</v>
      </c>
      <c r="D32" s="331"/>
      <c r="E32" s="332"/>
      <c r="F32" s="333">
        <f t="shared" si="0"/>
        <v>0</v>
      </c>
    </row>
    <row r="33" spans="1:6" s="38" customFormat="1" ht="15.75">
      <c r="A33" s="74">
        <v>662</v>
      </c>
      <c r="B33" s="329" t="s">
        <v>735</v>
      </c>
      <c r="C33" s="330" t="s">
        <v>736</v>
      </c>
      <c r="D33" s="331"/>
      <c r="E33" s="332"/>
      <c r="F33" s="333">
        <f t="shared" si="0"/>
        <v>0</v>
      </c>
    </row>
    <row r="34" spans="1:6" s="38" customFormat="1" ht="15.75">
      <c r="A34" s="74">
        <v>663</v>
      </c>
      <c r="B34" s="329" t="s">
        <v>737</v>
      </c>
      <c r="C34" s="330" t="s">
        <v>738</v>
      </c>
      <c r="D34" s="331"/>
      <c r="E34" s="332"/>
      <c r="F34" s="333">
        <f t="shared" si="0"/>
        <v>0</v>
      </c>
    </row>
    <row r="35" spans="1:7" s="38" customFormat="1" ht="15.75">
      <c r="A35" s="74">
        <v>664</v>
      </c>
      <c r="B35" s="329" t="s">
        <v>739</v>
      </c>
      <c r="C35" s="330" t="s">
        <v>740</v>
      </c>
      <c r="D35" s="331"/>
      <c r="E35" s="335"/>
      <c r="F35" s="333">
        <f t="shared" si="0"/>
        <v>0</v>
      </c>
      <c r="G35" s="317"/>
    </row>
    <row r="36" spans="1:7" s="38" customFormat="1" ht="15.75">
      <c r="A36" s="74">
        <v>665</v>
      </c>
      <c r="B36" s="329" t="s">
        <v>741</v>
      </c>
      <c r="C36" s="330" t="s">
        <v>742</v>
      </c>
      <c r="D36" s="331"/>
      <c r="E36" s="335"/>
      <c r="F36" s="333">
        <f t="shared" si="0"/>
        <v>0</v>
      </c>
      <c r="G36" s="317"/>
    </row>
    <row r="37" spans="1:6" ht="15.75">
      <c r="A37" s="74">
        <v>667</v>
      </c>
      <c r="B37" s="329" t="s">
        <v>743</v>
      </c>
      <c r="C37" s="330" t="s">
        <v>744</v>
      </c>
      <c r="D37" s="331"/>
      <c r="E37" s="335"/>
      <c r="F37" s="333">
        <f t="shared" si="0"/>
        <v>0</v>
      </c>
    </row>
    <row r="38" spans="1:6" ht="15.75">
      <c r="A38" s="74">
        <v>691</v>
      </c>
      <c r="B38" s="329" t="s">
        <v>745</v>
      </c>
      <c r="C38" s="330" t="s">
        <v>746</v>
      </c>
      <c r="D38" s="331">
        <v>760636.43</v>
      </c>
      <c r="E38" s="335">
        <v>824880</v>
      </c>
      <c r="F38" s="333">
        <f t="shared" si="0"/>
        <v>64243.56999999995</v>
      </c>
    </row>
    <row r="39" spans="1:6" ht="15.75">
      <c r="A39" s="624" t="s">
        <v>747</v>
      </c>
      <c r="B39" s="625"/>
      <c r="C39" s="336" t="s">
        <v>748</v>
      </c>
      <c r="D39" s="337">
        <f>SUM(D4:D38)</f>
        <v>1614733.71</v>
      </c>
      <c r="E39" s="338">
        <f>SUM(E4:E38)</f>
        <v>1772517.6</v>
      </c>
      <c r="F39" s="333">
        <f>SUM(F4:F38)</f>
        <v>157783.89</v>
      </c>
    </row>
    <row r="40" spans="1:6" ht="15.75">
      <c r="A40" s="624" t="s">
        <v>749</v>
      </c>
      <c r="B40" s="625"/>
      <c r="C40" s="336" t="s">
        <v>750</v>
      </c>
      <c r="D40" s="114">
        <f>D39-'T23_Náklady_soc_oblasť'!D41</f>
        <v>294349.5899999996</v>
      </c>
      <c r="E40" s="339">
        <f>E39-'T23_Náklady_soc_oblasť'!E41</f>
        <v>242539.9200000004</v>
      </c>
      <c r="F40" s="333">
        <f>F39-'T23_Náklady_soc_oblasť'!F41</f>
        <v>-51809.669999999984</v>
      </c>
    </row>
    <row r="41" spans="1:6" ht="15.75">
      <c r="A41" s="74">
        <v>591</v>
      </c>
      <c r="B41" s="329" t="s">
        <v>751</v>
      </c>
      <c r="C41" s="330" t="s">
        <v>752</v>
      </c>
      <c r="D41" s="331"/>
      <c r="E41" s="332"/>
      <c r="F41" s="333">
        <f>E41-D41</f>
        <v>0</v>
      </c>
    </row>
    <row r="42" spans="1:6" ht="15.75">
      <c r="A42" s="74">
        <v>595</v>
      </c>
      <c r="B42" s="329" t="s">
        <v>753</v>
      </c>
      <c r="C42" s="330" t="s">
        <v>754</v>
      </c>
      <c r="D42" s="331"/>
      <c r="E42" s="332"/>
      <c r="F42" s="333">
        <f>E42-D42</f>
        <v>0</v>
      </c>
    </row>
    <row r="43" spans="1:6" ht="15.75">
      <c r="A43" s="624" t="s">
        <v>755</v>
      </c>
      <c r="B43" s="625"/>
      <c r="C43" s="336" t="s">
        <v>756</v>
      </c>
      <c r="D43" s="337">
        <f>D40-D41-D42</f>
        <v>294349.5899999996</v>
      </c>
      <c r="E43" s="337">
        <f>E40-E41-E42</f>
        <v>242539.9200000004</v>
      </c>
      <c r="F43" s="333">
        <f>E43-D43</f>
        <v>-51809.66999999923</v>
      </c>
    </row>
  </sheetData>
  <sheetProtection/>
  <mergeCells count="5">
    <mergeCell ref="A39:B39"/>
    <mergeCell ref="A40:B40"/>
    <mergeCell ref="A43:B43"/>
    <mergeCell ref="A1:F1"/>
    <mergeCell ref="A2:D2"/>
  </mergeCells>
  <printOptions/>
  <pageMargins left="0.5511811023622047" right="0.4724409448818898" top="0.5905511811023623" bottom="0.4724409448818898" header="0.15748031496062992" footer="0.15748031496062992"/>
  <pageSetup fitToHeight="1" fitToWidth="1" horizontalDpi="600" verticalDpi="600" orientation="portrait" paperSize="9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42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36" sqref="I36"/>
    </sheetView>
  </sheetViews>
  <sheetFormatPr defaultColWidth="9.140625" defaultRowHeight="12.75"/>
  <cols>
    <col min="1" max="1" width="8.28125" style="38" customWidth="1"/>
    <col min="2" max="2" width="42.140625" style="38" customWidth="1"/>
    <col min="3" max="3" width="10.140625" style="38" customWidth="1"/>
    <col min="4" max="4" width="17.421875" style="38" customWidth="1"/>
    <col min="5" max="5" width="17.140625" style="38" customWidth="1"/>
    <col min="6" max="6" width="16.57421875" style="38" customWidth="1"/>
    <col min="7" max="16384" width="9.140625" style="38" customWidth="1"/>
  </cols>
  <sheetData>
    <row r="1" spans="1:6" ht="61.5" customHeight="1" thickBot="1">
      <c r="A1" s="634" t="s">
        <v>853</v>
      </c>
      <c r="B1" s="635"/>
      <c r="C1" s="635"/>
      <c r="D1" s="635"/>
      <c r="E1" s="635"/>
      <c r="F1" s="636"/>
    </row>
    <row r="2" spans="1:6" ht="30.75" customHeight="1" thickBot="1">
      <c r="A2" s="631" t="s">
        <v>940</v>
      </c>
      <c r="B2" s="632"/>
      <c r="C2" s="632"/>
      <c r="D2" s="632"/>
      <c r="E2" s="632"/>
      <c r="F2" s="633"/>
    </row>
    <row r="3" spans="1:6" ht="64.5" customHeight="1" thickBot="1">
      <c r="A3" s="57" t="s">
        <v>606</v>
      </c>
      <c r="B3" s="58" t="s">
        <v>358</v>
      </c>
      <c r="C3" s="73" t="s">
        <v>189</v>
      </c>
      <c r="D3" s="320" t="s">
        <v>771</v>
      </c>
      <c r="E3" s="320" t="s">
        <v>854</v>
      </c>
      <c r="F3" s="321" t="s">
        <v>852</v>
      </c>
    </row>
    <row r="4" spans="1:6" ht="15.75">
      <c r="A4" s="340">
        <v>501</v>
      </c>
      <c r="B4" s="341" t="s">
        <v>607</v>
      </c>
      <c r="C4" s="342" t="s">
        <v>608</v>
      </c>
      <c r="D4" s="326">
        <v>166296.9</v>
      </c>
      <c r="E4" s="326">
        <v>158008.78</v>
      </c>
      <c r="F4" s="343">
        <f>E4-D4</f>
        <v>-8288.119999999995</v>
      </c>
    </row>
    <row r="5" spans="1:6" ht="15.75">
      <c r="A5" s="106">
        <v>502</v>
      </c>
      <c r="B5" s="344" t="s">
        <v>609</v>
      </c>
      <c r="C5" s="345" t="s">
        <v>610</v>
      </c>
      <c r="D5" s="331">
        <v>419633.25</v>
      </c>
      <c r="E5" s="331">
        <v>482338.27</v>
      </c>
      <c r="F5" s="43">
        <f aca="true" t="shared" si="0" ref="F5:F40">E5-D5</f>
        <v>62705.02000000002</v>
      </c>
    </row>
    <row r="6" spans="1:6" ht="15.75">
      <c r="A6" s="106">
        <v>504</v>
      </c>
      <c r="B6" s="344" t="s">
        <v>611</v>
      </c>
      <c r="C6" s="345" t="s">
        <v>612</v>
      </c>
      <c r="D6" s="331"/>
      <c r="E6" s="331"/>
      <c r="F6" s="43">
        <f t="shared" si="0"/>
        <v>0</v>
      </c>
    </row>
    <row r="7" spans="1:6" ht="15.75">
      <c r="A7" s="106">
        <v>511</v>
      </c>
      <c r="B7" s="344" t="s">
        <v>613</v>
      </c>
      <c r="C7" s="345" t="s">
        <v>614</v>
      </c>
      <c r="D7" s="331">
        <v>27368.19</v>
      </c>
      <c r="E7" s="331">
        <v>35112.42</v>
      </c>
      <c r="F7" s="43">
        <f t="shared" si="0"/>
        <v>7744.23</v>
      </c>
    </row>
    <row r="8" spans="1:6" ht="15.75">
      <c r="A8" s="106">
        <v>512</v>
      </c>
      <c r="B8" s="344" t="s">
        <v>615</v>
      </c>
      <c r="C8" s="345" t="s">
        <v>616</v>
      </c>
      <c r="D8" s="331">
        <v>666.37</v>
      </c>
      <c r="E8" s="331">
        <v>3567.11</v>
      </c>
      <c r="F8" s="43">
        <f t="shared" si="0"/>
        <v>2900.7400000000002</v>
      </c>
    </row>
    <row r="9" spans="1:6" ht="15.75">
      <c r="A9" s="106">
        <v>513</v>
      </c>
      <c r="B9" s="344" t="s">
        <v>617</v>
      </c>
      <c r="C9" s="345" t="s">
        <v>618</v>
      </c>
      <c r="D9" s="331">
        <v>715.2</v>
      </c>
      <c r="E9" s="331">
        <v>0</v>
      </c>
      <c r="F9" s="43">
        <f t="shared" si="0"/>
        <v>-715.2</v>
      </c>
    </row>
    <row r="10" spans="1:6" ht="15.75">
      <c r="A10" s="106">
        <v>518</v>
      </c>
      <c r="B10" s="344" t="s">
        <v>619</v>
      </c>
      <c r="C10" s="345" t="s">
        <v>620</v>
      </c>
      <c r="D10" s="331">
        <v>93191.32</v>
      </c>
      <c r="E10" s="331">
        <v>107239.38</v>
      </c>
      <c r="F10" s="43">
        <f t="shared" si="0"/>
        <v>14048.059999999998</v>
      </c>
    </row>
    <row r="11" spans="1:6" ht="15.75">
      <c r="A11" s="106">
        <v>521</v>
      </c>
      <c r="B11" s="344" t="s">
        <v>621</v>
      </c>
      <c r="C11" s="345" t="s">
        <v>622</v>
      </c>
      <c r="D11" s="331">
        <v>355728.89</v>
      </c>
      <c r="E11" s="331">
        <v>369526.86</v>
      </c>
      <c r="F11" s="43">
        <f t="shared" si="0"/>
        <v>13797.969999999972</v>
      </c>
    </row>
    <row r="12" spans="1:6" ht="15.75">
      <c r="A12" s="106">
        <v>524</v>
      </c>
      <c r="B12" s="344" t="s">
        <v>623</v>
      </c>
      <c r="C12" s="345" t="s">
        <v>624</v>
      </c>
      <c r="D12" s="331">
        <v>123320.73</v>
      </c>
      <c r="E12" s="331">
        <v>129281.71</v>
      </c>
      <c r="F12" s="43">
        <f t="shared" si="0"/>
        <v>5960.9800000000105</v>
      </c>
    </row>
    <row r="13" spans="1:6" ht="15.75">
      <c r="A13" s="106">
        <v>525</v>
      </c>
      <c r="B13" s="344" t="s">
        <v>625</v>
      </c>
      <c r="C13" s="345" t="s">
        <v>626</v>
      </c>
      <c r="D13" s="331">
        <v>5544.51</v>
      </c>
      <c r="E13" s="331">
        <v>6047.19</v>
      </c>
      <c r="F13" s="43">
        <f t="shared" si="0"/>
        <v>502.6799999999994</v>
      </c>
    </row>
    <row r="14" spans="1:6" ht="15.75">
      <c r="A14" s="106">
        <v>527</v>
      </c>
      <c r="B14" s="344" t="s">
        <v>627</v>
      </c>
      <c r="C14" s="345" t="s">
        <v>628</v>
      </c>
      <c r="D14" s="331">
        <v>22451.76</v>
      </c>
      <c r="E14" s="331">
        <v>28800.97</v>
      </c>
      <c r="F14" s="43">
        <f t="shared" si="0"/>
        <v>6349.210000000003</v>
      </c>
    </row>
    <row r="15" spans="1:6" ht="15.75">
      <c r="A15" s="106">
        <v>528</v>
      </c>
      <c r="B15" s="344" t="s">
        <v>629</v>
      </c>
      <c r="C15" s="345" t="s">
        <v>630</v>
      </c>
      <c r="D15" s="331"/>
      <c r="E15" s="331">
        <v>0</v>
      </c>
      <c r="F15" s="43">
        <f t="shared" si="0"/>
        <v>0</v>
      </c>
    </row>
    <row r="16" spans="1:6" ht="15.75">
      <c r="A16" s="106">
        <v>531</v>
      </c>
      <c r="B16" s="344" t="s">
        <v>631</v>
      </c>
      <c r="C16" s="345" t="s">
        <v>632</v>
      </c>
      <c r="D16" s="331"/>
      <c r="E16" s="331">
        <v>0</v>
      </c>
      <c r="F16" s="43">
        <f t="shared" si="0"/>
        <v>0</v>
      </c>
    </row>
    <row r="17" spans="1:6" ht="15.75">
      <c r="A17" s="106">
        <v>532</v>
      </c>
      <c r="B17" s="344" t="s">
        <v>633</v>
      </c>
      <c r="C17" s="345" t="s">
        <v>634</v>
      </c>
      <c r="D17" s="331">
        <v>12805.37</v>
      </c>
      <c r="E17" s="331">
        <v>12850.15</v>
      </c>
      <c r="F17" s="43">
        <f t="shared" si="0"/>
        <v>44.779999999998836</v>
      </c>
    </row>
    <row r="18" spans="1:6" ht="15.75">
      <c r="A18" s="106">
        <v>538</v>
      </c>
      <c r="B18" s="344" t="s">
        <v>635</v>
      </c>
      <c r="C18" s="345" t="s">
        <v>636</v>
      </c>
      <c r="D18" s="331"/>
      <c r="E18" s="331"/>
      <c r="F18" s="43">
        <f t="shared" si="0"/>
        <v>0</v>
      </c>
    </row>
    <row r="19" spans="1:6" ht="15.75">
      <c r="A19" s="106">
        <v>541</v>
      </c>
      <c r="B19" s="344" t="s">
        <v>637</v>
      </c>
      <c r="C19" s="345" t="s">
        <v>638</v>
      </c>
      <c r="D19" s="331"/>
      <c r="E19" s="331"/>
      <c r="F19" s="43">
        <f t="shared" si="0"/>
        <v>0</v>
      </c>
    </row>
    <row r="20" spans="1:6" ht="15.75">
      <c r="A20" s="106">
        <v>542</v>
      </c>
      <c r="B20" s="344" t="s">
        <v>639</v>
      </c>
      <c r="C20" s="345" t="s">
        <v>640</v>
      </c>
      <c r="D20" s="331"/>
      <c r="E20" s="331"/>
      <c r="F20" s="43">
        <f t="shared" si="0"/>
        <v>0</v>
      </c>
    </row>
    <row r="21" spans="1:6" ht="15.75">
      <c r="A21" s="106">
        <v>543</v>
      </c>
      <c r="B21" s="344" t="s">
        <v>641</v>
      </c>
      <c r="C21" s="345" t="s">
        <v>642</v>
      </c>
      <c r="D21" s="331"/>
      <c r="E21" s="331"/>
      <c r="F21" s="43">
        <f t="shared" si="0"/>
        <v>0</v>
      </c>
    </row>
    <row r="22" spans="1:6" ht="15.75">
      <c r="A22" s="106">
        <v>544</v>
      </c>
      <c r="B22" s="344" t="s">
        <v>643</v>
      </c>
      <c r="C22" s="345" t="s">
        <v>644</v>
      </c>
      <c r="D22" s="331"/>
      <c r="E22" s="331">
        <v>3.17</v>
      </c>
      <c r="F22" s="43">
        <f t="shared" si="0"/>
        <v>3.17</v>
      </c>
    </row>
    <row r="23" spans="1:6" ht="15.75">
      <c r="A23" s="106">
        <v>545</v>
      </c>
      <c r="B23" s="344" t="s">
        <v>645</v>
      </c>
      <c r="C23" s="345" t="s">
        <v>646</v>
      </c>
      <c r="D23" s="331">
        <v>2.62</v>
      </c>
      <c r="E23" s="331"/>
      <c r="F23" s="43">
        <f t="shared" si="0"/>
        <v>-2.62</v>
      </c>
    </row>
    <row r="24" spans="1:6" ht="15.75">
      <c r="A24" s="106">
        <v>546</v>
      </c>
      <c r="B24" s="344" t="s">
        <v>647</v>
      </c>
      <c r="C24" s="345" t="s">
        <v>648</v>
      </c>
      <c r="D24" s="331"/>
      <c r="E24" s="331"/>
      <c r="F24" s="43">
        <f t="shared" si="0"/>
        <v>0</v>
      </c>
    </row>
    <row r="25" spans="1:6" ht="15.75">
      <c r="A25" s="106">
        <v>547</v>
      </c>
      <c r="B25" s="344" t="s">
        <v>649</v>
      </c>
      <c r="C25" s="345" t="s">
        <v>650</v>
      </c>
      <c r="D25" s="331"/>
      <c r="E25" s="331"/>
      <c r="F25" s="43">
        <f t="shared" si="0"/>
        <v>0</v>
      </c>
    </row>
    <row r="26" spans="1:6" ht="15.75">
      <c r="A26" s="106">
        <v>548</v>
      </c>
      <c r="B26" s="344" t="s">
        <v>651</v>
      </c>
      <c r="C26" s="345" t="s">
        <v>652</v>
      </c>
      <c r="D26" s="331"/>
      <c r="E26" s="331"/>
      <c r="F26" s="43">
        <f t="shared" si="0"/>
        <v>0</v>
      </c>
    </row>
    <row r="27" spans="1:6" ht="15.75">
      <c r="A27" s="106">
        <v>549</v>
      </c>
      <c r="B27" s="344" t="s">
        <v>653</v>
      </c>
      <c r="C27" s="345" t="s">
        <v>654</v>
      </c>
      <c r="D27" s="331">
        <v>70826.23</v>
      </c>
      <c r="E27" s="331">
        <f>83.66+61379.56+46609.17</f>
        <v>108072.39</v>
      </c>
      <c r="F27" s="43">
        <f t="shared" si="0"/>
        <v>37246.16</v>
      </c>
    </row>
    <row r="28" spans="1:6" ht="15.75">
      <c r="A28" s="106">
        <v>551</v>
      </c>
      <c r="B28" s="344" t="s">
        <v>655</v>
      </c>
      <c r="C28" s="345" t="s">
        <v>656</v>
      </c>
      <c r="D28" s="331">
        <v>16232.78</v>
      </c>
      <c r="E28" s="331">
        <v>20388.08</v>
      </c>
      <c r="F28" s="43">
        <f t="shared" si="0"/>
        <v>4155.300000000001</v>
      </c>
    </row>
    <row r="29" spans="1:6" ht="15.75">
      <c r="A29" s="106">
        <v>552</v>
      </c>
      <c r="B29" s="344" t="s">
        <v>789</v>
      </c>
      <c r="C29" s="345" t="s">
        <v>657</v>
      </c>
      <c r="D29" s="331"/>
      <c r="E29" s="331"/>
      <c r="F29" s="43">
        <f t="shared" si="0"/>
        <v>0</v>
      </c>
    </row>
    <row r="30" spans="1:6" ht="15.75">
      <c r="A30" s="106">
        <v>553</v>
      </c>
      <c r="B30" s="344" t="s">
        <v>658</v>
      </c>
      <c r="C30" s="345" t="s">
        <v>659</v>
      </c>
      <c r="D30" s="331"/>
      <c r="E30" s="331"/>
      <c r="F30" s="43">
        <f t="shared" si="0"/>
        <v>0</v>
      </c>
    </row>
    <row r="31" spans="1:6" ht="15.75">
      <c r="A31" s="106">
        <v>554</v>
      </c>
      <c r="B31" s="344" t="s">
        <v>660</v>
      </c>
      <c r="C31" s="345" t="s">
        <v>661</v>
      </c>
      <c r="D31" s="331"/>
      <c r="E31" s="331"/>
      <c r="F31" s="43">
        <f t="shared" si="0"/>
        <v>0</v>
      </c>
    </row>
    <row r="32" spans="1:6" ht="15.75">
      <c r="A32" s="106">
        <v>555</v>
      </c>
      <c r="B32" s="344" t="s">
        <v>662</v>
      </c>
      <c r="C32" s="345" t="s">
        <v>663</v>
      </c>
      <c r="D32" s="331"/>
      <c r="E32" s="331"/>
      <c r="F32" s="43">
        <f t="shared" si="0"/>
        <v>0</v>
      </c>
    </row>
    <row r="33" spans="1:7" ht="15.75">
      <c r="A33" s="106">
        <v>556</v>
      </c>
      <c r="B33" s="344" t="s">
        <v>664</v>
      </c>
      <c r="C33" s="345" t="s">
        <v>665</v>
      </c>
      <c r="D33" s="331"/>
      <c r="E33" s="331">
        <v>54981.2</v>
      </c>
      <c r="F33" s="43">
        <f t="shared" si="0"/>
        <v>54981.2</v>
      </c>
      <c r="G33" s="346"/>
    </row>
    <row r="34" spans="1:6" ht="15.75">
      <c r="A34" s="106">
        <v>557</v>
      </c>
      <c r="B34" s="344" t="s">
        <v>666</v>
      </c>
      <c r="C34" s="345" t="s">
        <v>667</v>
      </c>
      <c r="D34" s="331"/>
      <c r="E34" s="331"/>
      <c r="F34" s="43">
        <f t="shared" si="0"/>
        <v>0</v>
      </c>
    </row>
    <row r="35" spans="1:6" ht="15.75">
      <c r="A35" s="106">
        <v>558</v>
      </c>
      <c r="B35" s="344" t="s">
        <v>668</v>
      </c>
      <c r="C35" s="345" t="s">
        <v>669</v>
      </c>
      <c r="D35" s="331"/>
      <c r="E35" s="331"/>
      <c r="F35" s="43">
        <f t="shared" si="0"/>
        <v>0</v>
      </c>
    </row>
    <row r="36" spans="1:6" ht="20.25" customHeight="1">
      <c r="A36" s="106">
        <v>561</v>
      </c>
      <c r="B36" s="344" t="s">
        <v>671</v>
      </c>
      <c r="C36" s="345" t="s">
        <v>670</v>
      </c>
      <c r="D36" s="331"/>
      <c r="E36" s="331"/>
      <c r="F36" s="43">
        <f t="shared" si="0"/>
        <v>0</v>
      </c>
    </row>
    <row r="37" spans="1:6" ht="15.75">
      <c r="A37" s="106">
        <v>562</v>
      </c>
      <c r="B37" s="344" t="s">
        <v>673</v>
      </c>
      <c r="C37" s="345" t="s">
        <v>672</v>
      </c>
      <c r="D37" s="331">
        <v>5600</v>
      </c>
      <c r="E37" s="331">
        <v>13760</v>
      </c>
      <c r="F37" s="43">
        <f t="shared" si="0"/>
        <v>8160</v>
      </c>
    </row>
    <row r="38" spans="1:6" ht="15.75">
      <c r="A38" s="106">
        <v>563</v>
      </c>
      <c r="B38" s="344" t="s">
        <v>675</v>
      </c>
      <c r="C38" s="345" t="s">
        <v>674</v>
      </c>
      <c r="D38" s="331"/>
      <c r="E38" s="331"/>
      <c r="F38" s="43">
        <f t="shared" si="0"/>
        <v>0</v>
      </c>
    </row>
    <row r="39" spans="1:6" ht="15.75">
      <c r="A39" s="107">
        <v>565</v>
      </c>
      <c r="B39" s="347" t="s">
        <v>788</v>
      </c>
      <c r="C39" s="345" t="s">
        <v>676</v>
      </c>
      <c r="D39" s="348"/>
      <c r="E39" s="348"/>
      <c r="F39" s="43">
        <f t="shared" si="0"/>
        <v>0</v>
      </c>
    </row>
    <row r="40" spans="1:6" ht="16.5" thickBot="1">
      <c r="A40" s="107">
        <v>567</v>
      </c>
      <c r="B40" s="349" t="s">
        <v>677</v>
      </c>
      <c r="C40" s="350" t="s">
        <v>678</v>
      </c>
      <c r="D40" s="348"/>
      <c r="E40" s="348"/>
      <c r="F40" s="351">
        <f t="shared" si="0"/>
        <v>0</v>
      </c>
    </row>
    <row r="41" spans="1:6" ht="24.75" customHeight="1" thickBot="1">
      <c r="A41" s="637" t="s">
        <v>897</v>
      </c>
      <c r="B41" s="638"/>
      <c r="C41" s="352" t="s">
        <v>679</v>
      </c>
      <c r="D41" s="353">
        <f>SUM(D4:D40)</f>
        <v>1320384.1200000003</v>
      </c>
      <c r="E41" s="353">
        <f>SUM(E4:E40)</f>
        <v>1529977.6799999997</v>
      </c>
      <c r="F41" s="354">
        <f>SUM(F4:F40)</f>
        <v>209593.56</v>
      </c>
    </row>
    <row r="42" spans="2:5" ht="12.75">
      <c r="B42" s="355"/>
      <c r="C42" s="355"/>
      <c r="D42" s="355"/>
      <c r="E42" s="355"/>
    </row>
  </sheetData>
  <sheetProtection/>
  <mergeCells count="3">
    <mergeCell ref="A2:F2"/>
    <mergeCell ref="A1:F1"/>
    <mergeCell ref="A41:B41"/>
  </mergeCells>
  <printOptions/>
  <pageMargins left="0.3937007874015748" right="0.2362204724409449" top="0.5905511811023623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8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13" sqref="J13"/>
    </sheetView>
  </sheetViews>
  <sheetFormatPr defaultColWidth="9.140625" defaultRowHeight="12.75"/>
  <cols>
    <col min="1" max="1" width="3.57421875" style="356" customWidth="1"/>
    <col min="2" max="2" width="50.00390625" style="356" customWidth="1"/>
    <col min="3" max="3" width="7.421875" style="383" customWidth="1"/>
    <col min="4" max="4" width="16.28125" style="384" customWidth="1"/>
    <col min="5" max="5" width="15.00390625" style="384" customWidth="1"/>
    <col min="6" max="6" width="17.57421875" style="384" customWidth="1"/>
    <col min="7" max="7" width="17.421875" style="384" customWidth="1"/>
    <col min="8" max="16384" width="9.140625" style="356" customWidth="1"/>
  </cols>
  <sheetData>
    <row r="1" spans="1:7" ht="35.25" customHeight="1">
      <c r="A1" s="567" t="s">
        <v>855</v>
      </c>
      <c r="B1" s="568"/>
      <c r="C1" s="568"/>
      <c r="D1" s="568"/>
      <c r="E1" s="568"/>
      <c r="F1" s="568"/>
      <c r="G1" s="569"/>
    </row>
    <row r="2" spans="1:7" ht="30" customHeight="1" thickBot="1">
      <c r="A2" s="643" t="s">
        <v>940</v>
      </c>
      <c r="B2" s="644"/>
      <c r="C2" s="644"/>
      <c r="D2" s="644"/>
      <c r="E2" s="644"/>
      <c r="F2" s="644"/>
      <c r="G2" s="645"/>
    </row>
    <row r="3" spans="1:7" ht="57.75" customHeight="1">
      <c r="A3" s="646" t="s">
        <v>482</v>
      </c>
      <c r="B3" s="647"/>
      <c r="C3" s="647" t="s">
        <v>530</v>
      </c>
      <c r="D3" s="650" t="s">
        <v>531</v>
      </c>
      <c r="E3" s="650"/>
      <c r="F3" s="650"/>
      <c r="G3" s="357" t="s">
        <v>532</v>
      </c>
    </row>
    <row r="4" spans="1:7" ht="16.5" thickBot="1">
      <c r="A4" s="648"/>
      <c r="B4" s="649"/>
      <c r="C4" s="649"/>
      <c r="D4" s="358" t="s">
        <v>478</v>
      </c>
      <c r="E4" s="358" t="s">
        <v>479</v>
      </c>
      <c r="F4" s="358" t="s">
        <v>480</v>
      </c>
      <c r="G4" s="359" t="s">
        <v>480</v>
      </c>
    </row>
    <row r="5" spans="1:7" ht="26.25" customHeight="1" thickBot="1">
      <c r="A5" s="651" t="s">
        <v>533</v>
      </c>
      <c r="B5" s="652"/>
      <c r="C5" s="360" t="s">
        <v>534</v>
      </c>
      <c r="D5" s="361">
        <v>1</v>
      </c>
      <c r="E5" s="362">
        <v>2</v>
      </c>
      <c r="F5" s="362">
        <v>3</v>
      </c>
      <c r="G5" s="363">
        <v>4</v>
      </c>
    </row>
    <row r="6" spans="1:7" ht="15.75" customHeight="1">
      <c r="A6" s="639" t="s">
        <v>605</v>
      </c>
      <c r="B6" s="640"/>
      <c r="C6" s="364" t="s">
        <v>362</v>
      </c>
      <c r="D6" s="365">
        <f>D7+D14+D26</f>
        <v>92897750.07</v>
      </c>
      <c r="E6" s="365">
        <f>E7+E14+E26</f>
        <v>28052979.759999998</v>
      </c>
      <c r="F6" s="365">
        <f>F7+F14+F26</f>
        <v>64844770.31</v>
      </c>
      <c r="G6" s="343">
        <f>G7+G14+G26</f>
        <v>58456271.16</v>
      </c>
    </row>
    <row r="7" spans="1:7" ht="15.75" customHeight="1">
      <c r="A7" s="366" t="s">
        <v>535</v>
      </c>
      <c r="B7" s="367" t="s">
        <v>910</v>
      </c>
      <c r="C7" s="368" t="s">
        <v>364</v>
      </c>
      <c r="D7" s="114">
        <f>D8+D9+D10+D11+D12+D13</f>
        <v>1099759.2999999998</v>
      </c>
      <c r="E7" s="114">
        <f>E8+E9+E10+E11+E12+E13</f>
        <v>491528.88</v>
      </c>
      <c r="F7" s="114">
        <f>F8+F9+F10+F11+F12+F13</f>
        <v>608230.42</v>
      </c>
      <c r="G7" s="114">
        <f>G8+G9+G10+G11+G12+G13</f>
        <v>319769.59</v>
      </c>
    </row>
    <row r="8" spans="1:7" ht="31.5">
      <c r="A8" s="641"/>
      <c r="B8" s="369" t="s">
        <v>536</v>
      </c>
      <c r="C8" s="370" t="s">
        <v>366</v>
      </c>
      <c r="D8" s="331"/>
      <c r="E8" s="331"/>
      <c r="F8" s="331"/>
      <c r="G8" s="371"/>
    </row>
    <row r="9" spans="1:7" ht="15.75" customHeight="1">
      <c r="A9" s="642"/>
      <c r="B9" s="369" t="s">
        <v>537</v>
      </c>
      <c r="C9" s="370" t="s">
        <v>368</v>
      </c>
      <c r="D9" s="331">
        <v>1064486.91</v>
      </c>
      <c r="E9" s="331">
        <v>491528.88</v>
      </c>
      <c r="F9" s="331">
        <v>572958.03</v>
      </c>
      <c r="G9" s="371">
        <v>319769.59</v>
      </c>
    </row>
    <row r="10" spans="1:7" ht="15.75" customHeight="1">
      <c r="A10" s="642"/>
      <c r="B10" s="369" t="s">
        <v>538</v>
      </c>
      <c r="C10" s="370" t="s">
        <v>369</v>
      </c>
      <c r="D10" s="331"/>
      <c r="E10" s="331"/>
      <c r="F10" s="331"/>
      <c r="G10" s="371"/>
    </row>
    <row r="11" spans="1:7" ht="31.5">
      <c r="A11" s="642"/>
      <c r="B11" s="369" t="s">
        <v>539</v>
      </c>
      <c r="C11" s="370" t="s">
        <v>371</v>
      </c>
      <c r="D11" s="331"/>
      <c r="E11" s="331"/>
      <c r="F11" s="331"/>
      <c r="G11" s="371"/>
    </row>
    <row r="12" spans="1:7" ht="31.5">
      <c r="A12" s="642"/>
      <c r="B12" s="369" t="s">
        <v>604</v>
      </c>
      <c r="C12" s="370" t="s">
        <v>373</v>
      </c>
      <c r="D12" s="331">
        <v>35272.39</v>
      </c>
      <c r="E12" s="331"/>
      <c r="F12" s="331">
        <v>35272.39</v>
      </c>
      <c r="G12" s="371"/>
    </row>
    <row r="13" spans="1:7" ht="31.5">
      <c r="A13" s="642"/>
      <c r="B13" s="369" t="s">
        <v>540</v>
      </c>
      <c r="C13" s="370" t="s">
        <v>375</v>
      </c>
      <c r="D13" s="331">
        <v>0</v>
      </c>
      <c r="E13" s="331"/>
      <c r="F13" s="331"/>
      <c r="G13" s="371"/>
    </row>
    <row r="14" spans="1:7" ht="15.75" customHeight="1">
      <c r="A14" s="366" t="s">
        <v>541</v>
      </c>
      <c r="B14" s="372" t="s">
        <v>911</v>
      </c>
      <c r="C14" s="368" t="s">
        <v>377</v>
      </c>
      <c r="D14" s="114">
        <f>SUM(D15:D25)</f>
        <v>91797990.77</v>
      </c>
      <c r="E14" s="114">
        <f>SUM(E15:E25)</f>
        <v>27561450.88</v>
      </c>
      <c r="F14" s="114">
        <f>SUM(F15:F25)</f>
        <v>64236539.89</v>
      </c>
      <c r="G14" s="114">
        <f>SUM(G15:G25)</f>
        <v>58136501.56999999</v>
      </c>
    </row>
    <row r="15" spans="1:7" ht="15.75" customHeight="1">
      <c r="A15" s="373"/>
      <c r="B15" s="374" t="s">
        <v>542</v>
      </c>
      <c r="C15" s="370" t="s">
        <v>379</v>
      </c>
      <c r="D15" s="331">
        <v>9186049.75</v>
      </c>
      <c r="E15" s="331"/>
      <c r="F15" s="331">
        <v>9186049.75</v>
      </c>
      <c r="G15" s="371">
        <v>9213130.67</v>
      </c>
    </row>
    <row r="16" spans="1:7" ht="15.75" customHeight="1">
      <c r="A16" s="373"/>
      <c r="B16" s="374" t="s">
        <v>543</v>
      </c>
      <c r="C16" s="370" t="s">
        <v>381</v>
      </c>
      <c r="D16" s="331">
        <v>45018.88</v>
      </c>
      <c r="E16" s="331"/>
      <c r="F16" s="331">
        <v>45018.88</v>
      </c>
      <c r="G16" s="371">
        <v>45018.88</v>
      </c>
    </row>
    <row r="17" spans="1:7" ht="15.75" customHeight="1">
      <c r="A17" s="373"/>
      <c r="B17" s="374" t="s">
        <v>544</v>
      </c>
      <c r="C17" s="370" t="s">
        <v>383</v>
      </c>
      <c r="D17" s="331">
        <v>47116657.39</v>
      </c>
      <c r="E17" s="331">
        <v>12223393.87</v>
      </c>
      <c r="F17" s="331">
        <v>34893263.52</v>
      </c>
      <c r="G17" s="371">
        <v>33637130.55</v>
      </c>
    </row>
    <row r="18" spans="1:7" ht="31.5">
      <c r="A18" s="373"/>
      <c r="B18" s="374" t="s">
        <v>762</v>
      </c>
      <c r="C18" s="370" t="s">
        <v>385</v>
      </c>
      <c r="D18" s="331">
        <v>30407610.92</v>
      </c>
      <c r="E18" s="331">
        <v>15026589.37</v>
      </c>
      <c r="F18" s="331">
        <v>15381021.55</v>
      </c>
      <c r="G18" s="371">
        <v>11767302.41</v>
      </c>
    </row>
    <row r="19" spans="1:7" ht="15.75" customHeight="1">
      <c r="A19" s="373"/>
      <c r="B19" s="374" t="s">
        <v>545</v>
      </c>
      <c r="C19" s="370" t="s">
        <v>387</v>
      </c>
      <c r="D19" s="331">
        <v>340433.1</v>
      </c>
      <c r="E19" s="331">
        <v>311467.64</v>
      </c>
      <c r="F19" s="331">
        <v>28965.46</v>
      </c>
      <c r="G19" s="371">
        <v>19712.47</v>
      </c>
    </row>
    <row r="20" spans="1:7" ht="31.5">
      <c r="A20" s="373"/>
      <c r="B20" s="374" t="s">
        <v>546</v>
      </c>
      <c r="C20" s="370" t="s">
        <v>389</v>
      </c>
      <c r="D20" s="331"/>
      <c r="E20" s="331"/>
      <c r="F20" s="331"/>
      <c r="G20" s="371"/>
    </row>
    <row r="21" spans="1:7" ht="15.75" customHeight="1">
      <c r="A21" s="373"/>
      <c r="B21" s="374" t="s">
        <v>547</v>
      </c>
      <c r="C21" s="370" t="s">
        <v>391</v>
      </c>
      <c r="D21" s="331"/>
      <c r="E21" s="331"/>
      <c r="F21" s="331"/>
      <c r="G21" s="371"/>
    </row>
    <row r="22" spans="1:7" ht="31.5">
      <c r="A22" s="373"/>
      <c r="B22" s="374" t="s">
        <v>548</v>
      </c>
      <c r="C22" s="370" t="s">
        <v>393</v>
      </c>
      <c r="D22" s="331"/>
      <c r="E22" s="331"/>
      <c r="F22" s="331"/>
      <c r="G22" s="371"/>
    </row>
    <row r="23" spans="1:7" ht="31.5">
      <c r="A23" s="373"/>
      <c r="B23" s="374" t="s">
        <v>549</v>
      </c>
      <c r="C23" s="370" t="s">
        <v>395</v>
      </c>
      <c r="D23" s="331"/>
      <c r="E23" s="331"/>
      <c r="F23" s="331"/>
      <c r="G23" s="371"/>
    </row>
    <row r="24" spans="1:7" ht="31.5">
      <c r="A24" s="373"/>
      <c r="B24" s="374" t="s">
        <v>550</v>
      </c>
      <c r="C24" s="370" t="s">
        <v>397</v>
      </c>
      <c r="D24" s="331">
        <v>4702220.73</v>
      </c>
      <c r="E24" s="331"/>
      <c r="F24" s="331">
        <v>4702220.73</v>
      </c>
      <c r="G24" s="371">
        <v>3454206.59</v>
      </c>
    </row>
    <row r="25" spans="1:7" ht="31.5">
      <c r="A25" s="375"/>
      <c r="B25" s="374" t="s">
        <v>551</v>
      </c>
      <c r="C25" s="370" t="s">
        <v>399</v>
      </c>
      <c r="D25" s="331"/>
      <c r="E25" s="331"/>
      <c r="F25" s="331"/>
      <c r="G25" s="371"/>
    </row>
    <row r="26" spans="1:7" ht="15.75" customHeight="1">
      <c r="A26" s="366" t="s">
        <v>552</v>
      </c>
      <c r="B26" s="372" t="s">
        <v>912</v>
      </c>
      <c r="C26" s="368" t="s">
        <v>401</v>
      </c>
      <c r="D26" s="114">
        <f>SUM(D27:D33)</f>
        <v>0</v>
      </c>
      <c r="E26" s="114">
        <f>SUM(E27:E33)</f>
        <v>0</v>
      </c>
      <c r="F26" s="114">
        <f>SUM(F27:F33)</f>
        <v>0</v>
      </c>
      <c r="G26" s="43">
        <f>SUM(G27:G33)</f>
        <v>0</v>
      </c>
    </row>
    <row r="27" spans="1:7" ht="31.5">
      <c r="A27" s="373"/>
      <c r="B27" s="374" t="s">
        <v>553</v>
      </c>
      <c r="C27" s="370" t="s">
        <v>403</v>
      </c>
      <c r="D27" s="331"/>
      <c r="E27" s="331"/>
      <c r="F27" s="331"/>
      <c r="G27" s="371"/>
    </row>
    <row r="28" spans="1:7" ht="31.5">
      <c r="A28" s="373"/>
      <c r="B28" s="374" t="s">
        <v>554</v>
      </c>
      <c r="C28" s="370" t="s">
        <v>405</v>
      </c>
      <c r="D28" s="331"/>
      <c r="E28" s="331"/>
      <c r="F28" s="331"/>
      <c r="G28" s="371"/>
    </row>
    <row r="29" spans="1:7" ht="31.5">
      <c r="A29" s="373"/>
      <c r="B29" s="374" t="s">
        <v>790</v>
      </c>
      <c r="C29" s="370" t="s">
        <v>407</v>
      </c>
      <c r="D29" s="331"/>
      <c r="E29" s="331"/>
      <c r="F29" s="331"/>
      <c r="G29" s="371"/>
    </row>
    <row r="30" spans="1:7" ht="31.5">
      <c r="A30" s="373"/>
      <c r="B30" s="374" t="s">
        <v>555</v>
      </c>
      <c r="C30" s="370" t="s">
        <v>409</v>
      </c>
      <c r="D30" s="331"/>
      <c r="E30" s="331"/>
      <c r="F30" s="331"/>
      <c r="G30" s="371"/>
    </row>
    <row r="31" spans="1:7" ht="20.25" customHeight="1">
      <c r="A31" s="373"/>
      <c r="B31" s="376" t="s">
        <v>556</v>
      </c>
      <c r="C31" s="370" t="s">
        <v>411</v>
      </c>
      <c r="D31" s="331"/>
      <c r="E31" s="331"/>
      <c r="F31" s="331"/>
      <c r="G31" s="371"/>
    </row>
    <row r="32" spans="1:7" ht="31.5">
      <c r="A32" s="375"/>
      <c r="B32" s="374" t="s">
        <v>557</v>
      </c>
      <c r="C32" s="370" t="s">
        <v>413</v>
      </c>
      <c r="D32" s="331"/>
      <c r="E32" s="331"/>
      <c r="F32" s="331"/>
      <c r="G32" s="371"/>
    </row>
    <row r="33" spans="1:7" ht="19.5" customHeight="1" thickBot="1">
      <c r="A33" s="377"/>
      <c r="B33" s="378" t="s">
        <v>558</v>
      </c>
      <c r="C33" s="379" t="s">
        <v>415</v>
      </c>
      <c r="D33" s="380"/>
      <c r="E33" s="380"/>
      <c r="F33" s="380"/>
      <c r="G33" s="381"/>
    </row>
    <row r="34" spans="1:7" s="383" customFormat="1" ht="18" customHeight="1">
      <c r="A34" s="382"/>
      <c r="B34" s="382"/>
      <c r="D34" s="384"/>
      <c r="E34" s="384"/>
      <c r="F34" s="384"/>
      <c r="G34" s="384"/>
    </row>
    <row r="35" spans="1:7" s="383" customFormat="1" ht="15.75">
      <c r="A35" s="382"/>
      <c r="B35" s="382"/>
      <c r="D35" s="384"/>
      <c r="E35" s="384"/>
      <c r="F35" s="384"/>
      <c r="G35" s="37"/>
    </row>
    <row r="36" spans="1:7" s="383" customFormat="1" ht="18" customHeight="1">
      <c r="A36" s="382"/>
      <c r="B36" s="382"/>
      <c r="D36" s="384"/>
      <c r="E36" s="384"/>
      <c r="F36" s="384"/>
      <c r="G36" s="384"/>
    </row>
    <row r="37" spans="1:7" s="383" customFormat="1" ht="18" customHeight="1">
      <c r="A37" s="382"/>
      <c r="B37" s="382"/>
      <c r="D37" s="384"/>
      <c r="E37" s="384"/>
      <c r="F37" s="384"/>
      <c r="G37" s="384"/>
    </row>
    <row r="38" spans="1:7" s="383" customFormat="1" ht="18" customHeight="1">
      <c r="A38" s="382"/>
      <c r="B38" s="382"/>
      <c r="D38" s="384"/>
      <c r="E38" s="384"/>
      <c r="F38" s="384"/>
      <c r="G38" s="384"/>
    </row>
    <row r="39" spans="1:7" s="383" customFormat="1" ht="18" customHeight="1">
      <c r="A39" s="382"/>
      <c r="B39" s="382"/>
      <c r="D39" s="384"/>
      <c r="E39" s="384"/>
      <c r="F39" s="384"/>
      <c r="G39" s="384"/>
    </row>
    <row r="40" spans="1:7" s="383" customFormat="1" ht="18" customHeight="1">
      <c r="A40" s="382"/>
      <c r="B40" s="382"/>
      <c r="D40" s="384"/>
      <c r="E40" s="384"/>
      <c r="F40" s="384"/>
      <c r="G40" s="384"/>
    </row>
    <row r="41" spans="1:7" s="383" customFormat="1" ht="18" customHeight="1">
      <c r="A41" s="382"/>
      <c r="B41" s="382"/>
      <c r="D41" s="384"/>
      <c r="E41" s="384"/>
      <c r="F41" s="384"/>
      <c r="G41" s="384"/>
    </row>
    <row r="42" spans="1:7" s="383" customFormat="1" ht="18" customHeight="1">
      <c r="A42" s="356"/>
      <c r="B42" s="356"/>
      <c r="D42" s="384"/>
      <c r="E42" s="384"/>
      <c r="F42" s="384"/>
      <c r="G42" s="384"/>
    </row>
    <row r="43" spans="1:7" s="383" customFormat="1" ht="18" customHeight="1">
      <c r="A43" s="356"/>
      <c r="B43" s="356"/>
      <c r="D43" s="384"/>
      <c r="E43" s="384"/>
      <c r="F43" s="384"/>
      <c r="G43" s="384"/>
    </row>
    <row r="44" spans="1:7" s="383" customFormat="1" ht="18" customHeight="1">
      <c r="A44" s="356"/>
      <c r="B44" s="356"/>
      <c r="D44" s="384"/>
      <c r="E44" s="384"/>
      <c r="F44" s="384"/>
      <c r="G44" s="384"/>
    </row>
    <row r="45" spans="1:7" s="383" customFormat="1" ht="18" customHeight="1">
      <c r="A45" s="356"/>
      <c r="B45" s="356"/>
      <c r="D45" s="384"/>
      <c r="E45" s="384"/>
      <c r="F45" s="384"/>
      <c r="G45" s="384"/>
    </row>
    <row r="46" spans="1:7" s="383" customFormat="1" ht="18" customHeight="1">
      <c r="A46" s="356"/>
      <c r="B46" s="356"/>
      <c r="D46" s="384"/>
      <c r="E46" s="384"/>
      <c r="F46" s="384"/>
      <c r="G46" s="384"/>
    </row>
    <row r="47" spans="1:7" s="383" customFormat="1" ht="18" customHeight="1">
      <c r="A47" s="356"/>
      <c r="B47" s="356"/>
      <c r="D47" s="384"/>
      <c r="E47" s="384"/>
      <c r="F47" s="384"/>
      <c r="G47" s="384"/>
    </row>
    <row r="48" spans="1:7" s="383" customFormat="1" ht="18" customHeight="1">
      <c r="A48" s="356"/>
      <c r="B48" s="356"/>
      <c r="D48" s="384"/>
      <c r="E48" s="384"/>
      <c r="F48" s="384"/>
      <c r="G48" s="384"/>
    </row>
  </sheetData>
  <sheetProtection/>
  <mergeCells count="8">
    <mergeCell ref="A6:B6"/>
    <mergeCell ref="A8:A13"/>
    <mergeCell ref="A2:G2"/>
    <mergeCell ref="A1:G1"/>
    <mergeCell ref="A3:B4"/>
    <mergeCell ref="C3:C4"/>
    <mergeCell ref="D3:F3"/>
    <mergeCell ref="A5:B5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9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34" sqref="L34"/>
    </sheetView>
  </sheetViews>
  <sheetFormatPr defaultColWidth="9.140625" defaultRowHeight="12.75"/>
  <cols>
    <col min="1" max="1" width="2.421875" style="385" customWidth="1"/>
    <col min="2" max="2" width="52.00390625" style="385" customWidth="1"/>
    <col min="3" max="3" width="7.421875" style="385" customWidth="1"/>
    <col min="4" max="4" width="15.421875" style="424" customWidth="1"/>
    <col min="5" max="5" width="12.7109375" style="424" customWidth="1"/>
    <col min="6" max="6" width="16.421875" style="424" customWidth="1"/>
    <col min="7" max="7" width="17.7109375" style="424" customWidth="1"/>
    <col min="8" max="16384" width="9.140625" style="385" customWidth="1"/>
  </cols>
  <sheetData>
    <row r="1" spans="1:7" ht="24.75" customHeight="1" thickBot="1">
      <c r="A1" s="672" t="s">
        <v>856</v>
      </c>
      <c r="B1" s="673"/>
      <c r="C1" s="673"/>
      <c r="D1" s="673"/>
      <c r="E1" s="673"/>
      <c r="F1" s="673"/>
      <c r="G1" s="674"/>
    </row>
    <row r="2" spans="1:7" ht="33" customHeight="1">
      <c r="A2" s="659" t="s">
        <v>940</v>
      </c>
      <c r="B2" s="660"/>
      <c r="C2" s="660"/>
      <c r="D2" s="660"/>
      <c r="E2" s="660"/>
      <c r="F2" s="660"/>
      <c r="G2" s="661"/>
    </row>
    <row r="3" spans="1:7" ht="61.5" customHeight="1">
      <c r="A3" s="668" t="s">
        <v>482</v>
      </c>
      <c r="B3" s="669"/>
      <c r="C3" s="669"/>
      <c r="D3" s="676" t="s">
        <v>559</v>
      </c>
      <c r="E3" s="676"/>
      <c r="F3" s="676"/>
      <c r="G3" s="386" t="s">
        <v>532</v>
      </c>
    </row>
    <row r="4" spans="1:7" ht="16.5" thickBot="1">
      <c r="A4" s="670"/>
      <c r="B4" s="671"/>
      <c r="C4" s="671"/>
      <c r="D4" s="387" t="s">
        <v>478</v>
      </c>
      <c r="E4" s="387" t="s">
        <v>479</v>
      </c>
      <c r="F4" s="387" t="s">
        <v>480</v>
      </c>
      <c r="G4" s="388" t="s">
        <v>480</v>
      </c>
    </row>
    <row r="5" spans="1:7" ht="21.75" customHeight="1" thickBot="1">
      <c r="A5" s="653" t="s">
        <v>533</v>
      </c>
      <c r="B5" s="654"/>
      <c r="C5" s="389" t="s">
        <v>534</v>
      </c>
      <c r="D5" s="390">
        <v>1</v>
      </c>
      <c r="E5" s="390">
        <v>2</v>
      </c>
      <c r="F5" s="390">
        <v>3</v>
      </c>
      <c r="G5" s="391">
        <v>4</v>
      </c>
    </row>
    <row r="6" spans="1:7" ht="15.75" customHeight="1">
      <c r="A6" s="655" t="s">
        <v>909</v>
      </c>
      <c r="B6" s="656"/>
      <c r="C6" s="392" t="s">
        <v>417</v>
      </c>
      <c r="D6" s="393">
        <f>D7+D14+D19+D28</f>
        <v>12910508.6</v>
      </c>
      <c r="E6" s="393">
        <f>E7+E14+E19+E28</f>
        <v>0</v>
      </c>
      <c r="F6" s="393">
        <f>F7+F14+F19+F28</f>
        <v>12910508.6</v>
      </c>
      <c r="G6" s="394">
        <f>G7+G14+G19+G28</f>
        <v>7563719.76</v>
      </c>
    </row>
    <row r="7" spans="1:7" ht="15.75" customHeight="1">
      <c r="A7" s="395" t="s">
        <v>535</v>
      </c>
      <c r="B7" s="72" t="s">
        <v>560</v>
      </c>
      <c r="C7" s="396" t="s">
        <v>419</v>
      </c>
      <c r="D7" s="77">
        <f>SUM(D8:D13)</f>
        <v>165461.44</v>
      </c>
      <c r="E7" s="77">
        <f>SUM(E8:E13)</f>
        <v>0</v>
      </c>
      <c r="F7" s="77">
        <f>SUM(F8:F13)</f>
        <v>165461.44</v>
      </c>
      <c r="G7" s="78">
        <f>SUM(G8:G13)</f>
        <v>163346.5</v>
      </c>
    </row>
    <row r="8" spans="1:7" ht="15.75" customHeight="1">
      <c r="A8" s="657"/>
      <c r="B8" s="398" t="s">
        <v>561</v>
      </c>
      <c r="C8" s="399" t="s">
        <v>421</v>
      </c>
      <c r="D8" s="400">
        <v>88968.81</v>
      </c>
      <c r="E8" s="401"/>
      <c r="F8" s="400">
        <v>88968.81</v>
      </c>
      <c r="G8" s="402">
        <v>87641.89</v>
      </c>
    </row>
    <row r="9" spans="1:7" ht="31.5">
      <c r="A9" s="658"/>
      <c r="B9" s="398" t="s">
        <v>562</v>
      </c>
      <c r="C9" s="399" t="s">
        <v>423</v>
      </c>
      <c r="D9" s="400"/>
      <c r="E9" s="401"/>
      <c r="F9" s="400"/>
      <c r="G9" s="402"/>
    </row>
    <row r="10" spans="1:7" ht="15.75" customHeight="1">
      <c r="A10" s="658"/>
      <c r="B10" s="398" t="s">
        <v>563</v>
      </c>
      <c r="C10" s="399" t="s">
        <v>425</v>
      </c>
      <c r="D10" s="400">
        <v>33285.35</v>
      </c>
      <c r="E10" s="401"/>
      <c r="F10" s="400">
        <v>33285.35</v>
      </c>
      <c r="G10" s="402">
        <v>42086.79</v>
      </c>
    </row>
    <row r="11" spans="1:7" ht="15.75" customHeight="1">
      <c r="A11" s="658"/>
      <c r="B11" s="398" t="s">
        <v>564</v>
      </c>
      <c r="C11" s="399" t="s">
        <v>427</v>
      </c>
      <c r="D11" s="400"/>
      <c r="E11" s="401"/>
      <c r="F11" s="400"/>
      <c r="G11" s="402"/>
    </row>
    <row r="12" spans="1:7" ht="15.75" customHeight="1">
      <c r="A12" s="658"/>
      <c r="B12" s="398" t="s">
        <v>565</v>
      </c>
      <c r="C12" s="399" t="s">
        <v>429</v>
      </c>
      <c r="D12" s="400">
        <v>43207.28</v>
      </c>
      <c r="E12" s="401"/>
      <c r="F12" s="400">
        <v>43207.28</v>
      </c>
      <c r="G12" s="402">
        <v>33617.82</v>
      </c>
    </row>
    <row r="13" spans="1:7" ht="15.75" customHeight="1">
      <c r="A13" s="658"/>
      <c r="B13" s="398" t="s">
        <v>898</v>
      </c>
      <c r="C13" s="399" t="s">
        <v>431</v>
      </c>
      <c r="D13" s="400"/>
      <c r="E13" s="401"/>
      <c r="F13" s="400"/>
      <c r="G13" s="402"/>
    </row>
    <row r="14" spans="1:7" ht="15.75" customHeight="1">
      <c r="A14" s="403" t="s">
        <v>541</v>
      </c>
      <c r="B14" s="72" t="s">
        <v>908</v>
      </c>
      <c r="C14" s="404" t="s">
        <v>433</v>
      </c>
      <c r="D14" s="77">
        <f>SUM(D15:D18)</f>
        <v>42.73</v>
      </c>
      <c r="E14" s="77">
        <f>SUM(E15:E18)</f>
        <v>0</v>
      </c>
      <c r="F14" s="77">
        <f>SUM(F15:F18)</f>
        <v>42.73</v>
      </c>
      <c r="G14" s="78">
        <f>SUM(G15:G18)</f>
        <v>42.73</v>
      </c>
    </row>
    <row r="15" spans="1:7" ht="31.5">
      <c r="A15" s="675"/>
      <c r="B15" s="406" t="s">
        <v>938</v>
      </c>
      <c r="C15" s="399" t="s">
        <v>435</v>
      </c>
      <c r="D15" s="400">
        <v>42.73</v>
      </c>
      <c r="E15" s="401"/>
      <c r="F15" s="400">
        <v>42.73</v>
      </c>
      <c r="G15" s="402">
        <v>42.73</v>
      </c>
    </row>
    <row r="16" spans="1:7" ht="15.75">
      <c r="A16" s="675"/>
      <c r="B16" s="398" t="s">
        <v>566</v>
      </c>
      <c r="C16" s="399" t="s">
        <v>437</v>
      </c>
      <c r="D16" s="400"/>
      <c r="E16" s="401"/>
      <c r="F16" s="400"/>
      <c r="G16" s="402"/>
    </row>
    <row r="17" spans="1:7" ht="31.5">
      <c r="A17" s="675"/>
      <c r="B17" s="398" t="s">
        <v>899</v>
      </c>
      <c r="C17" s="399" t="s">
        <v>439</v>
      </c>
      <c r="D17" s="400"/>
      <c r="E17" s="401"/>
      <c r="F17" s="400"/>
      <c r="G17" s="402"/>
    </row>
    <row r="18" spans="1:7" ht="31.5">
      <c r="A18" s="657"/>
      <c r="B18" s="398" t="s">
        <v>791</v>
      </c>
      <c r="C18" s="399" t="s">
        <v>441</v>
      </c>
      <c r="D18" s="400"/>
      <c r="E18" s="401"/>
      <c r="F18" s="400"/>
      <c r="G18" s="402"/>
    </row>
    <row r="19" spans="1:7" ht="15.75" customHeight="1">
      <c r="A19" s="71" t="s">
        <v>552</v>
      </c>
      <c r="B19" s="72" t="s">
        <v>907</v>
      </c>
      <c r="C19" s="404" t="s">
        <v>443</v>
      </c>
      <c r="D19" s="77">
        <f>SUM(D20:D27)</f>
        <v>1100749.1</v>
      </c>
      <c r="E19" s="77">
        <f>SUM(E20:E27)</f>
        <v>0</v>
      </c>
      <c r="F19" s="77">
        <f>SUM(F20:F27)</f>
        <v>1100749.1</v>
      </c>
      <c r="G19" s="407">
        <f>SUM(G20:G27)</f>
        <v>1019773.39</v>
      </c>
    </row>
    <row r="20" spans="1:7" ht="31.5">
      <c r="A20" s="675"/>
      <c r="B20" s="408" t="s">
        <v>567</v>
      </c>
      <c r="C20" s="399" t="s">
        <v>445</v>
      </c>
      <c r="D20" s="400">
        <v>325707.66</v>
      </c>
      <c r="E20" s="401"/>
      <c r="F20" s="400">
        <v>325707.66</v>
      </c>
      <c r="G20" s="402">
        <v>321331.54</v>
      </c>
    </row>
    <row r="21" spans="1:7" ht="15.75" customHeight="1">
      <c r="A21" s="675"/>
      <c r="B21" s="398" t="s">
        <v>566</v>
      </c>
      <c r="C21" s="399" t="s">
        <v>446</v>
      </c>
      <c r="D21" s="400">
        <v>28198.06</v>
      </c>
      <c r="E21" s="401"/>
      <c r="F21" s="400">
        <v>28198.06</v>
      </c>
      <c r="G21" s="402">
        <v>22942.93</v>
      </c>
    </row>
    <row r="22" spans="1:7" ht="15.75" customHeight="1">
      <c r="A22" s="675"/>
      <c r="B22" s="398" t="s">
        <v>568</v>
      </c>
      <c r="C22" s="399" t="s">
        <v>448</v>
      </c>
      <c r="D22" s="400"/>
      <c r="E22" s="401"/>
      <c r="F22" s="400"/>
      <c r="G22" s="402"/>
    </row>
    <row r="23" spans="1:7" ht="15.75">
      <c r="A23" s="675"/>
      <c r="B23" s="398" t="s">
        <v>569</v>
      </c>
      <c r="C23" s="399" t="s">
        <v>450</v>
      </c>
      <c r="D23" s="400"/>
      <c r="E23" s="401"/>
      <c r="F23" s="400"/>
      <c r="G23" s="402">
        <v>140434.65</v>
      </c>
    </row>
    <row r="24" spans="1:7" ht="31.5">
      <c r="A24" s="675"/>
      <c r="B24" s="398" t="s">
        <v>570</v>
      </c>
      <c r="C24" s="399" t="s">
        <v>452</v>
      </c>
      <c r="D24" s="400">
        <v>733173.31</v>
      </c>
      <c r="E24" s="401"/>
      <c r="F24" s="400">
        <v>733173.31</v>
      </c>
      <c r="G24" s="402">
        <v>523766.61</v>
      </c>
    </row>
    <row r="25" spans="1:7" ht="31.5">
      <c r="A25" s="675"/>
      <c r="B25" s="398" t="s">
        <v>900</v>
      </c>
      <c r="C25" s="399" t="s">
        <v>453</v>
      </c>
      <c r="D25" s="400"/>
      <c r="E25" s="401"/>
      <c r="F25" s="400"/>
      <c r="G25" s="402"/>
    </row>
    <row r="26" spans="1:7" ht="15.75" customHeight="1">
      <c r="A26" s="657"/>
      <c r="B26" s="398" t="s">
        <v>901</v>
      </c>
      <c r="C26" s="399" t="s">
        <v>455</v>
      </c>
      <c r="D26" s="400"/>
      <c r="E26" s="401"/>
      <c r="F26" s="400"/>
      <c r="G26" s="402"/>
    </row>
    <row r="27" spans="1:7" ht="31.5">
      <c r="A27" s="397"/>
      <c r="B27" s="398" t="s">
        <v>791</v>
      </c>
      <c r="C27" s="399" t="s">
        <v>456</v>
      </c>
      <c r="D27" s="400">
        <v>13670.07</v>
      </c>
      <c r="E27" s="401"/>
      <c r="F27" s="400">
        <v>13670.07</v>
      </c>
      <c r="G27" s="402">
        <v>11297.66</v>
      </c>
    </row>
    <row r="28" spans="1:7" ht="15.75" customHeight="1">
      <c r="A28" s="71" t="s">
        <v>571</v>
      </c>
      <c r="B28" s="72" t="s">
        <v>906</v>
      </c>
      <c r="C28" s="404" t="s">
        <v>458</v>
      </c>
      <c r="D28" s="77">
        <f>SUM(D29:D33)</f>
        <v>11644255.33</v>
      </c>
      <c r="E28" s="77">
        <f>SUM(E29:E33)</f>
        <v>0</v>
      </c>
      <c r="F28" s="77">
        <f>SUM(F29:F33)</f>
        <v>11644255.33</v>
      </c>
      <c r="G28" s="78">
        <f>SUM(G29:G33)</f>
        <v>6380557.14</v>
      </c>
    </row>
    <row r="29" spans="1:7" ht="15.75" customHeight="1">
      <c r="A29" s="675"/>
      <c r="B29" s="408" t="s">
        <v>572</v>
      </c>
      <c r="C29" s="399" t="s">
        <v>460</v>
      </c>
      <c r="D29" s="400">
        <v>11750.35</v>
      </c>
      <c r="E29" s="401"/>
      <c r="F29" s="400">
        <v>11750.35</v>
      </c>
      <c r="G29" s="402">
        <v>5216.29</v>
      </c>
    </row>
    <row r="30" spans="1:7" ht="15.75" customHeight="1">
      <c r="A30" s="675"/>
      <c r="B30" s="398" t="s">
        <v>902</v>
      </c>
      <c r="C30" s="399" t="s">
        <v>462</v>
      </c>
      <c r="D30" s="400">
        <v>11632504.98</v>
      </c>
      <c r="E30" s="401"/>
      <c r="F30" s="400">
        <v>11632504.98</v>
      </c>
      <c r="G30" s="402">
        <v>6375340.85</v>
      </c>
    </row>
    <row r="31" spans="1:7" ht="31.5">
      <c r="A31" s="675"/>
      <c r="B31" s="398" t="s">
        <v>573</v>
      </c>
      <c r="C31" s="399" t="s">
        <v>464</v>
      </c>
      <c r="D31" s="400"/>
      <c r="E31" s="401"/>
      <c r="F31" s="400"/>
      <c r="G31" s="402"/>
    </row>
    <row r="32" spans="1:7" ht="31.5" customHeight="1">
      <c r="A32" s="675"/>
      <c r="B32" s="398" t="s">
        <v>465</v>
      </c>
      <c r="C32" s="399" t="s">
        <v>466</v>
      </c>
      <c r="D32" s="400"/>
      <c r="E32" s="401"/>
      <c r="F32" s="400"/>
      <c r="G32" s="402"/>
    </row>
    <row r="33" spans="1:7" ht="31.5" customHeight="1" thickBot="1">
      <c r="A33" s="675"/>
      <c r="B33" s="409" t="s">
        <v>903</v>
      </c>
      <c r="C33" s="410" t="s">
        <v>468</v>
      </c>
      <c r="D33" s="411"/>
      <c r="E33" s="412"/>
      <c r="F33" s="411"/>
      <c r="G33" s="413"/>
    </row>
    <row r="34" spans="1:7" ht="33" customHeight="1" thickBot="1">
      <c r="A34" s="666" t="s">
        <v>904</v>
      </c>
      <c r="B34" s="667"/>
      <c r="C34" s="414" t="s">
        <v>470</v>
      </c>
      <c r="D34" s="415">
        <f>D35+D36</f>
        <v>115263.93</v>
      </c>
      <c r="E34" s="415">
        <f>E35+E36</f>
        <v>0</v>
      </c>
      <c r="F34" s="415">
        <f>F35+F36</f>
        <v>115263.93</v>
      </c>
      <c r="G34" s="416">
        <f>G35+G36</f>
        <v>208544.17</v>
      </c>
    </row>
    <row r="35" spans="1:7" ht="18" customHeight="1">
      <c r="A35" s="662" t="s">
        <v>535</v>
      </c>
      <c r="B35" s="408" t="s">
        <v>574</v>
      </c>
      <c r="C35" s="417" t="s">
        <v>472</v>
      </c>
      <c r="D35" s="418">
        <v>115263.93</v>
      </c>
      <c r="E35" s="419"/>
      <c r="F35" s="418">
        <v>115263.93</v>
      </c>
      <c r="G35" s="420">
        <v>208134.17</v>
      </c>
    </row>
    <row r="36" spans="1:7" ht="18" customHeight="1" thickBot="1">
      <c r="A36" s="663"/>
      <c r="B36" s="409" t="s">
        <v>575</v>
      </c>
      <c r="C36" s="410" t="s">
        <v>474</v>
      </c>
      <c r="D36" s="411"/>
      <c r="E36" s="412"/>
      <c r="F36" s="411"/>
      <c r="G36" s="413">
        <v>410</v>
      </c>
    </row>
    <row r="37" spans="1:7" ht="18" customHeight="1" thickBot="1">
      <c r="A37" s="664" t="s">
        <v>905</v>
      </c>
      <c r="B37" s="665"/>
      <c r="C37" s="421" t="s">
        <v>476</v>
      </c>
      <c r="D37" s="415">
        <f>'T24a_Aktíva_1'!D6+'T24b_Aktíva_2'!D6+'T24b_Aktíva_2'!D34</f>
        <v>105923522.6</v>
      </c>
      <c r="E37" s="415">
        <f>'T24a_Aktíva_1'!E6+'T24b_Aktíva_2'!E6+'T24b_Aktíva_2'!E34</f>
        <v>28052979.759999998</v>
      </c>
      <c r="F37" s="415">
        <f>'T24a_Aktíva_1'!F6+'T24b_Aktíva_2'!F6+'T24b_Aktíva_2'!F34</f>
        <v>77870542.84</v>
      </c>
      <c r="G37" s="416">
        <f>'T24a_Aktíva_1'!G6+'T24b_Aktíva_2'!G6+'T24b_Aktíva_2'!G34</f>
        <v>66228535.089999996</v>
      </c>
    </row>
    <row r="38" spans="1:3" ht="18" customHeight="1">
      <c r="A38" s="422"/>
      <c r="B38" s="422"/>
      <c r="C38" s="423"/>
    </row>
    <row r="39" spans="1:7" ht="15.75">
      <c r="A39" s="422"/>
      <c r="B39" s="422"/>
      <c r="C39" s="423"/>
      <c r="G39" s="37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</sheetData>
  <sheetProtection/>
  <mergeCells count="14">
    <mergeCell ref="A1:G1"/>
    <mergeCell ref="A15:A18"/>
    <mergeCell ref="A20:A26"/>
    <mergeCell ref="A29:A33"/>
    <mergeCell ref="D3:F3"/>
    <mergeCell ref="A5:B5"/>
    <mergeCell ref="A6:B6"/>
    <mergeCell ref="A8:A13"/>
    <mergeCell ref="A2:G2"/>
    <mergeCell ref="A35:A36"/>
    <mergeCell ref="A37:B37"/>
    <mergeCell ref="A34:B34"/>
    <mergeCell ref="A3:B4"/>
    <mergeCell ref="C3:C4"/>
  </mergeCells>
  <printOptions/>
  <pageMargins left="0.3937007874015748" right="0.35433070866141736" top="0.52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53"/>
  <sheetViews>
    <sheetView zoomScalePageLayoutView="0" workbookViewId="0" topLeftCell="A1">
      <pane xSplit="5" ySplit="5" topLeftCell="F24" activePane="bottomRight" state="frozen"/>
      <selection pane="topLeft" activeCell="A1" sqref="A1"/>
      <selection pane="topRight" activeCell="F1" sqref="F1"/>
      <selection pane="bottomLeft" activeCell="A6" sqref="A6"/>
      <selection pane="bottomRight" activeCell="K18" sqref="K18"/>
    </sheetView>
  </sheetViews>
  <sheetFormatPr defaultColWidth="9.140625" defaultRowHeight="12.75"/>
  <cols>
    <col min="1" max="1" width="4.00390625" style="385" customWidth="1"/>
    <col min="2" max="2" width="60.140625" style="385" customWidth="1"/>
    <col min="3" max="3" width="6.57421875" style="385" customWidth="1"/>
    <col min="4" max="5" width="11.7109375" style="385" hidden="1" customWidth="1"/>
    <col min="6" max="6" width="18.00390625" style="444" customWidth="1"/>
    <col min="7" max="7" width="16.57421875" style="445" customWidth="1"/>
    <col min="8" max="16384" width="9.140625" style="385" customWidth="1"/>
  </cols>
  <sheetData>
    <row r="1" spans="1:7" ht="38.25" customHeight="1" thickBot="1">
      <c r="A1" s="672" t="s">
        <v>857</v>
      </c>
      <c r="B1" s="673"/>
      <c r="C1" s="673"/>
      <c r="D1" s="673"/>
      <c r="E1" s="673"/>
      <c r="F1" s="673"/>
      <c r="G1" s="674"/>
    </row>
    <row r="2" spans="1:7" ht="33" customHeight="1" thickBot="1">
      <c r="A2" s="695" t="s">
        <v>346</v>
      </c>
      <c r="B2" s="696"/>
      <c r="C2" s="696"/>
      <c r="D2" s="696"/>
      <c r="E2" s="696"/>
      <c r="F2" s="696"/>
      <c r="G2" s="697"/>
    </row>
    <row r="3" spans="1:7" ht="35.25" customHeight="1">
      <c r="A3" s="679" t="s">
        <v>576</v>
      </c>
      <c r="B3" s="680"/>
      <c r="C3" s="680"/>
      <c r="D3" s="683" t="s">
        <v>559</v>
      </c>
      <c r="E3" s="684"/>
      <c r="F3" s="685"/>
      <c r="G3" s="689" t="s">
        <v>532</v>
      </c>
    </row>
    <row r="4" spans="1:7" ht="42.75" customHeight="1" thickBot="1">
      <c r="A4" s="681"/>
      <c r="B4" s="682"/>
      <c r="C4" s="682"/>
      <c r="D4" s="686"/>
      <c r="E4" s="687"/>
      <c r="F4" s="688"/>
      <c r="G4" s="690"/>
    </row>
    <row r="5" spans="1:7" ht="19.5" customHeight="1" thickBot="1">
      <c r="A5" s="691" t="s">
        <v>533</v>
      </c>
      <c r="B5" s="692"/>
      <c r="C5" s="425" t="s">
        <v>534</v>
      </c>
      <c r="D5" s="425">
        <v>1</v>
      </c>
      <c r="E5" s="425">
        <v>2</v>
      </c>
      <c r="F5" s="75">
        <v>5</v>
      </c>
      <c r="G5" s="76">
        <v>6</v>
      </c>
    </row>
    <row r="6" spans="1:10" ht="30.75" customHeight="1">
      <c r="A6" s="698" t="s">
        <v>913</v>
      </c>
      <c r="B6" s="699"/>
      <c r="C6" s="81" t="s">
        <v>485</v>
      </c>
      <c r="D6" s="426">
        <f>D7+D13</f>
        <v>207980</v>
      </c>
      <c r="E6" s="426">
        <f>E7+E13</f>
        <v>0</v>
      </c>
      <c r="F6" s="427">
        <f>F7+F13+F17+F18</f>
        <v>35971055.86</v>
      </c>
      <c r="G6" s="427">
        <f>G7+G13+G17+G18</f>
        <v>34487220.5</v>
      </c>
      <c r="H6" s="428"/>
      <c r="I6" s="429"/>
      <c r="J6" s="429"/>
    </row>
    <row r="7" spans="1:7" ht="15.75">
      <c r="A7" s="430" t="s">
        <v>535</v>
      </c>
      <c r="B7" s="72" t="s">
        <v>914</v>
      </c>
      <c r="C7" s="68" t="s">
        <v>486</v>
      </c>
      <c r="D7" s="431">
        <f>SUM(D8:D10)</f>
        <v>193386</v>
      </c>
      <c r="E7" s="431">
        <f>SUM(E8:E10)</f>
        <v>0</v>
      </c>
      <c r="F7" s="77">
        <f>SUM(F8:F12)</f>
        <v>33582740.43</v>
      </c>
      <c r="G7" s="78">
        <f>SUM(G8:G12)</f>
        <v>33396291.48</v>
      </c>
    </row>
    <row r="8" spans="1:7" ht="18" customHeight="1">
      <c r="A8" s="675"/>
      <c r="B8" s="398" t="s">
        <v>758</v>
      </c>
      <c r="C8" s="70" t="s">
        <v>487</v>
      </c>
      <c r="D8" s="432">
        <v>169934</v>
      </c>
      <c r="E8" s="432"/>
      <c r="F8" s="433">
        <v>29217812.93</v>
      </c>
      <c r="G8" s="434">
        <v>12893282.47</v>
      </c>
    </row>
    <row r="9" spans="1:7" ht="15.75" customHeight="1">
      <c r="A9" s="675"/>
      <c r="B9" s="398" t="s">
        <v>582</v>
      </c>
      <c r="C9" s="70" t="s">
        <v>488</v>
      </c>
      <c r="D9" s="432"/>
      <c r="E9" s="432"/>
      <c r="F9" s="433">
        <v>360984.23</v>
      </c>
      <c r="G9" s="434">
        <v>148754.37</v>
      </c>
    </row>
    <row r="10" spans="1:7" ht="15.75">
      <c r="A10" s="657"/>
      <c r="B10" s="398" t="s">
        <v>759</v>
      </c>
      <c r="C10" s="70" t="s">
        <v>489</v>
      </c>
      <c r="D10" s="432">
        <v>23452</v>
      </c>
      <c r="E10" s="432"/>
      <c r="F10" s="433">
        <v>4003943.27</v>
      </c>
      <c r="G10" s="434">
        <v>20354254.64</v>
      </c>
    </row>
    <row r="11" spans="1:7" ht="18" customHeight="1">
      <c r="A11" s="405"/>
      <c r="B11" s="398" t="s">
        <v>577</v>
      </c>
      <c r="C11" s="70" t="s">
        <v>490</v>
      </c>
      <c r="D11" s="432"/>
      <c r="E11" s="432"/>
      <c r="F11" s="433">
        <v>0</v>
      </c>
      <c r="G11" s="434"/>
    </row>
    <row r="12" spans="1:7" ht="15.75">
      <c r="A12" s="405"/>
      <c r="B12" s="398" t="s">
        <v>578</v>
      </c>
      <c r="C12" s="70" t="s">
        <v>491</v>
      </c>
      <c r="D12" s="432"/>
      <c r="E12" s="432"/>
      <c r="F12" s="433">
        <v>0</v>
      </c>
      <c r="G12" s="434"/>
    </row>
    <row r="13" spans="1:7" ht="18" customHeight="1">
      <c r="A13" s="71" t="s">
        <v>541</v>
      </c>
      <c r="B13" s="72" t="s">
        <v>915</v>
      </c>
      <c r="C13" s="68" t="s">
        <v>492</v>
      </c>
      <c r="D13" s="431">
        <f>SUM(D14:D16)</f>
        <v>14594</v>
      </c>
      <c r="E13" s="431">
        <f>SUM(E14:E16)</f>
        <v>0</v>
      </c>
      <c r="F13" s="77">
        <f>SUM(F14:F17)</f>
        <v>1090929.02</v>
      </c>
      <c r="G13" s="78">
        <f>SUM(G14:G17)</f>
        <v>719155.3</v>
      </c>
    </row>
    <row r="14" spans="1:7" ht="14.25" customHeight="1">
      <c r="A14" s="658"/>
      <c r="B14" s="398" t="s">
        <v>583</v>
      </c>
      <c r="C14" s="70" t="s">
        <v>493</v>
      </c>
      <c r="D14" s="432">
        <v>3949</v>
      </c>
      <c r="E14" s="432"/>
      <c r="F14" s="433">
        <v>1090929.02</v>
      </c>
      <c r="G14" s="434">
        <v>719155.3</v>
      </c>
    </row>
    <row r="15" spans="1:7" ht="15.75">
      <c r="A15" s="658"/>
      <c r="B15" s="398" t="s">
        <v>585</v>
      </c>
      <c r="C15" s="70" t="s">
        <v>494</v>
      </c>
      <c r="D15" s="432">
        <v>-5033</v>
      </c>
      <c r="E15" s="432"/>
      <c r="F15" s="433"/>
      <c r="G15" s="434"/>
    </row>
    <row r="16" spans="1:7" ht="15.75">
      <c r="A16" s="658"/>
      <c r="B16" s="398" t="s">
        <v>584</v>
      </c>
      <c r="C16" s="70" t="s">
        <v>495</v>
      </c>
      <c r="D16" s="69">
        <v>15678</v>
      </c>
      <c r="E16" s="69"/>
      <c r="F16" s="433"/>
      <c r="G16" s="434"/>
    </row>
    <row r="17" spans="1:7" ht="36" customHeight="1">
      <c r="A17" s="403" t="s">
        <v>552</v>
      </c>
      <c r="B17" s="435" t="s">
        <v>916</v>
      </c>
      <c r="C17" s="68" t="s">
        <v>496</v>
      </c>
      <c r="D17" s="69"/>
      <c r="E17" s="69"/>
      <c r="F17" s="433"/>
      <c r="G17" s="434"/>
    </row>
    <row r="18" spans="1:7" ht="31.5">
      <c r="A18" s="403" t="s">
        <v>571</v>
      </c>
      <c r="B18" s="72" t="s">
        <v>917</v>
      </c>
      <c r="C18" s="68" t="s">
        <v>497</v>
      </c>
      <c r="D18" s="69"/>
      <c r="E18" s="69"/>
      <c r="F18" s="436">
        <v>1297386.41</v>
      </c>
      <c r="G18" s="437">
        <v>371773.72</v>
      </c>
    </row>
    <row r="19" spans="1:7" ht="15" customHeight="1">
      <c r="A19" s="677" t="s">
        <v>918</v>
      </c>
      <c r="B19" s="678"/>
      <c r="C19" s="68" t="s">
        <v>498</v>
      </c>
      <c r="D19" s="69">
        <v>77905</v>
      </c>
      <c r="E19" s="69"/>
      <c r="F19" s="77">
        <f>F20+F24+F32+F42</f>
        <v>6559878.11</v>
      </c>
      <c r="G19" s="77">
        <f>G20+G24+G32+G42</f>
        <v>3850006.66</v>
      </c>
    </row>
    <row r="20" spans="1:7" ht="15.75">
      <c r="A20" s="71" t="s">
        <v>535</v>
      </c>
      <c r="B20" s="438" t="s">
        <v>919</v>
      </c>
      <c r="C20" s="68" t="s">
        <v>499</v>
      </c>
      <c r="D20" s="69"/>
      <c r="E20" s="69"/>
      <c r="F20" s="77">
        <f>SUM(F21:F23)</f>
        <v>415031.34</v>
      </c>
      <c r="G20" s="78">
        <f>SUM(G21:G23)</f>
        <v>494851.08</v>
      </c>
    </row>
    <row r="21" spans="1:7" ht="13.5" customHeight="1">
      <c r="A21" s="71"/>
      <c r="B21" s="408" t="s">
        <v>586</v>
      </c>
      <c r="C21" s="70" t="s">
        <v>500</v>
      </c>
      <c r="D21" s="432"/>
      <c r="E21" s="432"/>
      <c r="F21" s="433"/>
      <c r="G21" s="434"/>
    </row>
    <row r="22" spans="1:7" ht="15.75">
      <c r="A22" s="71"/>
      <c r="B22" s="408" t="s">
        <v>587</v>
      </c>
      <c r="C22" s="70" t="s">
        <v>501</v>
      </c>
      <c r="D22" s="432"/>
      <c r="E22" s="432"/>
      <c r="F22" s="433"/>
      <c r="G22" s="434"/>
    </row>
    <row r="23" spans="1:7" ht="15.75">
      <c r="A23" s="71"/>
      <c r="B23" s="408" t="s">
        <v>588</v>
      </c>
      <c r="C23" s="70" t="s">
        <v>502</v>
      </c>
      <c r="D23" s="432"/>
      <c r="E23" s="432"/>
      <c r="F23" s="433">
        <v>415031.34</v>
      </c>
      <c r="G23" s="434">
        <v>494851.08</v>
      </c>
    </row>
    <row r="24" spans="1:7" ht="14.25" customHeight="1">
      <c r="A24" s="71" t="s">
        <v>541</v>
      </c>
      <c r="B24" s="72" t="s">
        <v>920</v>
      </c>
      <c r="C24" s="68" t="s">
        <v>503</v>
      </c>
      <c r="D24" s="439">
        <f>SUM(D25:D31)</f>
        <v>327</v>
      </c>
      <c r="E24" s="439">
        <f>SUM(E25:E31)</f>
        <v>0</v>
      </c>
      <c r="F24" s="77">
        <f>SUM(F25:F31)</f>
        <v>93942.17</v>
      </c>
      <c r="G24" s="78">
        <f>SUM(G25:G31)</f>
        <v>91214.48</v>
      </c>
    </row>
    <row r="25" spans="1:7" ht="15.75">
      <c r="A25" s="675"/>
      <c r="B25" s="408" t="s">
        <v>589</v>
      </c>
      <c r="C25" s="70" t="s">
        <v>504</v>
      </c>
      <c r="D25" s="432"/>
      <c r="E25" s="432"/>
      <c r="F25" s="433">
        <v>93942.17</v>
      </c>
      <c r="G25" s="434">
        <v>91214.48</v>
      </c>
    </row>
    <row r="26" spans="1:7" ht="15.75">
      <c r="A26" s="675"/>
      <c r="B26" s="408" t="s">
        <v>590</v>
      </c>
      <c r="C26" s="70" t="s">
        <v>505</v>
      </c>
      <c r="D26" s="432"/>
      <c r="E26" s="432"/>
      <c r="F26" s="433"/>
      <c r="G26" s="434"/>
    </row>
    <row r="27" spans="1:7" ht="15.75">
      <c r="A27" s="675"/>
      <c r="B27" s="398" t="s">
        <v>591</v>
      </c>
      <c r="C27" s="70" t="s">
        <v>506</v>
      </c>
      <c r="D27" s="432"/>
      <c r="E27" s="432"/>
      <c r="F27" s="433"/>
      <c r="G27" s="434"/>
    </row>
    <row r="28" spans="1:7" ht="15.75">
      <c r="A28" s="675"/>
      <c r="B28" s="398" t="s">
        <v>592</v>
      </c>
      <c r="C28" s="70" t="s">
        <v>507</v>
      </c>
      <c r="D28" s="432"/>
      <c r="E28" s="432"/>
      <c r="F28" s="433"/>
      <c r="G28" s="434"/>
    </row>
    <row r="29" spans="1:7" ht="15.75">
      <c r="A29" s="675"/>
      <c r="B29" s="398" t="s">
        <v>593</v>
      </c>
      <c r="C29" s="70" t="s">
        <v>508</v>
      </c>
      <c r="D29" s="432">
        <v>327</v>
      </c>
      <c r="E29" s="432"/>
      <c r="F29" s="433"/>
      <c r="G29" s="434"/>
    </row>
    <row r="30" spans="1:7" ht="15.75">
      <c r="A30" s="675"/>
      <c r="B30" s="398" t="s">
        <v>594</v>
      </c>
      <c r="C30" s="70" t="s">
        <v>509</v>
      </c>
      <c r="D30" s="432"/>
      <c r="E30" s="432"/>
      <c r="F30" s="433"/>
      <c r="G30" s="434"/>
    </row>
    <row r="31" spans="1:7" ht="15.75">
      <c r="A31" s="675"/>
      <c r="B31" s="398" t="s">
        <v>581</v>
      </c>
      <c r="C31" s="70" t="s">
        <v>510</v>
      </c>
      <c r="D31" s="432"/>
      <c r="E31" s="432"/>
      <c r="F31" s="433"/>
      <c r="G31" s="434"/>
    </row>
    <row r="32" spans="1:7" ht="15.75">
      <c r="A32" s="71" t="s">
        <v>552</v>
      </c>
      <c r="B32" s="72" t="s">
        <v>921</v>
      </c>
      <c r="C32" s="68" t="s">
        <v>511</v>
      </c>
      <c r="D32" s="439">
        <f>SUM(D33:D41)</f>
        <v>306</v>
      </c>
      <c r="E32" s="439">
        <f>SUM(E33:E41)</f>
        <v>0</v>
      </c>
      <c r="F32" s="77">
        <f>SUM(F33:F41)</f>
        <v>6050904.600000001</v>
      </c>
      <c r="G32" s="78">
        <f>SUM(G33:G41)</f>
        <v>3263941.1</v>
      </c>
    </row>
    <row r="33" spans="1:7" ht="15.75">
      <c r="A33" s="675"/>
      <c r="B33" s="398" t="s">
        <v>579</v>
      </c>
      <c r="C33" s="70" t="s">
        <v>512</v>
      </c>
      <c r="D33" s="432">
        <v>133</v>
      </c>
      <c r="E33" s="432"/>
      <c r="F33" s="433">
        <v>4015252.39</v>
      </c>
      <c r="G33" s="434">
        <v>1426564.26</v>
      </c>
    </row>
    <row r="34" spans="1:7" ht="15.75">
      <c r="A34" s="675"/>
      <c r="B34" s="398" t="s">
        <v>595</v>
      </c>
      <c r="C34" s="70" t="s">
        <v>513</v>
      </c>
      <c r="D34" s="69">
        <v>25</v>
      </c>
      <c r="E34" s="69"/>
      <c r="F34" s="433">
        <v>1058285.67</v>
      </c>
      <c r="G34" s="434">
        <v>1026239.4</v>
      </c>
    </row>
    <row r="35" spans="1:7" ht="15.75">
      <c r="A35" s="675"/>
      <c r="B35" s="398" t="s">
        <v>596</v>
      </c>
      <c r="C35" s="70" t="s">
        <v>514</v>
      </c>
      <c r="D35" s="432"/>
      <c r="E35" s="432"/>
      <c r="F35" s="433">
        <v>583806.26</v>
      </c>
      <c r="G35" s="434">
        <v>561064.34</v>
      </c>
    </row>
    <row r="36" spans="1:7" ht="15.75">
      <c r="A36" s="675"/>
      <c r="B36" s="398" t="s">
        <v>597</v>
      </c>
      <c r="C36" s="70" t="s">
        <v>515</v>
      </c>
      <c r="D36" s="432"/>
      <c r="E36" s="432"/>
      <c r="F36" s="433">
        <v>279883.73</v>
      </c>
      <c r="G36" s="434">
        <v>233889.12</v>
      </c>
    </row>
    <row r="37" spans="1:7" ht="31.5">
      <c r="A37" s="675"/>
      <c r="B37" s="398" t="s">
        <v>598</v>
      </c>
      <c r="C37" s="70" t="s">
        <v>516</v>
      </c>
      <c r="D37" s="432"/>
      <c r="E37" s="432"/>
      <c r="F37" s="433"/>
      <c r="G37" s="434"/>
    </row>
    <row r="38" spans="1:7" ht="30" customHeight="1">
      <c r="A38" s="675"/>
      <c r="B38" s="398" t="s">
        <v>603</v>
      </c>
      <c r="C38" s="70" t="s">
        <v>517</v>
      </c>
      <c r="D38" s="432"/>
      <c r="E38" s="432"/>
      <c r="F38" s="433"/>
      <c r="G38" s="434"/>
    </row>
    <row r="39" spans="1:7" ht="15.75">
      <c r="A39" s="675"/>
      <c r="B39" s="398" t="s">
        <v>599</v>
      </c>
      <c r="C39" s="70" t="s">
        <v>518</v>
      </c>
      <c r="D39" s="432"/>
      <c r="E39" s="432"/>
      <c r="F39" s="433"/>
      <c r="G39" s="434"/>
    </row>
    <row r="40" spans="1:7" ht="15.75">
      <c r="A40" s="675"/>
      <c r="B40" s="398" t="s">
        <v>600</v>
      </c>
      <c r="C40" s="70" t="s">
        <v>519</v>
      </c>
      <c r="D40" s="432"/>
      <c r="E40" s="432"/>
      <c r="F40" s="433"/>
      <c r="G40" s="434"/>
    </row>
    <row r="41" spans="1:7" ht="15.75">
      <c r="A41" s="657"/>
      <c r="B41" s="398" t="s">
        <v>922</v>
      </c>
      <c r="C41" s="70" t="s">
        <v>520</v>
      </c>
      <c r="D41" s="432">
        <v>148</v>
      </c>
      <c r="E41" s="432"/>
      <c r="F41" s="433">
        <v>113676.55</v>
      </c>
      <c r="G41" s="434">
        <v>16183.98</v>
      </c>
    </row>
    <row r="42" spans="1:7" ht="15" customHeight="1">
      <c r="A42" s="430" t="s">
        <v>571</v>
      </c>
      <c r="B42" s="72" t="s">
        <v>923</v>
      </c>
      <c r="C42" s="68" t="s">
        <v>521</v>
      </c>
      <c r="D42" s="439">
        <f>SUM(D43:D45)</f>
        <v>0</v>
      </c>
      <c r="E42" s="439">
        <f>SUM(E43:E45)</f>
        <v>0</v>
      </c>
      <c r="F42" s="77">
        <f>SUM(F43:F45)</f>
        <v>0</v>
      </c>
      <c r="G42" s="78">
        <f>SUM(G43:G45)</f>
        <v>0</v>
      </c>
    </row>
    <row r="43" spans="1:7" ht="15.75">
      <c r="A43" s="675"/>
      <c r="B43" s="398" t="s">
        <v>601</v>
      </c>
      <c r="C43" s="70" t="s">
        <v>522</v>
      </c>
      <c r="D43" s="432"/>
      <c r="E43" s="432"/>
      <c r="F43" s="433"/>
      <c r="G43" s="434"/>
    </row>
    <row r="44" spans="1:7" ht="15.75">
      <c r="A44" s="675"/>
      <c r="B44" s="398" t="s">
        <v>580</v>
      </c>
      <c r="C44" s="70" t="s">
        <v>523</v>
      </c>
      <c r="D44" s="432"/>
      <c r="E44" s="432"/>
      <c r="F44" s="433"/>
      <c r="G44" s="434"/>
    </row>
    <row r="45" spans="1:7" ht="15.75">
      <c r="A45" s="657"/>
      <c r="B45" s="398" t="s">
        <v>924</v>
      </c>
      <c r="C45" s="70" t="s">
        <v>524</v>
      </c>
      <c r="D45" s="432"/>
      <c r="E45" s="432"/>
      <c r="F45" s="433"/>
      <c r="G45" s="434"/>
    </row>
    <row r="46" spans="1:7" ht="14.25" customHeight="1">
      <c r="A46" s="693" t="s">
        <v>925</v>
      </c>
      <c r="B46" s="694"/>
      <c r="C46" s="68" t="s">
        <v>525</v>
      </c>
      <c r="D46" s="439">
        <f>SUM(D47:D48)</f>
        <v>77272</v>
      </c>
      <c r="E46" s="439">
        <f>SUM(E47:E48)</f>
        <v>0</v>
      </c>
      <c r="F46" s="77">
        <f>SUM(F47:F48)</f>
        <v>35339608.87</v>
      </c>
      <c r="G46" s="78">
        <f>SUM(G47:G48)</f>
        <v>27891307.93</v>
      </c>
    </row>
    <row r="47" spans="1:7" ht="14.25" customHeight="1">
      <c r="A47" s="675"/>
      <c r="B47" s="398" t="s">
        <v>602</v>
      </c>
      <c r="C47" s="70" t="s">
        <v>526</v>
      </c>
      <c r="D47" s="432"/>
      <c r="E47" s="432"/>
      <c r="F47" s="433"/>
      <c r="G47" s="434">
        <v>410</v>
      </c>
    </row>
    <row r="48" spans="1:7" ht="15.75">
      <c r="A48" s="675"/>
      <c r="B48" s="398" t="s">
        <v>926</v>
      </c>
      <c r="C48" s="70" t="s">
        <v>527</v>
      </c>
      <c r="D48" s="432">
        <v>77272</v>
      </c>
      <c r="E48" s="432"/>
      <c r="F48" s="433">
        <v>35339608.87</v>
      </c>
      <c r="G48" s="434">
        <v>27890897.93</v>
      </c>
    </row>
    <row r="49" spans="1:7" ht="17.25" customHeight="1">
      <c r="A49" s="655" t="s">
        <v>927</v>
      </c>
      <c r="B49" s="656"/>
      <c r="C49" s="68" t="s">
        <v>528</v>
      </c>
      <c r="D49" s="439">
        <f>D6+D19</f>
        <v>285885</v>
      </c>
      <c r="E49" s="439">
        <f>E6+E19</f>
        <v>0</v>
      </c>
      <c r="F49" s="77">
        <f>F6+F19+F46</f>
        <v>77870542.84</v>
      </c>
      <c r="G49" s="78">
        <f>G6+G19+G46</f>
        <v>66228535.089999996</v>
      </c>
    </row>
    <row r="50" spans="1:7" ht="18" customHeight="1">
      <c r="A50" s="440"/>
      <c r="B50" s="440"/>
      <c r="C50" s="441"/>
      <c r="D50" s="440"/>
      <c r="E50" s="440"/>
      <c r="F50" s="442"/>
      <c r="G50" s="443"/>
    </row>
    <row r="51" spans="1:7" ht="15.75">
      <c r="A51" s="440"/>
      <c r="B51" s="440"/>
      <c r="C51" s="441"/>
      <c r="D51" s="440"/>
      <c r="E51" s="440"/>
      <c r="F51" s="442"/>
      <c r="G51" s="37"/>
    </row>
    <row r="52" spans="1:7" ht="18" customHeight="1">
      <c r="A52" s="440"/>
      <c r="B52" s="440"/>
      <c r="C52" s="440"/>
      <c r="D52" s="440"/>
      <c r="E52" s="440"/>
      <c r="F52" s="442"/>
      <c r="G52" s="443"/>
    </row>
    <row r="53" spans="1:7" ht="18" customHeight="1">
      <c r="A53" s="440"/>
      <c r="B53" s="440"/>
      <c r="C53" s="440"/>
      <c r="D53" s="440"/>
      <c r="E53" s="440"/>
      <c r="F53" s="442"/>
      <c r="G53" s="443"/>
    </row>
    <row r="54" ht="18" customHeight="1"/>
  </sheetData>
  <sheetProtection/>
  <mergeCells count="17">
    <mergeCell ref="A46:B46"/>
    <mergeCell ref="A47:A48"/>
    <mergeCell ref="A49:B49"/>
    <mergeCell ref="A2:G2"/>
    <mergeCell ref="A33:A41"/>
    <mergeCell ref="A43:A45"/>
    <mergeCell ref="A6:B6"/>
    <mergeCell ref="A1:G1"/>
    <mergeCell ref="A8:A10"/>
    <mergeCell ref="A14:A16"/>
    <mergeCell ref="A19:B19"/>
    <mergeCell ref="A25:A31"/>
    <mergeCell ref="A3:B4"/>
    <mergeCell ref="C3:C4"/>
    <mergeCell ref="D3:F4"/>
    <mergeCell ref="G3:G4"/>
    <mergeCell ref="A5:B5"/>
  </mergeCells>
  <printOptions horizontalCentered="1" verticalCentered="1"/>
  <pageMargins left="0.35433070866141736" right="0.31496062992125984" top="0.5118110236220472" bottom="0.35" header="0.5118110236220472" footer="0.35433070866141736"/>
  <pageSetup fitToHeight="1" fitToWidth="1" horizontalDpi="600" verticalDpi="600" orientation="portrait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0.8515625" style="0" customWidth="1"/>
    <col min="2" max="2" width="8.8515625" style="0" customWidth="1"/>
    <col min="3" max="3" width="13.140625" style="0" customWidth="1"/>
    <col min="4" max="4" width="14.7109375" style="0" customWidth="1"/>
    <col min="5" max="5" width="14.28125" style="0" customWidth="1"/>
    <col min="6" max="6" width="13.7109375" style="0" customWidth="1"/>
  </cols>
  <sheetData>
    <row r="1" spans="1:6" ht="45.75" customHeight="1">
      <c r="A1" s="701" t="s">
        <v>483</v>
      </c>
      <c r="B1" s="702"/>
      <c r="C1" s="702"/>
      <c r="D1" s="702"/>
      <c r="E1" s="702"/>
      <c r="F1" s="703"/>
    </row>
    <row r="2" spans="1:6" ht="19.5" customHeight="1">
      <c r="A2" s="700" t="s">
        <v>347</v>
      </c>
      <c r="B2" s="700"/>
      <c r="C2" s="700"/>
      <c r="D2" s="700"/>
      <c r="E2" s="700"/>
      <c r="F2" s="700"/>
    </row>
    <row r="3" spans="1:6" ht="42" customHeight="1">
      <c r="A3" s="59" t="s">
        <v>359</v>
      </c>
      <c r="B3" s="60" t="s">
        <v>360</v>
      </c>
      <c r="C3" s="67" t="s">
        <v>529</v>
      </c>
      <c r="D3" s="60" t="s">
        <v>479</v>
      </c>
      <c r="E3" s="60" t="s">
        <v>480</v>
      </c>
      <c r="F3" s="60" t="s">
        <v>481</v>
      </c>
    </row>
    <row r="4" spans="1:6" ht="15.75">
      <c r="A4" s="61" t="s">
        <v>361</v>
      </c>
      <c r="B4" s="61" t="s">
        <v>362</v>
      </c>
      <c r="C4" s="62"/>
      <c r="D4" s="62"/>
      <c r="E4" s="62"/>
      <c r="F4" s="62"/>
    </row>
    <row r="5" spans="1:6" ht="15.75">
      <c r="A5" s="66" t="s">
        <v>363</v>
      </c>
      <c r="B5" s="61" t="s">
        <v>364</v>
      </c>
      <c r="C5" s="62"/>
      <c r="D5" s="62"/>
      <c r="E5" s="62"/>
      <c r="F5" s="62"/>
    </row>
    <row r="6" spans="1:6" ht="15.75">
      <c r="A6" s="61" t="s">
        <v>365</v>
      </c>
      <c r="B6" s="61" t="s">
        <v>366</v>
      </c>
      <c r="C6" s="62"/>
      <c r="D6" s="62"/>
      <c r="E6" s="62"/>
      <c r="F6" s="62"/>
    </row>
    <row r="7" spans="1:6" ht="15.75">
      <c r="A7" s="61" t="s">
        <v>367</v>
      </c>
      <c r="B7" s="61" t="s">
        <v>368</v>
      </c>
      <c r="C7" s="62"/>
      <c r="D7" s="62"/>
      <c r="E7" s="62"/>
      <c r="F7" s="62"/>
    </row>
    <row r="8" spans="1:6" ht="15.75">
      <c r="A8" s="65" t="s">
        <v>484</v>
      </c>
      <c r="B8" s="61" t="s">
        <v>369</v>
      </c>
      <c r="C8" s="62"/>
      <c r="D8" s="62"/>
      <c r="E8" s="62"/>
      <c r="F8" s="62"/>
    </row>
    <row r="9" spans="1:6" ht="15.75">
      <c r="A9" s="61" t="s">
        <v>370</v>
      </c>
      <c r="B9" s="61" t="s">
        <v>371</v>
      </c>
      <c r="C9" s="62"/>
      <c r="D9" s="62"/>
      <c r="E9" s="62"/>
      <c r="F9" s="62"/>
    </row>
    <row r="10" spans="1:6" ht="15.75">
      <c r="A10" s="61" t="s">
        <v>372</v>
      </c>
      <c r="B10" s="61" t="s">
        <v>373</v>
      </c>
      <c r="C10" s="62"/>
      <c r="D10" s="62"/>
      <c r="E10" s="62"/>
      <c r="F10" s="62"/>
    </row>
    <row r="11" spans="1:6" ht="15.75">
      <c r="A11" s="61" t="s">
        <v>374</v>
      </c>
      <c r="B11" s="61" t="s">
        <v>375</v>
      </c>
      <c r="C11" s="62"/>
      <c r="D11" s="62"/>
      <c r="E11" s="62"/>
      <c r="F11" s="62"/>
    </row>
    <row r="12" spans="1:6" ht="15.75">
      <c r="A12" s="66" t="s">
        <v>376</v>
      </c>
      <c r="B12" s="61" t="s">
        <v>377</v>
      </c>
      <c r="C12" s="62"/>
      <c r="D12" s="62"/>
      <c r="E12" s="62"/>
      <c r="F12" s="62"/>
    </row>
    <row r="13" spans="1:6" ht="15.75">
      <c r="A13" s="61" t="s">
        <v>378</v>
      </c>
      <c r="B13" s="61" t="s">
        <v>379</v>
      </c>
      <c r="C13" s="62"/>
      <c r="D13" s="62"/>
      <c r="E13" s="62"/>
      <c r="F13" s="62"/>
    </row>
    <row r="14" spans="1:6" ht="15.75">
      <c r="A14" s="61" t="s">
        <v>380</v>
      </c>
      <c r="B14" s="61" t="s">
        <v>381</v>
      </c>
      <c r="C14" s="62"/>
      <c r="D14" s="62"/>
      <c r="E14" s="62"/>
      <c r="F14" s="62"/>
    </row>
    <row r="15" spans="1:6" ht="15.75">
      <c r="A15" s="61" t="s">
        <v>382</v>
      </c>
      <c r="B15" s="61" t="s">
        <v>383</v>
      </c>
      <c r="C15" s="62"/>
      <c r="D15" s="62"/>
      <c r="E15" s="62"/>
      <c r="F15" s="62"/>
    </row>
    <row r="16" spans="1:6" ht="15.75">
      <c r="A16" s="61" t="s">
        <v>384</v>
      </c>
      <c r="B16" s="61" t="s">
        <v>385</v>
      </c>
      <c r="C16" s="62"/>
      <c r="D16" s="62"/>
      <c r="E16" s="62"/>
      <c r="F16" s="62"/>
    </row>
    <row r="17" spans="1:6" ht="15.75">
      <c r="A17" s="61" t="s">
        <v>386</v>
      </c>
      <c r="B17" s="61" t="s">
        <v>387</v>
      </c>
      <c r="C17" s="62"/>
      <c r="D17" s="62"/>
      <c r="E17" s="62"/>
      <c r="F17" s="62"/>
    </row>
    <row r="18" spans="1:6" ht="15.75">
      <c r="A18" s="61" t="s">
        <v>388</v>
      </c>
      <c r="B18" s="61" t="s">
        <v>389</v>
      </c>
      <c r="C18" s="62"/>
      <c r="D18" s="62"/>
      <c r="E18" s="62"/>
      <c r="F18" s="62"/>
    </row>
    <row r="19" spans="1:6" ht="15.75">
      <c r="A19" s="61" t="s">
        <v>390</v>
      </c>
      <c r="B19" s="61" t="s">
        <v>391</v>
      </c>
      <c r="C19" s="62"/>
      <c r="D19" s="62"/>
      <c r="E19" s="62"/>
      <c r="F19" s="62"/>
    </row>
    <row r="20" spans="1:6" ht="15.75">
      <c r="A20" s="61" t="s">
        <v>392</v>
      </c>
      <c r="B20" s="61" t="s">
        <v>393</v>
      </c>
      <c r="C20" s="62"/>
      <c r="D20" s="62"/>
      <c r="E20" s="62"/>
      <c r="F20" s="62"/>
    </row>
    <row r="21" spans="1:6" ht="15.75">
      <c r="A21" s="61" t="s">
        <v>394</v>
      </c>
      <c r="B21" s="61" t="s">
        <v>395</v>
      </c>
      <c r="C21" s="62"/>
      <c r="D21" s="62"/>
      <c r="E21" s="62"/>
      <c r="F21" s="62"/>
    </row>
    <row r="22" spans="1:6" ht="15.75">
      <c r="A22" s="61" t="s">
        <v>396</v>
      </c>
      <c r="B22" s="61" t="s">
        <v>397</v>
      </c>
      <c r="C22" s="62"/>
      <c r="D22" s="62"/>
      <c r="E22" s="62"/>
      <c r="F22" s="62"/>
    </row>
    <row r="23" spans="1:6" ht="15.75">
      <c r="A23" s="61" t="s">
        <v>398</v>
      </c>
      <c r="B23" s="61" t="s">
        <v>399</v>
      </c>
      <c r="C23" s="62"/>
      <c r="D23" s="62"/>
      <c r="E23" s="62"/>
      <c r="F23" s="62"/>
    </row>
    <row r="24" spans="1:6" ht="15.75">
      <c r="A24" s="66" t="s">
        <v>400</v>
      </c>
      <c r="B24" s="61" t="s">
        <v>401</v>
      </c>
      <c r="C24" s="62"/>
      <c r="D24" s="62"/>
      <c r="E24" s="62"/>
      <c r="F24" s="62"/>
    </row>
    <row r="25" spans="1:6" ht="15.75">
      <c r="A25" s="61" t="s">
        <v>402</v>
      </c>
      <c r="B25" s="61" t="s">
        <v>403</v>
      </c>
      <c r="C25" s="62"/>
      <c r="D25" s="62"/>
      <c r="E25" s="62"/>
      <c r="F25" s="62"/>
    </row>
    <row r="26" spans="1:6" ht="15.75">
      <c r="A26" s="61" t="s">
        <v>404</v>
      </c>
      <c r="B26" s="61" t="s">
        <v>405</v>
      </c>
      <c r="C26" s="62"/>
      <c r="D26" s="62"/>
      <c r="E26" s="62"/>
      <c r="F26" s="62"/>
    </row>
    <row r="27" spans="1:6" ht="15.75">
      <c r="A27" s="61" t="s">
        <v>406</v>
      </c>
      <c r="B27" s="61" t="s">
        <v>407</v>
      </c>
      <c r="C27" s="62"/>
      <c r="D27" s="62"/>
      <c r="E27" s="62"/>
      <c r="F27" s="62"/>
    </row>
    <row r="28" spans="1:6" ht="15.75">
      <c r="A28" s="61" t="s">
        <v>408</v>
      </c>
      <c r="B28" s="61" t="s">
        <v>409</v>
      </c>
      <c r="C28" s="62"/>
      <c r="D28" s="62"/>
      <c r="E28" s="62"/>
      <c r="F28" s="62"/>
    </row>
    <row r="29" spans="1:6" ht="15.75">
      <c r="A29" s="61" t="s">
        <v>410</v>
      </c>
      <c r="B29" s="61" t="s">
        <v>411</v>
      </c>
      <c r="C29" s="62"/>
      <c r="D29" s="62"/>
      <c r="E29" s="62"/>
      <c r="F29" s="62"/>
    </row>
    <row r="30" spans="1:6" ht="15.75">
      <c r="A30" s="61" t="s">
        <v>412</v>
      </c>
      <c r="B30" s="61" t="s">
        <v>413</v>
      </c>
      <c r="C30" s="62"/>
      <c r="D30" s="62"/>
      <c r="E30" s="62"/>
      <c r="F30" s="62"/>
    </row>
    <row r="31" spans="1:6" ht="15.75">
      <c r="A31" s="61" t="s">
        <v>414</v>
      </c>
      <c r="B31" s="61" t="s">
        <v>415</v>
      </c>
      <c r="C31" s="62"/>
      <c r="D31" s="62"/>
      <c r="E31" s="62"/>
      <c r="F31" s="62"/>
    </row>
    <row r="32" spans="1:6" ht="15.75">
      <c r="A32" s="61" t="s">
        <v>416</v>
      </c>
      <c r="B32" s="61" t="s">
        <v>417</v>
      </c>
      <c r="C32" s="62"/>
      <c r="D32" s="62"/>
      <c r="E32" s="62"/>
      <c r="F32" s="62"/>
    </row>
    <row r="33" spans="1:6" ht="15.75">
      <c r="A33" s="66" t="s">
        <v>418</v>
      </c>
      <c r="B33" s="61" t="s">
        <v>419</v>
      </c>
      <c r="C33" s="62"/>
      <c r="D33" s="62"/>
      <c r="E33" s="62"/>
      <c r="F33" s="62"/>
    </row>
    <row r="34" spans="1:6" ht="15.75">
      <c r="A34" s="61" t="s">
        <v>420</v>
      </c>
      <c r="B34" s="61" t="s">
        <v>421</v>
      </c>
      <c r="C34" s="62"/>
      <c r="D34" s="62"/>
      <c r="E34" s="62"/>
      <c r="F34" s="62"/>
    </row>
    <row r="35" spans="1:6" ht="15.75">
      <c r="A35" s="61" t="s">
        <v>422</v>
      </c>
      <c r="B35" s="61" t="s">
        <v>423</v>
      </c>
      <c r="C35" s="62"/>
      <c r="D35" s="62"/>
      <c r="E35" s="62"/>
      <c r="F35" s="62"/>
    </row>
    <row r="36" spans="1:6" ht="15.75">
      <c r="A36" s="61" t="s">
        <v>424</v>
      </c>
      <c r="B36" s="61" t="s">
        <v>425</v>
      </c>
      <c r="C36" s="62"/>
      <c r="D36" s="62"/>
      <c r="E36" s="62"/>
      <c r="F36" s="62"/>
    </row>
    <row r="37" spans="1:6" ht="15.75">
      <c r="A37" s="61" t="s">
        <v>426</v>
      </c>
      <c r="B37" s="61" t="s">
        <v>427</v>
      </c>
      <c r="C37" s="62"/>
      <c r="D37" s="62"/>
      <c r="E37" s="62"/>
      <c r="F37" s="62"/>
    </row>
    <row r="38" spans="1:6" ht="15.75">
      <c r="A38" s="61" t="s">
        <v>428</v>
      </c>
      <c r="B38" s="61" t="s">
        <v>429</v>
      </c>
      <c r="C38" s="62"/>
      <c r="D38" s="62"/>
      <c r="E38" s="62"/>
      <c r="F38" s="62"/>
    </row>
    <row r="39" spans="1:6" ht="15.75">
      <c r="A39" s="61" t="s">
        <v>430</v>
      </c>
      <c r="B39" s="61" t="s">
        <v>431</v>
      </c>
      <c r="C39" s="62"/>
      <c r="D39" s="62"/>
      <c r="E39" s="62"/>
      <c r="F39" s="62"/>
    </row>
    <row r="40" spans="1:6" ht="15.75">
      <c r="A40" s="66" t="s">
        <v>432</v>
      </c>
      <c r="B40" s="61" t="s">
        <v>433</v>
      </c>
      <c r="C40" s="62"/>
      <c r="D40" s="62"/>
      <c r="E40" s="62"/>
      <c r="F40" s="62"/>
    </row>
    <row r="41" spans="1:6" ht="15.75">
      <c r="A41" s="61" t="s">
        <v>434</v>
      </c>
      <c r="B41" s="61" t="s">
        <v>435</v>
      </c>
      <c r="C41" s="62"/>
      <c r="D41" s="62"/>
      <c r="E41" s="62"/>
      <c r="F41" s="62"/>
    </row>
    <row r="42" spans="1:6" ht="15.75">
      <c r="A42" s="61" t="s">
        <v>436</v>
      </c>
      <c r="B42" s="61" t="s">
        <v>437</v>
      </c>
      <c r="C42" s="62"/>
      <c r="D42" s="62"/>
      <c r="E42" s="62"/>
      <c r="F42" s="62"/>
    </row>
    <row r="43" spans="1:6" ht="15.75">
      <c r="A43" s="61" t="s">
        <v>438</v>
      </c>
      <c r="B43" s="61" t="s">
        <v>439</v>
      </c>
      <c r="C43" s="62"/>
      <c r="D43" s="62"/>
      <c r="E43" s="62"/>
      <c r="F43" s="62"/>
    </row>
    <row r="44" spans="1:6" ht="15.75">
      <c r="A44" s="61" t="s">
        <v>440</v>
      </c>
      <c r="B44" s="61" t="s">
        <v>441</v>
      </c>
      <c r="C44" s="62"/>
      <c r="D44" s="62"/>
      <c r="E44" s="62"/>
      <c r="F44" s="62"/>
    </row>
    <row r="45" spans="1:6" ht="15.75">
      <c r="A45" s="66" t="s">
        <v>442</v>
      </c>
      <c r="B45" s="61" t="s">
        <v>443</v>
      </c>
      <c r="C45" s="62"/>
      <c r="D45" s="62"/>
      <c r="E45" s="62"/>
      <c r="F45" s="62"/>
    </row>
    <row r="46" spans="1:6" ht="15.75">
      <c r="A46" s="61" t="s">
        <v>444</v>
      </c>
      <c r="B46" s="61" t="s">
        <v>445</v>
      </c>
      <c r="C46" s="62"/>
      <c r="D46" s="62"/>
      <c r="E46" s="62"/>
      <c r="F46" s="62"/>
    </row>
    <row r="47" spans="1:6" ht="15.75">
      <c r="A47" s="61" t="s">
        <v>436</v>
      </c>
      <c r="B47" s="61" t="s">
        <v>446</v>
      </c>
      <c r="C47" s="62"/>
      <c r="D47" s="62"/>
      <c r="E47" s="62"/>
      <c r="F47" s="62"/>
    </row>
    <row r="48" spans="1:6" ht="15.75">
      <c r="A48" s="61" t="s">
        <v>447</v>
      </c>
      <c r="B48" s="61" t="s">
        <v>448</v>
      </c>
      <c r="C48" s="62"/>
      <c r="D48" s="62"/>
      <c r="E48" s="62"/>
      <c r="F48" s="62"/>
    </row>
    <row r="49" spans="1:6" ht="15.75">
      <c r="A49" s="61" t="s">
        <v>449</v>
      </c>
      <c r="B49" s="61" t="s">
        <v>450</v>
      </c>
      <c r="C49" s="62"/>
      <c r="D49" s="62"/>
      <c r="E49" s="62"/>
      <c r="F49" s="62"/>
    </row>
    <row r="50" spans="1:6" ht="15.75">
      <c r="A50" s="61" t="s">
        <v>451</v>
      </c>
      <c r="B50" s="61" t="s">
        <v>452</v>
      </c>
      <c r="C50" s="62"/>
      <c r="D50" s="62"/>
      <c r="E50" s="62"/>
      <c r="F50" s="62"/>
    </row>
    <row r="51" spans="1:6" ht="15.75">
      <c r="A51" s="61" t="s">
        <v>438</v>
      </c>
      <c r="B51" s="61" t="s">
        <v>453</v>
      </c>
      <c r="C51" s="62"/>
      <c r="D51" s="62"/>
      <c r="E51" s="62"/>
      <c r="F51" s="62"/>
    </row>
    <row r="52" spans="1:6" ht="15.75">
      <c r="A52" s="61" t="s">
        <v>454</v>
      </c>
      <c r="B52" s="61" t="s">
        <v>455</v>
      </c>
      <c r="C52" s="62"/>
      <c r="D52" s="62"/>
      <c r="E52" s="62"/>
      <c r="F52" s="62"/>
    </row>
    <row r="53" spans="1:6" ht="15.75">
      <c r="A53" s="61" t="s">
        <v>440</v>
      </c>
      <c r="B53" s="61" t="s">
        <v>456</v>
      </c>
      <c r="C53" s="62"/>
      <c r="D53" s="62"/>
      <c r="E53" s="62"/>
      <c r="F53" s="62"/>
    </row>
    <row r="54" spans="1:6" ht="15.75">
      <c r="A54" s="66" t="s">
        <v>457</v>
      </c>
      <c r="B54" s="61" t="s">
        <v>458</v>
      </c>
      <c r="C54" s="62"/>
      <c r="D54" s="62"/>
      <c r="E54" s="62"/>
      <c r="F54" s="62"/>
    </row>
    <row r="55" spans="1:6" ht="15.75">
      <c r="A55" s="61" t="s">
        <v>459</v>
      </c>
      <c r="B55" s="61" t="s">
        <v>460</v>
      </c>
      <c r="C55" s="62"/>
      <c r="D55" s="62"/>
      <c r="E55" s="62"/>
      <c r="F55" s="62"/>
    </row>
    <row r="56" spans="1:6" ht="15.75">
      <c r="A56" s="61" t="s">
        <v>461</v>
      </c>
      <c r="B56" s="61" t="s">
        <v>462</v>
      </c>
      <c r="C56" s="62"/>
      <c r="D56" s="62"/>
      <c r="E56" s="62"/>
      <c r="F56" s="62"/>
    </row>
    <row r="57" spans="1:6" ht="15.75">
      <c r="A57" s="61" t="s">
        <v>463</v>
      </c>
      <c r="B57" s="61" t="s">
        <v>464</v>
      </c>
      <c r="C57" s="62"/>
      <c r="D57" s="62"/>
      <c r="E57" s="62"/>
      <c r="F57" s="62"/>
    </row>
    <row r="58" spans="1:6" ht="15.75">
      <c r="A58" s="61" t="s">
        <v>465</v>
      </c>
      <c r="B58" s="61" t="s">
        <v>466</v>
      </c>
      <c r="C58" s="62"/>
      <c r="D58" s="62"/>
      <c r="E58" s="62"/>
      <c r="F58" s="62"/>
    </row>
    <row r="59" spans="1:6" ht="15.75">
      <c r="A59" s="61" t="s">
        <v>467</v>
      </c>
      <c r="B59" s="61" t="s">
        <v>468</v>
      </c>
      <c r="C59" s="62"/>
      <c r="D59" s="62"/>
      <c r="E59" s="62"/>
      <c r="F59" s="62"/>
    </row>
    <row r="60" spans="1:6" ht="15.75">
      <c r="A60" s="61" t="s">
        <v>469</v>
      </c>
      <c r="B60" s="61" t="s">
        <v>470</v>
      </c>
      <c r="C60" s="62"/>
      <c r="D60" s="62"/>
      <c r="E60" s="62"/>
      <c r="F60" s="62"/>
    </row>
    <row r="61" spans="1:6" ht="15.75">
      <c r="A61" s="66" t="s">
        <v>471</v>
      </c>
      <c r="B61" s="61" t="s">
        <v>472</v>
      </c>
      <c r="C61" s="62"/>
      <c r="D61" s="62"/>
      <c r="E61" s="62"/>
      <c r="F61" s="62"/>
    </row>
    <row r="62" spans="1:6" ht="15.75">
      <c r="A62" s="61" t="s">
        <v>473</v>
      </c>
      <c r="B62" s="61" t="s">
        <v>474</v>
      </c>
      <c r="C62" s="62"/>
      <c r="D62" s="62"/>
      <c r="E62" s="62"/>
      <c r="F62" s="62"/>
    </row>
    <row r="63" spans="1:6" ht="15.75">
      <c r="A63" s="61" t="s">
        <v>475</v>
      </c>
      <c r="B63" s="61" t="s">
        <v>476</v>
      </c>
      <c r="C63" s="62"/>
      <c r="D63" s="62"/>
      <c r="E63" s="62"/>
      <c r="F63" s="62"/>
    </row>
    <row r="64" spans="1:6" ht="15.75">
      <c r="A64" s="63" t="s">
        <v>477</v>
      </c>
      <c r="B64" s="64"/>
      <c r="C64" s="62"/>
      <c r="D64" s="62"/>
      <c r="E64" s="62"/>
      <c r="F64" s="62"/>
    </row>
    <row r="65" spans="1:6" ht="15.75">
      <c r="A65" s="25"/>
      <c r="B65" s="25"/>
      <c r="C65" s="25"/>
      <c r="D65" s="25"/>
      <c r="E65" s="25"/>
      <c r="F65" s="25"/>
    </row>
    <row r="66" spans="1:6" ht="15.75">
      <c r="A66" s="25"/>
      <c r="B66" s="25"/>
      <c r="C66" s="25"/>
      <c r="D66" s="25"/>
      <c r="E66" s="25"/>
      <c r="F66" s="25"/>
    </row>
    <row r="67" spans="1:6" ht="15.75">
      <c r="A67" s="25"/>
      <c r="B67" s="25"/>
      <c r="C67" s="25"/>
      <c r="D67" s="25"/>
      <c r="E67" s="25"/>
      <c r="F67" s="25"/>
    </row>
  </sheetData>
  <sheetProtection/>
  <mergeCells count="2">
    <mergeCell ref="A2:F2"/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I61"/>
  <sheetViews>
    <sheetView zoomScalePageLayoutView="0" workbookViewId="0" topLeftCell="A1">
      <pane xSplit="2" ySplit="5" topLeftCell="C6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K60" sqref="K60"/>
    </sheetView>
  </sheetViews>
  <sheetFormatPr defaultColWidth="9.140625" defaultRowHeight="12.75"/>
  <cols>
    <col min="1" max="1" width="7.8515625" style="150" customWidth="1"/>
    <col min="2" max="2" width="70.57421875" style="448" customWidth="1"/>
    <col min="3" max="3" width="16.421875" style="177" customWidth="1"/>
    <col min="4" max="4" width="16.57421875" style="177" customWidth="1"/>
    <col min="5" max="5" width="16.421875" style="177" customWidth="1"/>
    <col min="6" max="6" width="19.140625" style="177" customWidth="1"/>
    <col min="7" max="7" width="16.8515625" style="177" customWidth="1"/>
    <col min="8" max="8" width="17.28125" style="177" customWidth="1"/>
    <col min="9" max="9" width="16.57421875" style="11" customWidth="1"/>
    <col min="10" max="16384" width="9.140625" style="11" customWidth="1"/>
  </cols>
  <sheetData>
    <row r="1" spans="1:8" ht="34.5" customHeight="1">
      <c r="A1" s="466" t="s">
        <v>819</v>
      </c>
      <c r="B1" s="467"/>
      <c r="C1" s="467"/>
      <c r="D1" s="467"/>
      <c r="E1" s="467"/>
      <c r="F1" s="467"/>
      <c r="G1" s="467"/>
      <c r="H1" s="468"/>
    </row>
    <row r="2" spans="1:8" ht="31.5" customHeight="1">
      <c r="A2" s="453" t="s">
        <v>1002</v>
      </c>
      <c r="B2" s="454"/>
      <c r="C2" s="454"/>
      <c r="D2" s="454"/>
      <c r="E2" s="454"/>
      <c r="F2" s="454"/>
      <c r="G2" s="454"/>
      <c r="H2" s="455"/>
    </row>
    <row r="3" spans="1:8" ht="24" customHeight="1">
      <c r="A3" s="469" t="s">
        <v>189</v>
      </c>
      <c r="B3" s="470" t="s">
        <v>283</v>
      </c>
      <c r="C3" s="471">
        <v>2011</v>
      </c>
      <c r="D3" s="472"/>
      <c r="E3" s="471">
        <v>2012</v>
      </c>
      <c r="F3" s="472"/>
      <c r="G3" s="471" t="s">
        <v>820</v>
      </c>
      <c r="H3" s="473"/>
    </row>
    <row r="4" spans="1:8" s="136" customFormat="1" ht="31.5">
      <c r="A4" s="469"/>
      <c r="B4" s="470"/>
      <c r="C4" s="2" t="s">
        <v>284</v>
      </c>
      <c r="D4" s="2" t="s">
        <v>285</v>
      </c>
      <c r="E4" s="2" t="s">
        <v>284</v>
      </c>
      <c r="F4" s="2" t="s">
        <v>285</v>
      </c>
      <c r="G4" s="2" t="s">
        <v>284</v>
      </c>
      <c r="H4" s="1" t="s">
        <v>285</v>
      </c>
    </row>
    <row r="5" spans="1:8" s="136" customFormat="1" ht="15.75">
      <c r="A5" s="50"/>
      <c r="B5" s="15"/>
      <c r="C5" s="2" t="s">
        <v>245</v>
      </c>
      <c r="D5" s="2" t="s">
        <v>246</v>
      </c>
      <c r="E5" s="2" t="s">
        <v>247</v>
      </c>
      <c r="F5" s="2" t="s">
        <v>253</v>
      </c>
      <c r="G5" s="2" t="s">
        <v>27</v>
      </c>
      <c r="H5" s="1" t="s">
        <v>28</v>
      </c>
    </row>
    <row r="6" spans="1:8" ht="15.75">
      <c r="A6" s="82">
        <v>1</v>
      </c>
      <c r="B6" s="18" t="s">
        <v>220</v>
      </c>
      <c r="C6" s="138">
        <f>SUM(C7:C10)</f>
        <v>111878.29000000001</v>
      </c>
      <c r="D6" s="138">
        <f>SUM(D7:D10)</f>
        <v>186447.38</v>
      </c>
      <c r="E6" s="138">
        <f>SUM(E7:E10)</f>
        <v>119564.98</v>
      </c>
      <c r="F6" s="138">
        <f>SUM(F7:F10)</f>
        <v>287734.35</v>
      </c>
      <c r="G6" s="151">
        <f>E6-C6</f>
        <v>7686.689999999988</v>
      </c>
      <c r="H6" s="152">
        <f>F6-D6/30.126</f>
        <v>281545.43079399853</v>
      </c>
    </row>
    <row r="7" spans="1:8" ht="15.75">
      <c r="A7" s="82">
        <f>A6+1</f>
        <v>2</v>
      </c>
      <c r="B7" s="13" t="s">
        <v>237</v>
      </c>
      <c r="C7" s="153"/>
      <c r="D7" s="153"/>
      <c r="E7" s="153"/>
      <c r="F7" s="153"/>
      <c r="G7" s="151">
        <f aca="true" t="shared" si="0" ref="G7:H58">E7-C7</f>
        <v>0</v>
      </c>
      <c r="H7" s="152">
        <f>F7-D7/30.126</f>
        <v>0</v>
      </c>
    </row>
    <row r="8" spans="1:8" ht="15.75">
      <c r="A8" s="82">
        <f aca="true" t="shared" si="1" ref="A8:A58">A7+1</f>
        <v>3</v>
      </c>
      <c r="B8" s="13" t="s">
        <v>258</v>
      </c>
      <c r="C8" s="153"/>
      <c r="D8" s="153"/>
      <c r="E8" s="153"/>
      <c r="F8" s="153"/>
      <c r="G8" s="151">
        <f t="shared" si="0"/>
        <v>0</v>
      </c>
      <c r="H8" s="152">
        <f>F8-D8/30.126</f>
        <v>0</v>
      </c>
    </row>
    <row r="9" spans="1:8" ht="15.75">
      <c r="A9" s="82">
        <f t="shared" si="1"/>
        <v>4</v>
      </c>
      <c r="B9" s="13" t="s">
        <v>40</v>
      </c>
      <c r="C9" s="153">
        <v>103819.27</v>
      </c>
      <c r="D9" s="153">
        <v>181064.01</v>
      </c>
      <c r="E9" s="153">
        <v>115057.62</v>
      </c>
      <c r="F9" s="153">
        <v>282397.25</v>
      </c>
      <c r="G9" s="151">
        <f t="shared" si="0"/>
        <v>11238.349999999991</v>
      </c>
      <c r="H9" s="152">
        <f t="shared" si="0"/>
        <v>101333.23999999999</v>
      </c>
    </row>
    <row r="10" spans="1:8" ht="15.75">
      <c r="A10" s="82">
        <f t="shared" si="1"/>
        <v>5</v>
      </c>
      <c r="B10" s="13" t="s">
        <v>257</v>
      </c>
      <c r="C10" s="153">
        <v>8059.02</v>
      </c>
      <c r="D10" s="153">
        <v>5383.37</v>
      </c>
      <c r="E10" s="153">
        <v>4507.36</v>
      </c>
      <c r="F10" s="153">
        <v>5337.1</v>
      </c>
      <c r="G10" s="151">
        <f t="shared" si="0"/>
        <v>-3551.6600000000008</v>
      </c>
      <c r="H10" s="152">
        <f t="shared" si="0"/>
        <v>-46.26999999999953</v>
      </c>
    </row>
    <row r="11" spans="1:8" ht="15.75">
      <c r="A11" s="82">
        <f t="shared" si="1"/>
        <v>6</v>
      </c>
      <c r="B11" s="18" t="s">
        <v>890</v>
      </c>
      <c r="C11" s="138">
        <f>SUM(C12:C15)</f>
        <v>1873395.1199999999</v>
      </c>
      <c r="D11" s="138">
        <f>SUM(D12:D15)</f>
        <v>724904.8099999999</v>
      </c>
      <c r="E11" s="138">
        <f>SUM(E12:E15)</f>
        <v>1381428.2000000002</v>
      </c>
      <c r="F11" s="138">
        <f>SUM(F12:F15)</f>
        <v>639725.37</v>
      </c>
      <c r="G11" s="151">
        <f t="shared" si="0"/>
        <v>-491966.9199999997</v>
      </c>
      <c r="H11" s="152">
        <f t="shared" si="0"/>
        <v>-85179.43999999994</v>
      </c>
    </row>
    <row r="12" spans="1:8" ht="15.75">
      <c r="A12" s="82">
        <f t="shared" si="1"/>
        <v>7</v>
      </c>
      <c r="B12" s="13" t="s">
        <v>63</v>
      </c>
      <c r="C12" s="153">
        <v>747856.21</v>
      </c>
      <c r="D12" s="153">
        <v>27209.68</v>
      </c>
      <c r="E12" s="153">
        <v>779213.65</v>
      </c>
      <c r="F12" s="153">
        <v>18450.24</v>
      </c>
      <c r="G12" s="151">
        <f t="shared" si="0"/>
        <v>31357.44000000006</v>
      </c>
      <c r="H12" s="152">
        <f t="shared" si="0"/>
        <v>-8759.439999999999</v>
      </c>
    </row>
    <row r="13" spans="1:8" ht="15.75">
      <c r="A13" s="82">
        <f t="shared" si="1"/>
        <v>8</v>
      </c>
      <c r="B13" s="13" t="s">
        <v>64</v>
      </c>
      <c r="C13" s="153">
        <v>97.5</v>
      </c>
      <c r="D13" s="153"/>
      <c r="E13" s="153"/>
      <c r="F13" s="153"/>
      <c r="G13" s="151">
        <f t="shared" si="0"/>
        <v>-97.5</v>
      </c>
      <c r="H13" s="152">
        <f t="shared" si="0"/>
        <v>0</v>
      </c>
    </row>
    <row r="14" spans="1:8" ht="15.75">
      <c r="A14" s="82">
        <f>A13+1</f>
        <v>9</v>
      </c>
      <c r="B14" s="13" t="s">
        <v>65</v>
      </c>
      <c r="C14" s="153"/>
      <c r="D14" s="153">
        <v>62059.28</v>
      </c>
      <c r="E14" s="153"/>
      <c r="F14" s="153">
        <v>75836.43</v>
      </c>
      <c r="G14" s="151">
        <f t="shared" si="0"/>
        <v>0</v>
      </c>
      <c r="H14" s="152">
        <f t="shared" si="0"/>
        <v>13777.149999999994</v>
      </c>
    </row>
    <row r="15" spans="1:8" ht="15.75">
      <c r="A15" s="154">
        <f t="shared" si="1"/>
        <v>10</v>
      </c>
      <c r="B15" s="105" t="s">
        <v>888</v>
      </c>
      <c r="C15" s="153">
        <v>1125441.41</v>
      </c>
      <c r="D15" s="153">
        <v>635635.85</v>
      </c>
      <c r="E15" s="153">
        <v>602214.55</v>
      </c>
      <c r="F15" s="153">
        <v>545438.7</v>
      </c>
      <c r="G15" s="151">
        <f t="shared" si="0"/>
        <v>-523226.85999999987</v>
      </c>
      <c r="H15" s="152">
        <f t="shared" si="0"/>
        <v>-90197.15000000002</v>
      </c>
    </row>
    <row r="16" spans="1:8" ht="15.75">
      <c r="A16" s="82">
        <f t="shared" si="1"/>
        <v>11</v>
      </c>
      <c r="B16" s="18" t="s">
        <v>23</v>
      </c>
      <c r="C16" s="153"/>
      <c r="D16" s="155">
        <v>20648.78</v>
      </c>
      <c r="E16" s="153"/>
      <c r="F16" s="153">
        <v>29052.97</v>
      </c>
      <c r="G16" s="151">
        <f t="shared" si="0"/>
        <v>0</v>
      </c>
      <c r="H16" s="152">
        <f t="shared" si="0"/>
        <v>8404.190000000002</v>
      </c>
    </row>
    <row r="17" spans="1:8" ht="15.75">
      <c r="A17" s="82">
        <f t="shared" si="1"/>
        <v>12</v>
      </c>
      <c r="B17" s="18" t="s">
        <v>290</v>
      </c>
      <c r="C17" s="153"/>
      <c r="D17" s="153"/>
      <c r="E17" s="153"/>
      <c r="F17" s="153"/>
      <c r="G17" s="151">
        <f t="shared" si="0"/>
        <v>0</v>
      </c>
      <c r="H17" s="152">
        <f t="shared" si="0"/>
        <v>0</v>
      </c>
    </row>
    <row r="18" spans="1:8" ht="15.75">
      <c r="A18" s="82">
        <f t="shared" si="1"/>
        <v>13</v>
      </c>
      <c r="B18" s="18" t="s">
        <v>291</v>
      </c>
      <c r="C18" s="153"/>
      <c r="D18" s="153"/>
      <c r="E18" s="153"/>
      <c r="F18" s="153"/>
      <c r="G18" s="151">
        <f t="shared" si="0"/>
        <v>0</v>
      </c>
      <c r="H18" s="152">
        <f t="shared" si="0"/>
        <v>0</v>
      </c>
    </row>
    <row r="19" spans="1:8" ht="15.75">
      <c r="A19" s="82">
        <f t="shared" si="1"/>
        <v>14</v>
      </c>
      <c r="B19" s="18" t="s">
        <v>292</v>
      </c>
      <c r="C19" s="153">
        <f>3551.01+9371.97</f>
        <v>12922.98</v>
      </c>
      <c r="D19" s="153">
        <v>221.38</v>
      </c>
      <c r="E19" s="153">
        <f>3276.81+30</f>
        <v>3306.81</v>
      </c>
      <c r="F19" s="153">
        <v>589.35</v>
      </c>
      <c r="G19" s="151">
        <f t="shared" si="0"/>
        <v>-9616.17</v>
      </c>
      <c r="H19" s="152">
        <f t="shared" si="0"/>
        <v>367.97</v>
      </c>
    </row>
    <row r="20" spans="1:8" ht="15.75">
      <c r="A20" s="82">
        <f t="shared" si="1"/>
        <v>15</v>
      </c>
      <c r="B20" s="18" t="s">
        <v>293</v>
      </c>
      <c r="C20" s="153"/>
      <c r="D20" s="153"/>
      <c r="E20" s="153"/>
      <c r="F20" s="153"/>
      <c r="G20" s="151">
        <f t="shared" si="0"/>
        <v>0</v>
      </c>
      <c r="H20" s="152">
        <f t="shared" si="0"/>
        <v>0</v>
      </c>
    </row>
    <row r="21" spans="1:8" ht="15.75">
      <c r="A21" s="82">
        <f t="shared" si="1"/>
        <v>16</v>
      </c>
      <c r="B21" s="18" t="s">
        <v>1</v>
      </c>
      <c r="C21" s="138">
        <f>SUM(C22:C23)</f>
        <v>172.51</v>
      </c>
      <c r="D21" s="138">
        <f>SUM(D22:D23)</f>
        <v>121.88</v>
      </c>
      <c r="E21" s="138">
        <f>SUM(E22:E23)</f>
        <v>126.06</v>
      </c>
      <c r="F21" s="138">
        <f>SUM(F22:F23)</f>
        <v>110.82</v>
      </c>
      <c r="G21" s="151">
        <f t="shared" si="0"/>
        <v>-46.44999999999999</v>
      </c>
      <c r="H21" s="152">
        <f t="shared" si="0"/>
        <v>-11.060000000000002</v>
      </c>
    </row>
    <row r="22" spans="1:8" ht="15.75">
      <c r="A22" s="82">
        <f t="shared" si="1"/>
        <v>17</v>
      </c>
      <c r="B22" s="13" t="s">
        <v>68</v>
      </c>
      <c r="C22" s="153"/>
      <c r="D22" s="153"/>
      <c r="E22" s="153"/>
      <c r="F22" s="153"/>
      <c r="G22" s="151">
        <f t="shared" si="0"/>
        <v>0</v>
      </c>
      <c r="H22" s="152">
        <f t="shared" si="0"/>
        <v>0</v>
      </c>
    </row>
    <row r="23" spans="1:8" ht="15.75">
      <c r="A23" s="82">
        <f t="shared" si="1"/>
        <v>18</v>
      </c>
      <c r="B23" s="45" t="s">
        <v>69</v>
      </c>
      <c r="C23" s="153">
        <v>172.51</v>
      </c>
      <c r="D23" s="156">
        <v>121.88</v>
      </c>
      <c r="E23" s="153">
        <v>126.06</v>
      </c>
      <c r="F23" s="156">
        <v>110.82</v>
      </c>
      <c r="G23" s="151">
        <f t="shared" si="0"/>
        <v>-46.44999999999999</v>
      </c>
      <c r="H23" s="152">
        <f t="shared" si="0"/>
        <v>-11.060000000000002</v>
      </c>
    </row>
    <row r="24" spans="1:8" ht="15.75">
      <c r="A24" s="82">
        <f t="shared" si="1"/>
        <v>19</v>
      </c>
      <c r="B24" s="18" t="s">
        <v>294</v>
      </c>
      <c r="C24" s="155">
        <v>7908.83</v>
      </c>
      <c r="D24" s="155"/>
      <c r="E24" s="155">
        <v>13947.91</v>
      </c>
      <c r="F24" s="153"/>
      <c r="G24" s="151">
        <f t="shared" si="0"/>
        <v>6039.08</v>
      </c>
      <c r="H24" s="152">
        <f t="shared" si="0"/>
        <v>0</v>
      </c>
    </row>
    <row r="25" spans="1:8" ht="15.75" customHeight="1">
      <c r="A25" s="82">
        <f t="shared" si="1"/>
        <v>20</v>
      </c>
      <c r="B25" s="18" t="s">
        <v>2</v>
      </c>
      <c r="C25" s="138">
        <f>SUM(C26:C38)</f>
        <v>4971942.42</v>
      </c>
      <c r="D25" s="138">
        <f>SUM(D26:D38)</f>
        <v>12517.78</v>
      </c>
      <c r="E25" s="138">
        <f>SUM(E26:E38)</f>
        <v>6069021.230000001</v>
      </c>
      <c r="F25" s="138">
        <f>SUM(F26:F38)</f>
        <v>13643.31</v>
      </c>
      <c r="G25" s="151">
        <f t="shared" si="0"/>
        <v>1097078.8100000015</v>
      </c>
      <c r="H25" s="152">
        <f t="shared" si="0"/>
        <v>1125.5299999999988</v>
      </c>
    </row>
    <row r="26" spans="1:8" ht="15.75" customHeight="1">
      <c r="A26" s="82">
        <f t="shared" si="1"/>
        <v>21</v>
      </c>
      <c r="B26" s="13" t="s">
        <v>798</v>
      </c>
      <c r="C26" s="153">
        <v>3350999.91</v>
      </c>
      <c r="D26" s="153"/>
      <c r="E26" s="153">
        <v>4190395.39</v>
      </c>
      <c r="F26" s="153"/>
      <c r="G26" s="151">
        <f t="shared" si="0"/>
        <v>839395.48</v>
      </c>
      <c r="H26" s="152">
        <f t="shared" si="0"/>
        <v>0</v>
      </c>
    </row>
    <row r="27" spans="1:8" ht="15.75">
      <c r="A27" s="82">
        <f t="shared" si="1"/>
        <v>22</v>
      </c>
      <c r="B27" s="13" t="s">
        <v>70</v>
      </c>
      <c r="C27" s="153">
        <v>434058.34</v>
      </c>
      <c r="D27" s="153"/>
      <c r="E27" s="153">
        <v>484463.76</v>
      </c>
      <c r="F27" s="153"/>
      <c r="G27" s="151">
        <f t="shared" si="0"/>
        <v>50405.419999999984</v>
      </c>
      <c r="H27" s="152">
        <f t="shared" si="0"/>
        <v>0</v>
      </c>
    </row>
    <row r="28" spans="1:8" ht="15.75">
      <c r="A28" s="82">
        <f t="shared" si="1"/>
        <v>23</v>
      </c>
      <c r="B28" s="13" t="s">
        <v>71</v>
      </c>
      <c r="C28" s="153">
        <v>167444.51</v>
      </c>
      <c r="D28" s="153"/>
      <c r="E28" s="153">
        <v>211644.57</v>
      </c>
      <c r="F28" s="153"/>
      <c r="G28" s="151">
        <f t="shared" si="0"/>
        <v>44200.06</v>
      </c>
      <c r="H28" s="152">
        <f t="shared" si="0"/>
        <v>0</v>
      </c>
    </row>
    <row r="29" spans="1:8" ht="15.75">
      <c r="A29" s="82">
        <f t="shared" si="1"/>
        <v>24</v>
      </c>
      <c r="B29" s="13" t="s">
        <v>72</v>
      </c>
      <c r="C29" s="153">
        <v>1702.66</v>
      </c>
      <c r="D29" s="153"/>
      <c r="E29" s="153">
        <v>17439.08</v>
      </c>
      <c r="F29" s="153"/>
      <c r="G29" s="151">
        <f t="shared" si="0"/>
        <v>15736.420000000002</v>
      </c>
      <c r="H29" s="152">
        <f t="shared" si="0"/>
        <v>0</v>
      </c>
    </row>
    <row r="30" spans="1:8" ht="15.75">
      <c r="A30" s="82">
        <f t="shared" si="1"/>
        <v>25</v>
      </c>
      <c r="B30" s="84" t="s">
        <v>887</v>
      </c>
      <c r="C30" s="153">
        <v>45191.93</v>
      </c>
      <c r="D30" s="153"/>
      <c r="E30" s="153">
        <v>97188.5</v>
      </c>
      <c r="F30" s="153"/>
      <c r="G30" s="151">
        <f t="shared" si="0"/>
        <v>51996.57</v>
      </c>
      <c r="H30" s="152">
        <f t="shared" si="0"/>
        <v>0</v>
      </c>
    </row>
    <row r="31" spans="1:8" ht="15.75">
      <c r="A31" s="82">
        <f t="shared" si="1"/>
        <v>26</v>
      </c>
      <c r="B31" s="13" t="s">
        <v>73</v>
      </c>
      <c r="C31" s="153"/>
      <c r="D31" s="153"/>
      <c r="E31" s="153"/>
      <c r="F31" s="153"/>
      <c r="G31" s="151">
        <f t="shared" si="0"/>
        <v>0</v>
      </c>
      <c r="H31" s="152">
        <f t="shared" si="0"/>
        <v>0</v>
      </c>
    </row>
    <row r="32" spans="1:8" ht="15.75">
      <c r="A32" s="82">
        <f t="shared" si="1"/>
        <v>27</v>
      </c>
      <c r="B32" s="13" t="s">
        <v>74</v>
      </c>
      <c r="C32" s="153"/>
      <c r="D32" s="153"/>
      <c r="E32" s="153"/>
      <c r="F32" s="153"/>
      <c r="G32" s="151">
        <f t="shared" si="0"/>
        <v>0</v>
      </c>
      <c r="H32" s="152">
        <f t="shared" si="0"/>
        <v>0</v>
      </c>
    </row>
    <row r="33" spans="1:8" ht="15.75">
      <c r="A33" s="82">
        <f t="shared" si="1"/>
        <v>28</v>
      </c>
      <c r="B33" s="13" t="s">
        <v>75</v>
      </c>
      <c r="C33" s="153">
        <v>3773.25</v>
      </c>
      <c r="D33" s="153"/>
      <c r="E33" s="153">
        <v>15485.4</v>
      </c>
      <c r="F33" s="153">
        <v>1290.46</v>
      </c>
      <c r="G33" s="151">
        <f t="shared" si="0"/>
        <v>11712.15</v>
      </c>
      <c r="H33" s="152">
        <f t="shared" si="0"/>
        <v>1290.46</v>
      </c>
    </row>
    <row r="34" spans="1:8" ht="15.75">
      <c r="A34" s="82">
        <f t="shared" si="1"/>
        <v>29</v>
      </c>
      <c r="B34" s="13" t="s">
        <v>76</v>
      </c>
      <c r="C34" s="153">
        <v>38314.27</v>
      </c>
      <c r="D34" s="153">
        <v>10348</v>
      </c>
      <c r="E34" s="153">
        <v>993.84</v>
      </c>
      <c r="F34" s="153">
        <v>10050.61</v>
      </c>
      <c r="G34" s="151">
        <f t="shared" si="0"/>
        <v>-37320.43</v>
      </c>
      <c r="H34" s="152">
        <f t="shared" si="0"/>
        <v>-297.3899999999994</v>
      </c>
    </row>
    <row r="35" spans="1:8" ht="15.75">
      <c r="A35" s="82">
        <f t="shared" si="1"/>
        <v>30</v>
      </c>
      <c r="B35" s="13" t="s">
        <v>77</v>
      </c>
      <c r="C35" s="153">
        <v>727668.57</v>
      </c>
      <c r="D35" s="153"/>
      <c r="E35" s="153">
        <v>832628.83</v>
      </c>
      <c r="F35" s="153"/>
      <c r="G35" s="151">
        <f t="shared" si="0"/>
        <v>104960.26000000001</v>
      </c>
      <c r="H35" s="152">
        <f t="shared" si="0"/>
        <v>0</v>
      </c>
    </row>
    <row r="36" spans="1:9" ht="15.75">
      <c r="A36" s="82">
        <f t="shared" si="1"/>
        <v>31</v>
      </c>
      <c r="B36" s="83" t="s">
        <v>870</v>
      </c>
      <c r="C36" s="153"/>
      <c r="D36" s="153"/>
      <c r="E36" s="153"/>
      <c r="F36" s="153"/>
      <c r="G36" s="151">
        <f t="shared" si="0"/>
        <v>0</v>
      </c>
      <c r="H36" s="152">
        <f t="shared" si="0"/>
        <v>0</v>
      </c>
      <c r="I36" s="446"/>
    </row>
    <row r="37" spans="1:8" ht="15.75">
      <c r="A37" s="82">
        <f t="shared" si="1"/>
        <v>32</v>
      </c>
      <c r="B37" s="13" t="s">
        <v>78</v>
      </c>
      <c r="C37" s="153">
        <v>652.42</v>
      </c>
      <c r="D37" s="153"/>
      <c r="E37" s="153"/>
      <c r="F37" s="153"/>
      <c r="G37" s="151">
        <f t="shared" si="0"/>
        <v>-652.42</v>
      </c>
      <c r="H37" s="152">
        <f t="shared" si="0"/>
        <v>0</v>
      </c>
    </row>
    <row r="38" spans="1:8" ht="15.75">
      <c r="A38" s="82">
        <f t="shared" si="1"/>
        <v>33</v>
      </c>
      <c r="B38" s="84" t="s">
        <v>889</v>
      </c>
      <c r="C38" s="153">
        <f>579+1291.57+91+200174.99</f>
        <v>202136.56</v>
      </c>
      <c r="D38" s="153">
        <v>2169.78</v>
      </c>
      <c r="E38" s="153">
        <v>218781.86</v>
      </c>
      <c r="F38" s="153">
        <v>2302.24</v>
      </c>
      <c r="G38" s="151">
        <f t="shared" si="0"/>
        <v>16645.29999999999</v>
      </c>
      <c r="H38" s="152">
        <f t="shared" si="0"/>
        <v>132.45999999999958</v>
      </c>
    </row>
    <row r="39" spans="1:8" ht="15.75">
      <c r="A39" s="82">
        <f t="shared" si="1"/>
        <v>34</v>
      </c>
      <c r="B39" s="18" t="s">
        <v>298</v>
      </c>
      <c r="C39" s="155">
        <v>51920</v>
      </c>
      <c r="D39" s="155"/>
      <c r="E39" s="155">
        <v>450210.9</v>
      </c>
      <c r="F39" s="153"/>
      <c r="G39" s="151">
        <f t="shared" si="0"/>
        <v>398290.9</v>
      </c>
      <c r="H39" s="152">
        <f t="shared" si="0"/>
        <v>0</v>
      </c>
    </row>
    <row r="40" spans="1:8" ht="15.75">
      <c r="A40" s="82">
        <f t="shared" si="1"/>
        <v>35</v>
      </c>
      <c r="B40" s="18" t="s">
        <v>135</v>
      </c>
      <c r="C40" s="153"/>
      <c r="D40" s="153"/>
      <c r="E40" s="153"/>
      <c r="F40" s="153"/>
      <c r="G40" s="151">
        <f t="shared" si="0"/>
        <v>0</v>
      </c>
      <c r="H40" s="152">
        <f t="shared" si="0"/>
        <v>0</v>
      </c>
    </row>
    <row r="41" spans="1:8" ht="15.75">
      <c r="A41" s="82">
        <f t="shared" si="1"/>
        <v>36</v>
      </c>
      <c r="B41" s="18" t="s">
        <v>131</v>
      </c>
      <c r="C41" s="153"/>
      <c r="D41" s="153"/>
      <c r="E41" s="153"/>
      <c r="F41" s="153"/>
      <c r="G41" s="151">
        <f t="shared" si="0"/>
        <v>0</v>
      </c>
      <c r="H41" s="152">
        <f t="shared" si="0"/>
        <v>0</v>
      </c>
    </row>
    <row r="42" spans="1:8" ht="23.25" customHeight="1">
      <c r="A42" s="82">
        <f t="shared" si="1"/>
        <v>37</v>
      </c>
      <c r="B42" s="18" t="s">
        <v>279</v>
      </c>
      <c r="C42" s="153"/>
      <c r="D42" s="153"/>
      <c r="E42" s="153"/>
      <c r="F42" s="153"/>
      <c r="G42" s="151">
        <f t="shared" si="0"/>
        <v>0</v>
      </c>
      <c r="H42" s="152">
        <f t="shared" si="0"/>
        <v>0</v>
      </c>
    </row>
    <row r="43" spans="1:8" ht="15.75">
      <c r="A43" s="82">
        <f t="shared" si="1"/>
        <v>38</v>
      </c>
      <c r="B43" s="18" t="s">
        <v>222</v>
      </c>
      <c r="C43" s="153"/>
      <c r="D43" s="153"/>
      <c r="E43" s="153"/>
      <c r="F43" s="153"/>
      <c r="G43" s="151">
        <f t="shared" si="0"/>
        <v>0</v>
      </c>
      <c r="H43" s="152">
        <f t="shared" si="0"/>
        <v>0</v>
      </c>
    </row>
    <row r="44" spans="1:8" ht="18.75">
      <c r="A44" s="82">
        <f t="shared" si="1"/>
        <v>39</v>
      </c>
      <c r="B44" s="18" t="s">
        <v>147</v>
      </c>
      <c r="C44" s="157">
        <f>SUM(C45:C48)</f>
        <v>36231.2</v>
      </c>
      <c r="D44" s="157">
        <f>SUM(D45:D48)</f>
        <v>0</v>
      </c>
      <c r="E44" s="157">
        <f>SUM(E45:E48)</f>
        <v>46609.17</v>
      </c>
      <c r="F44" s="157">
        <f>SUM(F45:F48)</f>
        <v>0</v>
      </c>
      <c r="G44" s="151">
        <f t="shared" si="0"/>
        <v>10377.970000000001</v>
      </c>
      <c r="H44" s="152">
        <f t="shared" si="0"/>
        <v>0</v>
      </c>
    </row>
    <row r="45" spans="1:8" ht="15.75">
      <c r="A45" s="82">
        <f>A44+1</f>
        <v>40</v>
      </c>
      <c r="B45" s="13" t="s">
        <v>208</v>
      </c>
      <c r="C45" s="153"/>
      <c r="D45" s="153"/>
      <c r="E45" s="153"/>
      <c r="F45" s="153"/>
      <c r="G45" s="151">
        <f t="shared" si="0"/>
        <v>0</v>
      </c>
      <c r="H45" s="152">
        <f t="shared" si="0"/>
        <v>0</v>
      </c>
    </row>
    <row r="46" spans="1:8" ht="15.75">
      <c r="A46" s="82">
        <f t="shared" si="1"/>
        <v>41</v>
      </c>
      <c r="B46" s="13" t="s">
        <v>79</v>
      </c>
      <c r="C46" s="153">
        <v>36231.2</v>
      </c>
      <c r="D46" s="153"/>
      <c r="E46" s="153">
        <v>46609.17</v>
      </c>
      <c r="F46" s="153"/>
      <c r="G46" s="151">
        <f t="shared" si="0"/>
        <v>10377.970000000001</v>
      </c>
      <c r="H46" s="152">
        <f t="shared" si="0"/>
        <v>0</v>
      </c>
    </row>
    <row r="47" spans="1:8" ht="18.75">
      <c r="A47" s="82">
        <f t="shared" si="1"/>
        <v>42</v>
      </c>
      <c r="B47" s="13" t="s">
        <v>209</v>
      </c>
      <c r="C47" s="153"/>
      <c r="D47" s="153"/>
      <c r="E47" s="153"/>
      <c r="F47" s="153"/>
      <c r="G47" s="151">
        <f t="shared" si="0"/>
        <v>0</v>
      </c>
      <c r="H47" s="152">
        <f t="shared" si="0"/>
        <v>0</v>
      </c>
    </row>
    <row r="48" spans="1:8" ht="15.75">
      <c r="A48" s="82">
        <f t="shared" si="1"/>
        <v>43</v>
      </c>
      <c r="B48" s="13" t="s">
        <v>149</v>
      </c>
      <c r="C48" s="153"/>
      <c r="D48" s="153"/>
      <c r="E48" s="153"/>
      <c r="F48" s="153"/>
      <c r="G48" s="151">
        <f t="shared" si="0"/>
        <v>0</v>
      </c>
      <c r="H48" s="152">
        <f t="shared" si="0"/>
        <v>0</v>
      </c>
    </row>
    <row r="49" spans="1:8" ht="15.75">
      <c r="A49" s="82">
        <f t="shared" si="1"/>
        <v>44</v>
      </c>
      <c r="B49" s="18" t="s">
        <v>299</v>
      </c>
      <c r="C49" s="153"/>
      <c r="D49" s="153"/>
      <c r="E49" s="153"/>
      <c r="F49" s="153"/>
      <c r="G49" s="151">
        <f t="shared" si="0"/>
        <v>0</v>
      </c>
      <c r="H49" s="152">
        <f t="shared" si="0"/>
        <v>0</v>
      </c>
    </row>
    <row r="50" spans="1:8" ht="15.75">
      <c r="A50" s="82">
        <f t="shared" si="1"/>
        <v>45</v>
      </c>
      <c r="B50" s="18" t="s">
        <v>132</v>
      </c>
      <c r="C50" s="153">
        <v>10631.38</v>
      </c>
      <c r="D50" s="153">
        <v>174764.69</v>
      </c>
      <c r="E50" s="153">
        <v>35600.56</v>
      </c>
      <c r="F50" s="153">
        <v>185950.29</v>
      </c>
      <c r="G50" s="151">
        <f t="shared" si="0"/>
        <v>24969.18</v>
      </c>
      <c r="H50" s="152">
        <f t="shared" si="0"/>
        <v>11185.600000000006</v>
      </c>
    </row>
    <row r="51" spans="1:8" ht="15.75">
      <c r="A51" s="82">
        <f t="shared" si="1"/>
        <v>46</v>
      </c>
      <c r="B51" s="18" t="s">
        <v>166</v>
      </c>
      <c r="C51" s="10" t="s">
        <v>268</v>
      </c>
      <c r="D51" s="10" t="s">
        <v>268</v>
      </c>
      <c r="E51" s="10" t="s">
        <v>268</v>
      </c>
      <c r="F51" s="10" t="s">
        <v>268</v>
      </c>
      <c r="G51" s="77" t="s">
        <v>144</v>
      </c>
      <c r="H51" s="78" t="s">
        <v>144</v>
      </c>
    </row>
    <row r="52" spans="1:8" ht="15.75">
      <c r="A52" s="82">
        <f t="shared" si="1"/>
        <v>47</v>
      </c>
      <c r="B52" s="54" t="s">
        <v>136</v>
      </c>
      <c r="C52" s="153">
        <v>5011.81</v>
      </c>
      <c r="D52" s="153">
        <v>100</v>
      </c>
      <c r="E52" s="153">
        <v>6448.2</v>
      </c>
      <c r="F52" s="153"/>
      <c r="G52" s="151">
        <f t="shared" si="0"/>
        <v>1436.3899999999994</v>
      </c>
      <c r="H52" s="152">
        <f t="shared" si="0"/>
        <v>-100</v>
      </c>
    </row>
    <row r="53" spans="1:8" ht="15.75">
      <c r="A53" s="158" t="s">
        <v>772</v>
      </c>
      <c r="B53" s="159" t="s">
        <v>773</v>
      </c>
      <c r="C53" s="153"/>
      <c r="D53" s="153"/>
      <c r="E53" s="153"/>
      <c r="F53" s="153"/>
      <c r="G53" s="151">
        <f>E53-C53</f>
        <v>0</v>
      </c>
      <c r="H53" s="152">
        <f>F53-D53</f>
        <v>0</v>
      </c>
    </row>
    <row r="54" spans="1:8" ht="15.75">
      <c r="A54" s="82">
        <f>A52+1</f>
        <v>48</v>
      </c>
      <c r="B54" s="18" t="s">
        <v>137</v>
      </c>
      <c r="C54" s="153">
        <v>1603196.78</v>
      </c>
      <c r="D54" s="153">
        <v>32462.99</v>
      </c>
      <c r="E54" s="153">
        <v>1181871.02</v>
      </c>
      <c r="F54" s="153">
        <v>32072.2</v>
      </c>
      <c r="G54" s="151">
        <f t="shared" si="0"/>
        <v>-421325.76</v>
      </c>
      <c r="H54" s="152">
        <f t="shared" si="0"/>
        <v>-390.7900000000009</v>
      </c>
    </row>
    <row r="55" spans="1:8" ht="15.75">
      <c r="A55" s="82">
        <f t="shared" si="1"/>
        <v>49</v>
      </c>
      <c r="B55" s="18" t="s">
        <v>138</v>
      </c>
      <c r="C55" s="153">
        <v>27296971.94</v>
      </c>
      <c r="D55" s="153">
        <v>3210</v>
      </c>
      <c r="E55" s="153">
        <v>31233111.32</v>
      </c>
      <c r="F55" s="153"/>
      <c r="G55" s="151">
        <f t="shared" si="0"/>
        <v>3936139.379999999</v>
      </c>
      <c r="H55" s="152">
        <f t="shared" si="0"/>
        <v>-3210</v>
      </c>
    </row>
    <row r="56" spans="1:8" ht="15.75">
      <c r="A56" s="82">
        <f t="shared" si="1"/>
        <v>50</v>
      </c>
      <c r="B56" s="46" t="s">
        <v>259</v>
      </c>
      <c r="C56" s="53"/>
      <c r="D56" s="53"/>
      <c r="E56" s="53"/>
      <c r="F56" s="53"/>
      <c r="G56" s="151">
        <f t="shared" si="0"/>
        <v>0</v>
      </c>
      <c r="H56" s="152">
        <f t="shared" si="0"/>
        <v>0</v>
      </c>
    </row>
    <row r="57" spans="1:8" ht="15.75">
      <c r="A57" s="82">
        <f t="shared" si="1"/>
        <v>51</v>
      </c>
      <c r="B57" s="46" t="s">
        <v>148</v>
      </c>
      <c r="C57" s="53">
        <v>983545.98</v>
      </c>
      <c r="D57" s="53"/>
      <c r="E57" s="53">
        <v>898265.95</v>
      </c>
      <c r="F57" s="53"/>
      <c r="G57" s="151">
        <f t="shared" si="0"/>
        <v>-85280.03000000003</v>
      </c>
      <c r="H57" s="152">
        <f t="shared" si="0"/>
        <v>0</v>
      </c>
    </row>
    <row r="58" spans="1:8" s="447" customFormat="1" ht="32.25" thickBot="1">
      <c r="A58" s="47">
        <f t="shared" si="1"/>
        <v>52</v>
      </c>
      <c r="B58" s="49" t="s">
        <v>145</v>
      </c>
      <c r="C58" s="118">
        <f>C6+C11+SUM(C16:C21)+C24+C25+SUM(C39:C44)+SUM(C49:C55)</f>
        <v>35982183.26</v>
      </c>
      <c r="D58" s="118">
        <f>D6+D11+SUM(D16:D21)+D24+D25+SUM(D39:D44)+SUM(D49:D55)</f>
        <v>1155399.69</v>
      </c>
      <c r="E58" s="118">
        <f>E6+E11+SUM(E16:E21)+E24+E25+SUM(E39:E44)+SUM(E49:E55)</f>
        <v>40541246.36</v>
      </c>
      <c r="F58" s="118">
        <f>F6+F11+SUM(F16:F21)+F24+F25+SUM(F39:F44)+SUM(F49:F55)</f>
        <v>1188878.6600000001</v>
      </c>
      <c r="G58" s="160">
        <f t="shared" si="0"/>
        <v>4559063.1000000015</v>
      </c>
      <c r="H58" s="161">
        <f t="shared" si="0"/>
        <v>33478.970000000205</v>
      </c>
    </row>
    <row r="59" spans="2:8" ht="21" customHeight="1">
      <c r="B59" s="150"/>
      <c r="C59" s="150"/>
      <c r="D59" s="99"/>
      <c r="E59" s="99"/>
      <c r="F59" s="99"/>
      <c r="G59" s="150"/>
      <c r="H59" s="150"/>
    </row>
    <row r="60" spans="1:8" ht="33" customHeight="1">
      <c r="A60" s="460" t="s">
        <v>211</v>
      </c>
      <c r="B60" s="461"/>
      <c r="C60" s="461"/>
      <c r="D60" s="461"/>
      <c r="E60" s="461"/>
      <c r="F60" s="461"/>
      <c r="G60" s="461"/>
      <c r="H60" s="462"/>
    </row>
    <row r="61" spans="1:8" ht="30.75" customHeight="1">
      <c r="A61" s="463" t="s">
        <v>210</v>
      </c>
      <c r="B61" s="464"/>
      <c r="C61" s="464"/>
      <c r="D61" s="464"/>
      <c r="E61" s="464"/>
      <c r="F61" s="464"/>
      <c r="G61" s="464"/>
      <c r="H61" s="465"/>
    </row>
    <row r="64" ht="42" customHeight="1"/>
  </sheetData>
  <sheetProtection/>
  <mergeCells count="9">
    <mergeCell ref="A60:H60"/>
    <mergeCell ref="A61:H61"/>
    <mergeCell ref="A1:H1"/>
    <mergeCell ref="A2:H2"/>
    <mergeCell ref="A3:A4"/>
    <mergeCell ref="B3:B4"/>
    <mergeCell ref="C3:D3"/>
    <mergeCell ref="E3:F3"/>
    <mergeCell ref="G3:H3"/>
  </mergeCells>
  <printOptions gridLines="1"/>
  <pageMargins left="0.5118110236220472" right="0.31496062992125984" top="0.4330708661417323" bottom="0.4724409448818898" header="0.3937007874015748" footer="0.2362204724409449"/>
  <pageSetup fitToHeight="2" fitToWidth="2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24"/>
  <sheetViews>
    <sheetView zoomScalePageLayoutView="0" workbookViewId="0" topLeftCell="A1">
      <pane xSplit="2" ySplit="4" topLeftCell="C5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D20" sqref="D20"/>
    </sheetView>
  </sheetViews>
  <sheetFormatPr defaultColWidth="9.140625" defaultRowHeight="12.75"/>
  <cols>
    <col min="1" max="1" width="7.8515625" style="150" customWidth="1"/>
    <col min="2" max="2" width="89.57421875" style="170" customWidth="1"/>
    <col min="3" max="3" width="16.8515625" style="11" customWidth="1"/>
    <col min="4" max="4" width="17.28125" style="11" customWidth="1"/>
    <col min="5" max="16384" width="9.140625" style="11" customWidth="1"/>
  </cols>
  <sheetData>
    <row r="1" spans="1:4" ht="49.5" customHeight="1">
      <c r="A1" s="457" t="s">
        <v>858</v>
      </c>
      <c r="B1" s="458"/>
      <c r="C1" s="458"/>
      <c r="D1" s="459"/>
    </row>
    <row r="2" spans="1:4" ht="34.5" customHeight="1">
      <c r="A2" s="453" t="s">
        <v>1003</v>
      </c>
      <c r="B2" s="454"/>
      <c r="C2" s="454"/>
      <c r="D2" s="455"/>
    </row>
    <row r="3" spans="1:4" s="136" customFormat="1" ht="31.5">
      <c r="A3" s="50" t="s">
        <v>189</v>
      </c>
      <c r="B3" s="123" t="s">
        <v>283</v>
      </c>
      <c r="C3" s="2">
        <v>2011</v>
      </c>
      <c r="D3" s="1">
        <v>2012</v>
      </c>
    </row>
    <row r="4" spans="1:4" s="136" customFormat="1" ht="15.75">
      <c r="A4" s="50"/>
      <c r="B4" s="123"/>
      <c r="C4" s="2" t="s">
        <v>245</v>
      </c>
      <c r="D4" s="1" t="s">
        <v>246</v>
      </c>
    </row>
    <row r="5" spans="1:8" ht="15.75" customHeight="1">
      <c r="A5" s="82">
        <v>1</v>
      </c>
      <c r="B5" s="162" t="s">
        <v>862</v>
      </c>
      <c r="C5" s="114">
        <f>C6+C7+C8</f>
        <v>3350999.91</v>
      </c>
      <c r="D5" s="43">
        <f>D6+D7+D8</f>
        <v>4190395.39</v>
      </c>
      <c r="E5" s="136"/>
      <c r="F5" s="136"/>
      <c r="G5" s="163"/>
      <c r="H5" s="163"/>
    </row>
    <row r="6" spans="1:8" ht="31.5">
      <c r="A6" s="82">
        <v>2</v>
      </c>
      <c r="B6" s="164" t="s">
        <v>3</v>
      </c>
      <c r="C6" s="17">
        <v>318731.79</v>
      </c>
      <c r="D6" s="52">
        <v>277896.08999999997</v>
      </c>
      <c r="E6" s="136"/>
      <c r="F6" s="136"/>
      <c r="G6" s="163"/>
      <c r="H6" s="163"/>
    </row>
    <row r="7" spans="1:7" ht="15.75">
      <c r="A7" s="82">
        <v>3</v>
      </c>
      <c r="B7" s="164" t="s">
        <v>4</v>
      </c>
      <c r="C7" s="143">
        <v>2585909.65</v>
      </c>
      <c r="D7" s="165">
        <v>3407915.93</v>
      </c>
      <c r="G7" s="163"/>
    </row>
    <row r="8" spans="1:7" ht="21.75" customHeight="1">
      <c r="A8" s="82">
        <v>4</v>
      </c>
      <c r="B8" s="164" t="s">
        <v>863</v>
      </c>
      <c r="C8" s="143">
        <v>446358.47</v>
      </c>
      <c r="D8" s="165">
        <v>504583.37</v>
      </c>
      <c r="G8" s="163"/>
    </row>
    <row r="9" spans="1:4" ht="15.75">
      <c r="A9" s="82">
        <v>5</v>
      </c>
      <c r="B9" s="15" t="s">
        <v>276</v>
      </c>
      <c r="C9" s="138">
        <f>SUM(C10:C13)</f>
        <v>434058.34</v>
      </c>
      <c r="D9" s="166">
        <f>SUM(D10:D13)</f>
        <v>484463.76</v>
      </c>
    </row>
    <row r="10" spans="1:4" ht="15.75">
      <c r="A10" s="82">
        <v>6</v>
      </c>
      <c r="B10" s="12" t="s">
        <v>5</v>
      </c>
      <c r="C10" s="17">
        <v>255953.5</v>
      </c>
      <c r="D10" s="17">
        <v>347084.24</v>
      </c>
    </row>
    <row r="11" spans="1:4" ht="15.75">
      <c r="A11" s="82">
        <v>7</v>
      </c>
      <c r="B11" s="12" t="s">
        <v>6</v>
      </c>
      <c r="C11" s="17">
        <v>90998.4</v>
      </c>
      <c r="D11" s="17">
        <v>77817.01</v>
      </c>
    </row>
    <row r="12" spans="1:4" ht="15.75">
      <c r="A12" s="82">
        <v>8</v>
      </c>
      <c r="B12" s="12" t="s">
        <v>7</v>
      </c>
      <c r="C12" s="17">
        <v>67214</v>
      </c>
      <c r="D12" s="17">
        <v>35322.44</v>
      </c>
    </row>
    <row r="13" spans="1:4" ht="15.75">
      <c r="A13" s="82">
        <v>9</v>
      </c>
      <c r="B13" s="12" t="s">
        <v>8</v>
      </c>
      <c r="C13" s="17">
        <v>19892.440000000002</v>
      </c>
      <c r="D13" s="17">
        <v>24240.070000000003</v>
      </c>
    </row>
    <row r="14" spans="1:4" ht="15.75">
      <c r="A14" s="82">
        <v>10</v>
      </c>
      <c r="B14" s="15" t="s">
        <v>215</v>
      </c>
      <c r="C14" s="138">
        <f>C6*0.2</f>
        <v>63746.358</v>
      </c>
      <c r="D14" s="167">
        <f>D6*0.2</f>
        <v>55579.21799999999</v>
      </c>
    </row>
    <row r="15" spans="1:4" ht="16.5" thickBot="1">
      <c r="A15" s="47">
        <v>11</v>
      </c>
      <c r="B15" s="16" t="s">
        <v>289</v>
      </c>
      <c r="C15" s="17">
        <v>68656.1</v>
      </c>
      <c r="D15" s="128">
        <v>54981.2</v>
      </c>
    </row>
    <row r="16" ht="15.75">
      <c r="B16" s="168"/>
    </row>
    <row r="17" spans="1:2" ht="15.75">
      <c r="A17" s="169" t="s">
        <v>892</v>
      </c>
      <c r="B17" s="168"/>
    </row>
    <row r="18" spans="1:2" ht="15.75">
      <c r="A18" s="169"/>
      <c r="B18" s="168"/>
    </row>
    <row r="19" spans="1:4" ht="49.5" customHeight="1">
      <c r="A19" s="474" t="s">
        <v>1010</v>
      </c>
      <c r="B19" s="474"/>
      <c r="C19" s="474"/>
      <c r="D19" s="474"/>
    </row>
    <row r="20" ht="15.75">
      <c r="B20" s="168"/>
    </row>
    <row r="21" ht="15.75">
      <c r="B21" s="168"/>
    </row>
    <row r="22" ht="15.75">
      <c r="B22" s="168"/>
    </row>
    <row r="23" ht="15.75">
      <c r="B23" s="168"/>
    </row>
    <row r="24" ht="15.75">
      <c r="B24" s="168"/>
    </row>
  </sheetData>
  <sheetProtection/>
  <mergeCells count="3">
    <mergeCell ref="A1:D1"/>
    <mergeCell ref="A2:D2"/>
    <mergeCell ref="A19:D19"/>
  </mergeCells>
  <printOptions gridLines="1"/>
  <pageMargins left="0.85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I992"/>
  <sheetViews>
    <sheetView zoomScalePageLayoutView="0" workbookViewId="0" topLeftCell="A1">
      <pane xSplit="2" ySplit="5" topLeftCell="C6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H12" sqref="H12"/>
    </sheetView>
  </sheetViews>
  <sheetFormatPr defaultColWidth="9.140625" defaultRowHeight="12.75"/>
  <cols>
    <col min="1" max="1" width="8.421875" style="150" customWidth="1"/>
    <col min="2" max="2" width="74.140625" style="180" customWidth="1"/>
    <col min="3" max="8" width="17.00390625" style="11" customWidth="1"/>
    <col min="9" max="9" width="14.00390625" style="11" bestFit="1" customWidth="1"/>
    <col min="10" max="16384" width="9.140625" style="11" customWidth="1"/>
  </cols>
  <sheetData>
    <row r="1" spans="1:8" ht="34.5" customHeight="1" thickBot="1">
      <c r="A1" s="478" t="s">
        <v>821</v>
      </c>
      <c r="B1" s="479"/>
      <c r="C1" s="479"/>
      <c r="D1" s="479"/>
      <c r="E1" s="479"/>
      <c r="F1" s="479"/>
      <c r="G1" s="479"/>
      <c r="H1" s="480"/>
    </row>
    <row r="2" spans="1:8" ht="32.25" customHeight="1">
      <c r="A2" s="481" t="s">
        <v>987</v>
      </c>
      <c r="B2" s="482"/>
      <c r="C2" s="482"/>
      <c r="D2" s="482"/>
      <c r="E2" s="482"/>
      <c r="F2" s="482"/>
      <c r="G2" s="482"/>
      <c r="H2" s="483"/>
    </row>
    <row r="3" spans="1:8" s="136" customFormat="1" ht="31.5" customHeight="1">
      <c r="A3" s="469" t="s">
        <v>189</v>
      </c>
      <c r="B3" s="484" t="s">
        <v>283</v>
      </c>
      <c r="C3" s="486">
        <v>2011</v>
      </c>
      <c r="D3" s="486"/>
      <c r="E3" s="486">
        <v>2012</v>
      </c>
      <c r="F3" s="486"/>
      <c r="G3" s="486" t="s">
        <v>822</v>
      </c>
      <c r="H3" s="487"/>
    </row>
    <row r="4" spans="1:8" ht="31.5" customHeight="1">
      <c r="A4" s="469"/>
      <c r="B4" s="485"/>
      <c r="C4" s="2" t="s">
        <v>284</v>
      </c>
      <c r="D4" s="2" t="s">
        <v>285</v>
      </c>
      <c r="E4" s="2" t="s">
        <v>284</v>
      </c>
      <c r="F4" s="2" t="s">
        <v>285</v>
      </c>
      <c r="G4" s="2" t="s">
        <v>284</v>
      </c>
      <c r="H4" s="1" t="s">
        <v>285</v>
      </c>
    </row>
    <row r="5" spans="1:8" ht="15.75">
      <c r="A5" s="82"/>
      <c r="B5" s="44"/>
      <c r="C5" s="6" t="s">
        <v>245</v>
      </c>
      <c r="D5" s="6" t="s">
        <v>246</v>
      </c>
      <c r="E5" s="6" t="s">
        <v>247</v>
      </c>
      <c r="F5" s="6" t="s">
        <v>253</v>
      </c>
      <c r="G5" s="6" t="s">
        <v>27</v>
      </c>
      <c r="H5" s="20" t="s">
        <v>28</v>
      </c>
    </row>
    <row r="6" spans="1:8" ht="15.75">
      <c r="A6" s="82">
        <v>1</v>
      </c>
      <c r="B6" s="18" t="s">
        <v>262</v>
      </c>
      <c r="C6" s="138">
        <f>SUM(C7:C18)</f>
        <v>1840960.56</v>
      </c>
      <c r="D6" s="138">
        <f>SUM(D7:D18)</f>
        <v>218827.80999999997</v>
      </c>
      <c r="E6" s="138">
        <f>SUM(E7:E18)</f>
        <v>2384386.9899999998</v>
      </c>
      <c r="F6" s="138">
        <f>SUM(F7:F18)</f>
        <v>227281.27</v>
      </c>
      <c r="G6" s="138">
        <f>E6-C6</f>
        <v>543426.4299999997</v>
      </c>
      <c r="H6" s="166">
        <f>F6-D6</f>
        <v>8453.460000000021</v>
      </c>
    </row>
    <row r="7" spans="1:8" ht="17.25" customHeight="1">
      <c r="A7" s="82">
        <f>A6+1</f>
        <v>2</v>
      </c>
      <c r="B7" s="13" t="s">
        <v>80</v>
      </c>
      <c r="C7" s="172">
        <v>155457.42</v>
      </c>
      <c r="D7" s="172">
        <v>27233.05</v>
      </c>
      <c r="E7" s="17">
        <v>189544.58</v>
      </c>
      <c r="F7" s="17">
        <v>4761.87</v>
      </c>
      <c r="G7" s="143">
        <f>E7-C7</f>
        <v>34087.159999999974</v>
      </c>
      <c r="H7" s="165">
        <f>F7-D7</f>
        <v>-22471.18</v>
      </c>
    </row>
    <row r="8" spans="1:8" ht="30" customHeight="1">
      <c r="A8" s="82">
        <f aca="true" t="shared" si="0" ref="A8:A71">A7+1</f>
        <v>3</v>
      </c>
      <c r="B8" s="45" t="s">
        <v>81</v>
      </c>
      <c r="C8" s="172">
        <v>383602.58</v>
      </c>
      <c r="D8" s="172">
        <v>113.41</v>
      </c>
      <c r="E8" s="17">
        <v>706431.26</v>
      </c>
      <c r="F8" s="17">
        <v>539.12</v>
      </c>
      <c r="G8" s="143">
        <f aca="true" t="shared" si="1" ref="G8:H71">E8-C8</f>
        <v>322828.68</v>
      </c>
      <c r="H8" s="165">
        <f t="shared" si="1"/>
        <v>425.71000000000004</v>
      </c>
    </row>
    <row r="9" spans="1:8" ht="15.75">
      <c r="A9" s="82">
        <f t="shared" si="0"/>
        <v>4</v>
      </c>
      <c r="B9" s="13" t="s">
        <v>82</v>
      </c>
      <c r="C9" s="172">
        <v>138403.18</v>
      </c>
      <c r="D9" s="172">
        <v>4084.33</v>
      </c>
      <c r="E9" s="17">
        <v>148168.26</v>
      </c>
      <c r="F9" s="17">
        <v>3964.19</v>
      </c>
      <c r="G9" s="143">
        <f t="shared" si="1"/>
        <v>9765.080000000016</v>
      </c>
      <c r="H9" s="165">
        <f t="shared" si="1"/>
        <v>-120.13999999999987</v>
      </c>
    </row>
    <row r="10" spans="1:8" ht="15.75">
      <c r="A10" s="82">
        <f t="shared" si="0"/>
        <v>5</v>
      </c>
      <c r="B10" s="13" t="s">
        <v>83</v>
      </c>
      <c r="C10" s="172">
        <v>12753.73</v>
      </c>
      <c r="D10" s="172">
        <v>377.22</v>
      </c>
      <c r="E10" s="17">
        <v>23213.67</v>
      </c>
      <c r="F10" s="17">
        <v>257.7</v>
      </c>
      <c r="G10" s="143">
        <f t="shared" si="1"/>
        <v>10459.939999999999</v>
      </c>
      <c r="H10" s="165">
        <f t="shared" si="1"/>
        <v>-119.52000000000004</v>
      </c>
    </row>
    <row r="11" spans="1:8" ht="31.5">
      <c r="A11" s="82">
        <f t="shared" si="0"/>
        <v>6</v>
      </c>
      <c r="B11" s="13" t="s">
        <v>84</v>
      </c>
      <c r="C11" s="172">
        <v>39834.98</v>
      </c>
      <c r="D11" s="172">
        <v>596.37</v>
      </c>
      <c r="E11" s="17">
        <v>41918.68</v>
      </c>
      <c r="F11" s="17">
        <v>0</v>
      </c>
      <c r="G11" s="143">
        <f t="shared" si="1"/>
        <v>2083.699999999997</v>
      </c>
      <c r="H11" s="165">
        <f t="shared" si="1"/>
        <v>-596.37</v>
      </c>
    </row>
    <row r="12" spans="1:8" ht="15.75">
      <c r="A12" s="82">
        <f t="shared" si="0"/>
        <v>7</v>
      </c>
      <c r="B12" s="13" t="s">
        <v>85</v>
      </c>
      <c r="C12" s="172">
        <v>44907.28</v>
      </c>
      <c r="D12" s="172">
        <v>17806.98</v>
      </c>
      <c r="E12" s="17">
        <v>37641.26</v>
      </c>
      <c r="F12" s="17">
        <v>14939.97</v>
      </c>
      <c r="G12" s="143">
        <f t="shared" si="1"/>
        <v>-7266.019999999997</v>
      </c>
      <c r="H12" s="165">
        <f t="shared" si="1"/>
        <v>-2867.01</v>
      </c>
    </row>
    <row r="13" spans="1:8" ht="31.5">
      <c r="A13" s="82">
        <f t="shared" si="0"/>
        <v>8</v>
      </c>
      <c r="B13" s="13" t="s">
        <v>86</v>
      </c>
      <c r="C13" s="172">
        <v>40504.39</v>
      </c>
      <c r="D13" s="172">
        <v>3568.29</v>
      </c>
      <c r="E13" s="17">
        <v>55861.6</v>
      </c>
      <c r="F13" s="17">
        <v>6747.33</v>
      </c>
      <c r="G13" s="143">
        <f t="shared" si="1"/>
        <v>15357.21</v>
      </c>
      <c r="H13" s="165">
        <f t="shared" si="1"/>
        <v>3179.04</v>
      </c>
    </row>
    <row r="14" spans="1:8" ht="15.75">
      <c r="A14" s="82">
        <f t="shared" si="0"/>
        <v>9</v>
      </c>
      <c r="B14" s="13" t="s">
        <v>87</v>
      </c>
      <c r="C14" s="172">
        <v>82736.9</v>
      </c>
      <c r="D14" s="172">
        <v>105761.88</v>
      </c>
      <c r="E14" s="17">
        <v>89712.71</v>
      </c>
      <c r="F14" s="17">
        <v>156511.1</v>
      </c>
      <c r="G14" s="143">
        <f t="shared" si="1"/>
        <v>6975.810000000012</v>
      </c>
      <c r="H14" s="165">
        <f t="shared" si="1"/>
        <v>50749.22</v>
      </c>
    </row>
    <row r="15" spans="1:8" ht="31.5">
      <c r="A15" s="82">
        <f t="shared" si="0"/>
        <v>10</v>
      </c>
      <c r="B15" s="12" t="s">
        <v>88</v>
      </c>
      <c r="C15" s="172">
        <v>356912.16</v>
      </c>
      <c r="D15" s="172">
        <v>6394.49</v>
      </c>
      <c r="E15" s="17">
        <v>614603.21</v>
      </c>
      <c r="F15" s="17">
        <v>13192.99</v>
      </c>
      <c r="G15" s="143">
        <f t="shared" si="1"/>
        <v>257691.05</v>
      </c>
      <c r="H15" s="165">
        <f t="shared" si="1"/>
        <v>6798.5</v>
      </c>
    </row>
    <row r="16" spans="1:8" ht="15.75" customHeight="1">
      <c r="A16" s="82">
        <f t="shared" si="0"/>
        <v>11</v>
      </c>
      <c r="B16" s="13" t="s">
        <v>89</v>
      </c>
      <c r="C16" s="172">
        <v>236488.09</v>
      </c>
      <c r="D16" s="172">
        <v>5422.05</v>
      </c>
      <c r="E16" s="17">
        <v>44511.65</v>
      </c>
      <c r="F16" s="17">
        <v>1304.14</v>
      </c>
      <c r="G16" s="143">
        <f t="shared" si="1"/>
        <v>-191976.44</v>
      </c>
      <c r="H16" s="165">
        <f t="shared" si="1"/>
        <v>-4117.91</v>
      </c>
    </row>
    <row r="17" spans="1:8" ht="31.5">
      <c r="A17" s="82">
        <f t="shared" si="0"/>
        <v>12</v>
      </c>
      <c r="B17" s="12" t="s">
        <v>774</v>
      </c>
      <c r="C17" s="172">
        <v>169730.52</v>
      </c>
      <c r="D17" s="172">
        <v>16926.46</v>
      </c>
      <c r="E17" s="17">
        <v>195071.07</v>
      </c>
      <c r="F17" s="17">
        <v>9940.28</v>
      </c>
      <c r="G17" s="143">
        <f t="shared" si="1"/>
        <v>25340.550000000017</v>
      </c>
      <c r="H17" s="165">
        <f t="shared" si="1"/>
        <v>-6986.1799999999985</v>
      </c>
    </row>
    <row r="18" spans="1:8" ht="15.75">
      <c r="A18" s="82">
        <f t="shared" si="0"/>
        <v>13</v>
      </c>
      <c r="B18" s="13" t="s">
        <v>90</v>
      </c>
      <c r="C18" s="172">
        <v>179629.33</v>
      </c>
      <c r="D18" s="172">
        <v>30543.28</v>
      </c>
      <c r="E18" s="17">
        <f>238009.04-300</f>
        <v>237709.04</v>
      </c>
      <c r="F18" s="17">
        <v>15122.58</v>
      </c>
      <c r="G18" s="143">
        <f t="shared" si="1"/>
        <v>58079.71000000002</v>
      </c>
      <c r="H18" s="165">
        <f t="shared" si="1"/>
        <v>-15420.699999999999</v>
      </c>
    </row>
    <row r="19" spans="1:8" ht="15.75">
      <c r="A19" s="82">
        <f t="shared" si="0"/>
        <v>14</v>
      </c>
      <c r="B19" s="18" t="s">
        <v>300</v>
      </c>
      <c r="C19" s="138">
        <f>SUM(C20:C25)</f>
        <v>1737607.29</v>
      </c>
      <c r="D19" s="138">
        <f>SUM(D20:D25)</f>
        <v>47918.2</v>
      </c>
      <c r="E19" s="138">
        <f>SUM(E20:E25)</f>
        <v>1956428.1700000002</v>
      </c>
      <c r="F19" s="138">
        <f>SUM(F20:F25)</f>
        <v>41006.240000000005</v>
      </c>
      <c r="G19" s="138">
        <f t="shared" si="1"/>
        <v>218820.88000000012</v>
      </c>
      <c r="H19" s="166">
        <f t="shared" si="1"/>
        <v>-6911.959999999992</v>
      </c>
    </row>
    <row r="20" spans="1:8" ht="15.75">
      <c r="A20" s="82">
        <f t="shared" si="0"/>
        <v>15</v>
      </c>
      <c r="B20" s="13" t="s">
        <v>91</v>
      </c>
      <c r="C20" s="173">
        <v>598922.5399999999</v>
      </c>
      <c r="D20" s="173">
        <v>12850.32</v>
      </c>
      <c r="E20" s="17">
        <f>650250.11-63935.55</f>
        <v>586314.5599999999</v>
      </c>
      <c r="F20" s="17">
        <f>8880.02</f>
        <v>8880.02</v>
      </c>
      <c r="G20" s="143">
        <f t="shared" si="1"/>
        <v>-12607.979999999981</v>
      </c>
      <c r="H20" s="165">
        <f t="shared" si="1"/>
        <v>-3970.2999999999993</v>
      </c>
    </row>
    <row r="21" spans="1:8" ht="15.75">
      <c r="A21" s="82">
        <f t="shared" si="0"/>
        <v>16</v>
      </c>
      <c r="B21" s="13" t="s">
        <v>92</v>
      </c>
      <c r="C21" s="173">
        <v>772818.6499999999</v>
      </c>
      <c r="D21" s="173">
        <v>10218.939999999999</v>
      </c>
      <c r="E21" s="17">
        <f>964891.34-44091.19</f>
        <v>920800.1499999999</v>
      </c>
      <c r="F21" s="17">
        <v>9513.28</v>
      </c>
      <c r="G21" s="143">
        <f t="shared" si="1"/>
        <v>147981.5</v>
      </c>
      <c r="H21" s="165">
        <f t="shared" si="1"/>
        <v>-705.659999999998</v>
      </c>
    </row>
    <row r="22" spans="1:8" ht="15.75">
      <c r="A22" s="82">
        <f t="shared" si="0"/>
        <v>17</v>
      </c>
      <c r="B22" s="13" t="s">
        <v>93</v>
      </c>
      <c r="C22" s="173">
        <v>207523.13</v>
      </c>
      <c r="D22" s="173">
        <v>12479.37</v>
      </c>
      <c r="E22" s="17">
        <f>239791.52-11116.26</f>
        <v>228675.25999999998</v>
      </c>
      <c r="F22" s="17">
        <v>12061.93</v>
      </c>
      <c r="G22" s="143">
        <f t="shared" si="1"/>
        <v>21152.129999999976</v>
      </c>
      <c r="H22" s="165">
        <f t="shared" si="1"/>
        <v>-417.4400000000005</v>
      </c>
    </row>
    <row r="23" spans="1:8" ht="15.75">
      <c r="A23" s="82">
        <f t="shared" si="0"/>
        <v>18</v>
      </c>
      <c r="B23" s="13" t="s">
        <v>94</v>
      </c>
      <c r="C23" s="173">
        <v>150172.62</v>
      </c>
      <c r="D23" s="173">
        <v>12334.73</v>
      </c>
      <c r="E23" s="17">
        <v>203412.63</v>
      </c>
      <c r="F23" s="17">
        <v>10515.54</v>
      </c>
      <c r="G23" s="143">
        <f t="shared" si="1"/>
        <v>53240.01000000001</v>
      </c>
      <c r="H23" s="165">
        <f t="shared" si="1"/>
        <v>-1819.1899999999987</v>
      </c>
    </row>
    <row r="24" spans="1:8" ht="15.75">
      <c r="A24" s="82">
        <f t="shared" si="0"/>
        <v>19</v>
      </c>
      <c r="B24" s="13" t="s">
        <v>95</v>
      </c>
      <c r="C24" s="173">
        <v>2121.33</v>
      </c>
      <c r="D24" s="173">
        <v>34.84</v>
      </c>
      <c r="E24" s="17">
        <v>2181.3</v>
      </c>
      <c r="F24" s="17">
        <v>35.47</v>
      </c>
      <c r="G24" s="143">
        <f t="shared" si="1"/>
        <v>59.970000000000255</v>
      </c>
      <c r="H24" s="165">
        <f t="shared" si="1"/>
        <v>0.6299999999999955</v>
      </c>
    </row>
    <row r="25" spans="1:8" ht="15.75">
      <c r="A25" s="82">
        <f t="shared" si="0"/>
        <v>20</v>
      </c>
      <c r="B25" s="13" t="s">
        <v>761</v>
      </c>
      <c r="C25" s="173">
        <v>6049.02</v>
      </c>
      <c r="D25" s="173" t="s">
        <v>939</v>
      </c>
      <c r="E25" s="17">
        <v>15044.27</v>
      </c>
      <c r="F25" s="17"/>
      <c r="G25" s="143">
        <f t="shared" si="1"/>
        <v>8995.25</v>
      </c>
      <c r="H25" s="165">
        <f t="shared" si="1"/>
        <v>0</v>
      </c>
    </row>
    <row r="26" spans="1:8" ht="31.5">
      <c r="A26" s="82">
        <f t="shared" si="0"/>
        <v>21</v>
      </c>
      <c r="B26" s="18" t="s">
        <v>280</v>
      </c>
      <c r="C26" s="4" t="s">
        <v>268</v>
      </c>
      <c r="D26" s="4" t="s">
        <v>268</v>
      </c>
      <c r="E26" s="4" t="s">
        <v>268</v>
      </c>
      <c r="F26" s="4" t="s">
        <v>268</v>
      </c>
      <c r="G26" s="17" t="s">
        <v>144</v>
      </c>
      <c r="H26" s="52" t="s">
        <v>144</v>
      </c>
    </row>
    <row r="27" spans="1:8" ht="15.75">
      <c r="A27" s="82">
        <f t="shared" si="0"/>
        <v>22</v>
      </c>
      <c r="B27" s="18" t="s">
        <v>301</v>
      </c>
      <c r="C27" s="138">
        <f>SUM(C28:C31)</f>
        <v>75.70000000000437</v>
      </c>
      <c r="D27" s="138">
        <f>SUM(D28:D31)</f>
        <v>13547.250000000007</v>
      </c>
      <c r="E27" s="138">
        <f>SUM(E28:E31)</f>
        <v>756</v>
      </c>
      <c r="F27" s="138">
        <f>SUM(F28:F31)</f>
        <v>19145.06</v>
      </c>
      <c r="G27" s="138">
        <f t="shared" si="1"/>
        <v>680.2999999999956</v>
      </c>
      <c r="H27" s="166">
        <f t="shared" si="1"/>
        <v>5597.809999999994</v>
      </c>
    </row>
    <row r="28" spans="1:8" ht="15.75">
      <c r="A28" s="82">
        <f t="shared" si="0"/>
        <v>23</v>
      </c>
      <c r="B28" s="13" t="s">
        <v>237</v>
      </c>
      <c r="C28" s="17"/>
      <c r="D28" s="17"/>
      <c r="E28" s="17"/>
      <c r="F28" s="17"/>
      <c r="G28" s="143">
        <f t="shared" si="1"/>
        <v>0</v>
      </c>
      <c r="H28" s="165">
        <f t="shared" si="1"/>
        <v>0</v>
      </c>
    </row>
    <row r="29" spans="1:8" ht="15.75">
      <c r="A29" s="82">
        <f t="shared" si="0"/>
        <v>24</v>
      </c>
      <c r="B29" s="45" t="s">
        <v>258</v>
      </c>
      <c r="C29" s="17"/>
      <c r="D29" s="17"/>
      <c r="E29" s="17"/>
      <c r="F29" s="17"/>
      <c r="G29" s="143">
        <f t="shared" si="1"/>
        <v>0</v>
      </c>
      <c r="H29" s="165">
        <f t="shared" si="1"/>
        <v>0</v>
      </c>
    </row>
    <row r="30" spans="1:8" ht="15.75">
      <c r="A30" s="82">
        <f t="shared" si="0"/>
        <v>25</v>
      </c>
      <c r="B30" s="45" t="s">
        <v>40</v>
      </c>
      <c r="C30" s="17"/>
      <c r="D30" s="17"/>
      <c r="E30" s="17"/>
      <c r="F30" s="17"/>
      <c r="G30" s="143">
        <f t="shared" si="1"/>
        <v>0</v>
      </c>
      <c r="H30" s="165">
        <f t="shared" si="1"/>
        <v>0</v>
      </c>
    </row>
    <row r="31" spans="1:8" ht="15.75">
      <c r="A31" s="82">
        <f t="shared" si="0"/>
        <v>26</v>
      </c>
      <c r="B31" s="13" t="s">
        <v>41</v>
      </c>
      <c r="C31" s="173">
        <v>75.70000000000437</v>
      </c>
      <c r="D31" s="173">
        <v>13547.250000000007</v>
      </c>
      <c r="E31" s="17">
        <v>756</v>
      </c>
      <c r="F31" s="17">
        <v>19145.06</v>
      </c>
      <c r="G31" s="143">
        <f t="shared" si="1"/>
        <v>680.2999999999956</v>
      </c>
      <c r="H31" s="165">
        <f t="shared" si="1"/>
        <v>5597.809999999994</v>
      </c>
    </row>
    <row r="32" spans="1:8" ht="15.75">
      <c r="A32" s="82">
        <f t="shared" si="0"/>
        <v>27</v>
      </c>
      <c r="B32" s="18" t="s">
        <v>24</v>
      </c>
      <c r="C32" s="138">
        <f>SUM(C33:C39)</f>
        <v>523227</v>
      </c>
      <c r="D32" s="138">
        <f>SUM(D33:D39)</f>
        <v>48716.82</v>
      </c>
      <c r="E32" s="138">
        <f>SUM(E33:E39)</f>
        <v>399978.96</v>
      </c>
      <c r="F32" s="138">
        <f>SUM(F33:F39)</f>
        <v>38621.97</v>
      </c>
      <c r="G32" s="138">
        <f t="shared" si="1"/>
        <v>-123248.03999999998</v>
      </c>
      <c r="H32" s="166">
        <f t="shared" si="1"/>
        <v>-10094.849999999999</v>
      </c>
    </row>
    <row r="33" spans="1:8" ht="15.75">
      <c r="A33" s="82">
        <f t="shared" si="0"/>
        <v>28</v>
      </c>
      <c r="B33" s="13" t="s">
        <v>96</v>
      </c>
      <c r="C33" s="173">
        <v>389728.24</v>
      </c>
      <c r="D33" s="173">
        <v>33283.06</v>
      </c>
      <c r="E33" s="17">
        <v>261946.59</v>
      </c>
      <c r="F33" s="17">
        <v>8887.32</v>
      </c>
      <c r="G33" s="143">
        <f t="shared" si="1"/>
        <v>-127781.65</v>
      </c>
      <c r="H33" s="165">
        <f t="shared" si="1"/>
        <v>-24395.739999999998</v>
      </c>
    </row>
    <row r="34" spans="1:8" ht="31.5">
      <c r="A34" s="82">
        <f t="shared" si="0"/>
        <v>29</v>
      </c>
      <c r="B34" s="13" t="s">
        <v>97</v>
      </c>
      <c r="C34" s="173">
        <v>61184.78</v>
      </c>
      <c r="D34" s="173">
        <v>3982.9000000000005</v>
      </c>
      <c r="E34" s="17">
        <v>61718.48</v>
      </c>
      <c r="F34" s="17">
        <v>646.77</v>
      </c>
      <c r="G34" s="143">
        <f t="shared" si="1"/>
        <v>533.7000000000044</v>
      </c>
      <c r="H34" s="165">
        <f t="shared" si="1"/>
        <v>-3336.1300000000006</v>
      </c>
    </row>
    <row r="35" spans="1:8" ht="31.5">
      <c r="A35" s="82">
        <f t="shared" si="0"/>
        <v>30</v>
      </c>
      <c r="B35" s="13" t="s">
        <v>98</v>
      </c>
      <c r="C35" s="173">
        <v>19028.81</v>
      </c>
      <c r="D35" s="173">
        <v>2767.32</v>
      </c>
      <c r="E35" s="17">
        <v>21695.69</v>
      </c>
      <c r="F35" s="17">
        <v>0</v>
      </c>
      <c r="G35" s="143">
        <f t="shared" si="1"/>
        <v>2666.8799999999974</v>
      </c>
      <c r="H35" s="165">
        <f t="shared" si="1"/>
        <v>-2767.32</v>
      </c>
    </row>
    <row r="36" spans="1:8" ht="15.75">
      <c r="A36" s="82">
        <f t="shared" si="0"/>
        <v>31</v>
      </c>
      <c r="B36" s="13" t="s">
        <v>99</v>
      </c>
      <c r="C36" s="173">
        <v>17642.39</v>
      </c>
      <c r="D36" s="173">
        <v>5061.94</v>
      </c>
      <c r="E36" s="17">
        <v>18011.83</v>
      </c>
      <c r="F36" s="17">
        <v>3041.89</v>
      </c>
      <c r="G36" s="143">
        <f t="shared" si="1"/>
        <v>369.4400000000023</v>
      </c>
      <c r="H36" s="165">
        <f t="shared" si="1"/>
        <v>-2020.0499999999997</v>
      </c>
    </row>
    <row r="37" spans="1:8" ht="31.5">
      <c r="A37" s="82">
        <f t="shared" si="0"/>
        <v>32</v>
      </c>
      <c r="B37" s="12" t="s">
        <v>103</v>
      </c>
      <c r="C37" s="173">
        <v>10491.47</v>
      </c>
      <c r="D37" s="173" t="s">
        <v>939</v>
      </c>
      <c r="E37" s="17">
        <v>4623.41</v>
      </c>
      <c r="F37" s="17">
        <v>0</v>
      </c>
      <c r="G37" s="143">
        <f t="shared" si="1"/>
        <v>-5868.0599999999995</v>
      </c>
      <c r="H37" s="165">
        <f t="shared" si="1"/>
        <v>0</v>
      </c>
    </row>
    <row r="38" spans="1:8" ht="15.75">
      <c r="A38" s="82">
        <f t="shared" si="0"/>
        <v>33</v>
      </c>
      <c r="B38" s="13" t="s">
        <v>104</v>
      </c>
      <c r="C38" s="173">
        <v>19710.07</v>
      </c>
      <c r="D38" s="173">
        <v>2720.7</v>
      </c>
      <c r="E38" s="17">
        <f>4676.91+17539.11</f>
        <v>22216.02</v>
      </c>
      <c r="F38" s="17">
        <f>24352.43+85.05</f>
        <v>24437.48</v>
      </c>
      <c r="G38" s="143">
        <f t="shared" si="1"/>
        <v>2505.9500000000007</v>
      </c>
      <c r="H38" s="165">
        <f t="shared" si="1"/>
        <v>21716.78</v>
      </c>
    </row>
    <row r="39" spans="1:8" ht="15.75">
      <c r="A39" s="82">
        <f t="shared" si="0"/>
        <v>34</v>
      </c>
      <c r="B39" s="13" t="s">
        <v>105</v>
      </c>
      <c r="C39" s="173">
        <v>5441.24</v>
      </c>
      <c r="D39" s="173">
        <v>900.9</v>
      </c>
      <c r="E39" s="17">
        <v>9766.94</v>
      </c>
      <c r="F39" s="17">
        <v>1608.51</v>
      </c>
      <c r="G39" s="143">
        <f t="shared" si="1"/>
        <v>4325.700000000001</v>
      </c>
      <c r="H39" s="165">
        <f t="shared" si="1"/>
        <v>707.61</v>
      </c>
    </row>
    <row r="40" spans="1:8" ht="15.75">
      <c r="A40" s="82">
        <f t="shared" si="0"/>
        <v>35</v>
      </c>
      <c r="B40" s="18" t="s">
        <v>302</v>
      </c>
      <c r="C40" s="138">
        <f>C41+C42</f>
        <v>662493.2000000001</v>
      </c>
      <c r="D40" s="138">
        <f>D41+D42</f>
        <v>6090.540000000001</v>
      </c>
      <c r="E40" s="138">
        <f>E41+E42</f>
        <v>789702.5399999999</v>
      </c>
      <c r="F40" s="138">
        <f>F41+F42</f>
        <v>4997.91</v>
      </c>
      <c r="G40" s="138">
        <f t="shared" si="1"/>
        <v>127209.33999999985</v>
      </c>
      <c r="H40" s="166">
        <f t="shared" si="1"/>
        <v>-1092.630000000001</v>
      </c>
    </row>
    <row r="41" spans="1:8" ht="15.75">
      <c r="A41" s="82">
        <f t="shared" si="0"/>
        <v>36</v>
      </c>
      <c r="B41" s="13" t="s">
        <v>106</v>
      </c>
      <c r="C41" s="173">
        <f>121031.4-10883.61</f>
        <v>110147.79</v>
      </c>
      <c r="D41" s="173">
        <f>2725.01+45.6</f>
        <v>2770.61</v>
      </c>
      <c r="E41" s="17">
        <f>124340.59-15766.02</f>
        <v>108574.56999999999</v>
      </c>
      <c r="F41" s="17">
        <f>4863.87-2669</f>
        <v>2194.87</v>
      </c>
      <c r="G41" s="143">
        <f t="shared" si="1"/>
        <v>-1573.2200000000012</v>
      </c>
      <c r="H41" s="165">
        <f t="shared" si="1"/>
        <v>-575.7400000000002</v>
      </c>
    </row>
    <row r="42" spans="1:8" ht="15.75">
      <c r="A42" s="82">
        <f t="shared" si="0"/>
        <v>37</v>
      </c>
      <c r="B42" s="13" t="s">
        <v>107</v>
      </c>
      <c r="C42" s="173">
        <f>572129.68-22776.68+2992.41</f>
        <v>552345.41</v>
      </c>
      <c r="D42" s="173">
        <f>3314.67+5.26</f>
        <v>3319.9300000000003</v>
      </c>
      <c r="E42" s="17">
        <f>690430.55-13187.52+3884.94</f>
        <v>681127.97</v>
      </c>
      <c r="F42" s="17">
        <v>2803.04</v>
      </c>
      <c r="G42" s="143">
        <f t="shared" si="1"/>
        <v>128782.55999999994</v>
      </c>
      <c r="H42" s="165">
        <f t="shared" si="1"/>
        <v>-516.8900000000003</v>
      </c>
    </row>
    <row r="43" spans="1:8" ht="15.75">
      <c r="A43" s="82">
        <f t="shared" si="0"/>
        <v>38</v>
      </c>
      <c r="B43" s="18" t="s">
        <v>281</v>
      </c>
      <c r="C43" s="173">
        <v>29761.75</v>
      </c>
      <c r="D43" s="173">
        <v>264.84000000000003</v>
      </c>
      <c r="E43" s="138">
        <v>31591.22</v>
      </c>
      <c r="F43" s="138">
        <v>580.37</v>
      </c>
      <c r="G43" s="143">
        <f t="shared" si="1"/>
        <v>1829.4700000000012</v>
      </c>
      <c r="H43" s="165">
        <f t="shared" si="1"/>
        <v>315.53</v>
      </c>
    </row>
    <row r="44" spans="1:8" ht="15.75">
      <c r="A44" s="82">
        <f t="shared" si="0"/>
        <v>39</v>
      </c>
      <c r="B44" s="18" t="s">
        <v>192</v>
      </c>
      <c r="C44" s="138">
        <f>SUM(C45:C59)</f>
        <v>3162096.84</v>
      </c>
      <c r="D44" s="138">
        <f>SUM(D45:D59)</f>
        <v>164910.96</v>
      </c>
      <c r="E44" s="138">
        <f>SUM(E45:E59)</f>
        <v>3118445.8200000003</v>
      </c>
      <c r="F44" s="138">
        <f>SUM(F45:F59)</f>
        <v>129049.42000000001</v>
      </c>
      <c r="G44" s="138">
        <f t="shared" si="1"/>
        <v>-43651.01999999955</v>
      </c>
      <c r="H44" s="166">
        <f t="shared" si="1"/>
        <v>-35861.53999999998</v>
      </c>
    </row>
    <row r="45" spans="1:8" ht="15.75">
      <c r="A45" s="82">
        <f t="shared" si="0"/>
        <v>40</v>
      </c>
      <c r="B45" s="13" t="s">
        <v>109</v>
      </c>
      <c r="C45" s="173">
        <v>92193.37</v>
      </c>
      <c r="D45" s="173">
        <v>2093.51</v>
      </c>
      <c r="E45" s="17">
        <v>95070.98</v>
      </c>
      <c r="F45" s="17">
        <v>289.1</v>
      </c>
      <c r="G45" s="143">
        <f t="shared" si="1"/>
        <v>2877.6100000000006</v>
      </c>
      <c r="H45" s="165">
        <f t="shared" si="1"/>
        <v>-1804.4100000000003</v>
      </c>
    </row>
    <row r="46" spans="1:8" ht="15.75">
      <c r="A46" s="82">
        <f t="shared" si="0"/>
        <v>41</v>
      </c>
      <c r="B46" s="13" t="s">
        <v>108</v>
      </c>
      <c r="C46" s="173">
        <v>7157.71</v>
      </c>
      <c r="D46" s="173">
        <v>1958</v>
      </c>
      <c r="E46" s="17">
        <v>6846.06</v>
      </c>
      <c r="F46" s="17">
        <v>2605.5</v>
      </c>
      <c r="G46" s="143">
        <f t="shared" si="1"/>
        <v>-311.64999999999964</v>
      </c>
      <c r="H46" s="165">
        <f t="shared" si="1"/>
        <v>647.5</v>
      </c>
    </row>
    <row r="47" spans="1:8" ht="15.75">
      <c r="A47" s="82">
        <f t="shared" si="0"/>
        <v>42</v>
      </c>
      <c r="B47" s="13" t="s">
        <v>110</v>
      </c>
      <c r="C47" s="173">
        <v>98591</v>
      </c>
      <c r="D47" s="173">
        <v>1539.55</v>
      </c>
      <c r="E47" s="17">
        <v>80335.79</v>
      </c>
      <c r="F47" s="17">
        <v>962</v>
      </c>
      <c r="G47" s="143">
        <f t="shared" si="1"/>
        <v>-18255.210000000006</v>
      </c>
      <c r="H47" s="165">
        <f t="shared" si="1"/>
        <v>-577.55</v>
      </c>
    </row>
    <row r="48" spans="1:8" ht="15.75">
      <c r="A48" s="82">
        <f t="shared" si="0"/>
        <v>43</v>
      </c>
      <c r="B48" s="13" t="s">
        <v>111</v>
      </c>
      <c r="C48" s="173">
        <v>8211.810000000001</v>
      </c>
      <c r="D48" s="173">
        <v>54041.04</v>
      </c>
      <c r="E48" s="17">
        <v>6473.4</v>
      </c>
      <c r="F48" s="17">
        <v>77527.71</v>
      </c>
      <c r="G48" s="143">
        <f t="shared" si="1"/>
        <v>-1738.4100000000017</v>
      </c>
      <c r="H48" s="165">
        <f t="shared" si="1"/>
        <v>23486.670000000006</v>
      </c>
    </row>
    <row r="49" spans="1:8" ht="15.75">
      <c r="A49" s="82">
        <f t="shared" si="0"/>
        <v>44</v>
      </c>
      <c r="B49" s="13" t="s">
        <v>112</v>
      </c>
      <c r="C49" s="173">
        <v>76488.68</v>
      </c>
      <c r="D49" s="173">
        <v>5816.65</v>
      </c>
      <c r="E49" s="17">
        <v>76973.81</v>
      </c>
      <c r="F49" s="17">
        <v>6972.2</v>
      </c>
      <c r="G49" s="143">
        <f t="shared" si="1"/>
        <v>485.13000000000466</v>
      </c>
      <c r="H49" s="165">
        <f t="shared" si="1"/>
        <v>1155.5500000000002</v>
      </c>
    </row>
    <row r="50" spans="1:8" ht="15.75">
      <c r="A50" s="82">
        <f t="shared" si="0"/>
        <v>45</v>
      </c>
      <c r="B50" s="13" t="s">
        <v>113</v>
      </c>
      <c r="C50" s="173">
        <v>26000.02</v>
      </c>
      <c r="D50" s="173" t="s">
        <v>939</v>
      </c>
      <c r="E50" s="17">
        <v>0</v>
      </c>
      <c r="F50" s="17">
        <v>0</v>
      </c>
      <c r="G50" s="143">
        <f t="shared" si="1"/>
        <v>-26000.02</v>
      </c>
      <c r="H50" s="165">
        <f t="shared" si="1"/>
        <v>0</v>
      </c>
    </row>
    <row r="51" spans="1:8" ht="15.75">
      <c r="A51" s="82">
        <f t="shared" si="0"/>
        <v>46</v>
      </c>
      <c r="B51" s="13" t="s">
        <v>114</v>
      </c>
      <c r="C51" s="173">
        <v>52231.48</v>
      </c>
      <c r="D51" s="173">
        <v>887.75</v>
      </c>
      <c r="E51" s="17">
        <v>47466.56</v>
      </c>
      <c r="F51" s="17">
        <v>1958.46</v>
      </c>
      <c r="G51" s="143">
        <f t="shared" si="1"/>
        <v>-4764.9200000000055</v>
      </c>
      <c r="H51" s="165">
        <f t="shared" si="1"/>
        <v>1070.71</v>
      </c>
    </row>
    <row r="52" spans="1:8" ht="15.75">
      <c r="A52" s="82">
        <f t="shared" si="0"/>
        <v>47</v>
      </c>
      <c r="B52" s="13" t="s">
        <v>115</v>
      </c>
      <c r="C52" s="173">
        <v>88903.05</v>
      </c>
      <c r="D52" s="173">
        <v>0</v>
      </c>
      <c r="E52" s="17">
        <v>110148.72</v>
      </c>
      <c r="F52" s="17">
        <v>58.21</v>
      </c>
      <c r="G52" s="143">
        <f t="shared" si="1"/>
        <v>21245.67</v>
      </c>
      <c r="H52" s="165">
        <f t="shared" si="1"/>
        <v>58.21</v>
      </c>
    </row>
    <row r="53" spans="1:8" ht="15.75">
      <c r="A53" s="82">
        <f t="shared" si="0"/>
        <v>48</v>
      </c>
      <c r="B53" s="13" t="s">
        <v>116</v>
      </c>
      <c r="C53" s="173">
        <v>22350.66</v>
      </c>
      <c r="D53" s="173">
        <v>916.6500000000001</v>
      </c>
      <c r="E53" s="17">
        <v>18321.05</v>
      </c>
      <c r="F53" s="17">
        <v>497.23</v>
      </c>
      <c r="G53" s="143">
        <f t="shared" si="1"/>
        <v>-4029.6100000000006</v>
      </c>
      <c r="H53" s="165">
        <f t="shared" si="1"/>
        <v>-419.4200000000001</v>
      </c>
    </row>
    <row r="54" spans="1:8" ht="15.75">
      <c r="A54" s="82">
        <f t="shared" si="0"/>
        <v>49</v>
      </c>
      <c r="B54" s="13" t="s">
        <v>117</v>
      </c>
      <c r="C54" s="173" t="s">
        <v>939</v>
      </c>
      <c r="D54" s="173" t="s">
        <v>939</v>
      </c>
      <c r="E54" s="17">
        <v>0</v>
      </c>
      <c r="F54" s="17">
        <v>0</v>
      </c>
      <c r="G54" s="143">
        <f t="shared" si="1"/>
        <v>0</v>
      </c>
      <c r="H54" s="165">
        <f t="shared" si="1"/>
        <v>0</v>
      </c>
    </row>
    <row r="55" spans="1:8" ht="15.75">
      <c r="A55" s="82">
        <f t="shared" si="0"/>
        <v>50</v>
      </c>
      <c r="B55" s="13" t="s">
        <v>118</v>
      </c>
      <c r="C55" s="173">
        <v>24730.159999999996</v>
      </c>
      <c r="D55" s="173">
        <v>373.13</v>
      </c>
      <c r="E55" s="17">
        <v>13687.37</v>
      </c>
      <c r="F55" s="17">
        <v>160.49</v>
      </c>
      <c r="G55" s="143">
        <f t="shared" si="1"/>
        <v>-11042.789999999995</v>
      </c>
      <c r="H55" s="165">
        <f t="shared" si="1"/>
        <v>-212.64</v>
      </c>
    </row>
    <row r="56" spans="1:8" ht="15.75">
      <c r="A56" s="82">
        <f t="shared" si="0"/>
        <v>51</v>
      </c>
      <c r="B56" s="13" t="s">
        <v>66</v>
      </c>
      <c r="C56" s="173">
        <v>102824.47</v>
      </c>
      <c r="D56" s="173">
        <v>331.94</v>
      </c>
      <c r="E56" s="17">
        <v>37982.25</v>
      </c>
      <c r="F56" s="17">
        <v>159.08</v>
      </c>
      <c r="G56" s="143">
        <f t="shared" si="1"/>
        <v>-64842.22</v>
      </c>
      <c r="H56" s="165">
        <f t="shared" si="1"/>
        <v>-172.85999999999999</v>
      </c>
    </row>
    <row r="57" spans="1:8" ht="15.75">
      <c r="A57" s="82">
        <f t="shared" si="0"/>
        <v>52</v>
      </c>
      <c r="B57" s="13" t="s">
        <v>67</v>
      </c>
      <c r="C57" s="173" t="s">
        <v>939</v>
      </c>
      <c r="D57" s="173" t="s">
        <v>939</v>
      </c>
      <c r="E57" s="17">
        <v>0</v>
      </c>
      <c r="F57" s="17">
        <v>0</v>
      </c>
      <c r="G57" s="143">
        <f t="shared" si="1"/>
        <v>0</v>
      </c>
      <c r="H57" s="165">
        <f t="shared" si="1"/>
        <v>0</v>
      </c>
    </row>
    <row r="58" spans="1:9" ht="31.5">
      <c r="A58" s="82">
        <f t="shared" si="0"/>
        <v>53</v>
      </c>
      <c r="B58" s="84" t="s">
        <v>886</v>
      </c>
      <c r="C58" s="174">
        <v>560133.51</v>
      </c>
      <c r="D58" s="174">
        <v>82500.65</v>
      </c>
      <c r="E58" s="17">
        <v>295910.94</v>
      </c>
      <c r="F58" s="17">
        <v>12240.59</v>
      </c>
      <c r="G58" s="143">
        <f t="shared" si="1"/>
        <v>-264222.57</v>
      </c>
      <c r="H58" s="165">
        <f t="shared" si="1"/>
        <v>-70260.06</v>
      </c>
      <c r="I58" s="175"/>
    </row>
    <row r="59" spans="1:8" ht="15.75">
      <c r="A59" s="82">
        <f t="shared" si="0"/>
        <v>54</v>
      </c>
      <c r="B59" s="13" t="s">
        <v>119</v>
      </c>
      <c r="C59" s="173">
        <v>2002280.92</v>
      </c>
      <c r="D59" s="173">
        <v>14452.09</v>
      </c>
      <c r="E59" s="17">
        <f>2333009.79-3780.9</f>
        <v>2329228.89</v>
      </c>
      <c r="F59" s="17">
        <f>25934.01-315.16</f>
        <v>25618.85</v>
      </c>
      <c r="G59" s="143">
        <f t="shared" si="1"/>
        <v>326947.9700000002</v>
      </c>
      <c r="H59" s="165">
        <f t="shared" si="1"/>
        <v>11166.759999999998</v>
      </c>
    </row>
    <row r="60" spans="1:8" ht="15.75">
      <c r="A60" s="82">
        <f t="shared" si="0"/>
        <v>55</v>
      </c>
      <c r="B60" s="18" t="s">
        <v>193</v>
      </c>
      <c r="C60" s="138">
        <f>C61+C62</f>
        <v>14823552.67</v>
      </c>
      <c r="D60" s="138">
        <f>D61+D62</f>
        <v>312615.06000000006</v>
      </c>
      <c r="E60" s="138">
        <f>E61+E62</f>
        <v>15838106.25</v>
      </c>
      <c r="F60" s="138">
        <f>F61+F62</f>
        <v>351951.21</v>
      </c>
      <c r="G60" s="138">
        <f t="shared" si="1"/>
        <v>1014553.5800000001</v>
      </c>
      <c r="H60" s="166">
        <f t="shared" si="1"/>
        <v>39336.149999999965</v>
      </c>
    </row>
    <row r="61" spans="1:8" ht="15.75">
      <c r="A61" s="82">
        <f t="shared" si="0"/>
        <v>56</v>
      </c>
      <c r="B61" s="13" t="s">
        <v>120</v>
      </c>
      <c r="C61" s="173">
        <v>13942555.69</v>
      </c>
      <c r="D61" s="173">
        <v>262383.60000000003</v>
      </c>
      <c r="E61" s="17">
        <v>14928469.14</v>
      </c>
      <c r="F61" s="17">
        <v>304789.45</v>
      </c>
      <c r="G61" s="143">
        <f t="shared" si="1"/>
        <v>985913.4500000011</v>
      </c>
      <c r="H61" s="165">
        <f t="shared" si="1"/>
        <v>42405.84999999998</v>
      </c>
    </row>
    <row r="62" spans="1:8" ht="15.75">
      <c r="A62" s="82">
        <f t="shared" si="0"/>
        <v>57</v>
      </c>
      <c r="B62" s="28" t="s">
        <v>11</v>
      </c>
      <c r="C62" s="138">
        <f>SUM(C63:C65)</f>
        <v>880996.9799999999</v>
      </c>
      <c r="D62" s="138">
        <f>SUM(D63:D65)</f>
        <v>50231.45999999999</v>
      </c>
      <c r="E62" s="138">
        <f>SUM(E63:E65)</f>
        <v>909637.11</v>
      </c>
      <c r="F62" s="138">
        <f>SUM(F63:F65)</f>
        <v>47161.76</v>
      </c>
      <c r="G62" s="138">
        <f t="shared" si="1"/>
        <v>28640.13000000012</v>
      </c>
      <c r="H62" s="166">
        <f t="shared" si="1"/>
        <v>-3069.69999999999</v>
      </c>
    </row>
    <row r="63" spans="1:8" s="177" customFormat="1" ht="16.5" customHeight="1">
      <c r="A63" s="82">
        <f t="shared" si="0"/>
        <v>58</v>
      </c>
      <c r="B63" s="51" t="s">
        <v>9</v>
      </c>
      <c r="C63" s="173" t="s">
        <v>939</v>
      </c>
      <c r="D63" s="173" t="s">
        <v>939</v>
      </c>
      <c r="E63" s="176">
        <v>0</v>
      </c>
      <c r="F63" s="176">
        <v>0</v>
      </c>
      <c r="G63" s="143">
        <f t="shared" si="1"/>
        <v>0</v>
      </c>
      <c r="H63" s="165">
        <f t="shared" si="1"/>
        <v>0</v>
      </c>
    </row>
    <row r="64" spans="1:8" ht="31.5">
      <c r="A64" s="82">
        <f t="shared" si="0"/>
        <v>59</v>
      </c>
      <c r="B64" s="51" t="s">
        <v>10</v>
      </c>
      <c r="C64" s="174">
        <v>869965.6199999999</v>
      </c>
      <c r="D64" s="174">
        <v>43565.56999999999</v>
      </c>
      <c r="E64" s="17">
        <v>905978.96</v>
      </c>
      <c r="F64" s="17">
        <v>40421.76</v>
      </c>
      <c r="G64" s="143">
        <f t="shared" si="1"/>
        <v>36013.340000000084</v>
      </c>
      <c r="H64" s="165">
        <f t="shared" si="1"/>
        <v>-3143.8099999999904</v>
      </c>
    </row>
    <row r="65" spans="1:8" ht="15.75">
      <c r="A65" s="82">
        <f t="shared" si="0"/>
        <v>60</v>
      </c>
      <c r="B65" s="13" t="s">
        <v>212</v>
      </c>
      <c r="C65" s="173">
        <v>11031.36</v>
      </c>
      <c r="D65" s="173">
        <v>6665.89</v>
      </c>
      <c r="E65" s="17">
        <v>3658.15</v>
      </c>
      <c r="F65" s="17">
        <v>6740</v>
      </c>
      <c r="G65" s="143">
        <f t="shared" si="1"/>
        <v>-7373.210000000001</v>
      </c>
      <c r="H65" s="165">
        <f t="shared" si="1"/>
        <v>74.10999999999967</v>
      </c>
    </row>
    <row r="66" spans="1:8" ht="15.75">
      <c r="A66" s="82">
        <f t="shared" si="0"/>
        <v>61</v>
      </c>
      <c r="B66" s="18" t="s">
        <v>165</v>
      </c>
      <c r="C66" s="173">
        <v>4768074.97</v>
      </c>
      <c r="D66" s="173">
        <v>90910.93</v>
      </c>
      <c r="E66" s="17">
        <v>5049863.98</v>
      </c>
      <c r="F66" s="17">
        <v>105397.31</v>
      </c>
      <c r="G66" s="143">
        <f t="shared" si="1"/>
        <v>281789.0100000007</v>
      </c>
      <c r="H66" s="165">
        <f t="shared" si="1"/>
        <v>14486.380000000005</v>
      </c>
    </row>
    <row r="67" spans="1:8" ht="15.75">
      <c r="A67" s="82">
        <f t="shared" si="0"/>
        <v>62</v>
      </c>
      <c r="B67" s="18" t="s">
        <v>25</v>
      </c>
      <c r="C67" s="173">
        <v>94240.93</v>
      </c>
      <c r="D67" s="173">
        <v>2856.07</v>
      </c>
      <c r="E67" s="17">
        <v>93551.01</v>
      </c>
      <c r="F67" s="17">
        <v>2350.84</v>
      </c>
      <c r="G67" s="143">
        <f t="shared" si="1"/>
        <v>-689.9199999999983</v>
      </c>
      <c r="H67" s="165">
        <f t="shared" si="1"/>
        <v>-505.23</v>
      </c>
    </row>
    <row r="68" spans="1:8" ht="15.75">
      <c r="A68" s="82">
        <f t="shared" si="0"/>
        <v>63</v>
      </c>
      <c r="B68" s="18" t="s">
        <v>12</v>
      </c>
      <c r="C68" s="138">
        <f>SUM(C69:C74)</f>
        <v>460120.61</v>
      </c>
      <c r="D68" s="138">
        <f>SUM(D69:D74)</f>
        <v>7425.96</v>
      </c>
      <c r="E68" s="138">
        <f>SUM(E69:E74)</f>
        <v>508186.64</v>
      </c>
      <c r="F68" s="138">
        <f>SUM(F69:F74)</f>
        <v>8261.13</v>
      </c>
      <c r="G68" s="138">
        <f t="shared" si="1"/>
        <v>48066.03000000003</v>
      </c>
      <c r="H68" s="166">
        <f t="shared" si="1"/>
        <v>835.1699999999992</v>
      </c>
    </row>
    <row r="69" spans="1:8" ht="15.75">
      <c r="A69" s="82">
        <f t="shared" si="0"/>
        <v>64</v>
      </c>
      <c r="B69" s="13" t="s">
        <v>55</v>
      </c>
      <c r="C69" s="173">
        <v>145067.09999999998</v>
      </c>
      <c r="D69" s="173">
        <v>6503.37</v>
      </c>
      <c r="E69" s="17">
        <v>156512.95</v>
      </c>
      <c r="F69" s="17">
        <v>6820.7</v>
      </c>
      <c r="G69" s="143">
        <f t="shared" si="1"/>
        <v>11445.850000000035</v>
      </c>
      <c r="H69" s="165">
        <f t="shared" si="1"/>
        <v>317.3299999999999</v>
      </c>
    </row>
    <row r="70" spans="1:8" ht="15.75">
      <c r="A70" s="82">
        <f t="shared" si="0"/>
        <v>65</v>
      </c>
      <c r="B70" s="13" t="s">
        <v>121</v>
      </c>
      <c r="C70" s="173">
        <v>252565.28</v>
      </c>
      <c r="D70" s="173" t="s">
        <v>939</v>
      </c>
      <c r="E70" s="17">
        <v>264837.26</v>
      </c>
      <c r="F70" s="17">
        <v>0</v>
      </c>
      <c r="G70" s="143">
        <f t="shared" si="1"/>
        <v>12271.98000000001</v>
      </c>
      <c r="H70" s="165">
        <f t="shared" si="1"/>
        <v>0</v>
      </c>
    </row>
    <row r="71" spans="1:8" ht="15.75">
      <c r="A71" s="82">
        <f t="shared" si="0"/>
        <v>66</v>
      </c>
      <c r="B71" s="13" t="s">
        <v>122</v>
      </c>
      <c r="C71" s="173">
        <v>33321.75</v>
      </c>
      <c r="D71" s="173" t="s">
        <v>939</v>
      </c>
      <c r="E71" s="17">
        <v>55117.82</v>
      </c>
      <c r="F71" s="17">
        <v>0</v>
      </c>
      <c r="G71" s="143">
        <f t="shared" si="1"/>
        <v>21796.07</v>
      </c>
      <c r="H71" s="165">
        <f t="shared" si="1"/>
        <v>0</v>
      </c>
    </row>
    <row r="72" spans="1:8" ht="15.75">
      <c r="A72" s="82">
        <f aca="true" t="shared" si="2" ref="A72:A101">A71+1</f>
        <v>67</v>
      </c>
      <c r="B72" s="13" t="s">
        <v>123</v>
      </c>
      <c r="C72" s="173">
        <v>28372.41</v>
      </c>
      <c r="D72" s="173">
        <v>922.59</v>
      </c>
      <c r="E72" s="17">
        <v>31390.35</v>
      </c>
      <c r="F72" s="17">
        <v>1440.43</v>
      </c>
      <c r="G72" s="143">
        <f aca="true" t="shared" si="3" ref="G72:H100">E72-C72</f>
        <v>3017.9399999999987</v>
      </c>
      <c r="H72" s="165">
        <f t="shared" si="3"/>
        <v>517.84</v>
      </c>
    </row>
    <row r="73" spans="1:8" ht="31.5">
      <c r="A73" s="82">
        <f t="shared" si="2"/>
        <v>68</v>
      </c>
      <c r="B73" s="13" t="s">
        <v>124</v>
      </c>
      <c r="C73" s="173">
        <v>794.07</v>
      </c>
      <c r="D73" s="173" t="s">
        <v>939</v>
      </c>
      <c r="E73" s="17">
        <v>328.26</v>
      </c>
      <c r="F73" s="17"/>
      <c r="G73" s="143">
        <f t="shared" si="3"/>
        <v>-465.81000000000006</v>
      </c>
      <c r="H73" s="165">
        <f t="shared" si="3"/>
        <v>0</v>
      </c>
    </row>
    <row r="74" spans="1:8" ht="15.75">
      <c r="A74" s="82">
        <f t="shared" si="2"/>
        <v>69</v>
      </c>
      <c r="B74" s="13" t="s">
        <v>125</v>
      </c>
      <c r="C74" s="173" t="s">
        <v>939</v>
      </c>
      <c r="D74" s="173" t="s">
        <v>939</v>
      </c>
      <c r="E74" s="17"/>
      <c r="F74" s="17"/>
      <c r="G74" s="143">
        <f t="shared" si="3"/>
        <v>0</v>
      </c>
      <c r="H74" s="165">
        <f t="shared" si="3"/>
        <v>0</v>
      </c>
    </row>
    <row r="75" spans="1:8" ht="15.75">
      <c r="A75" s="82">
        <f t="shared" si="2"/>
        <v>70</v>
      </c>
      <c r="B75" s="18" t="s">
        <v>32</v>
      </c>
      <c r="C75" s="173" t="s">
        <v>939</v>
      </c>
      <c r="D75" s="173" t="s">
        <v>939</v>
      </c>
      <c r="E75" s="17"/>
      <c r="F75" s="17"/>
      <c r="G75" s="143">
        <f t="shared" si="3"/>
        <v>0</v>
      </c>
      <c r="H75" s="165">
        <f t="shared" si="3"/>
        <v>0</v>
      </c>
    </row>
    <row r="76" spans="1:8" ht="15.75">
      <c r="A76" s="82">
        <f t="shared" si="2"/>
        <v>71</v>
      </c>
      <c r="B76" s="18" t="s">
        <v>328</v>
      </c>
      <c r="C76" s="173" t="s">
        <v>939</v>
      </c>
      <c r="D76" s="173">
        <v>112.86</v>
      </c>
      <c r="E76" s="17"/>
      <c r="F76" s="17">
        <v>112.86</v>
      </c>
      <c r="G76" s="143">
        <f t="shared" si="3"/>
        <v>0</v>
      </c>
      <c r="H76" s="165">
        <f t="shared" si="3"/>
        <v>0</v>
      </c>
    </row>
    <row r="77" spans="1:8" ht="15.75">
      <c r="A77" s="82">
        <f t="shared" si="2"/>
        <v>72</v>
      </c>
      <c r="B77" s="18" t="s">
        <v>167</v>
      </c>
      <c r="C77" s="173">
        <v>14498.28</v>
      </c>
      <c r="D77" s="173">
        <v>3206.47</v>
      </c>
      <c r="E77" s="17">
        <v>14629.55</v>
      </c>
      <c r="F77" s="17">
        <v>3063.1</v>
      </c>
      <c r="G77" s="143">
        <f t="shared" si="3"/>
        <v>131.26999999999862</v>
      </c>
      <c r="H77" s="165">
        <f t="shared" si="3"/>
        <v>-143.3699999999999</v>
      </c>
    </row>
    <row r="78" spans="1:8" ht="15.75">
      <c r="A78" s="82">
        <f t="shared" si="2"/>
        <v>73</v>
      </c>
      <c r="B78" s="18" t="s">
        <v>255</v>
      </c>
      <c r="C78" s="173">
        <v>22741.1</v>
      </c>
      <c r="D78" s="173">
        <v>637.5</v>
      </c>
      <c r="E78" s="17">
        <v>140420.16</v>
      </c>
      <c r="F78" s="17">
        <v>1913.87</v>
      </c>
      <c r="G78" s="143">
        <f t="shared" si="3"/>
        <v>117679.06</v>
      </c>
      <c r="H78" s="165">
        <f t="shared" si="3"/>
        <v>1276.37</v>
      </c>
    </row>
    <row r="79" spans="1:8" ht="15.75">
      <c r="A79" s="82">
        <f t="shared" si="2"/>
        <v>74</v>
      </c>
      <c r="B79" s="18" t="s">
        <v>13</v>
      </c>
      <c r="C79" s="138">
        <f>C80+C81</f>
        <v>2042103.7300000004</v>
      </c>
      <c r="D79" s="138">
        <f>D80+D81</f>
        <v>2467.95</v>
      </c>
      <c r="E79" s="138">
        <f>E80+E81</f>
        <v>2266624.77</v>
      </c>
      <c r="F79" s="138">
        <f>F80+F81</f>
        <v>126.11999999999998</v>
      </c>
      <c r="G79" s="138">
        <f t="shared" si="3"/>
        <v>224521.03999999957</v>
      </c>
      <c r="H79" s="166">
        <f t="shared" si="3"/>
        <v>-2341.83</v>
      </c>
    </row>
    <row r="80" spans="1:8" ht="31.5">
      <c r="A80" s="82">
        <f t="shared" si="2"/>
        <v>75</v>
      </c>
      <c r="B80" s="18" t="s">
        <v>214</v>
      </c>
      <c r="C80" s="174">
        <v>21581.82</v>
      </c>
      <c r="D80" s="174">
        <v>1122.8600000000001</v>
      </c>
      <c r="E80" s="138">
        <v>22595.66</v>
      </c>
      <c r="F80" s="138">
        <v>6.29</v>
      </c>
      <c r="G80" s="143">
        <f t="shared" si="3"/>
        <v>1013.8400000000001</v>
      </c>
      <c r="H80" s="165">
        <f t="shared" si="3"/>
        <v>-1116.5700000000002</v>
      </c>
    </row>
    <row r="81" spans="1:8" ht="15.75">
      <c r="A81" s="82">
        <f t="shared" si="2"/>
        <v>76</v>
      </c>
      <c r="B81" s="28" t="s">
        <v>14</v>
      </c>
      <c r="C81" s="138">
        <f>SUM(C82:C88)</f>
        <v>2020521.9100000004</v>
      </c>
      <c r="D81" s="138">
        <f>SUM(D82:D88)</f>
        <v>1345.09</v>
      </c>
      <c r="E81" s="138">
        <f>SUM(E82:E88)</f>
        <v>2244029.11</v>
      </c>
      <c r="F81" s="138">
        <f>SUM(F82:F88)</f>
        <v>119.82999999999997</v>
      </c>
      <c r="G81" s="138">
        <f t="shared" si="3"/>
        <v>223507.1999999995</v>
      </c>
      <c r="H81" s="166">
        <f t="shared" si="3"/>
        <v>-1225.26</v>
      </c>
    </row>
    <row r="82" spans="1:8" ht="15.75">
      <c r="A82" s="82">
        <f t="shared" si="2"/>
        <v>77</v>
      </c>
      <c r="B82" s="13" t="s">
        <v>866</v>
      </c>
      <c r="C82" s="173">
        <f>1810303.07+24327.45+41571.52</f>
        <v>1876202.04</v>
      </c>
      <c r="D82" s="173" t="s">
        <v>939</v>
      </c>
      <c r="E82" s="17">
        <f>1969973+151082.35</f>
        <v>2121055.35</v>
      </c>
      <c r="F82" s="17"/>
      <c r="G82" s="143">
        <f t="shared" si="3"/>
        <v>244853.31000000006</v>
      </c>
      <c r="H82" s="165">
        <f t="shared" si="3"/>
        <v>0</v>
      </c>
    </row>
    <row r="83" spans="1:8" ht="15.75">
      <c r="A83" s="82">
        <f t="shared" si="2"/>
        <v>78</v>
      </c>
      <c r="B83" s="13" t="s">
        <v>126</v>
      </c>
      <c r="C83" s="173">
        <v>3488.56</v>
      </c>
      <c r="D83" s="173">
        <v>325.75</v>
      </c>
      <c r="E83" s="17">
        <v>4247.36</v>
      </c>
      <c r="F83" s="17">
        <v>203.17</v>
      </c>
      <c r="G83" s="143">
        <f t="shared" si="3"/>
        <v>758.7999999999997</v>
      </c>
      <c r="H83" s="165">
        <f t="shared" si="3"/>
        <v>-122.58000000000001</v>
      </c>
    </row>
    <row r="84" spans="1:8" ht="15.75">
      <c r="A84" s="82">
        <f t="shared" si="2"/>
        <v>79</v>
      </c>
      <c r="B84" s="13" t="s">
        <v>127</v>
      </c>
      <c r="C84" s="173" t="s">
        <v>939</v>
      </c>
      <c r="D84" s="173" t="s">
        <v>939</v>
      </c>
      <c r="E84" s="17">
        <v>0</v>
      </c>
      <c r="F84" s="17"/>
      <c r="G84" s="143">
        <f t="shared" si="3"/>
        <v>0</v>
      </c>
      <c r="H84" s="165">
        <f t="shared" si="3"/>
        <v>0</v>
      </c>
    </row>
    <row r="85" spans="1:8" ht="31.5">
      <c r="A85" s="82">
        <f t="shared" si="2"/>
        <v>80</v>
      </c>
      <c r="B85" s="13" t="s">
        <v>814</v>
      </c>
      <c r="C85" s="173">
        <v>43562.36</v>
      </c>
      <c r="D85" s="173">
        <v>894.7099999999999</v>
      </c>
      <c r="E85" s="17">
        <v>38894.79</v>
      </c>
      <c r="F85" s="17">
        <f>640.75</f>
        <v>640.75</v>
      </c>
      <c r="G85" s="143">
        <f t="shared" si="3"/>
        <v>-4667.57</v>
      </c>
      <c r="H85" s="165">
        <f t="shared" si="3"/>
        <v>-253.95999999999992</v>
      </c>
    </row>
    <row r="86" spans="1:8" ht="15.75">
      <c r="A86" s="82">
        <f t="shared" si="2"/>
        <v>81</v>
      </c>
      <c r="B86" s="13" t="s">
        <v>128</v>
      </c>
      <c r="C86" s="173">
        <v>1006.8</v>
      </c>
      <c r="D86" s="173" t="s">
        <v>939</v>
      </c>
      <c r="E86" s="17">
        <v>9166.62</v>
      </c>
      <c r="F86" s="17"/>
      <c r="G86" s="143">
        <f t="shared" si="3"/>
        <v>8159.820000000001</v>
      </c>
      <c r="H86" s="165">
        <f t="shared" si="3"/>
        <v>0</v>
      </c>
    </row>
    <row r="87" spans="1:8" ht="31.5">
      <c r="A87" s="82">
        <f t="shared" si="2"/>
        <v>82</v>
      </c>
      <c r="B87" s="13" t="s">
        <v>129</v>
      </c>
      <c r="C87" s="173">
        <v>44000.79</v>
      </c>
      <c r="D87" s="173">
        <v>86.77</v>
      </c>
      <c r="E87" s="17">
        <f>196118.52-151082.35</f>
        <v>45036.169999999984</v>
      </c>
      <c r="F87" s="17">
        <v>-724.51</v>
      </c>
      <c r="G87" s="143">
        <f t="shared" si="3"/>
        <v>1035.3799999999828</v>
      </c>
      <c r="H87" s="165">
        <f t="shared" si="3"/>
        <v>-811.28</v>
      </c>
    </row>
    <row r="88" spans="1:8" ht="15.75">
      <c r="A88" s="82">
        <f t="shared" si="2"/>
        <v>83</v>
      </c>
      <c r="B88" s="13" t="s">
        <v>153</v>
      </c>
      <c r="C88" s="173">
        <v>52261.36</v>
      </c>
      <c r="D88" s="173">
        <v>37.86</v>
      </c>
      <c r="E88" s="17">
        <v>25628.82</v>
      </c>
      <c r="F88" s="17">
        <v>0.42</v>
      </c>
      <c r="G88" s="143">
        <f t="shared" si="3"/>
        <v>-26632.54</v>
      </c>
      <c r="H88" s="165">
        <f t="shared" si="3"/>
        <v>-37.44</v>
      </c>
    </row>
    <row r="89" spans="1:8" ht="31.5">
      <c r="A89" s="82">
        <f t="shared" si="2"/>
        <v>84</v>
      </c>
      <c r="B89" s="18" t="s">
        <v>15</v>
      </c>
      <c r="C89" s="138">
        <f>SUM(C90:C97)</f>
        <v>3889192.38</v>
      </c>
      <c r="D89" s="138">
        <f>SUM(D90:D97)</f>
        <v>87864.42</v>
      </c>
      <c r="E89" s="138">
        <f>SUM(E90:E97)</f>
        <v>5552351.32</v>
      </c>
      <c r="F89" s="138">
        <f>SUM(F90:F97)</f>
        <v>65294.929999999986</v>
      </c>
      <c r="G89" s="138">
        <f t="shared" si="3"/>
        <v>1663158.9400000004</v>
      </c>
      <c r="H89" s="166">
        <f t="shared" si="3"/>
        <v>-22569.490000000013</v>
      </c>
    </row>
    <row r="90" spans="1:8" ht="31.5" customHeight="1">
      <c r="A90" s="82">
        <f t="shared" si="2"/>
        <v>85</v>
      </c>
      <c r="B90" s="13" t="s">
        <v>867</v>
      </c>
      <c r="C90" s="17">
        <v>983263.83</v>
      </c>
      <c r="D90" s="17" t="s">
        <v>939</v>
      </c>
      <c r="E90" s="17">
        <v>897950.05</v>
      </c>
      <c r="F90" s="17">
        <v>0</v>
      </c>
      <c r="G90" s="143">
        <f t="shared" si="3"/>
        <v>-85313.77999999991</v>
      </c>
      <c r="H90" s="165">
        <f t="shared" si="3"/>
        <v>0</v>
      </c>
    </row>
    <row r="91" spans="1:8" ht="31.5">
      <c r="A91" s="82">
        <f t="shared" si="2"/>
        <v>86</v>
      </c>
      <c r="B91" s="13" t="s">
        <v>868</v>
      </c>
      <c r="C91" s="17">
        <v>1110123.3599999999</v>
      </c>
      <c r="D91" s="17">
        <v>87864.42</v>
      </c>
      <c r="E91" s="17">
        <v>1187914.13</v>
      </c>
      <c r="F91" s="17">
        <f>17155.87+22047.61+42056.07-15964.62</f>
        <v>65294.929999999986</v>
      </c>
      <c r="G91" s="143">
        <f t="shared" si="3"/>
        <v>77790.77000000002</v>
      </c>
      <c r="H91" s="165">
        <f t="shared" si="3"/>
        <v>-22569.490000000013</v>
      </c>
    </row>
    <row r="92" spans="1:8" ht="31.5">
      <c r="A92" s="158" t="s">
        <v>775</v>
      </c>
      <c r="B92" s="13" t="s">
        <v>869</v>
      </c>
      <c r="C92" s="17">
        <v>1690963.98</v>
      </c>
      <c r="D92" s="17" t="s">
        <v>939</v>
      </c>
      <c r="E92" s="17">
        <v>3136178.61</v>
      </c>
      <c r="F92" s="17"/>
      <c r="G92" s="143">
        <f>E92-C92</f>
        <v>1445214.63</v>
      </c>
      <c r="H92" s="165">
        <f>F92-D92</f>
        <v>0</v>
      </c>
    </row>
    <row r="93" spans="1:8" ht="31.5">
      <c r="A93" s="82">
        <f>A91+1</f>
        <v>87</v>
      </c>
      <c r="B93" s="13" t="s">
        <v>146</v>
      </c>
      <c r="C93" s="17">
        <v>36085.11</v>
      </c>
      <c r="D93" s="17" t="s">
        <v>939</v>
      </c>
      <c r="E93" s="17">
        <v>275327.33</v>
      </c>
      <c r="F93" s="17"/>
      <c r="G93" s="143">
        <f t="shared" si="3"/>
        <v>239242.22000000003</v>
      </c>
      <c r="H93" s="165">
        <f t="shared" si="3"/>
        <v>0</v>
      </c>
    </row>
    <row r="94" spans="1:8" ht="15.75">
      <c r="A94" s="82">
        <f t="shared" si="2"/>
        <v>88</v>
      </c>
      <c r="B94" s="13" t="s">
        <v>150</v>
      </c>
      <c r="C94" s="17" t="s">
        <v>939</v>
      </c>
      <c r="D94" s="17" t="s">
        <v>939</v>
      </c>
      <c r="E94" s="17">
        <v>0</v>
      </c>
      <c r="F94" s="17"/>
      <c r="G94" s="143">
        <f t="shared" si="3"/>
        <v>0</v>
      </c>
      <c r="H94" s="165">
        <f t="shared" si="3"/>
        <v>0</v>
      </c>
    </row>
    <row r="95" spans="1:8" ht="15.75">
      <c r="A95" s="82">
        <f t="shared" si="2"/>
        <v>89</v>
      </c>
      <c r="B95" s="13" t="s">
        <v>151</v>
      </c>
      <c r="C95" s="17">
        <v>68756.1</v>
      </c>
      <c r="D95" s="17" t="s">
        <v>939</v>
      </c>
      <c r="E95" s="17">
        <v>54981.2</v>
      </c>
      <c r="F95" s="17"/>
      <c r="G95" s="143">
        <f t="shared" si="3"/>
        <v>-13774.900000000009</v>
      </c>
      <c r="H95" s="165">
        <f t="shared" si="3"/>
        <v>0</v>
      </c>
    </row>
    <row r="96" spans="1:8" ht="15.75">
      <c r="A96" s="82">
        <f t="shared" si="2"/>
        <v>90</v>
      </c>
      <c r="B96" s="84" t="s">
        <v>885</v>
      </c>
      <c r="C96" s="17" t="s">
        <v>939</v>
      </c>
      <c r="D96" s="17" t="s">
        <v>939</v>
      </c>
      <c r="E96" s="17">
        <v>0</v>
      </c>
      <c r="F96" s="17"/>
      <c r="G96" s="143">
        <f t="shared" si="3"/>
        <v>0</v>
      </c>
      <c r="H96" s="165">
        <f t="shared" si="3"/>
        <v>0</v>
      </c>
    </row>
    <row r="97" spans="1:8" ht="15.75">
      <c r="A97" s="82">
        <f t="shared" si="2"/>
        <v>91</v>
      </c>
      <c r="B97" s="84" t="s">
        <v>891</v>
      </c>
      <c r="C97" s="17" t="s">
        <v>939</v>
      </c>
      <c r="D97" s="17" t="s">
        <v>939</v>
      </c>
      <c r="E97" s="17">
        <v>0</v>
      </c>
      <c r="F97" s="17"/>
      <c r="G97" s="143">
        <f t="shared" si="3"/>
        <v>0</v>
      </c>
      <c r="H97" s="165">
        <f t="shared" si="3"/>
        <v>0</v>
      </c>
    </row>
    <row r="98" spans="1:8" ht="15.75">
      <c r="A98" s="82">
        <f t="shared" si="2"/>
        <v>92</v>
      </c>
      <c r="B98" s="28" t="s">
        <v>221</v>
      </c>
      <c r="C98" s="17">
        <v>7600</v>
      </c>
      <c r="D98" s="17" t="s">
        <v>939</v>
      </c>
      <c r="E98" s="17">
        <v>15905</v>
      </c>
      <c r="F98" s="17"/>
      <c r="G98" s="143">
        <f t="shared" si="3"/>
        <v>8305</v>
      </c>
      <c r="H98" s="165">
        <f t="shared" si="3"/>
        <v>0</v>
      </c>
    </row>
    <row r="99" spans="1:8" ht="15.75">
      <c r="A99" s="82" t="s">
        <v>338</v>
      </c>
      <c r="B99" s="28" t="s">
        <v>776</v>
      </c>
      <c r="C99" s="17">
        <v>1568568.1899999995</v>
      </c>
      <c r="D99" s="17">
        <v>67091.58</v>
      </c>
      <c r="E99" s="17">
        <v>1161869.15</v>
      </c>
      <c r="F99" s="17">
        <f>50674.96+1399.11</f>
        <v>52074.07</v>
      </c>
      <c r="G99" s="143">
        <f t="shared" si="3"/>
        <v>-406699.0399999996</v>
      </c>
      <c r="H99" s="165">
        <f t="shared" si="3"/>
        <v>-15017.510000000002</v>
      </c>
    </row>
    <row r="100" spans="1:8" ht="15.75">
      <c r="A100" s="82">
        <f>A98+1</f>
        <v>93</v>
      </c>
      <c r="B100" s="18" t="s">
        <v>236</v>
      </c>
      <c r="C100" s="17">
        <v>11222.55</v>
      </c>
      <c r="D100" s="17">
        <v>32206.27</v>
      </c>
      <c r="E100" s="17">
        <v>29205.05</v>
      </c>
      <c r="F100" s="17">
        <f>29488.55+19.8</f>
        <v>29508.35</v>
      </c>
      <c r="G100" s="143">
        <f t="shared" si="3"/>
        <v>17982.5</v>
      </c>
      <c r="H100" s="165">
        <f t="shared" si="3"/>
        <v>-2697.920000000002</v>
      </c>
    </row>
    <row r="101" spans="1:8" ht="32.25" thickBot="1">
      <c r="A101" s="47">
        <f t="shared" si="2"/>
        <v>94</v>
      </c>
      <c r="B101" s="14" t="s">
        <v>16</v>
      </c>
      <c r="C101" s="118">
        <f>C6+C19+C27+C32+C40+C43+C44+C60+C66+C67+C68+SUM(C75:C79)+C89+C98+C100+C99</f>
        <v>35658137.74999999</v>
      </c>
      <c r="D101" s="118">
        <f>D6+D19+D27+D32+D40+D43+D44+D60+D66+D67+D68+SUM(D75:D79)+D89+D98+D100+D99</f>
        <v>1107671.49</v>
      </c>
      <c r="E101" s="118">
        <f>E6+E19+E27+E32+E40+E43+E44+E60+E66+E67+E68+SUM(E75:E79)+E89+E98+E100+E99</f>
        <v>39352002.58</v>
      </c>
      <c r="F101" s="118">
        <f>F6+F19+F27+F32+F40+F43+F44+F60+F66+F67+F68+SUM(F75:F79)+F89+F98+F100+F99</f>
        <v>1080736.0299999998</v>
      </c>
      <c r="G101" s="118">
        <f>E101-C101</f>
        <v>3693864.8300000057</v>
      </c>
      <c r="H101" s="178">
        <f>F101-D101</f>
        <v>-26935.460000000196</v>
      </c>
    </row>
    <row r="102" spans="1:6" ht="15.75">
      <c r="A102" s="179"/>
      <c r="D102" s="181"/>
      <c r="F102" s="181"/>
    </row>
    <row r="103" spans="1:9" s="177" customFormat="1" ht="27" customHeight="1">
      <c r="A103" s="475" t="s">
        <v>152</v>
      </c>
      <c r="B103" s="476"/>
      <c r="C103" s="476"/>
      <c r="D103" s="476"/>
      <c r="E103" s="476"/>
      <c r="F103" s="476"/>
      <c r="G103" s="476"/>
      <c r="H103" s="477"/>
      <c r="I103" s="11"/>
    </row>
    <row r="973" ht="15.75">
      <c r="F973" s="11" t="s">
        <v>332</v>
      </c>
    </row>
    <row r="992" ht="15.75">
      <c r="D992" s="11" t="s">
        <v>331</v>
      </c>
    </row>
  </sheetData>
  <sheetProtection/>
  <mergeCells count="8">
    <mergeCell ref="A103:H103"/>
    <mergeCell ref="A1:H1"/>
    <mergeCell ref="A2:H2"/>
    <mergeCell ref="A3:A4"/>
    <mergeCell ref="B3:B4"/>
    <mergeCell ref="C3:D3"/>
    <mergeCell ref="E3:F3"/>
    <mergeCell ref="G3:H3"/>
  </mergeCells>
  <printOptions gridLines="1"/>
  <pageMargins left="0.7480314960629921" right="0.7480314960629921" top="0.4330708661417323" bottom="0.3937007874015748" header="0.3937007874015748" footer="0.2362204724409449"/>
  <pageSetup fitToHeight="3" fitToWidth="3" horizontalDpi="600" verticalDpi="600" orientation="landscape" paperSize="9" scale="60" r:id="rId3"/>
  <rowBreaks count="2" manualBreakCount="2">
    <brk id="39" max="7" man="1"/>
    <brk id="74" max="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37"/>
  <sheetViews>
    <sheetView zoomScalePageLayoutView="0" workbookViewId="0" topLeftCell="A1">
      <pane xSplit="2" ySplit="6" topLeftCell="C22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M26" sqref="M26"/>
    </sheetView>
  </sheetViews>
  <sheetFormatPr defaultColWidth="9.140625" defaultRowHeight="12.75"/>
  <cols>
    <col min="1" max="1" width="5.57421875" style="132" customWidth="1"/>
    <col min="2" max="2" width="65.421875" style="133" customWidth="1"/>
    <col min="3" max="3" width="14.7109375" style="37" customWidth="1"/>
    <col min="4" max="4" width="14.00390625" style="37" customWidth="1"/>
    <col min="5" max="5" width="15.8515625" style="37" customWidth="1"/>
    <col min="6" max="6" width="15.7109375" style="37" customWidth="1"/>
    <col min="7" max="7" width="19.140625" style="37" customWidth="1"/>
    <col min="8" max="8" width="18.7109375" style="37" customWidth="1"/>
    <col min="9" max="9" width="18.8515625" style="37" customWidth="1"/>
    <col min="10" max="10" width="17.7109375" style="37" bestFit="1" customWidth="1"/>
    <col min="11" max="16384" width="9.140625" style="37" customWidth="1"/>
  </cols>
  <sheetData>
    <row r="1" spans="1:10" ht="34.5" customHeight="1">
      <c r="A1" s="489" t="s">
        <v>823</v>
      </c>
      <c r="B1" s="490"/>
      <c r="C1" s="490"/>
      <c r="D1" s="490"/>
      <c r="E1" s="490"/>
      <c r="F1" s="490"/>
      <c r="G1" s="490"/>
      <c r="H1" s="490"/>
      <c r="I1" s="490"/>
      <c r="J1" s="491"/>
    </row>
    <row r="2" spans="1:10" ht="35.25" customHeight="1">
      <c r="A2" s="453" t="s">
        <v>987</v>
      </c>
      <c r="B2" s="454"/>
      <c r="C2" s="454"/>
      <c r="D2" s="454"/>
      <c r="E2" s="454"/>
      <c r="F2" s="454"/>
      <c r="G2" s="454"/>
      <c r="H2" s="454"/>
      <c r="I2" s="454"/>
      <c r="J2" s="455"/>
    </row>
    <row r="3" spans="1:10" ht="42.75" customHeight="1">
      <c r="A3" s="494" t="s">
        <v>189</v>
      </c>
      <c r="B3" s="493" t="s">
        <v>201</v>
      </c>
      <c r="C3" s="492" t="s">
        <v>824</v>
      </c>
      <c r="D3" s="492"/>
      <c r="E3" s="492"/>
      <c r="F3" s="492"/>
      <c r="G3" s="492" t="s">
        <v>805</v>
      </c>
      <c r="H3" s="492" t="s">
        <v>259</v>
      </c>
      <c r="I3" s="492" t="s">
        <v>807</v>
      </c>
      <c r="J3" s="495" t="s">
        <v>808</v>
      </c>
    </row>
    <row r="4" spans="1:10" ht="34.5" customHeight="1">
      <c r="A4" s="494"/>
      <c r="B4" s="493"/>
      <c r="C4" s="492" t="s">
        <v>199</v>
      </c>
      <c r="D4" s="2" t="s">
        <v>259</v>
      </c>
      <c r="E4" s="492" t="s">
        <v>200</v>
      </c>
      <c r="F4" s="492" t="s">
        <v>171</v>
      </c>
      <c r="G4" s="492"/>
      <c r="H4" s="492"/>
      <c r="I4" s="492"/>
      <c r="J4" s="495"/>
    </row>
    <row r="5" spans="1:10" s="182" customFormat="1" ht="63">
      <c r="A5" s="494"/>
      <c r="B5" s="493"/>
      <c r="C5" s="492"/>
      <c r="D5" s="2" t="s">
        <v>765</v>
      </c>
      <c r="E5" s="492"/>
      <c r="F5" s="492"/>
      <c r="G5" s="492"/>
      <c r="H5" s="2" t="s">
        <v>806</v>
      </c>
      <c r="I5" s="492"/>
      <c r="J5" s="495"/>
    </row>
    <row r="6" spans="1:10" s="183" customFormat="1" ht="18" customHeight="1">
      <c r="A6" s="50"/>
      <c r="B6" s="15"/>
      <c r="C6" s="2" t="s">
        <v>245</v>
      </c>
      <c r="D6" s="2" t="s">
        <v>246</v>
      </c>
      <c r="E6" s="2" t="s">
        <v>247</v>
      </c>
      <c r="F6" s="2" t="s">
        <v>172</v>
      </c>
      <c r="G6" s="2" t="s">
        <v>248</v>
      </c>
      <c r="H6" s="2" t="s">
        <v>249</v>
      </c>
      <c r="I6" s="2" t="s">
        <v>250</v>
      </c>
      <c r="J6" s="1" t="s">
        <v>173</v>
      </c>
    </row>
    <row r="7" spans="1:10" s="83" customFormat="1" ht="15.75">
      <c r="A7" s="9">
        <v>1</v>
      </c>
      <c r="B7" s="15" t="s">
        <v>242</v>
      </c>
      <c r="C7" s="138">
        <f>SUM(C8:C12)</f>
        <v>588</v>
      </c>
      <c r="D7" s="138">
        <f>SUM(D8:D12)</f>
        <v>585.8</v>
      </c>
      <c r="E7" s="138">
        <f>SUM(E8:E12)</f>
        <v>23.340000000000003</v>
      </c>
      <c r="F7" s="138">
        <f aca="true" t="shared" si="0" ref="F7:F13">C7+E7</f>
        <v>611.34</v>
      </c>
      <c r="G7" s="138">
        <f>SUM(G8:G12)</f>
        <v>7792864.46</v>
      </c>
      <c r="H7" s="138">
        <f>SUM(H8:H12)</f>
        <v>7349186.7700000005</v>
      </c>
      <c r="I7" s="138">
        <f>SUM(I8:I12)</f>
        <v>1282352.68</v>
      </c>
      <c r="J7" s="166">
        <f aca="true" t="shared" si="1" ref="J7:J13">G7+I7</f>
        <v>9075217.14</v>
      </c>
    </row>
    <row r="8" spans="1:10" ht="15.75">
      <c r="A8" s="9">
        <v>2</v>
      </c>
      <c r="B8" s="12" t="s">
        <v>202</v>
      </c>
      <c r="C8" s="184">
        <v>99</v>
      </c>
      <c r="D8" s="184">
        <v>98.1</v>
      </c>
      <c r="E8" s="184">
        <v>5.3</v>
      </c>
      <c r="F8" s="138">
        <f t="shared" si="0"/>
        <v>104.3</v>
      </c>
      <c r="G8" s="184">
        <v>2010024.11</v>
      </c>
      <c r="H8" s="184">
        <v>1833900.56</v>
      </c>
      <c r="I8" s="184">
        <v>402927.14</v>
      </c>
      <c r="J8" s="166">
        <f t="shared" si="1"/>
        <v>2412951.25</v>
      </c>
    </row>
    <row r="9" spans="1:10" ht="15.75">
      <c r="A9" s="9">
        <v>3</v>
      </c>
      <c r="B9" s="12" t="s">
        <v>203</v>
      </c>
      <c r="C9" s="184">
        <v>120.69</v>
      </c>
      <c r="D9" s="184">
        <v>120.6</v>
      </c>
      <c r="E9" s="184">
        <v>6.28</v>
      </c>
      <c r="F9" s="138">
        <f t="shared" si="0"/>
        <v>126.97</v>
      </c>
      <c r="G9" s="184">
        <v>1854009.49</v>
      </c>
      <c r="H9" s="184">
        <v>1737262.18</v>
      </c>
      <c r="I9" s="184">
        <v>303774.98</v>
      </c>
      <c r="J9" s="166">
        <f t="shared" si="1"/>
        <v>2157784.4699999997</v>
      </c>
    </row>
    <row r="10" spans="1:10" ht="15.75">
      <c r="A10" s="9">
        <v>4</v>
      </c>
      <c r="B10" s="12" t="s">
        <v>204</v>
      </c>
      <c r="C10" s="184">
        <v>311</v>
      </c>
      <c r="D10" s="184">
        <v>309.8</v>
      </c>
      <c r="E10" s="184">
        <v>10.91</v>
      </c>
      <c r="F10" s="138">
        <f t="shared" si="0"/>
        <v>321.91</v>
      </c>
      <c r="G10" s="184">
        <v>3438396.66</v>
      </c>
      <c r="H10" s="184">
        <v>3291312.87</v>
      </c>
      <c r="I10" s="184">
        <v>522741.86</v>
      </c>
      <c r="J10" s="166">
        <f t="shared" si="1"/>
        <v>3961138.52</v>
      </c>
    </row>
    <row r="11" spans="1:10" ht="15.75">
      <c r="A11" s="9">
        <v>5</v>
      </c>
      <c r="B11" s="12" t="s">
        <v>205</v>
      </c>
      <c r="C11" s="184">
        <v>44</v>
      </c>
      <c r="D11" s="184">
        <v>44</v>
      </c>
      <c r="E11" s="184">
        <v>0.82</v>
      </c>
      <c r="F11" s="138">
        <f t="shared" si="0"/>
        <v>44.82</v>
      </c>
      <c r="G11" s="184">
        <v>374042.01</v>
      </c>
      <c r="H11" s="184">
        <v>370718.67</v>
      </c>
      <c r="I11" s="184">
        <v>43009.78</v>
      </c>
      <c r="J11" s="166">
        <f t="shared" si="1"/>
        <v>417051.79000000004</v>
      </c>
    </row>
    <row r="12" spans="1:10" ht="15.75">
      <c r="A12" s="9">
        <v>6</v>
      </c>
      <c r="B12" s="12" t="s">
        <v>206</v>
      </c>
      <c r="C12" s="184">
        <v>13.31</v>
      </c>
      <c r="D12" s="184">
        <v>13.3</v>
      </c>
      <c r="E12" s="184">
        <v>0.03</v>
      </c>
      <c r="F12" s="138">
        <f t="shared" si="0"/>
        <v>13.34</v>
      </c>
      <c r="G12" s="184">
        <v>116392.19</v>
      </c>
      <c r="H12" s="184">
        <v>115992.49</v>
      </c>
      <c r="I12" s="184">
        <v>9898.92</v>
      </c>
      <c r="J12" s="166">
        <f t="shared" si="1"/>
        <v>126291.11</v>
      </c>
    </row>
    <row r="13" spans="1:10" ht="15.75">
      <c r="A13" s="9">
        <v>7</v>
      </c>
      <c r="B13" s="15" t="s">
        <v>42</v>
      </c>
      <c r="C13" s="184">
        <v>178.58</v>
      </c>
      <c r="D13" s="184">
        <v>170</v>
      </c>
      <c r="E13" s="184">
        <v>24.57</v>
      </c>
      <c r="F13" s="138">
        <f t="shared" si="0"/>
        <v>203.15</v>
      </c>
      <c r="G13" s="184">
        <v>1455234.69</v>
      </c>
      <c r="H13" s="184">
        <v>1310272.64</v>
      </c>
      <c r="I13" s="184">
        <v>328815</v>
      </c>
      <c r="J13" s="166">
        <f t="shared" si="1"/>
        <v>1784049.69</v>
      </c>
    </row>
    <row r="14" spans="1:10" ht="15.75">
      <c r="A14" s="9"/>
      <c r="B14" s="12" t="s">
        <v>259</v>
      </c>
      <c r="C14" s="184"/>
      <c r="D14" s="184"/>
      <c r="E14" s="184"/>
      <c r="F14" s="138"/>
      <c r="G14" s="184"/>
      <c r="H14" s="184"/>
      <c r="I14" s="184"/>
      <c r="J14" s="166"/>
    </row>
    <row r="15" spans="1:10" ht="15.75">
      <c r="A15" s="9">
        <v>8</v>
      </c>
      <c r="B15" s="12" t="s">
        <v>46</v>
      </c>
      <c r="C15" s="184">
        <v>41.03</v>
      </c>
      <c r="D15" s="184">
        <v>39.13</v>
      </c>
      <c r="E15" s="184">
        <v>5.42</v>
      </c>
      <c r="F15" s="138">
        <f aca="true" t="shared" si="2" ref="F15:F21">C15+E15</f>
        <v>46.45</v>
      </c>
      <c r="G15" s="184">
        <v>412123.42</v>
      </c>
      <c r="H15" s="184">
        <v>375639.47</v>
      </c>
      <c r="I15" s="184">
        <v>107424.76</v>
      </c>
      <c r="J15" s="166">
        <f aca="true" t="shared" si="3" ref="J15:J21">G15+I15</f>
        <v>519548.18</v>
      </c>
    </row>
    <row r="16" spans="1:10" ht="15.75">
      <c r="A16" s="9">
        <v>9</v>
      </c>
      <c r="B16" s="15" t="s">
        <v>243</v>
      </c>
      <c r="C16" s="138">
        <f>SUM(C17:C19)</f>
        <v>177.92000000000002</v>
      </c>
      <c r="D16" s="138">
        <f>SUM(D17:D19)</f>
        <v>176.8</v>
      </c>
      <c r="E16" s="138">
        <f>SUM(E17:E19)</f>
        <v>17.799999999999997</v>
      </c>
      <c r="F16" s="138">
        <f t="shared" si="2"/>
        <v>195.72000000000003</v>
      </c>
      <c r="G16" s="138">
        <f>SUM(G17:G19)</f>
        <v>1411421.5100000002</v>
      </c>
      <c r="H16" s="138">
        <f>SUM(H17:H19)</f>
        <v>1377896.88</v>
      </c>
      <c r="I16" s="138">
        <f>SUM(I17:I19)</f>
        <v>246954.21999999997</v>
      </c>
      <c r="J16" s="166">
        <f t="shared" si="3"/>
        <v>1658375.7300000002</v>
      </c>
    </row>
    <row r="17" spans="1:10" ht="15.75">
      <c r="A17" s="9">
        <v>10</v>
      </c>
      <c r="B17" s="12" t="s">
        <v>207</v>
      </c>
      <c r="C17" s="184">
        <v>62.51</v>
      </c>
      <c r="D17" s="184">
        <v>62.51</v>
      </c>
      <c r="E17" s="184">
        <v>4.27</v>
      </c>
      <c r="F17" s="138">
        <f t="shared" si="2"/>
        <v>66.78</v>
      </c>
      <c r="G17" s="184">
        <v>531083.06</v>
      </c>
      <c r="H17" s="184">
        <v>530079.17</v>
      </c>
      <c r="I17" s="184">
        <v>59391.05</v>
      </c>
      <c r="J17" s="166">
        <f t="shared" si="3"/>
        <v>590474.1100000001</v>
      </c>
    </row>
    <row r="18" spans="1:10" ht="15.75">
      <c r="A18" s="9">
        <v>11</v>
      </c>
      <c r="B18" s="12" t="s">
        <v>174</v>
      </c>
      <c r="C18" s="184">
        <v>63.74</v>
      </c>
      <c r="D18" s="184">
        <v>63.07</v>
      </c>
      <c r="E18" s="184">
        <v>10.03</v>
      </c>
      <c r="F18" s="138">
        <f t="shared" si="2"/>
        <v>73.77</v>
      </c>
      <c r="G18" s="184">
        <v>597056.58</v>
      </c>
      <c r="H18" s="184">
        <v>575440</v>
      </c>
      <c r="I18" s="184">
        <v>147487.18</v>
      </c>
      <c r="J18" s="166">
        <f t="shared" si="3"/>
        <v>744543.76</v>
      </c>
    </row>
    <row r="19" spans="1:10" ht="15.75">
      <c r="A19" s="9">
        <v>12</v>
      </c>
      <c r="B19" s="12" t="s">
        <v>155</v>
      </c>
      <c r="C19" s="184">
        <v>51.67</v>
      </c>
      <c r="D19" s="184">
        <v>51.22</v>
      </c>
      <c r="E19" s="184">
        <v>3.5</v>
      </c>
      <c r="F19" s="138">
        <f t="shared" si="2"/>
        <v>55.17</v>
      </c>
      <c r="G19" s="184">
        <v>283281.87</v>
      </c>
      <c r="H19" s="184">
        <v>272377.71</v>
      </c>
      <c r="I19" s="184">
        <v>40075.99</v>
      </c>
      <c r="J19" s="166">
        <f t="shared" si="3"/>
        <v>323357.86</v>
      </c>
    </row>
    <row r="20" spans="1:10" ht="15.75">
      <c r="A20" s="9">
        <v>13</v>
      </c>
      <c r="B20" s="15" t="s">
        <v>240</v>
      </c>
      <c r="C20" s="184">
        <v>87.8</v>
      </c>
      <c r="D20" s="184">
        <v>82.3</v>
      </c>
      <c r="E20" s="184">
        <v>12.54</v>
      </c>
      <c r="F20" s="138">
        <f t="shared" si="2"/>
        <v>100.34</v>
      </c>
      <c r="G20" s="184">
        <v>1005269.45</v>
      </c>
      <c r="H20" s="184">
        <v>876113.15</v>
      </c>
      <c r="I20" s="184">
        <v>314923.95</v>
      </c>
      <c r="J20" s="166">
        <f t="shared" si="3"/>
        <v>1320193.4</v>
      </c>
    </row>
    <row r="21" spans="1:10" ht="31.5">
      <c r="A21" s="9">
        <v>14</v>
      </c>
      <c r="B21" s="15" t="s">
        <v>43</v>
      </c>
      <c r="C21" s="184">
        <v>143.1</v>
      </c>
      <c r="D21" s="184">
        <v>143.1</v>
      </c>
      <c r="E21" s="184">
        <v>12.2</v>
      </c>
      <c r="F21" s="138">
        <f t="shared" si="2"/>
        <v>155.29999999999998</v>
      </c>
      <c r="G21" s="184">
        <v>736537.39</v>
      </c>
      <c r="H21" s="184">
        <v>736537.39</v>
      </c>
      <c r="I21" s="184">
        <v>129809.87</v>
      </c>
      <c r="J21" s="166">
        <f t="shared" si="3"/>
        <v>866347.26</v>
      </c>
    </row>
    <row r="22" spans="1:10" ht="47.25">
      <c r="A22" s="9">
        <v>15</v>
      </c>
      <c r="B22" s="15" t="s">
        <v>277</v>
      </c>
      <c r="C22" s="138">
        <f>SUM(C23:C26)</f>
        <v>43.17</v>
      </c>
      <c r="D22" s="138">
        <f>SUM(D23:D26)</f>
        <v>43.17</v>
      </c>
      <c r="E22" s="138">
        <f>SUM(E23:E26)</f>
        <v>4.8</v>
      </c>
      <c r="F22" s="138">
        <f>SUM(F27:F27)</f>
        <v>0</v>
      </c>
      <c r="G22" s="138">
        <f>SUM(G23:G26)</f>
        <v>286772.91000000003</v>
      </c>
      <c r="H22" s="138">
        <f>SUM(H23:H26)</f>
        <v>286772.91000000003</v>
      </c>
      <c r="I22" s="138">
        <f>SUM(I23:I26)</f>
        <v>47316.2</v>
      </c>
      <c r="J22" s="166">
        <f>SUM(J23:J26)</f>
        <v>334089.11000000004</v>
      </c>
    </row>
    <row r="23" spans="1:11" ht="15.75">
      <c r="A23" s="9" t="s">
        <v>241</v>
      </c>
      <c r="B23" s="12" t="s">
        <v>1015</v>
      </c>
      <c r="C23" s="184">
        <v>5.67</v>
      </c>
      <c r="D23" s="184">
        <v>5.67</v>
      </c>
      <c r="E23" s="184"/>
      <c r="F23" s="138">
        <f aca="true" t="shared" si="4" ref="F23:F29">C23+E23</f>
        <v>5.67</v>
      </c>
      <c r="G23" s="184">
        <v>65993.46</v>
      </c>
      <c r="H23" s="184">
        <v>65993.46</v>
      </c>
      <c r="I23" s="184">
        <v>9504</v>
      </c>
      <c r="J23" s="166">
        <f>G23+I23</f>
        <v>75497.46</v>
      </c>
      <c r="K23" s="449"/>
    </row>
    <row r="24" spans="1:11" ht="15.75">
      <c r="A24" s="9" t="s">
        <v>343</v>
      </c>
      <c r="B24" s="12" t="s">
        <v>1016</v>
      </c>
      <c r="C24" s="184">
        <v>37.5</v>
      </c>
      <c r="D24" s="184">
        <v>37.5</v>
      </c>
      <c r="E24" s="184">
        <v>4.8</v>
      </c>
      <c r="F24" s="138">
        <f t="shared" si="4"/>
        <v>42.3</v>
      </c>
      <c r="G24" s="184">
        <v>220779.45</v>
      </c>
      <c r="H24" s="184">
        <v>220779.45</v>
      </c>
      <c r="I24" s="184">
        <v>37812.2</v>
      </c>
      <c r="J24" s="166">
        <f>G24+I24</f>
        <v>258591.65000000002</v>
      </c>
      <c r="K24" s="449"/>
    </row>
    <row r="25" spans="1:10" ht="15.75">
      <c r="A25" s="9" t="s">
        <v>344</v>
      </c>
      <c r="B25" s="12"/>
      <c r="C25" s="184"/>
      <c r="D25" s="184"/>
      <c r="E25" s="184"/>
      <c r="F25" s="138">
        <f t="shared" si="4"/>
        <v>0</v>
      </c>
      <c r="G25" s="184"/>
      <c r="H25" s="184"/>
      <c r="I25" s="184"/>
      <c r="J25" s="166">
        <f>G25+I25</f>
        <v>0</v>
      </c>
    </row>
    <row r="26" spans="1:10" ht="16.5" customHeight="1">
      <c r="A26" s="9" t="s">
        <v>345</v>
      </c>
      <c r="B26" s="12"/>
      <c r="C26" s="184"/>
      <c r="D26" s="184"/>
      <c r="E26" s="184"/>
      <c r="F26" s="138">
        <f t="shared" si="4"/>
        <v>0</v>
      </c>
      <c r="G26" s="184"/>
      <c r="H26" s="184"/>
      <c r="I26" s="184"/>
      <c r="J26" s="166">
        <f>G26+I26</f>
        <v>0</v>
      </c>
    </row>
    <row r="27" spans="1:10" ht="15.75">
      <c r="A27" s="9"/>
      <c r="B27" s="12"/>
      <c r="C27" s="184"/>
      <c r="D27" s="184"/>
      <c r="E27" s="184"/>
      <c r="F27" s="138">
        <f t="shared" si="4"/>
        <v>0</v>
      </c>
      <c r="G27" s="184"/>
      <c r="H27" s="184"/>
      <c r="I27" s="184"/>
      <c r="J27" s="166"/>
    </row>
    <row r="28" spans="1:10" ht="15.75">
      <c r="A28" s="9">
        <v>16</v>
      </c>
      <c r="B28" s="15" t="s">
        <v>44</v>
      </c>
      <c r="C28" s="184">
        <v>50.7</v>
      </c>
      <c r="D28" s="184">
        <v>50.7</v>
      </c>
      <c r="E28" s="184">
        <v>8.74</v>
      </c>
      <c r="F28" s="138">
        <f t="shared" si="4"/>
        <v>59.440000000000005</v>
      </c>
      <c r="G28" s="184">
        <v>282213.95</v>
      </c>
      <c r="H28" s="184">
        <v>282213.95</v>
      </c>
      <c r="I28" s="184">
        <v>71838.48</v>
      </c>
      <c r="J28" s="166">
        <f>G28+I28</f>
        <v>354052.43</v>
      </c>
    </row>
    <row r="29" spans="1:10" ht="15.75">
      <c r="A29" s="9">
        <v>17</v>
      </c>
      <c r="B29" s="15" t="s">
        <v>45</v>
      </c>
      <c r="C29" s="184"/>
      <c r="D29" s="184"/>
      <c r="E29" s="184">
        <v>22.41</v>
      </c>
      <c r="F29" s="138">
        <f t="shared" si="4"/>
        <v>22.41</v>
      </c>
      <c r="G29" s="184"/>
      <c r="H29" s="184"/>
      <c r="I29" s="184">
        <v>119281.55</v>
      </c>
      <c r="J29" s="166">
        <f>G29+I29</f>
        <v>119281.55</v>
      </c>
    </row>
    <row r="30" spans="1:10" ht="16.5" thickBot="1">
      <c r="A30" s="89">
        <v>18</v>
      </c>
      <c r="B30" s="16" t="s">
        <v>278</v>
      </c>
      <c r="C30" s="118">
        <f aca="true" t="shared" si="5" ref="C30:J30">C7+C13+C16+C20+C21+C28+C29</f>
        <v>1226.1</v>
      </c>
      <c r="D30" s="118">
        <f t="shared" si="5"/>
        <v>1208.6999999999998</v>
      </c>
      <c r="E30" s="118">
        <f t="shared" si="5"/>
        <v>121.6</v>
      </c>
      <c r="F30" s="118">
        <f t="shared" si="5"/>
        <v>1347.7</v>
      </c>
      <c r="G30" s="118">
        <f t="shared" si="5"/>
        <v>12683541.45</v>
      </c>
      <c r="H30" s="118">
        <f t="shared" si="5"/>
        <v>11932220.78</v>
      </c>
      <c r="I30" s="118">
        <f t="shared" si="5"/>
        <v>2493975.75</v>
      </c>
      <c r="J30" s="178">
        <f t="shared" si="5"/>
        <v>15177517.200000001</v>
      </c>
    </row>
    <row r="31" spans="1:10" ht="15.75">
      <c r="A31" s="126"/>
      <c r="B31" s="126"/>
      <c r="C31" s="185"/>
      <c r="D31" s="185"/>
      <c r="E31" s="126"/>
      <c r="F31" s="185"/>
      <c r="G31" s="185"/>
      <c r="H31" s="185"/>
      <c r="I31" s="186"/>
      <c r="J31" s="185"/>
    </row>
    <row r="32" spans="1:10" ht="15.75">
      <c r="A32" s="496" t="s">
        <v>1009</v>
      </c>
      <c r="B32" s="497"/>
      <c r="C32" s="497"/>
      <c r="D32" s="497"/>
      <c r="E32" s="497"/>
      <c r="F32" s="497"/>
      <c r="G32" s="497"/>
      <c r="H32" s="497"/>
      <c r="I32" s="497"/>
      <c r="J32" s="498"/>
    </row>
    <row r="34" spans="2:10" ht="50.25" customHeight="1">
      <c r="B34" s="488" t="s">
        <v>811</v>
      </c>
      <c r="C34" s="488"/>
      <c r="D34" s="488"/>
      <c r="E34" s="488"/>
      <c r="F34" s="488"/>
      <c r="G34" s="488"/>
      <c r="H34" s="488"/>
      <c r="I34" s="488"/>
      <c r="J34" s="488"/>
    </row>
    <row r="35" ht="15.75">
      <c r="B35" s="187" t="s">
        <v>799</v>
      </c>
    </row>
    <row r="36" ht="15.75">
      <c r="B36" s="187" t="s">
        <v>800</v>
      </c>
    </row>
    <row r="37" ht="15.75">
      <c r="B37" s="187" t="s">
        <v>801</v>
      </c>
    </row>
  </sheetData>
  <sheetProtection/>
  <mergeCells count="14">
    <mergeCell ref="J3:J5"/>
    <mergeCell ref="A32:J32"/>
    <mergeCell ref="C3:F3"/>
    <mergeCell ref="H3:H4"/>
    <mergeCell ref="B34:J34"/>
    <mergeCell ref="A1:J1"/>
    <mergeCell ref="A2:J2"/>
    <mergeCell ref="G3:G5"/>
    <mergeCell ref="I3:I5"/>
    <mergeCell ref="C4:C5"/>
    <mergeCell ref="E4:E5"/>
    <mergeCell ref="F4:F5"/>
    <mergeCell ref="B3:B5"/>
    <mergeCell ref="A3:A5"/>
  </mergeCells>
  <printOptions gridLines="1"/>
  <pageMargins left="0.47" right="0.31" top="0.75" bottom="0.41" header="0.5118110236220472" footer="0.28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H21"/>
  <sheetViews>
    <sheetView zoomScale="90" zoomScaleNormal="90" zoomScalePageLayoutView="0" workbookViewId="0" topLeftCell="A1">
      <pane xSplit="2" ySplit="5" topLeftCell="C6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H8" sqref="H8"/>
    </sheetView>
  </sheetViews>
  <sheetFormatPr defaultColWidth="9.140625" defaultRowHeight="12.75"/>
  <cols>
    <col min="1" max="1" width="9.140625" style="188" customWidth="1"/>
    <col min="2" max="2" width="70.421875" style="188" customWidth="1"/>
    <col min="3" max="3" width="23.140625" style="188" customWidth="1"/>
    <col min="4" max="4" width="23.8515625" style="188" customWidth="1"/>
    <col min="5" max="5" width="24.57421875" style="188" bestFit="1" customWidth="1"/>
    <col min="6" max="6" width="24.421875" style="188" customWidth="1"/>
    <col min="7" max="7" width="24.00390625" style="188" customWidth="1"/>
    <col min="8" max="16384" width="9.140625" style="188" customWidth="1"/>
  </cols>
  <sheetData>
    <row r="1" spans="1:6" ht="48" customHeight="1" thickBot="1">
      <c r="A1" s="505" t="s">
        <v>825</v>
      </c>
      <c r="B1" s="505"/>
      <c r="C1" s="505"/>
      <c r="D1" s="505"/>
      <c r="E1" s="505"/>
      <c r="F1" s="505"/>
    </row>
    <row r="2" spans="1:7" ht="44.25" customHeight="1" thickBot="1">
      <c r="A2" s="502" t="s">
        <v>1004</v>
      </c>
      <c r="B2" s="503"/>
      <c r="C2" s="503"/>
      <c r="D2" s="503"/>
      <c r="E2" s="503"/>
      <c r="F2" s="503"/>
      <c r="G2" s="504"/>
    </row>
    <row r="3" spans="1:7" ht="48.75" customHeight="1">
      <c r="A3" s="506" t="s">
        <v>189</v>
      </c>
      <c r="B3" s="509" t="s">
        <v>283</v>
      </c>
      <c r="C3" s="512" t="s">
        <v>893</v>
      </c>
      <c r="D3" s="513"/>
      <c r="E3" s="516" t="s">
        <v>989</v>
      </c>
      <c r="F3" s="516" t="s">
        <v>990</v>
      </c>
      <c r="G3" s="499" t="s">
        <v>187</v>
      </c>
    </row>
    <row r="4" spans="1:7" ht="24" customHeight="1">
      <c r="A4" s="507"/>
      <c r="B4" s="510"/>
      <c r="C4" s="514" t="s">
        <v>295</v>
      </c>
      <c r="D4" s="515"/>
      <c r="E4" s="517"/>
      <c r="F4" s="517"/>
      <c r="G4" s="500"/>
    </row>
    <row r="5" spans="1:7" ht="48" thickBot="1">
      <c r="A5" s="508"/>
      <c r="B5" s="511"/>
      <c r="C5" s="189" t="s">
        <v>769</v>
      </c>
      <c r="D5" s="190" t="s">
        <v>894</v>
      </c>
      <c r="E5" s="518"/>
      <c r="F5" s="518"/>
      <c r="G5" s="501"/>
    </row>
    <row r="6" spans="1:7" ht="26.25" customHeight="1">
      <c r="A6" s="191"/>
      <c r="B6" s="192"/>
      <c r="C6" s="193" t="s">
        <v>245</v>
      </c>
      <c r="D6" s="193" t="s">
        <v>246</v>
      </c>
      <c r="E6" s="193" t="s">
        <v>247</v>
      </c>
      <c r="F6" s="194" t="s">
        <v>253</v>
      </c>
      <c r="G6" s="195" t="s">
        <v>895</v>
      </c>
    </row>
    <row r="7" spans="1:7" ht="21.75" customHeight="1">
      <c r="A7" s="196">
        <v>1</v>
      </c>
      <c r="B7" s="197" t="s">
        <v>768</v>
      </c>
      <c r="C7" s="138">
        <f>C8+C11</f>
        <v>1784977</v>
      </c>
      <c r="D7" s="138">
        <f>D8+D11</f>
        <v>108460.79999999999</v>
      </c>
      <c r="E7" s="138">
        <f>E8+E11</f>
        <v>32090.38</v>
      </c>
      <c r="F7" s="138">
        <f>F8+F11</f>
        <v>195527.16999999998</v>
      </c>
      <c r="G7" s="166">
        <f>SUM(C7:F7)</f>
        <v>2121055.35</v>
      </c>
    </row>
    <row r="8" spans="1:7" ht="57" customHeight="1">
      <c r="A8" s="196">
        <v>2</v>
      </c>
      <c r="B8" s="198" t="s">
        <v>349</v>
      </c>
      <c r="C8" s="138">
        <f>C9</f>
        <v>836581.5</v>
      </c>
      <c r="D8" s="138">
        <f>D10</f>
        <v>40388.26</v>
      </c>
      <c r="E8" s="138">
        <f>SUM(E9:E10)</f>
        <v>700</v>
      </c>
      <c r="F8" s="138">
        <f>SUM(F9:F10)</f>
        <v>170566</v>
      </c>
      <c r="G8" s="166">
        <f aca="true" t="shared" si="0" ref="G8:G17">SUM(C8:F8)</f>
        <v>1048235.76</v>
      </c>
    </row>
    <row r="9" spans="1:7" ht="51.75" customHeight="1">
      <c r="A9" s="196">
        <v>3</v>
      </c>
      <c r="B9" s="199" t="s">
        <v>991</v>
      </c>
      <c r="C9" s="17">
        <v>836581.5</v>
      </c>
      <c r="D9" s="10" t="s">
        <v>268</v>
      </c>
      <c r="E9" s="17">
        <v>0</v>
      </c>
      <c r="F9" s="200">
        <v>143526</v>
      </c>
      <c r="G9" s="166">
        <f t="shared" si="0"/>
        <v>980107.5</v>
      </c>
    </row>
    <row r="10" spans="1:7" ht="47.25">
      <c r="A10" s="196">
        <v>4</v>
      </c>
      <c r="B10" s="198" t="s">
        <v>992</v>
      </c>
      <c r="C10" s="10" t="s">
        <v>268</v>
      </c>
      <c r="D10" s="17">
        <v>40388.26</v>
      </c>
      <c r="E10" s="17">
        <v>700</v>
      </c>
      <c r="F10" s="200">
        <v>27040</v>
      </c>
      <c r="G10" s="166">
        <f t="shared" si="0"/>
        <v>68128.26000000001</v>
      </c>
    </row>
    <row r="11" spans="1:7" ht="51" customHeight="1">
      <c r="A11" s="196">
        <v>5</v>
      </c>
      <c r="B11" s="198" t="s">
        <v>760</v>
      </c>
      <c r="C11" s="138">
        <f>C12</f>
        <v>948395.5</v>
      </c>
      <c r="D11" s="138">
        <f>D13</f>
        <v>68072.54</v>
      </c>
      <c r="E11" s="138">
        <f>SUM(E12:E13)</f>
        <v>31390.38</v>
      </c>
      <c r="F11" s="138">
        <f>SUM(F12:F13)</f>
        <v>24961.17</v>
      </c>
      <c r="G11" s="166">
        <f>SUM(C11:E11)</f>
        <v>1047858.42</v>
      </c>
    </row>
    <row r="12" spans="1:7" ht="47.25" customHeight="1">
      <c r="A12" s="196">
        <v>6</v>
      </c>
      <c r="B12" s="199" t="s">
        <v>993</v>
      </c>
      <c r="C12" s="17">
        <v>948395.5</v>
      </c>
      <c r="D12" s="10" t="s">
        <v>268</v>
      </c>
      <c r="E12" s="17">
        <v>28420</v>
      </c>
      <c r="F12" s="17">
        <v>13050</v>
      </c>
      <c r="G12" s="166">
        <f t="shared" si="0"/>
        <v>989865.5</v>
      </c>
    </row>
    <row r="13" spans="1:8" s="37" customFormat="1" ht="46.5" customHeight="1">
      <c r="A13" s="196">
        <v>7</v>
      </c>
      <c r="B13" s="198" t="s">
        <v>994</v>
      </c>
      <c r="C13" s="10" t="s">
        <v>268</v>
      </c>
      <c r="D13" s="17">
        <v>68072.54</v>
      </c>
      <c r="E13" s="17">
        <v>2970.38</v>
      </c>
      <c r="F13" s="17">
        <v>11911.17</v>
      </c>
      <c r="G13" s="166">
        <f t="shared" si="0"/>
        <v>82954.09</v>
      </c>
      <c r="H13" s="188"/>
    </row>
    <row r="14" spans="1:7" ht="49.5" customHeight="1">
      <c r="A14" s="196">
        <v>8</v>
      </c>
      <c r="B14" s="41" t="s">
        <v>881</v>
      </c>
      <c r="C14" s="17">
        <v>53738.95</v>
      </c>
      <c r="D14" s="10" t="s">
        <v>268</v>
      </c>
      <c r="E14" s="10" t="s">
        <v>268</v>
      </c>
      <c r="F14" s="10" t="s">
        <v>268</v>
      </c>
      <c r="G14" s="166">
        <f>SUM(C14:F14)</f>
        <v>53738.95</v>
      </c>
    </row>
    <row r="15" spans="1:7" ht="31.5">
      <c r="A15" s="196">
        <v>9</v>
      </c>
      <c r="B15" s="198" t="s">
        <v>995</v>
      </c>
      <c r="C15" s="17">
        <v>1903158</v>
      </c>
      <c r="D15" s="17">
        <v>133050</v>
      </c>
      <c r="E15" s="10" t="s">
        <v>268</v>
      </c>
      <c r="F15" s="10" t="s">
        <v>268</v>
      </c>
      <c r="G15" s="166">
        <f t="shared" si="0"/>
        <v>2036208</v>
      </c>
    </row>
    <row r="16" spans="1:7" ht="39" customHeight="1">
      <c r="A16" s="196">
        <v>10</v>
      </c>
      <c r="B16" s="198" t="s">
        <v>996</v>
      </c>
      <c r="C16" s="17">
        <f>C14+C15-C7</f>
        <v>171919.94999999995</v>
      </c>
      <c r="D16" s="10" t="s">
        <v>268</v>
      </c>
      <c r="E16" s="10" t="s">
        <v>268</v>
      </c>
      <c r="F16" s="10" t="s">
        <v>268</v>
      </c>
      <c r="G16" s="166">
        <f t="shared" si="0"/>
        <v>171919.94999999995</v>
      </c>
    </row>
    <row r="17" spans="1:7" ht="21" customHeight="1">
      <c r="A17" s="196">
        <v>11</v>
      </c>
      <c r="B17" s="201" t="s">
        <v>997</v>
      </c>
      <c r="C17" s="17">
        <v>3330.56</v>
      </c>
      <c r="D17" s="10" t="s">
        <v>268</v>
      </c>
      <c r="E17" s="17">
        <v>51</v>
      </c>
      <c r="F17" s="200">
        <v>358.44</v>
      </c>
      <c r="G17" s="166">
        <f t="shared" si="0"/>
        <v>3740</v>
      </c>
    </row>
    <row r="18" spans="1:7" ht="21" customHeight="1" thickBot="1">
      <c r="A18" s="202">
        <v>12</v>
      </c>
      <c r="B18" s="203" t="s">
        <v>350</v>
      </c>
      <c r="C18" s="204">
        <f>IF(C17=0,0,+(C7+D7)/C17)</f>
        <v>568.5043356072252</v>
      </c>
      <c r="D18" s="111" t="s">
        <v>268</v>
      </c>
      <c r="E18" s="204">
        <f>IF(E17=0,0,+E7/E17)</f>
        <v>629.223137254902</v>
      </c>
      <c r="F18" s="204">
        <f>IF(F17=0,0,+F7/F17)</f>
        <v>545.4948387456757</v>
      </c>
      <c r="G18" s="178">
        <f>IF(G17=0,0,+G7/G17)</f>
        <v>567.1270989304813</v>
      </c>
    </row>
    <row r="20" ht="15.75">
      <c r="A20" s="205" t="s">
        <v>998</v>
      </c>
    </row>
    <row r="21" ht="15.75">
      <c r="A21" s="206"/>
    </row>
  </sheetData>
  <sheetProtection/>
  <mergeCells count="9">
    <mergeCell ref="G3:G5"/>
    <mergeCell ref="A2:G2"/>
    <mergeCell ref="A1:F1"/>
    <mergeCell ref="A3:A5"/>
    <mergeCell ref="B3:B5"/>
    <mergeCell ref="C3:D3"/>
    <mergeCell ref="C4:D4"/>
    <mergeCell ref="E3:E5"/>
    <mergeCell ref="F3:F5"/>
  </mergeCells>
  <printOptions/>
  <pageMargins left="0.45" right="0.33" top="0.7480314960629921" bottom="0.7480314960629921" header="0.31496062992125984" footer="0.31496062992125984"/>
  <pageSetup fitToHeight="1" fitToWidth="1" horizontalDpi="600" verticalDpi="600" orientation="landscape" paperSize="9" scale="67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15"/>
  <sheetViews>
    <sheetView zoomScalePageLayoutView="0" workbookViewId="0" topLeftCell="A1">
      <pane xSplit="2" ySplit="5" topLeftCell="C6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J11" sqref="J11"/>
    </sheetView>
  </sheetViews>
  <sheetFormatPr defaultColWidth="9.140625" defaultRowHeight="12.75"/>
  <cols>
    <col min="1" max="1" width="8.140625" style="37" customWidth="1"/>
    <col min="2" max="2" width="93.140625" style="219" customWidth="1"/>
    <col min="3" max="3" width="17.28125" style="37" customWidth="1"/>
    <col min="4" max="4" width="17.140625" style="37" customWidth="1"/>
    <col min="5" max="5" width="15.7109375" style="37" customWidth="1"/>
    <col min="6" max="6" width="18.00390625" style="37" customWidth="1"/>
    <col min="7" max="7" width="7.57421875" style="37" customWidth="1"/>
    <col min="8" max="16384" width="9.140625" style="37" customWidth="1"/>
  </cols>
  <sheetData>
    <row r="1" spans="1:8" ht="49.5" customHeight="1" thickBot="1">
      <c r="A1" s="525" t="s">
        <v>826</v>
      </c>
      <c r="B1" s="526"/>
      <c r="C1" s="526"/>
      <c r="D1" s="526"/>
      <c r="E1" s="526"/>
      <c r="F1" s="527"/>
      <c r="G1" s="207"/>
      <c r="H1" s="132"/>
    </row>
    <row r="2" spans="1:7" ht="36.75" customHeight="1">
      <c r="A2" s="481" t="s">
        <v>987</v>
      </c>
      <c r="B2" s="482"/>
      <c r="C2" s="482"/>
      <c r="D2" s="482"/>
      <c r="E2" s="482"/>
      <c r="F2" s="483"/>
      <c r="G2" s="124"/>
    </row>
    <row r="3" spans="1:7" ht="33" customHeight="1">
      <c r="A3" s="534" t="s">
        <v>189</v>
      </c>
      <c r="B3" s="532" t="s">
        <v>283</v>
      </c>
      <c r="C3" s="528">
        <v>2011</v>
      </c>
      <c r="D3" s="529"/>
      <c r="E3" s="530">
        <v>2012</v>
      </c>
      <c r="F3" s="531"/>
      <c r="G3" s="124"/>
    </row>
    <row r="4" spans="1:7" ht="69" customHeight="1">
      <c r="A4" s="535"/>
      <c r="B4" s="533"/>
      <c r="C4" s="100" t="s">
        <v>809</v>
      </c>
      <c r="D4" s="100" t="s">
        <v>175</v>
      </c>
      <c r="E4" s="100" t="s">
        <v>809</v>
      </c>
      <c r="F4" s="1" t="s">
        <v>233</v>
      </c>
      <c r="G4" s="124"/>
    </row>
    <row r="5" spans="1:7" ht="15.75">
      <c r="A5" s="209"/>
      <c r="B5" s="210"/>
      <c r="C5" s="3" t="s">
        <v>245</v>
      </c>
      <c r="D5" s="3" t="s">
        <v>246</v>
      </c>
      <c r="E5" s="22" t="s">
        <v>247</v>
      </c>
      <c r="F5" s="211" t="s">
        <v>253</v>
      </c>
      <c r="G5" s="124"/>
    </row>
    <row r="6" spans="1:7" ht="38.25" customHeight="1">
      <c r="A6" s="9">
        <v>1</v>
      </c>
      <c r="B6" s="24" t="s">
        <v>48</v>
      </c>
      <c r="C6" s="212">
        <v>1874264</v>
      </c>
      <c r="D6" s="213" t="s">
        <v>268</v>
      </c>
      <c r="E6" s="212">
        <v>2012160</v>
      </c>
      <c r="F6" s="214" t="s">
        <v>268</v>
      </c>
      <c r="G6" s="124"/>
    </row>
    <row r="7" spans="1:7" ht="38.25" customHeight="1">
      <c r="A7" s="9">
        <f>A6+1</f>
        <v>2</v>
      </c>
      <c r="B7" s="24" t="s">
        <v>296</v>
      </c>
      <c r="C7" s="213" t="s">
        <v>268</v>
      </c>
      <c r="D7" s="138">
        <v>9138</v>
      </c>
      <c r="E7" s="213" t="s">
        <v>268</v>
      </c>
      <c r="F7" s="166">
        <v>9912</v>
      </c>
      <c r="G7" s="124"/>
    </row>
    <row r="8" spans="1:7" ht="38.25" customHeight="1">
      <c r="A8" s="9">
        <f>A7+1</f>
        <v>3</v>
      </c>
      <c r="B8" s="24" t="s">
        <v>928</v>
      </c>
      <c r="C8" s="213" t="s">
        <v>268</v>
      </c>
      <c r="D8" s="138">
        <v>1106</v>
      </c>
      <c r="E8" s="213" t="s">
        <v>268</v>
      </c>
      <c r="F8" s="166">
        <v>1421</v>
      </c>
      <c r="G8" s="124"/>
    </row>
    <row r="9" spans="1:7" ht="35.25" customHeight="1">
      <c r="A9" s="9">
        <f>A8+1</f>
        <v>4</v>
      </c>
      <c r="B9" s="24" t="s">
        <v>770</v>
      </c>
      <c r="C9" s="212">
        <v>244196.80999999988</v>
      </c>
      <c r="D9" s="213" t="s">
        <v>268</v>
      </c>
      <c r="E9" s="215">
        <f>+C11</f>
        <v>37340.80999999982</v>
      </c>
      <c r="F9" s="214" t="s">
        <v>268</v>
      </c>
      <c r="G9" s="124"/>
    </row>
    <row r="10" spans="1:7" ht="37.5" customHeight="1">
      <c r="A10" s="9">
        <f>A9+1</f>
        <v>5</v>
      </c>
      <c r="B10" s="24" t="s">
        <v>879</v>
      </c>
      <c r="C10" s="212">
        <v>1667408</v>
      </c>
      <c r="D10" s="213" t="s">
        <v>268</v>
      </c>
      <c r="E10" s="215">
        <v>2204394</v>
      </c>
      <c r="F10" s="214" t="s">
        <v>268</v>
      </c>
      <c r="G10" s="124"/>
    </row>
    <row r="11" spans="1:7" ht="33" customHeight="1">
      <c r="A11" s="9">
        <v>6</v>
      </c>
      <c r="B11" s="24" t="s">
        <v>217</v>
      </c>
      <c r="C11" s="212">
        <f>+C9+C10-C6</f>
        <v>37340.80999999982</v>
      </c>
      <c r="D11" s="213" t="s">
        <v>268</v>
      </c>
      <c r="E11" s="215">
        <f>+E9+E10-E6</f>
        <v>229574.8099999996</v>
      </c>
      <c r="F11" s="214" t="s">
        <v>268</v>
      </c>
      <c r="G11" s="124"/>
    </row>
    <row r="12" spans="1:7" ht="36" customHeight="1" thickBot="1">
      <c r="A12" s="89">
        <v>7</v>
      </c>
      <c r="B12" s="34" t="s">
        <v>218</v>
      </c>
      <c r="C12" s="216">
        <f>IF(C6=0,0,C6/D7)</f>
        <v>205.1065878748085</v>
      </c>
      <c r="D12" s="217" t="s">
        <v>268</v>
      </c>
      <c r="E12" s="216">
        <f>IF(E6=0,0,E6/F7)</f>
        <v>203.00242130750604</v>
      </c>
      <c r="F12" s="218" t="s">
        <v>268</v>
      </c>
      <c r="G12" s="124"/>
    </row>
    <row r="13" spans="2:7" ht="15.75">
      <c r="B13" s="186"/>
      <c r="G13" s="124"/>
    </row>
    <row r="14" spans="1:7" ht="15.75">
      <c r="A14" s="519" t="s">
        <v>53</v>
      </c>
      <c r="B14" s="520"/>
      <c r="C14" s="520"/>
      <c r="D14" s="520"/>
      <c r="E14" s="520"/>
      <c r="F14" s="521"/>
      <c r="G14" s="124"/>
    </row>
    <row r="15" spans="1:7" ht="15.75">
      <c r="A15" s="522" t="s">
        <v>330</v>
      </c>
      <c r="B15" s="523"/>
      <c r="C15" s="523"/>
      <c r="D15" s="523"/>
      <c r="E15" s="523"/>
      <c r="F15" s="524"/>
      <c r="G15" s="124"/>
    </row>
  </sheetData>
  <sheetProtection/>
  <mergeCells count="8">
    <mergeCell ref="A14:F14"/>
    <mergeCell ref="A15:F15"/>
    <mergeCell ref="A1:F1"/>
    <mergeCell ref="A2:F2"/>
    <mergeCell ref="C3:D3"/>
    <mergeCell ref="E3:F3"/>
    <mergeCell ref="B3:B4"/>
    <mergeCell ref="A3:A4"/>
  </mergeCells>
  <printOptions/>
  <pageMargins left="0.5" right="0.39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21"/>
  <sheetViews>
    <sheetView zoomScalePageLayoutView="0" workbookViewId="0" topLeftCell="A1">
      <pane xSplit="2" ySplit="5" topLeftCell="C6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J16" sqref="J16"/>
    </sheetView>
  </sheetViews>
  <sheetFormatPr defaultColWidth="9.140625" defaultRowHeight="12.75"/>
  <cols>
    <col min="1" max="1" width="8.28125" style="220" customWidth="1"/>
    <col min="2" max="2" width="77.7109375" style="220" customWidth="1"/>
    <col min="3" max="3" width="15.8515625" style="220" customWidth="1"/>
    <col min="4" max="6" width="14.7109375" style="220" customWidth="1"/>
    <col min="7" max="16384" width="9.140625" style="220" customWidth="1"/>
  </cols>
  <sheetData>
    <row r="1" spans="1:8" ht="49.5" customHeight="1">
      <c r="A1" s="450" t="s">
        <v>827</v>
      </c>
      <c r="B1" s="539"/>
      <c r="C1" s="539"/>
      <c r="D1" s="539"/>
      <c r="E1" s="539"/>
      <c r="F1" s="540"/>
      <c r="H1" s="221"/>
    </row>
    <row r="2" spans="1:6" ht="33" customHeight="1">
      <c r="A2" s="453" t="s">
        <v>1005</v>
      </c>
      <c r="B2" s="454"/>
      <c r="C2" s="454"/>
      <c r="D2" s="454"/>
      <c r="E2" s="454"/>
      <c r="F2" s="455"/>
    </row>
    <row r="3" spans="1:6" ht="18.75" customHeight="1">
      <c r="A3" s="534" t="s">
        <v>189</v>
      </c>
      <c r="B3" s="493" t="s">
        <v>283</v>
      </c>
      <c r="C3" s="492" t="s">
        <v>810</v>
      </c>
      <c r="D3" s="492"/>
      <c r="E3" s="492" t="s">
        <v>308</v>
      </c>
      <c r="F3" s="495"/>
    </row>
    <row r="4" spans="1:6" ht="18.75" customHeight="1">
      <c r="A4" s="541"/>
      <c r="B4" s="493"/>
      <c r="C4" s="7">
        <v>2011</v>
      </c>
      <c r="D4" s="7">
        <v>2012</v>
      </c>
      <c r="E4" s="2">
        <v>2011</v>
      </c>
      <c r="F4" s="1">
        <v>2012</v>
      </c>
    </row>
    <row r="5" spans="1:6" ht="15.75">
      <c r="A5" s="9"/>
      <c r="B5" s="87"/>
      <c r="C5" s="3" t="s">
        <v>245</v>
      </c>
      <c r="D5" s="3" t="s">
        <v>246</v>
      </c>
      <c r="E5" s="3" t="s">
        <v>247</v>
      </c>
      <c r="F5" s="23" t="s">
        <v>253</v>
      </c>
    </row>
    <row r="6" spans="1:7" ht="31.5">
      <c r="A6" s="9">
        <v>1</v>
      </c>
      <c r="B6" s="15" t="s">
        <v>777</v>
      </c>
      <c r="C6" s="10" t="s">
        <v>268</v>
      </c>
      <c r="D6" s="10" t="s">
        <v>268</v>
      </c>
      <c r="E6" s="143">
        <v>1951</v>
      </c>
      <c r="F6" s="165">
        <v>1951</v>
      </c>
      <c r="G6" s="222"/>
    </row>
    <row r="7" spans="1:6" ht="37.5">
      <c r="A7" s="9">
        <f>A6+1</f>
        <v>2</v>
      </c>
      <c r="B7" s="15" t="s">
        <v>297</v>
      </c>
      <c r="C7" s="10" t="s">
        <v>268</v>
      </c>
      <c r="D7" s="10" t="s">
        <v>268</v>
      </c>
      <c r="E7" s="143">
        <v>19243</v>
      </c>
      <c r="F7" s="165">
        <v>19352</v>
      </c>
    </row>
    <row r="8" spans="1:6" ht="15.75">
      <c r="A8" s="9">
        <v>3</v>
      </c>
      <c r="B8" s="21" t="s">
        <v>232</v>
      </c>
      <c r="C8" s="10" t="s">
        <v>268</v>
      </c>
      <c r="D8" s="10" t="s">
        <v>268</v>
      </c>
      <c r="E8" s="138">
        <v>1604</v>
      </c>
      <c r="F8" s="166">
        <f>F7/12</f>
        <v>1612.6666666666667</v>
      </c>
    </row>
    <row r="9" spans="1:6" ht="31.5">
      <c r="A9" s="9">
        <f aca="true" t="shared" si="0" ref="A9:A18">A8+1</f>
        <v>4</v>
      </c>
      <c r="B9" s="15" t="s">
        <v>311</v>
      </c>
      <c r="C9" s="17">
        <v>725080.9</v>
      </c>
      <c r="D9" s="176">
        <v>779213.65</v>
      </c>
      <c r="E9" s="10" t="s">
        <v>268</v>
      </c>
      <c r="F9" s="101" t="s">
        <v>268</v>
      </c>
    </row>
    <row r="10" spans="1:6" ht="31.5">
      <c r="A10" s="9">
        <f t="shared" si="0"/>
        <v>5</v>
      </c>
      <c r="B10" s="15" t="s">
        <v>323</v>
      </c>
      <c r="C10" s="17">
        <v>22775.31</v>
      </c>
      <c r="D10" s="17"/>
      <c r="E10" s="17">
        <v>521</v>
      </c>
      <c r="F10" s="52"/>
    </row>
    <row r="11" spans="1:7" ht="31.5">
      <c r="A11" s="9">
        <f t="shared" si="0"/>
        <v>6</v>
      </c>
      <c r="B11" s="15" t="s">
        <v>238</v>
      </c>
      <c r="C11" s="143">
        <v>684469</v>
      </c>
      <c r="D11" s="143">
        <v>687658</v>
      </c>
      <c r="E11" s="10" t="s">
        <v>268</v>
      </c>
      <c r="F11" s="101" t="s">
        <v>268</v>
      </c>
      <c r="G11" s="222"/>
    </row>
    <row r="12" spans="1:6" ht="15.75">
      <c r="A12" s="9">
        <f t="shared" si="0"/>
        <v>7</v>
      </c>
      <c r="B12" s="15" t="s">
        <v>309</v>
      </c>
      <c r="C12" s="17">
        <v>2421.8</v>
      </c>
      <c r="D12" s="17">
        <f>169.91+6587.2</f>
        <v>6757.11</v>
      </c>
      <c r="E12" s="10" t="s">
        <v>268</v>
      </c>
      <c r="F12" s="101" t="s">
        <v>268</v>
      </c>
    </row>
    <row r="13" spans="1:6" ht="15.75">
      <c r="A13" s="9">
        <f t="shared" si="0"/>
        <v>8</v>
      </c>
      <c r="B13" s="15" t="s">
        <v>324</v>
      </c>
      <c r="C13" s="138">
        <f>SUM(C9:C12)</f>
        <v>1434747.01</v>
      </c>
      <c r="D13" s="138">
        <f>SUM(D9:D12)</f>
        <v>1473628.76</v>
      </c>
      <c r="E13" s="10" t="s">
        <v>268</v>
      </c>
      <c r="F13" s="101" t="s">
        <v>268</v>
      </c>
    </row>
    <row r="14" spans="1:6" ht="15.75">
      <c r="A14" s="9">
        <f t="shared" si="0"/>
        <v>9</v>
      </c>
      <c r="B14" s="15" t="s">
        <v>325</v>
      </c>
      <c r="C14" s="138">
        <f>C15+C16</f>
        <v>1133159.92</v>
      </c>
      <c r="D14" s="138">
        <f>D15+D16</f>
        <v>1168589.59</v>
      </c>
      <c r="E14" s="10" t="s">
        <v>268</v>
      </c>
      <c r="F14" s="101" t="s">
        <v>268</v>
      </c>
    </row>
    <row r="15" spans="1:6" ht="15.75">
      <c r="A15" s="9">
        <f t="shared" si="0"/>
        <v>10</v>
      </c>
      <c r="B15" s="12" t="s">
        <v>38</v>
      </c>
      <c r="C15" s="17">
        <v>412306.94</v>
      </c>
      <c r="D15" s="17">
        <v>425719.82</v>
      </c>
      <c r="E15" s="10" t="s">
        <v>268</v>
      </c>
      <c r="F15" s="101" t="s">
        <v>268</v>
      </c>
    </row>
    <row r="16" spans="1:6" ht="15.75">
      <c r="A16" s="9">
        <f t="shared" si="0"/>
        <v>11</v>
      </c>
      <c r="B16" s="12" t="s">
        <v>39</v>
      </c>
      <c r="C16" s="17">
        <v>720852.98</v>
      </c>
      <c r="D16" s="17">
        <v>742869.77</v>
      </c>
      <c r="E16" s="10" t="s">
        <v>268</v>
      </c>
      <c r="F16" s="101" t="s">
        <v>268</v>
      </c>
    </row>
    <row r="17" spans="1:6" ht="31.5">
      <c r="A17" s="9">
        <f t="shared" si="0"/>
        <v>12</v>
      </c>
      <c r="B17" s="15" t="s">
        <v>326</v>
      </c>
      <c r="C17" s="138">
        <f>C13-C14</f>
        <v>301587.0900000001</v>
      </c>
      <c r="D17" s="138">
        <f>+D13-D14</f>
        <v>305039.1699999999</v>
      </c>
      <c r="E17" s="10" t="s">
        <v>268</v>
      </c>
      <c r="F17" s="101" t="s">
        <v>268</v>
      </c>
    </row>
    <row r="18" spans="1:6" ht="16.5" thickBot="1">
      <c r="A18" s="89">
        <f t="shared" si="0"/>
        <v>13</v>
      </c>
      <c r="B18" s="27" t="s">
        <v>327</v>
      </c>
      <c r="C18" s="118">
        <f>C14/E8</f>
        <v>706.4588029925187</v>
      </c>
      <c r="D18" s="118">
        <f>IF(F8=0,0,D14/F8)</f>
        <v>724.6318251343531</v>
      </c>
      <c r="E18" s="111" t="s">
        <v>268</v>
      </c>
      <c r="F18" s="223" t="s">
        <v>268</v>
      </c>
    </row>
    <row r="20" spans="1:6" ht="15">
      <c r="A20" s="519" t="s">
        <v>310</v>
      </c>
      <c r="B20" s="520"/>
      <c r="C20" s="520"/>
      <c r="D20" s="520"/>
      <c r="E20" s="520"/>
      <c r="F20" s="521"/>
    </row>
    <row r="21" spans="1:6" ht="35.25" customHeight="1">
      <c r="A21" s="536" t="s">
        <v>54</v>
      </c>
      <c r="B21" s="537"/>
      <c r="C21" s="537"/>
      <c r="D21" s="537"/>
      <c r="E21" s="537"/>
      <c r="F21" s="538"/>
    </row>
  </sheetData>
  <sheetProtection/>
  <mergeCells count="8">
    <mergeCell ref="A21:F21"/>
    <mergeCell ref="A1:F1"/>
    <mergeCell ref="A3:A4"/>
    <mergeCell ref="B3:B4"/>
    <mergeCell ref="C3:D3"/>
    <mergeCell ref="E3:F3"/>
    <mergeCell ref="A2:F2"/>
    <mergeCell ref="A20:F20"/>
  </mergeCells>
  <printOptions/>
  <pageMargins left="0.66" right="0.45" top="0.984251968503937" bottom="0.77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Tabuľky k výročnej správe o hospodárení VVš 2004</dc:title>
  <dc:subject/>
  <dc:creator>Viest</dc:creator>
  <cp:keywords/>
  <dc:description/>
  <cp:lastModifiedBy>renata.lucanska</cp:lastModifiedBy>
  <cp:lastPrinted>2013-05-09T11:53:47Z</cp:lastPrinted>
  <dcterms:created xsi:type="dcterms:W3CDTF">2002-06-05T18:53:25Z</dcterms:created>
  <dcterms:modified xsi:type="dcterms:W3CDTF">2013-05-09T11:56:10Z</dcterms:modified>
  <cp:category/>
  <cp:version/>
  <cp:contentType/>
  <cp:contentStatus/>
</cp:coreProperties>
</file>