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35" windowWidth="28830" windowHeight="14670" tabRatio="805" firstSheet="17" activeTab="17"/>
  </bookViews>
  <sheets>
    <sheet name="T1-Dotácie podľa DZ" sheetId="1" r:id="rId1"/>
    <sheet name="T2-Ostatné dot mimo MŠ SR" sheetId="2" r:id="rId2"/>
    <sheet name="T3-Výnosy" sheetId="3" r:id="rId3"/>
    <sheet name="T4-Výnosy zo školného" sheetId="4" r:id="rId4"/>
    <sheet name="T5 - Analýza nákladov" sheetId="5" r:id="rId5"/>
    <sheet name="T6-Zamestnanci_a_mzdy" sheetId="6" r:id="rId6"/>
    <sheet name="T6a-Zamestnanci_a_mzdy (ženy)" sheetId="7" r:id="rId7"/>
    <sheet name="T7_Doktorandi " sheetId="8" r:id="rId8"/>
    <sheet name="T8-Soc_štipendiá" sheetId="9" r:id="rId9"/>
    <sheet name="T9_ŠD " sheetId="10" r:id="rId10"/>
    <sheet name="T10-ŠJ " sheetId="11" r:id="rId11"/>
    <sheet name="T11-Zdroje KV" sheetId="12" r:id="rId12"/>
    <sheet name="T12-KV" sheetId="13" r:id="rId13"/>
    <sheet name="T13-Fondy" sheetId="14" r:id="rId14"/>
    <sheet name="T16 - Štruktúra hotovosti" sheetId="15" r:id="rId15"/>
    <sheet name="T17-Dotácie zo ŠF EU" sheetId="16" r:id="rId16"/>
    <sheet name="T18-Ostatné dotacie z kap MŠ SR" sheetId="17" r:id="rId17"/>
    <sheet name="T19-Štip_ z vlastných " sheetId="18" r:id="rId18"/>
    <sheet name="T20_motivačné štipendiá_nová" sheetId="19" r:id="rId19"/>
    <sheet name="T21-štruktúra_384" sheetId="20" r:id="rId20"/>
    <sheet name="T22_Výnosy_soc_oblasť" sheetId="21" r:id="rId21"/>
    <sheet name="T23_Náklady_soc_oblasť" sheetId="22" r:id="rId22"/>
    <sheet name="T24a_Aktíva_1" sheetId="23" r:id="rId23"/>
    <sheet name="T24b_Aktíva_2" sheetId="24" r:id="rId24"/>
    <sheet name="T25_Pasíva " sheetId="25" r:id="rId25"/>
    <sheet name="T24__Aktíva" sheetId="26" state="hidden" r:id="rId26"/>
  </sheets>
  <externalReferences>
    <externalReference r:id="rId29"/>
    <externalReference r:id="rId30"/>
    <externalReference r:id="rId31"/>
    <externalReference r:id="rId32"/>
  </externalReferences>
  <definedNames>
    <definedName name="aaa" hidden="1">3</definedName>
    <definedName name="denní" localSheetId="4">#REF!</definedName>
    <definedName name="denní">#REF!</definedName>
    <definedName name="dokpo" localSheetId="4">#REF!</definedName>
    <definedName name="dokpo">#REF!</definedName>
    <definedName name="dokpred" localSheetId="4">#REF!</definedName>
    <definedName name="dokpred">#REF!</definedName>
    <definedName name="druhý" localSheetId="4">#REF!</definedName>
    <definedName name="druhý">#REF!</definedName>
    <definedName name="exterdruhý" localSheetId="4">#REF!</definedName>
    <definedName name="exterdruhý">#REF!</definedName>
    <definedName name="externeplat" localSheetId="4">#REF!</definedName>
    <definedName name="externeplat">#REF!</definedName>
    <definedName name="exterplat" localSheetId="4">#REF!</definedName>
    <definedName name="exterplat">#REF!</definedName>
    <definedName name="KKS_doc" localSheetId="4">#REF!</definedName>
    <definedName name="KKS_doc">#REF!</definedName>
    <definedName name="KKS_ost" localSheetId="4">#REF!</definedName>
    <definedName name="KKS_ost">#REF!</definedName>
    <definedName name="KKS_phd" localSheetId="4">#REF!</definedName>
    <definedName name="KKS_phd">#REF!</definedName>
    <definedName name="KKS_prof" localSheetId="4">#REF!</definedName>
    <definedName name="KKS_prof">#REF!</definedName>
    <definedName name="kmp1" localSheetId="4">#REF!</definedName>
    <definedName name="kmp1">#REF!</definedName>
    <definedName name="kmp2">#REF!</definedName>
    <definedName name="kmt1" localSheetId="4">#REF!</definedName>
    <definedName name="kmt1">#REF!</definedName>
    <definedName name="koef_gm_mzdy" localSheetId="4">#REF!</definedName>
    <definedName name="koef_gm_mzdy">#REF!</definedName>
    <definedName name="koef_kpn" localSheetId="4">#REF!</definedName>
    <definedName name="koef_kpn">#REF!</definedName>
    <definedName name="koef_prer_nad_gm_mzdy" localSheetId="4">#REF!</definedName>
    <definedName name="koef_prer_nad_gm_mzdy">#REF!</definedName>
    <definedName name="koef_PV" localSheetId="4">#REF!</definedName>
    <definedName name="koef_PV">#REF!</definedName>
    <definedName name="koef_udr_kat1" localSheetId="15">#REF!</definedName>
    <definedName name="koef_udr_kat1" localSheetId="4">#REF!</definedName>
    <definedName name="koef_udr_kat1" localSheetId="6">#REF!</definedName>
    <definedName name="koef_udr_kat1">#REF!</definedName>
    <definedName name="koef_udr_kat2" localSheetId="15">#REF!</definedName>
    <definedName name="koef_udr_kat2" localSheetId="4">#REF!</definedName>
    <definedName name="koef_udr_kat2" localSheetId="6">#REF!</definedName>
    <definedName name="koef_udr_kat2">#REF!</definedName>
    <definedName name="koef_udr_kat3" localSheetId="15">#REF!</definedName>
    <definedName name="koef_udr_kat3" localSheetId="4">#REF!</definedName>
    <definedName name="koef_udr_kat3" localSheetId="6">#REF!</definedName>
    <definedName name="koef_udr_kat3">#REF!</definedName>
    <definedName name="koef_VV" localSheetId="4">#REF!</definedName>
    <definedName name="koef_VV">#REF!</definedName>
    <definedName name="kpn_ca_do" localSheetId="4">#REF!</definedName>
    <definedName name="kpn_ca_do">#REF!</definedName>
    <definedName name="kpn_ca_nad" localSheetId="4">#REF!</definedName>
    <definedName name="kpn_ca_nad">#REF!</definedName>
    <definedName name="kzk" localSheetId="4">#REF!</definedName>
    <definedName name="kzk">#REF!</definedName>
    <definedName name="kzspp" localSheetId="4">#REF!</definedName>
    <definedName name="kzspp">#REF!</definedName>
    <definedName name="nefinanc">1</definedName>
    <definedName name="_xlnm.Print_Area" localSheetId="10">'T10-ŠJ '!$A$1:$D$26</definedName>
    <definedName name="_xlnm.Print_Area" localSheetId="11">'T11-Zdroje KV'!$A$1:$D$23</definedName>
    <definedName name="_xlnm.Print_Area" localSheetId="12">'T12-KV'!$A$1:$I$21</definedName>
    <definedName name="_xlnm.Print_Area" localSheetId="13">'T13-Fondy'!$A$1:$N$22</definedName>
    <definedName name="_xlnm.Print_Area" localSheetId="14">'T16 - Štruktúra hotovosti'!$A$1:$D$22</definedName>
    <definedName name="_xlnm.Print_Area" localSheetId="15">'T17-Dotácie zo ŠF EU'!$A$1:$H$16</definedName>
    <definedName name="_xlnm.Print_Area" localSheetId="16">'T18-Ostatné dotacie z kap MŠ SR'!$A$1:$E$18</definedName>
    <definedName name="_xlnm.Print_Area" localSheetId="17">'T19-Štip_ z vlastných '!$A$1:$F$23</definedName>
    <definedName name="_xlnm.Print_Area" localSheetId="0">'T1-Dotácie podľa DZ'!$A$1:$E$19</definedName>
    <definedName name="_xlnm.Print_Area" localSheetId="18">'T20_motivačné štipendiá_nová'!$A$1:$E$14</definedName>
    <definedName name="_xlnm.Print_Area" localSheetId="19">'T21-štruktúra_384'!$A$1:$M$12</definedName>
    <definedName name="_xlnm.Print_Area" localSheetId="20">'T22_Výnosy_soc_oblasť'!$A$1:$F$43</definedName>
    <definedName name="_xlnm.Print_Area" localSheetId="21">'T23_Náklady_soc_oblasť'!$A$1:$F$41</definedName>
    <definedName name="_xlnm.Print_Area" localSheetId="22">'T24a_Aktíva_1'!$A$1:$G$33</definedName>
    <definedName name="_xlnm.Print_Area" localSheetId="23">'T24b_Aktíva_2'!$A$1:$G$37</definedName>
    <definedName name="_xlnm.Print_Area" localSheetId="24">'T25_Pasíva '!$A$1:$G$49</definedName>
    <definedName name="_xlnm.Print_Area" localSheetId="2">'T3-Výnosy'!$A$1:$H$62</definedName>
    <definedName name="_xlnm.Print_Area" localSheetId="3">'T4-Výnosy zo školného'!$A$1:$E$23</definedName>
    <definedName name="_xlnm.Print_Area" localSheetId="4">'T5 - Analýza nákladov'!$A$1:$H$106</definedName>
    <definedName name="_xlnm.Print_Area" localSheetId="6">'T6a-Zamestnanci_a_mzdy (ženy)'!$A$1:$K$31</definedName>
    <definedName name="_xlnm.Print_Area" localSheetId="5">'T6-Zamestnanci_a_mzdy'!$A$1:$K$37</definedName>
    <definedName name="_xlnm.Print_Area" localSheetId="7">'T7_Doktorandi '!$A$1:$G$20</definedName>
    <definedName name="_xlnm.Print_Area" localSheetId="8">'T8-Soc_štipendiá'!$A$1:$F$15</definedName>
    <definedName name="_xlnm.Print_Area" localSheetId="9">'T9_ŠD '!$A$1:$F$21</definedName>
    <definedName name="pocet_jedal" localSheetId="15">#REF!</definedName>
    <definedName name="pocet_jedal" localSheetId="4">#REF!</definedName>
    <definedName name="pocet_jedal" localSheetId="6">#REF!</definedName>
    <definedName name="pocet_jedal">#REF!</definedName>
    <definedName name="podiel" localSheetId="4">#REF!</definedName>
    <definedName name="podiel">#REF!</definedName>
    <definedName name="poistné" localSheetId="4">#REF!</definedName>
    <definedName name="poistné">#REF!</definedName>
    <definedName name="Pp_DrŠ_exist" localSheetId="15">#REF!</definedName>
    <definedName name="Pp_DrŠ_exist" localSheetId="4">#REF!</definedName>
    <definedName name="Pp_DrŠ_exist" localSheetId="6">#REF!</definedName>
    <definedName name="Pp_DrŠ_exist">#REF!</definedName>
    <definedName name="Pp_DrŠ_noví" localSheetId="15">#REF!</definedName>
    <definedName name="Pp_DrŠ_noví" localSheetId="4">#REF!</definedName>
    <definedName name="Pp_DrŠ_noví" localSheetId="6">#REF!</definedName>
    <definedName name="Pp_DrŠ_noví">#REF!</definedName>
    <definedName name="Pp_DrŠ_spolu" localSheetId="15">#REF!</definedName>
    <definedName name="Pp_DrŠ_spolu" localSheetId="4">#REF!</definedName>
    <definedName name="Pp_DrŠ_spolu" localSheetId="6">#REF!</definedName>
    <definedName name="Pp_DrŠ_spolu">#REF!</definedName>
    <definedName name="Pp_klinické_TaS" localSheetId="15">#REF!</definedName>
    <definedName name="Pp_klinické_TaS" localSheetId="4">#REF!</definedName>
    <definedName name="Pp_klinické_TaS" localSheetId="6">#REF!</definedName>
    <definedName name="Pp_klinické_TaS">#REF!</definedName>
    <definedName name="Pp_klinické_TaS_rozpísaný" localSheetId="15">#REF!</definedName>
    <definedName name="Pp_klinické_TaS_rozpísaný" localSheetId="4">#REF!</definedName>
    <definedName name="Pp_klinické_TaS_rozpísaný" localSheetId="6">#REF!</definedName>
    <definedName name="Pp_klinické_TaS_rozpísaný">#REF!</definedName>
    <definedName name="Pp_Rozvoj_BD" localSheetId="4">#REF!</definedName>
    <definedName name="Pp_Rozvoj_BD">#REF!</definedName>
    <definedName name="Pp_Soc_BD" localSheetId="4">#REF!</definedName>
    <definedName name="Pp_Soc_BD">#REF!</definedName>
    <definedName name="Pp_VaT_BD" localSheetId="4">#REF!</definedName>
    <definedName name="Pp_VaT_BD">#REF!</definedName>
    <definedName name="Pp_VaT_mzdy" localSheetId="4">#REF!</definedName>
    <definedName name="Pp_VaT_mzdy">#REF!</definedName>
    <definedName name="Pp_VaT_mzdy_rezerva" localSheetId="4">#REF!</definedName>
    <definedName name="Pp_VaT_mzdy_rezerva">#REF!</definedName>
    <definedName name="Pp_VaT_mzdy_zac_roka" localSheetId="4">#REF!</definedName>
    <definedName name="Pp_VaT_mzdy_zac_roka">#REF!</definedName>
    <definedName name="Pp_Vzdel_BD" localSheetId="4">#REF!</definedName>
    <definedName name="Pp_Vzdel_BD">#REF!</definedName>
    <definedName name="Pp_Vzdel_mzdy" localSheetId="4">#REF!</definedName>
    <definedName name="Pp_Vzdel_mzdy">#REF!</definedName>
    <definedName name="Pp_Vzdel_mzdy_kontr" localSheetId="4">#REF!</definedName>
    <definedName name="Pp_Vzdel_mzdy_kontr">#REF!</definedName>
    <definedName name="Pp_Vzdel_mzdy_na_prer_modif" localSheetId="15">#REF!</definedName>
    <definedName name="Pp_Vzdel_mzdy_na_prer_modif" localSheetId="4">#REF!</definedName>
    <definedName name="Pp_Vzdel_mzdy_na_prer_modif" localSheetId="6">#REF!</definedName>
    <definedName name="Pp_Vzdel_mzdy_na_prer_modif">#REF!</definedName>
    <definedName name="Pp_Vzdel_mzdy_na_prer_nemodif" localSheetId="15">#REF!</definedName>
    <definedName name="Pp_Vzdel_mzdy_na_prer_nemodif" localSheetId="4">#REF!</definedName>
    <definedName name="Pp_Vzdel_mzdy_na_prer_nemodif" localSheetId="6">#REF!</definedName>
    <definedName name="Pp_Vzdel_mzdy_na_prer_nemodif">#REF!</definedName>
    <definedName name="Pp_Vzdel_mzdy_prevádz" localSheetId="4">#REF!</definedName>
    <definedName name="Pp_Vzdel_mzdy_prevádz">#REF!</definedName>
    <definedName name="Pp_Vzdel_mzdy_rezerva" localSheetId="4">#REF!</definedName>
    <definedName name="Pp_Vzdel_mzdy_rezerva">#REF!</definedName>
    <definedName name="Pp_Vzdel_mzdy_spec" localSheetId="4">#REF!</definedName>
    <definedName name="Pp_Vzdel_mzdy_spec">#REF!</definedName>
    <definedName name="Pp_Vzdel_mzdy_výkon" localSheetId="4">#REF!</definedName>
    <definedName name="Pp_Vzdel_mzdy_výkon">#REF!</definedName>
    <definedName name="Pp_Vzdel_mzdy_výkon_PV" localSheetId="4">#REF!</definedName>
    <definedName name="Pp_Vzdel_mzdy_výkon_PV">#REF!</definedName>
    <definedName name="Pp_Vzdel_mzdy_výkon_PV_bez" localSheetId="4">#REF!</definedName>
    <definedName name="Pp_Vzdel_mzdy_výkon_PV_bez">#REF!</definedName>
    <definedName name="Pp_Vzdel_mzdy_výkon_PV_um" localSheetId="4">#REF!</definedName>
    <definedName name="Pp_Vzdel_mzdy_výkon_PV_um">#REF!</definedName>
    <definedName name="Pp_Vzdel_mzdy_výkon_VV" localSheetId="4">#REF!</definedName>
    <definedName name="Pp_Vzdel_mzdy_výkon_VV">#REF!</definedName>
    <definedName name="Pp_Vzdel_mzdy_výkon_VV_bez" localSheetId="4">#REF!</definedName>
    <definedName name="Pp_Vzdel_mzdy_výkon_VV_bez">#REF!</definedName>
    <definedName name="Pp_Vzdel_mzdy_výkon_VV_um" localSheetId="4">#REF!</definedName>
    <definedName name="Pp_Vzdel_mzdy_výkon_VV_um">#REF!</definedName>
    <definedName name="Pp_Vzdel_spec_prax" localSheetId="15">#REF!</definedName>
    <definedName name="Pp_Vzdel_spec_prax" localSheetId="4">#REF!</definedName>
    <definedName name="Pp_Vzdel_spec_prax" localSheetId="6">#REF!</definedName>
    <definedName name="Pp_Vzdel_spec_prax">#REF!</definedName>
    <definedName name="Pp_Vzdel_TaS" localSheetId="4">#REF!</definedName>
    <definedName name="Pp_Vzdel_TaS">#REF!</definedName>
    <definedName name="Pp_Vzdel_TaS_rezerva" localSheetId="4">#REF!</definedName>
    <definedName name="Pp_Vzdel_TaS_rezerva">#REF!</definedName>
    <definedName name="Pp_Vzdel_TaS_spec" localSheetId="15">#REF!</definedName>
    <definedName name="Pp_Vzdel_TaS_spec" localSheetId="4">#REF!</definedName>
    <definedName name="Pp_Vzdel_TaS_spec" localSheetId="6">#REF!</definedName>
    <definedName name="Pp_Vzdel_TaS_spec">#REF!</definedName>
    <definedName name="Pp_Vzdel_TaS_stav" localSheetId="4">#REF!</definedName>
    <definedName name="Pp_Vzdel_TaS_stav">#REF!</definedName>
    <definedName name="Pp_Vzdel_TaS_výkon" localSheetId="15">#REF!</definedName>
    <definedName name="Pp_Vzdel_TaS_výkon" localSheetId="4">#REF!</definedName>
    <definedName name="Pp_Vzdel_TaS_výkon" localSheetId="6">#REF!</definedName>
    <definedName name="Pp_Vzdel_TaS_výkon">#REF!</definedName>
    <definedName name="Pp_Vzdel_TaS_výkon_PPŠ" localSheetId="15">#REF!</definedName>
    <definedName name="Pp_Vzdel_TaS_výkon_PPŠ" localSheetId="4">#REF!</definedName>
    <definedName name="Pp_Vzdel_TaS_výkon_PPŠ" localSheetId="6">#REF!</definedName>
    <definedName name="Pp_Vzdel_TaS_výkon_PPŠ">#REF!</definedName>
    <definedName name="Pp_Vzdel_TaS_výkon_PPŠ_a_zákl" localSheetId="15">#REF!</definedName>
    <definedName name="Pp_Vzdel_TaS_výkon_PPŠ_a_zákl" localSheetId="4">#REF!</definedName>
    <definedName name="Pp_Vzdel_TaS_výkon_PPŠ_a_zákl" localSheetId="6">#REF!</definedName>
    <definedName name="Pp_Vzdel_TaS_výkon_PPŠ_a_zákl">#REF!</definedName>
    <definedName name="Pp_Vzdel_TaS_výkon_PPŠ_KEN" localSheetId="15">#REF!</definedName>
    <definedName name="Pp_Vzdel_TaS_výkon_PPŠ_KEN" localSheetId="4">#REF!</definedName>
    <definedName name="Pp_Vzdel_TaS_výkon_PPŠ_KEN" localSheetId="6">#REF!</definedName>
    <definedName name="Pp_Vzdel_TaS_výkon_PPŠ_KEN">#REF!</definedName>
    <definedName name="Pp_Vzdel_TaS_zahr_granty" localSheetId="4">#REF!</definedName>
    <definedName name="Pp_Vzdel_TaS_zahr_granty">#REF!</definedName>
    <definedName name="Pp_Vzdel_TaS_zákl" localSheetId="15">#REF!</definedName>
    <definedName name="Pp_Vzdel_TaS_zákl" localSheetId="4">#REF!</definedName>
    <definedName name="Pp_Vzdel_TaS_zákl" localSheetId="6">#REF!</definedName>
    <definedName name="Pp_Vzdel_TaS_zákl">#REF!</definedName>
    <definedName name="Pr_AV_BD" localSheetId="4">#REF!</definedName>
    <definedName name="Pr_AV_BD">#REF!</definedName>
    <definedName name="Pr_IV_BD" localSheetId="4">#REF!</definedName>
    <definedName name="Pr_IV_BD">#REF!</definedName>
    <definedName name="Pr_IV_KV" localSheetId="4">#REF!</definedName>
    <definedName name="Pr_IV_KV">#REF!</definedName>
    <definedName name="Pr_IV_KV_rezerva" localSheetId="4">#REF!</definedName>
    <definedName name="Pr_IV_KV_rezerva">#REF!</definedName>
    <definedName name="Pr_KEGA_BD" localSheetId="4">#REF!</definedName>
    <definedName name="Pr_KEGA_BD">#REF!</definedName>
    <definedName name="Pr_klinické" localSheetId="4">#REF!</definedName>
    <definedName name="Pr_klinické">#REF!</definedName>
    <definedName name="Pr_KŠ" localSheetId="15">#REF!</definedName>
    <definedName name="Pr_KŠ" localSheetId="4">#REF!</definedName>
    <definedName name="Pr_KŠ" localSheetId="6">#REF!</definedName>
    <definedName name="Pr_KŠ">#REF!</definedName>
    <definedName name="Pr_motštip_BD" localSheetId="4">#REF!</definedName>
    <definedName name="Pr_motštip_BD">#REF!</definedName>
    <definedName name="Pr_MVTS_BD" localSheetId="4">#REF!</definedName>
    <definedName name="Pr_MVTS_BD">#REF!</definedName>
    <definedName name="Pr_socštip_BD" localSheetId="4">#REF!</definedName>
    <definedName name="Pr_socštip_BD">#REF!</definedName>
    <definedName name="Pr_ŠD" localSheetId="15">#REF!</definedName>
    <definedName name="Pr_ŠD" localSheetId="4">#REF!</definedName>
    <definedName name="Pr_ŠD" localSheetId="6">#REF!</definedName>
    <definedName name="Pr_ŠD">#REF!</definedName>
    <definedName name="Pr_ŠDaJKŠPC_BD" localSheetId="4">#REF!</definedName>
    <definedName name="Pr_ŠDaJKŠPC_BD">#REF!</definedName>
    <definedName name="Pr_VaT_KV_zac_roka" localSheetId="4">#REF!</definedName>
    <definedName name="Pr_VaT_KV_zac_roka">#REF!</definedName>
    <definedName name="Pr_VaT_TaS" localSheetId="4">#REF!</definedName>
    <definedName name="Pr_VaT_TaS">#REF!</definedName>
    <definedName name="Pr_VaT_TaS_rezerva" localSheetId="4">#REF!</definedName>
    <definedName name="Pr_VaT_TaS_rezerva">#REF!</definedName>
    <definedName name="Pr_VaT_TaS_zac_roka" localSheetId="4">#REF!</definedName>
    <definedName name="Pr_VaT_TaS_zac_roka">#REF!</definedName>
    <definedName name="Pr_VEGA_BD" localSheetId="4">#REF!</definedName>
    <definedName name="Pr_VEGA_BD">#REF!</definedName>
    <definedName name="predmety" localSheetId="4">#REF!</definedName>
    <definedName name="predmety">#REF!</definedName>
    <definedName name="prisp_na_1_jedlo" localSheetId="15">#REF!</definedName>
    <definedName name="prisp_na_1_jedlo" localSheetId="4">#REF!</definedName>
    <definedName name="prisp_na_1_jedlo" localSheetId="6">#REF!</definedName>
    <definedName name="prisp_na_1_jedlo">#REF!</definedName>
    <definedName name="prisp_na_ubyt_stud_SD" localSheetId="15">#REF!</definedName>
    <definedName name="prisp_na_ubyt_stud_SD" localSheetId="4">#REF!</definedName>
    <definedName name="prisp_na_ubyt_stud_SD" localSheetId="6">#REF!</definedName>
    <definedName name="prisp_na_ubyt_stud_SD">#REF!</definedName>
    <definedName name="prisp_na_ubyt_stud_ZZ" localSheetId="15">#REF!</definedName>
    <definedName name="prisp_na_ubyt_stud_ZZ" localSheetId="4">#REF!</definedName>
    <definedName name="prisp_na_ubyt_stud_ZZ" localSheetId="6">#REF!</definedName>
    <definedName name="prisp_na_ubyt_stud_ZZ">#REF!</definedName>
    <definedName name="prísp_zákl_prev" localSheetId="4">#REF!</definedName>
    <definedName name="prísp_zákl_prev">#REF!</definedName>
    <definedName name="R_vvs" localSheetId="4">#REF!</definedName>
    <definedName name="R_vvs">#REF!</definedName>
    <definedName name="R_vvs_BD" localSheetId="4">#REF!</definedName>
    <definedName name="R_vvs_BD">#REF!</definedName>
    <definedName name="R_vvs_VaT_BD" localSheetId="4">#REF!</definedName>
    <definedName name="R_vvs_VaT_BD">#REF!</definedName>
    <definedName name="Sanet" localSheetId="4">#REF!</definedName>
    <definedName name="Sanet">#REF!</definedName>
    <definedName name="SAPBEXrevision" hidden="1">7</definedName>
    <definedName name="SAPBEXsysID" hidden="1">"BS1"</definedName>
    <definedName name="SAPBEXwbID" hidden="1">"3TG3S316PX9BHXMQEBSXSYZZO"</definedName>
    <definedName name="stavba_ucelova" localSheetId="4">#REF!</definedName>
    <definedName name="stavba_ucelova">#REF!</definedName>
    <definedName name="studenti_vstup" localSheetId="4">#REF!</definedName>
    <definedName name="studenti_vstup">#REF!</definedName>
    <definedName name="sustava" localSheetId="4">#REF!</definedName>
    <definedName name="sustava">#REF!</definedName>
    <definedName name="T_1">#REF!</definedName>
    <definedName name="T_25_so_štip_2007">#REF!</definedName>
    <definedName name="T_M">#REF!</definedName>
    <definedName name="T1">#REF!</definedName>
    <definedName name="váha_absDrš" localSheetId="4">#REF!</definedName>
    <definedName name="váha_absDrš">#REF!</definedName>
    <definedName name="váha_DG" localSheetId="4">#REF!</definedName>
    <definedName name="váha_DG">#REF!</definedName>
    <definedName name="váha_poDs" localSheetId="4">#REF!</definedName>
    <definedName name="váha_poDs">#REF!</definedName>
    <definedName name="váha_Pub" localSheetId="4">#REF!</definedName>
    <definedName name="váha_Pub">#REF!</definedName>
    <definedName name="váha_ZG" localSheetId="4">#REF!</definedName>
    <definedName name="váha_ZG">#REF!</definedName>
    <definedName name="výkon_um" localSheetId="4">#REF!</definedName>
    <definedName name="výkon_um">#REF!</definedName>
    <definedName name="wd1">'[3]vahy'!$B$1</definedName>
    <definedName name="wd3">'[3]vahy'!$B$3</definedName>
    <definedName name="we1">'[3]vahy'!$B$2</definedName>
    <definedName name="we3">'[3]vahy'!$B$4</definedName>
    <definedName name="x">#REF!</definedName>
    <definedName name="xxx" hidden="1">"3TGMUFSSIAIMK2KTNC9DELQD0"</definedName>
    <definedName name="zakl_prisp_na_prev_SD" localSheetId="15">#REF!</definedName>
    <definedName name="zakl_prisp_na_prev_SD" localSheetId="4">#REF!</definedName>
    <definedName name="zakl_prisp_na_prev_SD" localSheetId="6">#REF!</definedName>
    <definedName name="zakl_prisp_na_prev_SD">#REF!</definedName>
    <definedName name="záloha" localSheetId="15">#REF!</definedName>
    <definedName name="záloha" localSheetId="4">#REF!</definedName>
    <definedName name="záloha" localSheetId="6">#REF!</definedName>
    <definedName name="záloha">#REF!</definedName>
  </definedNames>
  <calcPr fullCalcOnLoad="1"/>
</workbook>
</file>

<file path=xl/comments8.xml><?xml version="1.0" encoding="utf-8"?>
<comments xmlns="http://schemas.openxmlformats.org/spreadsheetml/2006/main">
  <authors>
    <author>Ing. Gond?rov? Beata</author>
  </authors>
  <commentList>
    <comment ref="E3" authorId="0">
      <text>
        <r>
          <rPr>
            <b/>
            <sz val="8"/>
            <rFont val="Tahoma"/>
            <family val="2"/>
          </rPr>
          <t>Ing. Gondárová Beata:</t>
        </r>
        <r>
          <rPr>
            <sz val="8"/>
            <rFont val="Tahoma"/>
            <family val="2"/>
          </rPr>
          <t xml:space="preserve">
</t>
        </r>
        <r>
          <rPr>
            <sz val="10"/>
            <rFont val="Tahoma"/>
            <family val="2"/>
          </rPr>
          <t>patrí sem objem vyplatených štipendií doktorandom (</t>
        </r>
        <r>
          <rPr>
            <u val="single"/>
            <sz val="10"/>
            <rFont val="Tahoma"/>
            <family val="2"/>
          </rPr>
          <t>zo všetkých zdrojov</t>
        </r>
        <r>
          <rPr>
            <sz val="10"/>
            <rFont val="Tahoma"/>
            <family val="2"/>
          </rPr>
          <t xml:space="preserve">), prijatých do 31.8.2012 - </t>
        </r>
        <r>
          <rPr>
            <b/>
            <sz val="10"/>
            <rFont val="Tahoma"/>
            <family val="2"/>
          </rPr>
          <t>nie</t>
        </r>
        <r>
          <rPr>
            <sz val="10"/>
            <rFont val="Tahoma"/>
            <family val="2"/>
          </rPr>
          <t xml:space="preserve"> z účelovej dotácie (napr. štip.doktorandov platených z neúčelovej dotácie MŠVVaŠ, nebezpečn. príplatok, vyšší plat. stupeň)</t>
        </r>
      </text>
    </comment>
    <comment ref="F3" authorId="0">
      <text>
        <r>
          <rPr>
            <b/>
            <sz val="8"/>
            <rFont val="Tahoma"/>
            <family val="2"/>
          </rPr>
          <t>Ing. Gondárová Beata:</t>
        </r>
        <r>
          <rPr>
            <sz val="8"/>
            <rFont val="Tahoma"/>
            <family val="2"/>
          </rPr>
          <t xml:space="preserve">
</t>
        </r>
        <r>
          <rPr>
            <sz val="10"/>
            <rFont val="Tahoma"/>
            <family val="2"/>
          </rPr>
          <t>patrí sem objem vyplatených štipendií doktorandom (zo všetkých zdrojov), prijatých po 1.9.2012 na miestach nepridelených "ministerstvom"</t>
        </r>
      </text>
    </comment>
  </commentList>
</comments>
</file>

<file path=xl/sharedStrings.xml><?xml version="1.0" encoding="utf-8"?>
<sst xmlns="http://schemas.openxmlformats.org/spreadsheetml/2006/main" count="1515" uniqueCount="1033">
  <si>
    <t xml:space="preserve">  - tvorba fondu z predaja alebo likvidácie majetku</t>
  </si>
  <si>
    <t xml:space="preserve">      - dohody o vykonaní práce - externí účitelia (účet 521 009)</t>
  </si>
  <si>
    <t xml:space="preserve">      - dohody o vykonaní práce, dohody o pracovnej činnosti
        (účet 521 010)</t>
  </si>
  <si>
    <t xml:space="preserve"> - OON [SUM(R58:R60)]</t>
  </si>
  <si>
    <t>Zákonné sociálne náklady (účet 527) [SUM(R64:R69)]</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</si>
  <si>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</si>
  <si>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</si>
  <si>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</si>
  <si>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</si>
  <si>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 xml:space="preserve">- tvorba fondu z výnosov zo školného </t>
  </si>
  <si>
    <r>
      <t>Stav fondu k 31.12. kalendárneho roku</t>
    </r>
    <r>
      <rPr>
        <sz val="12"/>
        <rFont val="Times New Roman"/>
        <family val="1"/>
      </rPr>
      <t xml:space="preserve"> [R1+R2-R11]</t>
    </r>
  </si>
  <si>
    <t>Účty v Štátnej pokladnici spolu [SUM(R2:R15)]</t>
  </si>
  <si>
    <t>Tržby za predaný tovar (účet 604)</t>
  </si>
  <si>
    <t xml:space="preserve">Ostatné sociálne poistenia (účet 525) </t>
  </si>
  <si>
    <t>C=A+B</t>
  </si>
  <si>
    <t>E=C-A</t>
  </si>
  <si>
    <t>F=D-B</t>
  </si>
  <si>
    <t>E=A+C</t>
  </si>
  <si>
    <t>F=B+D</t>
  </si>
  <si>
    <t>Náklady na štipendiá</t>
  </si>
  <si>
    <t xml:space="preserve">Ostatné sociálne náklady (účet 528)  </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</si>
  <si>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</si>
  <si>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</si>
  <si>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</si>
  <si>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</si>
  <si>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</si>
  <si>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</si>
  <si>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</si>
  <si>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</si>
  <si>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</si>
  <si>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</si>
  <si>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</si>
  <si>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</si>
  <si>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</si>
  <si>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</si>
  <si>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r>
      <t xml:space="preserve">- na sociálnu podporu </t>
    </r>
    <r>
      <rPr>
        <sz val="12"/>
        <rFont val="Times New Roman"/>
        <family val="1"/>
      </rPr>
      <t>[R12+R13]</t>
    </r>
  </si>
  <si>
    <t xml:space="preserve">Výdavky na sociálne štipendiá (§ 96 zákona) za kalendárny rok </t>
  </si>
  <si>
    <t>z EÚ</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</si>
  <si>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</si>
  <si>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</si>
  <si>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</si>
  <si>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</si>
  <si>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</si>
  <si>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</si>
  <si>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</si>
  <si>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rPr>
      <t>1)</t>
    </r>
  </si>
  <si>
    <r>
      <t xml:space="preserve">- tvorba fondu z dotácie </t>
    </r>
    <r>
      <rPr>
        <vertAlign val="superscript"/>
        <sz val="12"/>
        <rFont val="Times New Roman"/>
        <family val="1"/>
      </rPr>
      <t>2)</t>
    </r>
  </si>
  <si>
    <r>
      <t xml:space="preserve">- ostatná tvorba </t>
    </r>
    <r>
      <rPr>
        <vertAlign val="superscript"/>
        <sz val="12"/>
        <rFont val="Times New Roman"/>
        <family val="1"/>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</si>
  <si>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</si>
  <si>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</si>
  <si>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</si>
  <si>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</si>
  <si>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</si>
  <si>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</si>
  <si>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 drobný nehmotný majetok  (účet 518 014)</t>
  </si>
  <si>
    <t>- používanie plavárne (účet 518 019)</t>
  </si>
  <si>
    <t>- z dotačného účtu  (účet 644 001)</t>
  </si>
  <si>
    <t>- z ostatných účtov  (účet 644 002)</t>
  </si>
  <si>
    <t>- ďalšie vzdelávanie  (účet 649 007)</t>
  </si>
  <si>
    <t>- kvalifikačné skúšky  (účet 649 008)</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</si>
  <si>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</si>
  <si>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</si>
  <si>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</si>
  <si>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</si>
  <si>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</si>
  <si>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</si>
  <si>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</si>
  <si>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chemikálie a ostatný materiál pre zabezpečenie experimentálnej výučby  (účet 501 002)</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</si>
  <si>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</si>
  <si>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</si>
  <si>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</si>
  <si>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</si>
  <si>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</si>
  <si>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</si>
  <si>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</si>
  <si>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</si>
  <si>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za umeleckú alebo športovú činnosť </t>
    </r>
    <r>
      <rPr>
        <sz val="12"/>
        <rFont val="Times New Roman"/>
        <family val="1"/>
      </rPr>
      <t xml:space="preserve">[R9+R10]  </t>
    </r>
    <r>
      <rPr>
        <b/>
        <sz val="12"/>
        <rFont val="Times New Roman"/>
        <family val="1"/>
      </rPr>
      <t xml:space="preserve">                                                     </t>
    </r>
  </si>
  <si>
    <r>
      <t xml:space="preserve">- prospechové </t>
    </r>
    <r>
      <rPr>
        <sz val="12"/>
        <rFont val="Times New Roman"/>
        <family val="1"/>
      </rPr>
      <t xml:space="preserve">[R3+R4] </t>
    </r>
  </si>
  <si>
    <r>
      <t xml:space="preserve">-  za dosiahnutie vynikajúceho výsledku v oblasti štúdia </t>
    </r>
    <r>
      <rPr>
        <sz val="12"/>
        <rFont val="Times New Roman"/>
        <family val="1"/>
      </rPr>
      <t xml:space="preserve">[R6+R7] </t>
    </r>
  </si>
  <si>
    <t>- údržba a opravy meracej techniky, telovýchovných  zariadení ...(účet 511 005)</t>
  </si>
  <si>
    <t>- ostatná údržba a opravy (účet 511 099)</t>
  </si>
  <si>
    <t>- prenájom zariadení (účet 518 002)</t>
  </si>
  <si>
    <t>- prenájom priestorov  (účet 518 001)</t>
  </si>
  <si>
    <t>- vložné na konferencie  (účet 518 004)</t>
  </si>
  <si>
    <t>- ďalšie vzdelávanie zamestnancov  (účet 518 005)</t>
  </si>
  <si>
    <t>- počítačové siete a prenosy údajov  (účet 518 007)</t>
  </si>
  <si>
    <t>- revízie zariadení (účet 518 010)</t>
  </si>
  <si>
    <t>- čistenie verejných priestranstiev (účet 518 011)</t>
  </si>
  <si>
    <t>- dopravné služby (účet 518 012)</t>
  </si>
  <si>
    <t>- ostatné služby (účet 518 099)</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</si>
  <si>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</si>
  <si>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</si>
  <si>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</si>
  <si>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</si>
  <si>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</si>
  <si>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</si>
  <si>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</si>
  <si>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 xml:space="preserve"> - štipendiá z vlastných zdrojov - prospechové (549 007)</t>
  </si>
  <si>
    <t xml:space="preserve"> - iné analyticky sledované náklady (účet 549 005-006, 549 008-012)</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</si>
  <si>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</si>
  <si>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</si>
  <si>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</si>
  <si>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rPr>
      <t>1)</t>
    </r>
  </si>
  <si>
    <t>Výnosy z dlhodobého finančného majetku (účet 652)</t>
  </si>
  <si>
    <t>Prijaté príspevky od iných organizácií (účet 662)</t>
  </si>
  <si>
    <t>Vnútroorganizačné prevody výnosov (účtová skupina 67)</t>
  </si>
  <si>
    <t>Prevádzkové dotácie (účet 691)</t>
  </si>
  <si>
    <t xml:space="preserve">   - Prvok 077 12 05</t>
  </si>
  <si>
    <t>- Podprogram 077 13</t>
  </si>
  <si>
    <t xml:space="preserve">   - Prvok 077 15 01</t>
  </si>
  <si>
    <t xml:space="preserve">   - Prvok 077 15 02</t>
  </si>
  <si>
    <t xml:space="preserve">   - Prvok 077 15 03</t>
  </si>
  <si>
    <t xml:space="preserve"> </t>
  </si>
  <si>
    <t xml:space="preserve">- náklady na tvorbu rezervného fondu (účet 556 100) </t>
  </si>
  <si>
    <t xml:space="preserve">- náklady na tvorbu štipendijného fondu (účet 556 200) </t>
  </si>
  <si>
    <t xml:space="preserve">1) V R89-92 sa uvedú náklady účtované v súvislosti s tvorbou príslušného fondu.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</si>
  <si>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</si>
  <si>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</si>
  <si>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</si>
  <si>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</si>
  <si>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</si>
  <si>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</si>
  <si>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</si>
  <si>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</si>
  <si>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</si>
  <si>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 ostatné bankové účty v Štátnej pokladnici 
  mimo účtov uvedených v R2:R14</t>
  </si>
  <si>
    <t xml:space="preserve">Čerpanie ostatných zdrojov prostredníctvom fondu reprodukcie </t>
  </si>
  <si>
    <t>Zákonné sociálne poistenie (účet 524)</t>
  </si>
  <si>
    <t>Zúčtovanie zákonných opravných položiek (účet 659)</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</si>
  <si>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</si>
  <si>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</si>
  <si>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</si>
  <si>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</si>
  <si>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</si>
  <si>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</si>
  <si>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</si>
  <si>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</si>
  <si>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Počet študentov poberajúcich sociálne štipendium</t>
  </si>
  <si>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</si>
  <si>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</si>
  <si>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</si>
  <si>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</si>
  <si>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</si>
  <si>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</si>
  <si>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</si>
  <si>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r>
      <t xml:space="preserve">Stav fondu k 1.1. kalendárneho roku </t>
    </r>
    <r>
      <rPr>
        <sz val="12"/>
        <rFont val="Times New Roman"/>
        <family val="1"/>
      </rPr>
      <t>[R1_SB = R12_SA ...]</t>
    </r>
  </si>
  <si>
    <t>Čerpanie fondu k 31. 12. kalendárneho roku</t>
  </si>
  <si>
    <t>Spolu</t>
  </si>
  <si>
    <t>Dotácia / program</t>
  </si>
  <si>
    <t>Číslo riadku</t>
  </si>
  <si>
    <t>Dotácia spolu</t>
  </si>
  <si>
    <t>Stav fondu reprodukcie k 1.1.</t>
  </si>
  <si>
    <t xml:space="preserve">- účelová dotácia v danom kalendárnom roku </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</si>
  <si>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</si>
  <si>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</si>
  <si>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</si>
  <si>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</si>
  <si>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</si>
  <si>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</si>
  <si>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</si>
  <si>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</si>
  <si>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</si>
  <si>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</si>
  <si>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</si>
  <si>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</si>
  <si>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</si>
  <si>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</si>
  <si>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 xml:space="preserve">    - dohody o brigádnickej práci študentov (účet 521 011)</t>
  </si>
  <si>
    <t>4a</t>
  </si>
  <si>
    <t>- Náklady účtovnej skupiny 54 okrem nákladov účtu 549 (účtovné skupiny 541 až 548)</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</si>
  <si>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</si>
  <si>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</si>
  <si>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rPr>
      <t xml:space="preserve"> [R4+R5-R1]          </t>
    </r>
    <r>
      <rPr>
        <b/>
        <sz val="12"/>
        <rFont val="Times New Roman"/>
        <family val="1"/>
      </rPr>
      <t xml:space="preserve">               </t>
    </r>
  </si>
  <si>
    <r>
      <t xml:space="preserve">Priemerné štipendium na 1 študenta na mesiac </t>
    </r>
    <r>
      <rPr>
        <sz val="12"/>
        <rFont val="Times New Roman"/>
        <family val="1"/>
      </rPr>
      <t xml:space="preserve"> [R1_SA/R2_SB resp. R1_SC/R2_SD] </t>
    </r>
  </si>
  <si>
    <r>
      <t xml:space="preserve">Výnos z dotácie zo štátneho rozpočtu na študentské jedálne spolu </t>
    </r>
    <r>
      <rPr>
        <sz val="12"/>
        <rFont val="Times New Roman"/>
        <family val="1"/>
      </rPr>
      <t>[R6+R7-R8]</t>
    </r>
  </si>
  <si>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</si>
  <si>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</si>
  <si>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</si>
  <si>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</si>
  <si>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</si>
  <si>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</si>
  <si>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</si>
  <si>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</si>
  <si>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</si>
  <si>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</si>
  <si>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</si>
  <si>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rPr>
      <t>[(R2</t>
    </r>
    <r>
      <rPr>
        <sz val="12"/>
        <rFont val="Times New Roman"/>
        <family val="1"/>
      </rPr>
      <t>/12]</t>
    </r>
  </si>
  <si>
    <t xml:space="preserve">Počet študentov poberajúcich sociálne štipendium </t>
  </si>
  <si>
    <t xml:space="preserve">    - bežný účet pre študentské domovy</t>
  </si>
  <si>
    <t xml:space="preserve">    - bežný účet pre študentské jedálne</t>
  </si>
  <si>
    <t>Daň z príjmov (účtová skupina 59)</t>
  </si>
  <si>
    <t>- vysokoškolské podniky</t>
  </si>
  <si>
    <t>Výnos z dotácie zo štátneho rozpočtu na študentské domovy (bez zmluvných zariadení)</t>
  </si>
  <si>
    <r>
      <t>Výnosy</t>
    </r>
    <r>
      <rPr>
        <b/>
        <vertAlign val="superscript"/>
        <sz val="12"/>
        <rFont val="Times New Roman"/>
        <family val="1"/>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</si>
  <si>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</si>
  <si>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</si>
  <si>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rPr>
      <t>R6</t>
    </r>
    <r>
      <rPr>
        <sz val="12"/>
        <rFont val="Times New Roman"/>
        <family val="1"/>
      </rPr>
      <t>)]</t>
    </r>
  </si>
  <si>
    <r>
      <t>Administratívni zamestnanci spolu</t>
    </r>
    <r>
      <rPr>
        <sz val="12"/>
        <rFont val="Times New Roman"/>
        <family val="1"/>
      </rPr>
      <t xml:space="preserve"> [SUM(R10:R12)]                         </t>
    </r>
  </si>
  <si>
    <t>Nákup budov a stavieb</t>
  </si>
  <si>
    <t>A</t>
  </si>
  <si>
    <t>B</t>
  </si>
  <si>
    <t>C</t>
  </si>
  <si>
    <t>E</t>
  </si>
  <si>
    <t>F</t>
  </si>
  <si>
    <t>G</t>
  </si>
  <si>
    <t>H</t>
  </si>
  <si>
    <t>I</t>
  </si>
  <si>
    <t>D</t>
  </si>
  <si>
    <t>Bankový účet</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</si>
  <si>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</si>
  <si>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</si>
  <si>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</si>
  <si>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</si>
  <si>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</si>
  <si>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</si>
  <si>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</si>
  <si>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</si>
  <si>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</si>
  <si>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</si>
  <si>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</si>
  <si>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Účty mimo Štátnej pokladnice spolu</t>
  </si>
  <si>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</si>
  <si>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</si>
  <si>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</si>
  <si>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</si>
  <si>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</si>
  <si>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</si>
  <si>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</si>
  <si>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</si>
  <si>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</si>
  <si>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</si>
  <si>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</si>
  <si>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</si>
  <si>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</si>
  <si>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Položka</t>
  </si>
  <si>
    <t>Hlavná činnosť</t>
  </si>
  <si>
    <t>Podnikateľská činnosť</t>
  </si>
  <si>
    <t>Rezervný fond</t>
  </si>
  <si>
    <t>Fond reprodukcie</t>
  </si>
  <si>
    <t>Štipendijný fond</t>
  </si>
  <si>
    <t>Návrh na prídel do štipendijného fondu</t>
  </si>
  <si>
    <t>Zmeny stavu zásob vlastnej výroby (účtová skupina 61)</t>
  </si>
  <si>
    <t>Aktivácia (účtová skupina 62)</t>
  </si>
  <si>
    <t>Pokuty a penále (účet 641+642)</t>
  </si>
  <si>
    <t>Platby za odpísané pohľadávky  (účet 643)</t>
  </si>
  <si>
    <t>Kurzové zisky  (účet 645)</t>
  </si>
  <si>
    <t>v tom:</t>
  </si>
  <si>
    <r>
      <t>Počet študentov poberajúcich sociálne štipendiá v osobomesiacoch</t>
    </r>
    <r>
      <rPr>
        <b/>
        <sz val="9"/>
        <rFont val="Times New Roman"/>
        <family val="1"/>
      </rPr>
      <t xml:space="preserve"> </t>
    </r>
    <r>
      <rPr>
        <b/>
        <vertAlign val="superscript"/>
        <sz val="14"/>
        <rFont val="Times New Roman"/>
        <family val="1"/>
      </rPr>
      <t>1)</t>
    </r>
  </si>
  <si>
    <r>
      <t>Počet ubytovaných študentov (vrátane interných doktorandov)</t>
    </r>
    <r>
      <rPr>
        <b/>
        <vertAlign val="superscript"/>
        <sz val="14"/>
        <rFont val="Times New Roman"/>
        <family val="1"/>
      </rPr>
      <t>2)</t>
    </r>
    <r>
      <rPr>
        <b/>
        <sz val="14"/>
        <rFont val="Times New Roman"/>
        <family val="1"/>
      </rPr>
      <t xml:space="preserve"> </t>
    </r>
    <r>
      <rPr>
        <b/>
        <sz val="12"/>
        <rFont val="Times New Roman"/>
        <family val="1"/>
      </rPr>
      <t xml:space="preserve"> v osobomesiacoch</t>
    </r>
  </si>
  <si>
    <t>Tržby z predaja dlhodobého NM a HM (účet 651)</t>
  </si>
  <si>
    <t>Výnosy z precenenia cenných papierov (účet 657)</t>
  </si>
  <si>
    <t>- interiérové vybavenie  (713 001)</t>
  </si>
  <si>
    <t>- telekomunikačná technika  (713 003)</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</si>
  <si>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</si>
  <si>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</si>
  <si>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</si>
  <si>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</si>
  <si>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</si>
  <si>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</si>
  <si>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</si>
  <si>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</si>
  <si>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</si>
  <si>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</si>
  <si>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</si>
  <si>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</si>
  <si>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</si>
  <si>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</si>
  <si>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</si>
  <si>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</si>
  <si>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</si>
  <si>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</si>
  <si>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</si>
  <si>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</si>
  <si>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</si>
  <si>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</si>
  <si>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</si>
  <si>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</si>
  <si>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</si>
  <si>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</si>
  <si>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</si>
  <si>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</si>
  <si>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rPr>
      <t xml:space="preserve">1) </t>
    </r>
  </si>
  <si>
    <t>- tvorba fondu prevodom z rezervného fondu (účet  413 114)</t>
  </si>
  <si>
    <t>- tvorba fondu z darov a z dedičstva (účet 413 112)</t>
  </si>
  <si>
    <t>- tvorba fondu z odpisov (účet 413 116)</t>
  </si>
  <si>
    <t>- tvorba fondu z výnosov z predaja majetku (účet 413 117)</t>
  </si>
  <si>
    <r>
      <t xml:space="preserve">- ostatná tvorba (účet 413 113) </t>
    </r>
    <r>
      <rPr>
        <vertAlign val="superscript"/>
        <sz val="12"/>
        <rFont val="Times New Roman"/>
        <family val="1"/>
      </rPr>
      <t xml:space="preserve">2) </t>
    </r>
  </si>
  <si>
    <t>1b</t>
  </si>
  <si>
    <t>2b</t>
  </si>
  <si>
    <t>3b</t>
  </si>
  <si>
    <t>4b</t>
  </si>
  <si>
    <t>15b</t>
  </si>
  <si>
    <t>15c</t>
  </si>
  <si>
    <t>15d</t>
  </si>
  <si>
    <t xml:space="preserve">Názov verejnej vysokej školy: </t>
  </si>
  <si>
    <t xml:space="preserve">    - bežný účet na riešenie úloh vedy a
      výskumu  zo SR, resp.zahraničia </t>
  </si>
  <si>
    <t>Priemerný mesačný náklad na doktoranda</t>
  </si>
  <si>
    <t xml:space="preserve"> - Podprogram 06K 12            </t>
  </si>
  <si>
    <t>8a</t>
  </si>
  <si>
    <r>
      <t xml:space="preserve">Program 06K </t>
    </r>
    <r>
      <rPr>
        <sz val="12"/>
        <rFont val="Times New Roman"/>
        <family val="1"/>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</si>
  <si>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</si>
  <si>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</si>
  <si>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</si>
  <si>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</si>
  <si>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</si>
  <si>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</si>
  <si>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</si>
  <si>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</si>
  <si>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</si>
  <si>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</si>
  <si>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</si>
  <si>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</si>
  <si>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</si>
  <si>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</si>
  <si>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</si>
  <si>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</si>
  <si>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</si>
  <si>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</si>
  <si>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</si>
  <si>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</si>
  <si>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</si>
  <si>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</si>
  <si>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</si>
  <si>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</si>
  <si>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</si>
  <si>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</si>
  <si>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</si>
  <si>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</si>
  <si>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</si>
  <si>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</si>
  <si>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</si>
  <si>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</si>
  <si>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</si>
  <si>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</si>
  <si>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</si>
  <si>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</si>
  <si>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</si>
  <si>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</si>
  <si>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</si>
  <si>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</si>
  <si>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</si>
  <si>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</si>
  <si>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</si>
  <si>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</si>
  <si>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</si>
  <si>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</si>
  <si>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</si>
  <si>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</si>
  <si>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</si>
  <si>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</si>
  <si>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</si>
  <si>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</si>
  <si>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</si>
  <si>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</si>
  <si>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</si>
  <si>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</si>
  <si>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</si>
  <si>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</si>
  <si>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</si>
  <si>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</si>
  <si>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</si>
  <si>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</si>
  <si>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</si>
  <si>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</si>
  <si>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</si>
  <si>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</si>
  <si>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</si>
  <si>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</si>
  <si>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</si>
  <si>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</si>
  <si>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</si>
  <si>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</si>
  <si>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</si>
  <si>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</si>
  <si>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</si>
  <si>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</si>
  <si>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</si>
  <si>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</si>
  <si>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</si>
  <si>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</si>
  <si>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</si>
  <si>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</si>
  <si>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</si>
  <si>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</si>
  <si>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</si>
  <si>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</si>
  <si>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</si>
  <si>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</si>
  <si>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</si>
  <si>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</si>
  <si>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</si>
  <si>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</si>
  <si>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</si>
  <si>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</si>
  <si>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</si>
  <si>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</si>
  <si>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</si>
  <si>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</si>
  <si>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</si>
  <si>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</si>
  <si>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</si>
  <si>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</si>
  <si>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</si>
  <si>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</si>
  <si>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</si>
  <si>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</si>
  <si>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</si>
  <si>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</si>
  <si>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</si>
  <si>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</si>
  <si>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</si>
  <si>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</si>
  <si>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</si>
  <si>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</si>
  <si>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</si>
  <si>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</si>
  <si>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</si>
  <si>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</si>
  <si>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</si>
  <si>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</si>
  <si>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</si>
  <si>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Brutto</t>
  </si>
  <si>
    <t>Korekcia</t>
  </si>
  <si>
    <t>Netto</t>
  </si>
  <si>
    <t>Predch. účt. obdobie</t>
  </si>
  <si>
    <t>Strana aktív</t>
  </si>
  <si>
    <t>Tabuľka č. 24: Súvaha - Strana aktív</t>
  </si>
  <si>
    <t xml:space="preserve">   Oceniteľné práva 014-(074+091AÚ)</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</si>
  <si>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</si>
  <si>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</si>
  <si>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</si>
  <si>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</si>
  <si>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</si>
  <si>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</si>
  <si>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</si>
  <si>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</si>
  <si>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</si>
  <si>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</si>
  <si>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</si>
  <si>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</si>
  <si>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</si>
  <si>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</si>
  <si>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</si>
  <si>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</si>
  <si>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</si>
  <si>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</si>
  <si>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</si>
  <si>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</si>
  <si>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</si>
  <si>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</si>
  <si>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</si>
  <si>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</si>
  <si>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</si>
  <si>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</si>
  <si>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</si>
  <si>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</si>
  <si>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</si>
  <si>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</si>
  <si>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</si>
  <si>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</si>
  <si>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</si>
  <si>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</si>
  <si>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</si>
  <si>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</si>
  <si>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</si>
  <si>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</si>
  <si>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</si>
  <si>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</si>
  <si>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</si>
  <si>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</si>
  <si>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</si>
  <si>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</si>
  <si>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 xml:space="preserve"> Brutto
(v Eur)</t>
  </si>
  <si>
    <t>č. r.</t>
  </si>
  <si>
    <t>Bežné účtovné obdobie</t>
  </si>
  <si>
    <t>Bezprostredne predchádzajúce účtovné obdobie</t>
  </si>
  <si>
    <t>a</t>
  </si>
  <si>
    <t>b</t>
  </si>
  <si>
    <t>1.</t>
  </si>
  <si>
    <t>Nehmotné výsledky z vývojovej a obdob.činnosti 012 -(072 +091 AÚ)</t>
  </si>
  <si>
    <t>Software  013 - (073 + 091 AÚ)</t>
  </si>
  <si>
    <t>Oceniteľné práva  014 - (074 + 091 AÚ)</t>
  </si>
  <si>
    <t>Ostatný dlhodobý nehmotný majetok (018 + 019) - (078 + 079 + 091 AÚ)</t>
  </si>
  <si>
    <t>Poskytnuté preddavky na dlhodobý nehmotný majetok  (051) - (095 AÚ)</t>
  </si>
  <si>
    <t>2.</t>
  </si>
  <si>
    <t>Pozemky  (031)</t>
  </si>
  <si>
    <t>Umelecké diela a zbierky  (032)</t>
  </si>
  <si>
    <t>Stavby  (021) - (081 + 092 AÚ)</t>
  </si>
  <si>
    <t>Dopravné prostriedky  (023) - (083 + 092 AÚ)</t>
  </si>
  <si>
    <t>Pestovateľské celky trvalých porastov  (025) - (085 +092 AÚ)</t>
  </si>
  <si>
    <t>Základné stádo a ťažné zvieratá  (026) - (086 + 092 AÚ)</t>
  </si>
  <si>
    <t>Drobný dlhodobý hmotný majetok  (028) - (088 + 092 AÚ)</t>
  </si>
  <si>
    <t>Ostatný dlhodobý hmotný majetok  (029) - (089 + 092 AÚ)</t>
  </si>
  <si>
    <t>Obstaranie dlhodobého hmotného majetku  (042) - (094)</t>
  </si>
  <si>
    <t>Poskytnuté preddavky na dlhodobý hmot.majetok  (052) - (095 AÚ)</t>
  </si>
  <si>
    <t>3.</t>
  </si>
  <si>
    <t>Pôžičky podnikom v skupine a ostatné pôžičky  (066 + 067) - (096 AÚ)</t>
  </si>
  <si>
    <t>Obstaranie dlhodobého finančného majetku  (043) - (096 AÚ)</t>
  </si>
  <si>
    <t>Účtovné obdobie</t>
  </si>
  <si>
    <t>Zásoby   súčet r. 031 až 036</t>
  </si>
  <si>
    <t>Materiál (112 + 119) - (191)</t>
  </si>
  <si>
    <t>Nedokončená výroba a polotovary vlastnej výroby (121 + 122) - (192 + 193)</t>
  </si>
  <si>
    <t>Výrobky  (123) - (194)</t>
  </si>
  <si>
    <t>Zvieratá  (124) - (195)</t>
  </si>
  <si>
    <t>Tovar  (132 +139) - (196)</t>
  </si>
  <si>
    <t>Ostatné pohľadávky (315 AÚ -391 AÚ)</t>
  </si>
  <si>
    <t>Pohľadávky z obchodného styku  (311 AÚ až 314 AÚ) - 391 AÚ)</t>
  </si>
  <si>
    <t>Zúčtovanie so SP a zdravotnými poisťovňami (336)</t>
  </si>
  <si>
    <t>Daňové pohľadávky  (341 až 345)</t>
  </si>
  <si>
    <t>4.</t>
  </si>
  <si>
    <t>Pokladnica  (211 +213)</t>
  </si>
  <si>
    <t>Bankové účty s dobou viazanosti dlhšou ako 1 rok (221AÚ)</t>
  </si>
  <si>
    <t>Náklady budúcich období  (381)</t>
  </si>
  <si>
    <t>Príjmy budúcich období  (385)</t>
  </si>
  <si>
    <t>Strana pasív</t>
  </si>
  <si>
    <t>Oceňovacie rozdiely z precenenia majetku a záväzkov    (414)</t>
  </si>
  <si>
    <t>Oceňovacie rozdiely z precenenia kapitálových účastín   (415)</t>
  </si>
  <si>
    <t>Záväzky z obchodného styku   (321 až 326) okrem 323</t>
  </si>
  <si>
    <t>Bežné bankové úvery      (231 + 232 + 461 AÚ)</t>
  </si>
  <si>
    <r>
      <t xml:space="preserve">Ostatné dlhodobé záväzky </t>
    </r>
    <r>
      <rPr>
        <sz val="9"/>
        <rFont val="Times New Roman"/>
        <family val="1"/>
      </rPr>
      <t xml:space="preserve"> (373 AÚ+ 479 AÚ)</t>
    </r>
  </si>
  <si>
    <t>Peňažné fondy tvorené podľa osobitného predpisu     (412)</t>
  </si>
  <si>
    <t>Rezervný fond                          (421)</t>
  </si>
  <si>
    <t>Ostatné fondy                          (427)</t>
  </si>
  <si>
    <t>Fondy tvorené zo zisku            (423)</t>
  </si>
  <si>
    <t>Rezervy zákonné                      (451AÚ)</t>
  </si>
  <si>
    <t>Ostatné rezervy                        (459AÚ)</t>
  </si>
  <si>
    <t>Krátkodobé  rezervy                (323+451AÚ+459AÚ)</t>
  </si>
  <si>
    <t>Záväzky zo sociálneho fondu     (472)</t>
  </si>
  <si>
    <t>Vydané dlhopisy                       (473)</t>
  </si>
  <si>
    <t>Záväzky z nájmu                       (474 AÚ)</t>
  </si>
  <si>
    <t>Dlhodobé prijaté preddavky      (475)</t>
  </si>
  <si>
    <t xml:space="preserve">Dlhodobé nevyfakturované dodávky       (476) </t>
  </si>
  <si>
    <t>Dlhodobé zmenky na úhradu                   (478)</t>
  </si>
  <si>
    <t>Záväzky voči zamestnancom    (331 +333)</t>
  </si>
  <si>
    <t>Zúčtovania so SP a zdravotnými poisťovňami         (336)</t>
  </si>
  <si>
    <t>Daňové záväzky                      (341 až 345)</t>
  </si>
  <si>
    <t>Záväzky z dôvodu finančných vzťahov k štátnemu rozpočtu a rozpočtom územnej j samosprávy       (346 +348)</t>
  </si>
  <si>
    <t>Záväzky voči účastníkom združení   (368)</t>
  </si>
  <si>
    <t>Spojovací účet pri združení   (396)</t>
  </si>
  <si>
    <t>Dlhodobé bankové úvery      (461 AÚ)</t>
  </si>
  <si>
    <t>Výdavky budúcich období       (383)</t>
  </si>
  <si>
    <t>Záväzky z upísaných nesplatených cenných papierov a vkladov (367)</t>
  </si>
  <si>
    <t>Obstaranie dlhodobého nehmotného majetku (041)-(093)</t>
  </si>
  <si>
    <t>A. NEOBEŽNÝ MAJETOK SPOLU r. 002 + 009 + 021</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</si>
  <si>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</si>
  <si>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</si>
  <si>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</si>
  <si>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</si>
  <si>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</si>
  <si>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</si>
  <si>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</si>
  <si>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</si>
  <si>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</si>
  <si>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</si>
  <si>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</si>
  <si>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</si>
  <si>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</si>
  <si>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</si>
  <si>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</si>
  <si>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</si>
  <si>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</si>
  <si>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</si>
  <si>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</si>
  <si>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</si>
  <si>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</si>
  <si>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</si>
  <si>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</si>
  <si>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</si>
  <si>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</si>
  <si>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</si>
  <si>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</si>
  <si>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</si>
  <si>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</si>
  <si>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</si>
  <si>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</si>
  <si>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</si>
  <si>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</si>
  <si>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</si>
  <si>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</si>
  <si>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</si>
  <si>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</si>
  <si>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</si>
  <si>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</si>
  <si>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</si>
  <si>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</si>
  <si>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</si>
  <si>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</si>
  <si>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</si>
  <si>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</si>
  <si>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</si>
  <si>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</si>
  <si>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</si>
  <si>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</si>
  <si>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</si>
  <si>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</si>
  <si>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</si>
  <si>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</si>
  <si>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</si>
  <si>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</si>
  <si>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</si>
  <si>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</si>
  <si>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</si>
  <si>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</si>
  <si>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</si>
  <si>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</si>
  <si>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</si>
  <si>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</si>
  <si>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</si>
  <si>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</si>
  <si>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</si>
  <si>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</si>
  <si>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</si>
  <si>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</si>
  <si>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</si>
  <si>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</si>
  <si>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</si>
  <si>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</si>
  <si>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</si>
  <si>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</si>
  <si>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</si>
  <si>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</si>
  <si>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</si>
  <si>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</si>
  <si>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</si>
  <si>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</si>
  <si>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</si>
  <si>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</si>
  <si>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</si>
  <si>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</si>
  <si>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</si>
  <si>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</si>
  <si>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</si>
  <si>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</si>
  <si>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</si>
  <si>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</si>
  <si>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</si>
  <si>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</si>
  <si>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</si>
  <si>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</si>
  <si>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</si>
  <si>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</si>
  <si>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</si>
  <si>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</si>
  <si>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</si>
  <si>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</si>
  <si>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</si>
  <si>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</si>
  <si>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</si>
  <si>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</si>
  <si>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</si>
  <si>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</si>
  <si>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</si>
  <si>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</si>
  <si>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</si>
  <si>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</si>
  <si>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</si>
  <si>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</si>
  <si>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</si>
  <si>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</si>
  <si>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</si>
  <si>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</si>
  <si>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</si>
  <si>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</si>
  <si>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</si>
  <si>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</si>
  <si>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</si>
  <si>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</si>
  <si>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</si>
  <si>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</si>
  <si>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</si>
  <si>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</si>
  <si>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</si>
  <si>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</si>
  <si>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</si>
  <si>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</si>
  <si>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</si>
  <si>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</si>
  <si>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</si>
  <si>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</si>
  <si>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</si>
  <si>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</si>
  <si>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</si>
  <si>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</si>
  <si>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</si>
  <si>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</si>
  <si>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</si>
  <si>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</si>
  <si>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</si>
  <si>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</si>
  <si>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</si>
  <si>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</si>
  <si>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</si>
  <si>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</si>
  <si>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</si>
  <si>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</si>
  <si>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r>
      <t>Spolu</t>
    </r>
    <r>
      <rPr>
        <sz val="12"/>
        <rFont val="Times New Roman"/>
        <family val="1"/>
      </rPr>
      <t xml:space="preserve"> [R1+R6+R7+R8]</t>
    </r>
  </si>
  <si>
    <t>Základné imanie    (411)</t>
  </si>
  <si>
    <t>Fond reprodukcie   (413)</t>
  </si>
  <si>
    <t>- ostatné energie</t>
  </si>
  <si>
    <t>Samostatné hnuteľné veci a súbory hnuteľných vecí  (022) - (082 + 092 AÚ)</t>
  </si>
  <si>
    <r>
      <t xml:space="preserve">2) všetky údaje o výnosoch a nákladoch  sa uvádzajú </t>
    </r>
    <r>
      <rPr>
        <sz val="11"/>
        <rFont val="Times New Roman"/>
        <family val="1"/>
      </rPr>
      <t>v Eur</t>
    </r>
  </si>
  <si>
    <r>
      <t xml:space="preserve">Príjem z dotácie na motivačné štipendiá z kapitoly MŠVVaŠ SR v kalendárnom roku </t>
    </r>
    <r>
      <rPr>
        <b/>
        <vertAlign val="superscript"/>
        <sz val="12"/>
        <rFont val="Times New Roman"/>
        <family val="1"/>
      </rPr>
      <t>1)</t>
    </r>
    <r>
      <rPr>
        <sz val="12"/>
        <rFont val="Times New Roman"/>
        <family val="1"/>
      </rPr>
      <t xml:space="preserve"> </t>
    </r>
  </si>
  <si>
    <t>Zamestnanci platení z dotácie MŠVVaŠ SR</t>
  </si>
  <si>
    <r>
      <t xml:space="preserve">3) uvádzajú sa </t>
    </r>
    <r>
      <rPr>
        <b/>
        <sz val="11"/>
        <rFont val="Times New Roman"/>
        <family val="1"/>
      </rPr>
      <t>jedlá vydané študentom len vo vlastnej jedálni</t>
    </r>
    <r>
      <rPr>
        <sz val="11"/>
        <rFont val="Times New Roman"/>
        <family val="1"/>
      </rPr>
      <t xml:space="preserve"> , na ktoré sa poskytuje dotácia</t>
    </r>
  </si>
  <si>
    <r>
      <t xml:space="preserve">4) uvádzajú sa </t>
    </r>
    <r>
      <rPr>
        <b/>
        <sz val="11"/>
        <rFont val="Times New Roman"/>
        <family val="1"/>
      </rPr>
      <t>všetky jedlá vydané študentom v zmluvných zariadeniach</t>
    </r>
    <r>
      <rPr>
        <sz val="11"/>
        <rFont val="Times New Roman"/>
        <family val="1"/>
      </rPr>
      <t>, na ktoré sa poskytuje dotácia</t>
    </r>
  </si>
  <si>
    <t xml:space="preserve">Nevyčerpaná dotácia (+) / nedoplatok dotácie (-) k 31. 12. predchádzajúceho roka  
[R4_SC = R6_SA]                         </t>
  </si>
  <si>
    <t>Príspevok z podielu zaplatenej dane (účet 665)</t>
  </si>
  <si>
    <t>- iné analyticky sledované náklady (účty 501 005-006, 501 013-018, 501 077)</t>
  </si>
  <si>
    <t>86a</t>
  </si>
  <si>
    <t>Vnútroorganizačné prevody (účtovná skupina 57)</t>
  </si>
  <si>
    <t>Projektovaná lôžková kapacita študentského domova k 31. 12. kalendárneho roka (v počte miest)</t>
  </si>
  <si>
    <r>
      <t xml:space="preserve">Štipendiá z vlastných zdrojov vysokej školy (§ 97 zákona) spolu </t>
    </r>
    <r>
      <rPr>
        <sz val="12"/>
        <rFont val="Times New Roman"/>
        <family val="1"/>
      </rPr>
      <t xml:space="preserve">[R2+R5+R8+R11] </t>
    </r>
  </si>
  <si>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</si>
  <si>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</si>
  <si>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</si>
  <si>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</si>
  <si>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</si>
  <si>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L=
G+H+I+J+K</t>
  </si>
  <si>
    <t>10a</t>
  </si>
  <si>
    <t>G=A+B+C+D+E+F</t>
  </si>
  <si>
    <t>Poskytnuté príspevky z podielu zaplatenej dane</t>
  </si>
  <si>
    <t>Zost. cena predaného DNM a DHM</t>
  </si>
  <si>
    <t>Iné pohľadávky  (335 AÚ + 373 AÚ + 375 AÚ + 378 AÚ) - (391 AÚ)</t>
  </si>
  <si>
    <t xml:space="preserve">zabezpečenie mobilít v súlade s medzinárodnými zmluvami </t>
  </si>
  <si>
    <t>Peniaze na ceste (účet 261)</t>
  </si>
  <si>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</si>
  <si>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</si>
  <si>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</si>
  <si>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r>
      <t>T21_R1_</t>
    </r>
    <r>
      <rPr>
        <b/>
        <sz val="12"/>
        <rFont val="Times New Roman"/>
        <family val="1"/>
      </rPr>
      <t>SA</t>
    </r>
    <r>
      <rPr>
        <sz val="12"/>
        <rFont val="Times New Roman"/>
        <family val="1"/>
      </rPr>
      <t xml:space="preserve"> + T11_R10_SB - T5_R85_SC = T21_R1_</t>
    </r>
    <r>
      <rPr>
        <b/>
        <sz val="12"/>
        <rFont val="Times New Roman"/>
        <family val="1"/>
      </rPr>
      <t>SG</t>
    </r>
  </si>
  <si>
    <r>
      <t>T21_R1_</t>
    </r>
    <r>
      <rPr>
        <b/>
        <sz val="12"/>
        <rFont val="Times New Roman"/>
        <family val="1"/>
      </rPr>
      <t>SB</t>
    </r>
    <r>
      <rPr>
        <sz val="12"/>
        <rFont val="Times New Roman"/>
        <family val="1"/>
      </rPr>
      <t xml:space="preserve"> + T11_R10a_SB - T5_R86a_SC = T21_R1_</t>
    </r>
    <r>
      <rPr>
        <b/>
        <sz val="12"/>
        <rFont val="Times New Roman"/>
        <family val="1"/>
      </rPr>
      <t>SH</t>
    </r>
  </si>
  <si>
    <t>Čerpanie z iných zdrojov</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</si>
  <si>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</si>
  <si>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</si>
  <si>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</si>
  <si>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</si>
  <si>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</si>
  <si>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 xml:space="preserve">Pre účely výpočtu počtu zamestnancov bola použitá metóda </t>
    </r>
    <r>
      <rPr>
        <sz val="12"/>
        <color indexed="8"/>
        <rFont val="Tahoma"/>
        <family val="2"/>
      </rPr>
      <t xml:space="preserve">- </t>
    </r>
    <r>
      <rPr>
        <b/>
        <sz val="10"/>
        <color indexed="8"/>
        <rFont val="Tahoma"/>
        <family val="2"/>
      </rPr>
      <t>Priemerný evidenčný počet zamestnancov - prepočítaný počet</t>
    </r>
    <r>
      <rPr>
        <sz val="10"/>
        <color indexed="8"/>
        <rFont val="Tahoma"/>
        <family val="2"/>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</si>
  <si>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</si>
  <si>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</si>
  <si>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</si>
  <si>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</si>
  <si>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</si>
  <si>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t>- počet vydaných jedál študentom vo vlastných stravovacích zariadeniach 3)</t>
  </si>
  <si>
    <r>
      <t>- počet vydaných jedál študentom v zmluvných zariadeniach</t>
    </r>
    <r>
      <rPr>
        <vertAlign val="superscript"/>
        <sz val="12"/>
        <rFont val="Times New Roman"/>
        <family val="1"/>
      </rPr>
      <t xml:space="preserve"> 4)</t>
    </r>
  </si>
  <si>
    <r>
      <t xml:space="preserve">Nárok na príspevok zo štátneho rozpočtu na jedlá podľa metodiky </t>
    </r>
    <r>
      <rPr>
        <sz val="12"/>
        <rFont val="Times New Roman"/>
        <family val="1"/>
      </rPr>
      <t xml:space="preserve">                                     </t>
    </r>
  </si>
  <si>
    <t>Číslo účtu/Poznámka</t>
  </si>
  <si>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</si>
  <si>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</si>
  <si>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</si>
  <si>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</si>
  <si>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 dary (účet 649 009) (646)</t>
  </si>
  <si>
    <r>
      <t xml:space="preserve">z </t>
    </r>
    <r>
      <rPr>
        <b/>
        <sz val="12"/>
        <color indexed="17"/>
        <rFont val="Times New Roman"/>
        <family val="1"/>
      </rPr>
      <t>neúčelovej</t>
    </r>
    <r>
      <rPr>
        <b/>
        <sz val="12"/>
        <color indexed="8"/>
        <rFont val="Times New Roman"/>
        <family val="1"/>
      </rPr>
      <t xml:space="preserve"> dotácie MŠVVaŠ SR</t>
    </r>
  </si>
  <si>
    <t>E=A+B+C+D</t>
  </si>
  <si>
    <t>Fond na podporu štúdia študentov so špecifickými potrebami</t>
  </si>
  <si>
    <t>Účtová trieda 5 spolu r.01 až r.37</t>
  </si>
  <si>
    <t>Pohľadávky voči účastníkom združení  (358 AÚ - 391 AÚ)</t>
  </si>
  <si>
    <t>Pohľadávky voči účastníkom združení  (358 AÚ -391 AÚ)</t>
  </si>
  <si>
    <t>Spojovací účet pri združení  (396-391 AÚ)</t>
  </si>
  <si>
    <t>Bankové účty  (221 AÚ + 261)</t>
  </si>
  <si>
    <t>Obstaranie krátkodobého finančného majetku (259-291 AÚ)</t>
  </si>
  <si>
    <t>C. ČASOVÉ ROZLÍŠENIE SPOLU        r. 058 a r. 059</t>
  </si>
  <si>
    <t xml:space="preserve"> MAJETOK SPOLU                           r.001 + 029 +057</t>
  </si>
  <si>
    <t>Finančné účty                                           r.052 až 056</t>
  </si>
  <si>
    <t>Krátkodobé pohľadávky                         r.043 až 050</t>
  </si>
  <si>
    <t>Dlhodobé pohľadávky                              r.038 až 041</t>
  </si>
  <si>
    <t>B. OBEŽNÝ MAJETOK SPOLU    r.030+037+042+051</t>
  </si>
  <si>
    <t>Dlhodobý nehmotný majetok                r.003 až 008</t>
  </si>
  <si>
    <t>Dlhodobý hmotný majetok                     r.010 až 020</t>
  </si>
  <si>
    <t>Dlhodobý finančný majetok                   r.022 až 028</t>
  </si>
  <si>
    <t>A. VLASTNÉ ZDROJE KRYTIA MAJETKU SPOLU         r.062+068+072+073</t>
  </si>
  <si>
    <t>Imanie a peňažné fondy                                       r.063 až 067</t>
  </si>
  <si>
    <t>Fondy tvorené zo zisku                                      r.069 až 071</t>
  </si>
  <si>
    <t>Nevysporiadaný výsledok hospodárenia minulých rokov          (+,- 428)</t>
  </si>
  <si>
    <t>Výsledok hospodárenia za účtovné obdobie       r. 060 -(r.062+068+072+074+101)</t>
  </si>
  <si>
    <t>B. Cudzie zdroje                                             r.075+079+087+097</t>
  </si>
  <si>
    <t>Rezervy                                                                r.076 až 078</t>
  </si>
  <si>
    <t>Dlhodobé  záväzky                                               r.080 až 086</t>
  </si>
  <si>
    <t>Krátkodobé záväzky                                            r.088 až 096</t>
  </si>
  <si>
    <t>Ostatné záväzky  (379 + 373 AÚ +474 AÚ + 479 AÚ)</t>
  </si>
  <si>
    <t>Bankové výpomoci a pôžičky                            r.098 až 100</t>
  </si>
  <si>
    <t>Prijaté krátkodobé finančné výpomoci   (241 + 249)</t>
  </si>
  <si>
    <t>C. ČASOVÉ ROZLÍŠENIE SPOLU                         r. 102 + 103</t>
  </si>
  <si>
    <t>Výnosy budúcich období         (384)</t>
  </si>
  <si>
    <r>
      <t xml:space="preserve">VLASTNÉ ZDROJE A CUDZIE ZDROJE SPOLU </t>
    </r>
    <r>
      <rPr>
        <b/>
        <sz val="11"/>
        <rFont val="Times New Roman"/>
        <family val="1"/>
      </rPr>
      <t>r.061+074+101</t>
    </r>
  </si>
  <si>
    <r>
      <t xml:space="preserve">Počet študentov poberajúcich sociálne štipendiá </t>
    </r>
    <r>
      <rPr>
        <b/>
        <sz val="12"/>
        <rFont val="Times New Roman"/>
        <family val="1"/>
      </rPr>
      <t xml:space="preserve"> </t>
    </r>
    <r>
      <rPr>
        <b/>
        <vertAlign val="superscript"/>
        <sz val="14"/>
        <rFont val="Times New Roman"/>
        <family val="1"/>
      </rPr>
      <t>2)</t>
    </r>
  </si>
  <si>
    <r>
      <t xml:space="preserve">Počet študentov poberajúcich  štipendiá z vlastných zdrojov </t>
    </r>
    <r>
      <rPr>
        <b/>
        <vertAlign val="superscript"/>
        <sz val="12"/>
        <rFont val="Times New Roman"/>
        <family val="1"/>
      </rPr>
      <t>2</t>
    </r>
    <r>
      <rPr>
        <b/>
        <sz val="12"/>
        <rFont val="Times New Roman"/>
        <family val="1"/>
      </rPr>
      <t>)</t>
    </r>
    <r>
      <rPr>
        <b/>
        <sz val="12"/>
        <color indexed="10"/>
        <rFont val="Times New Roman"/>
        <family val="1"/>
      </rPr>
      <t xml:space="preserve"> </t>
    </r>
  </si>
  <si>
    <t>Zvyšok prijatej kapitálovej dotácie zo štátneho rozpočtu používanej na kompenzáciu odpisov majetku z nej obstaraného</t>
  </si>
  <si>
    <r>
      <t xml:space="preserve">Zvyšok prijatej kapitálovej dotácie </t>
    </r>
    <r>
      <rPr>
        <b/>
        <sz val="10"/>
        <color indexed="8"/>
        <rFont val="Times New Roman"/>
        <family val="1"/>
      </rPr>
      <t>z prostriedkov EÚ (štrukturálnych fondov)</t>
    </r>
    <r>
      <rPr>
        <b/>
        <sz val="12"/>
        <color indexed="8"/>
        <rFont val="Times New Roman"/>
        <family val="1"/>
      </rPr>
      <t xml:space="preserve"> používanej na kompenzáciu odpisov majetku z nej obstaraného</t>
    </r>
  </si>
  <si>
    <r>
      <t>Priemerné náklady  na jedlo študenta v Eur [</t>
    </r>
    <r>
      <rPr>
        <sz val="12"/>
        <rFont val="Times New Roman"/>
        <family val="1"/>
      </rPr>
      <t>R10</t>
    </r>
    <r>
      <rPr>
        <sz val="12"/>
        <rFont val="Times New Roman"/>
        <family val="1"/>
      </rPr>
      <t>/R13]</t>
    </r>
  </si>
  <si>
    <t>K=A+C+E+G+I</t>
  </si>
  <si>
    <t>L=B+D+F+H+J</t>
  </si>
  <si>
    <t xml:space="preserve">Náklady / Výnosy </t>
  </si>
  <si>
    <t>Do tabuľky sa neuvádzajú štipendiá doktorandov!!!</t>
  </si>
  <si>
    <r>
      <t>Nevyčerpaná dotácia (+) / nedoplatok dotácie (-) na motivačné štipendiá</t>
    </r>
    <r>
      <rPr>
        <b/>
        <sz val="12"/>
        <rFont val="Times New Roman"/>
        <family val="1"/>
      </rPr>
      <t xml:space="preserve"> k 31. 12. predchádzajúceho kalendárneho roka</t>
    </r>
    <r>
      <rPr>
        <sz val="12"/>
        <rFont val="Times New Roman"/>
        <family val="1"/>
      </rPr>
      <t xml:space="preserve">     </t>
    </r>
    <r>
      <rPr>
        <b/>
        <sz val="12"/>
        <rFont val="Times New Roman"/>
        <family val="1"/>
      </rPr>
      <t xml:space="preserve">     </t>
    </r>
  </si>
  <si>
    <r>
      <t>Nevyčerpaná dotácia (+) / nedoplatok dotácie (-) k 31. 12. kalendárneho roka1</t>
    </r>
    <r>
      <rPr>
        <b/>
        <vertAlign val="superscript"/>
        <sz val="12"/>
        <rFont val="Times New Roman"/>
        <family val="1"/>
      </rPr>
      <t xml:space="preserve">) </t>
    </r>
    <r>
      <rPr>
        <b/>
        <sz val="12"/>
        <rFont val="Times New Roman"/>
        <family val="1"/>
      </rPr>
      <t xml:space="preserve">  [R1+R2-R3]                       </t>
    </r>
  </si>
  <si>
    <r>
      <t>Výdavky na motivačné štipendiá</t>
    </r>
    <r>
      <rPr>
        <sz val="12"/>
        <rFont val="Times New Roman"/>
        <family val="1"/>
      </rPr>
      <t xml:space="preserve"> </t>
    </r>
    <r>
      <rPr>
        <b/>
        <sz val="12"/>
        <rFont val="Times New Roman"/>
        <family val="1"/>
      </rPr>
      <t xml:space="preserve">v kalendárnom roku </t>
    </r>
  </si>
  <si>
    <t xml:space="preserve">1) v riadku 5 sa uvedie celkový fyzický počet študentov (pričom 1 študent sa počíta za 1 fyzickú osobu), ktorým bolo vyplatené motivačné štipendium v kalendárnom roku </t>
  </si>
  <si>
    <t xml:space="preserve">Stav k 31. 12. 2013  </t>
  </si>
  <si>
    <t xml:space="preserve">- za prijímacie konanie (§ 92 ods. 12 zákona) (účet 649 003) </t>
  </si>
  <si>
    <t xml:space="preserve">- za rigorózne konanie (§ 92 ods. 13 zákona) (účet 649 004) </t>
  </si>
  <si>
    <t xml:space="preserve">- za vydanie diplomu za rigorózne konanie (§ 92 ods. 14 zákona)  (účet 649 005) </t>
  </si>
  <si>
    <r>
      <t xml:space="preserve">Krytie fondu finančnými prostriedkami na osobitnom bankovom účte </t>
    </r>
    <r>
      <rPr>
        <b/>
        <vertAlign val="superscript"/>
        <sz val="12"/>
        <rFont val="Times New Roman"/>
        <family val="1"/>
      </rPr>
      <t xml:space="preserve">3) </t>
    </r>
    <r>
      <rPr>
        <vertAlign val="superscript"/>
        <sz val="11"/>
        <rFont val="Times New Roman"/>
        <family val="1"/>
      </rPr>
      <t xml:space="preserve">
</t>
    </r>
    <r>
      <rPr>
        <sz val="11"/>
        <rFont val="Times New Roman"/>
        <family val="1"/>
      </rPr>
      <t>k 31.12.</t>
    </r>
  </si>
  <si>
    <t>zdroj 11S1</t>
  </si>
  <si>
    <t>zdroj 11S2</t>
  </si>
  <si>
    <t>zdroj 11S  spolu</t>
  </si>
  <si>
    <t>zdroj 11T  spolu</t>
  </si>
  <si>
    <t>zdroj 11T1</t>
  </si>
  <si>
    <t>zdroj 11T2</t>
  </si>
  <si>
    <t>x</t>
  </si>
  <si>
    <t>Náklady spolu</t>
  </si>
  <si>
    <r>
      <t xml:space="preserve">Dotácie z kapitoly MŠVVaŠ SR spolu </t>
    </r>
    <r>
      <rPr>
        <sz val="12"/>
        <rFont val="Times New Roman"/>
        <family val="1"/>
      </rPr>
      <t>[R1+R4]</t>
    </r>
  </si>
  <si>
    <t>9a</t>
  </si>
  <si>
    <r>
      <t xml:space="preserve">Dotácie z iných kapitol spolu </t>
    </r>
    <r>
      <rPr>
        <sz val="12"/>
        <rFont val="Times New Roman"/>
        <family val="1"/>
      </rPr>
      <t>[SUM(R9:Ra...)]</t>
    </r>
  </si>
  <si>
    <r>
      <t>Dotácie z prostriedkov EÚ spolu</t>
    </r>
    <r>
      <rPr>
        <sz val="12"/>
        <color indexed="8"/>
        <rFont val="Times New Roman"/>
        <family val="1"/>
      </rPr>
      <t xml:space="preserve"> [R7+R8]</t>
    </r>
  </si>
  <si>
    <r>
      <t>Dotácia na kapitálové výdavky z prostriedkov EÚ (štrukturálnych fondov</t>
    </r>
    <r>
      <rPr>
        <b/>
        <sz val="12"/>
        <rFont val="Times New Roman"/>
        <family val="1"/>
      </rPr>
      <t xml:space="preserve"> vrátane spolufinancovania)</t>
    </r>
  </si>
  <si>
    <r>
      <t>Zostatok kapitálovej dotácie z predchádzajúceho roku</t>
    </r>
    <r>
      <rPr>
        <b/>
        <sz val="10"/>
        <rFont val="Times New Roman"/>
        <family val="1"/>
      </rPr>
      <t xml:space="preserve"> </t>
    </r>
    <r>
      <rPr>
        <b/>
        <sz val="12"/>
        <rFont val="Times New Roman"/>
        <family val="1"/>
      </rPr>
      <t>(z dotácií na R10 a R10a)</t>
    </r>
  </si>
  <si>
    <r>
      <t>Iné zdroje na obstaranie a technické zhodnotenie dlhodobého majetku</t>
    </r>
    <r>
      <rPr>
        <b/>
        <sz val="12"/>
        <rFont val="Times New Roman"/>
        <family val="1"/>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</si>
  <si>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</si>
  <si>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</si>
  <si>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</si>
  <si>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</si>
  <si>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</si>
  <si>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</si>
  <si>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ostatný materiál (účet 501 099, 501 030, 501 599, 501 100)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</si>
  <si>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</si>
  <si>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</si>
  <si>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</si>
  <si>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</si>
  <si>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</si>
  <si>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</si>
  <si>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zahraničné cestovné  (účet 512 002, 512 003, 512 052)</t>
  </si>
  <si>
    <t>- telefón, fax  (účet 518 006, 518 056)</t>
  </si>
  <si>
    <t>- poštovné  (účet 518 008, 518 058)</t>
  </si>
  <si>
    <t>- odvoz odpadu  (účet 518 009, 518 059)</t>
  </si>
  <si>
    <t xml:space="preserve">- iné analyticky sledované náklady (účty 518 003, 518 013, 518 015-018, 518 020-030, 518 031-034, 518 040, 518 041,518 599) </t>
  </si>
  <si>
    <t xml:space="preserve"> - MZDY (účty 521 001-008, 521 012, 521 013, 581 003)</t>
  </si>
  <si>
    <t xml:space="preserve"> - odpisy DN a HM nadobudnutého z kapitálových dotácií zo ŠR 
(účet 551 100, 551 121, 551 123, 551 001, 551 003)</t>
  </si>
  <si>
    <t xml:space="preserve"> - ostatné náklady z účtovej skupiny 55 (účty 552, 553, 554, 557, 558, 559)</t>
  </si>
  <si>
    <t>- náklady na tvorbu fondu reprodukcie (účet 556 400) (z predaja majetku)</t>
  </si>
  <si>
    <t>Pozn.</t>
  </si>
  <si>
    <r>
      <t xml:space="preserve">v R90 ide o náklady na tvorbu FR </t>
    </r>
    <r>
      <rPr>
        <i/>
        <sz val="12"/>
        <rFont val="Times New Roman"/>
        <family val="1"/>
      </rPr>
      <t>z predaja majetku = T11R5=T13R5</t>
    </r>
  </si>
  <si>
    <t>Podielové cenné papiere a podiely v obchodných spoločnostiach v ovládanej osobe  (061 - 096 AÚ)</t>
  </si>
  <si>
    <t>Podielové cenné papiere a podiely v obchodných spoločnostiach s podstatným vplyvom  (062 - 096 AÚ)</t>
  </si>
  <si>
    <t>Dlhové cenné papiere držané do splatnosti  (065 - 096 AÚ)</t>
  </si>
  <si>
    <t xml:space="preserve">Ostatný dlhodobý finančný majetok (069 - 096 AÚ) </t>
  </si>
  <si>
    <t>Poskytnuté preddavky na dlhodobý fin. majetok (053 - 096 AÚ)</t>
  </si>
  <si>
    <t>Pohľadávky z dôvodu finančných vzťahov k ŠR a rozpočtom územnej samosprávy (346+348)</t>
  </si>
  <si>
    <t>- poplatky spojené so štúdiom (účet 649 003-006)</t>
  </si>
  <si>
    <t>- ostatné výnosy (účty 649 012, 649 018-019, 649 021-022, 649 098 - 099)</t>
  </si>
  <si>
    <t>- iné analyticky sledované výnosy (účty 602 002-007, 602 011-18, 602 099, 602 199)</t>
  </si>
  <si>
    <t>Tabuľka č. 3: Výnosy verejnej vysokej školy v rokoch 2013 a 2014</t>
  </si>
  <si>
    <t>Rozdiel 2014-2013</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</si>
  <si>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t>
    </r>
    <r>
      <rPr>
        <b/>
        <sz val="14"/>
        <color indexed="10"/>
        <rFont val="Times New Roman"/>
        <family val="1"/>
      </rPr>
      <t>4</t>
    </r>
    <r>
      <rPr>
        <b/>
        <sz val="14"/>
        <rFont val="Times New Roman"/>
        <family val="1"/>
      </rPr>
      <t xml:space="preserve">  na programe 077 </t>
    </r>
  </si>
  <si>
    <t>Tabuľka č. 2: Príjmy verejnej vysokej školy  v roku 2014 majúce charakter dotácie okrem príjmov z dotácií 
 z  kapitoly MŠVVaŠ SR a okrem  prostriedkov EÚ  (štrukturálnych  fondov)</t>
  </si>
  <si>
    <t xml:space="preserve">Tabuľka č. 4: Výnosy verejnej vysokej školy zo školného a z poplatkov spojených so štúdiom  
v rokoch 2013 a 2014 </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</si>
  <si>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</si>
  <si>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</si>
  <si>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r>
      <t>Iné ostatné výnosy (účet 649)</t>
    </r>
    <r>
      <rPr>
        <sz val="12"/>
        <color indexed="8"/>
        <rFont val="Times New Roman"/>
        <family val="1"/>
      </rPr>
      <t xml:space="preserve"> [SUM(R21:R33)]</t>
    </r>
  </si>
  <si>
    <r>
      <t>- fondu reprodukcie (účet 656 400)</t>
    </r>
    <r>
      <rPr>
        <vertAlign val="superscript"/>
        <sz val="12"/>
        <color indexed="8"/>
        <rFont val="Times New Roman"/>
        <family val="1"/>
      </rPr>
      <t xml:space="preserve"> 2)</t>
    </r>
  </si>
  <si>
    <r>
      <t>Spotreba materiálu (účet 501)</t>
    </r>
    <r>
      <rPr>
        <sz val="12"/>
        <color indexed="8"/>
        <rFont val="Times New Roman"/>
        <family val="1"/>
      </rPr>
      <t xml:space="preserve"> [SUM(R2:R13)]</t>
    </r>
  </si>
  <si>
    <r>
      <t>Spotreba energie (účet 502)</t>
    </r>
    <r>
      <rPr>
        <sz val="12"/>
        <color indexed="8"/>
        <rFont val="Times New Roman"/>
        <family val="1"/>
      </rPr>
      <t xml:space="preserve"> [SUM(R15:R20)]</t>
    </r>
  </si>
  <si>
    <r>
      <t>Predaný tovar (účet 504)</t>
    </r>
    <r>
      <rPr>
        <sz val="12"/>
        <color indexed="8"/>
        <rFont val="Times New Roman"/>
        <family val="1"/>
      </rPr>
      <t xml:space="preserve"> [SUM(R23:R26)]</t>
    </r>
  </si>
  <si>
    <r>
      <t>Opravy a udržiavanie (účet 511)</t>
    </r>
    <r>
      <rPr>
        <sz val="12"/>
        <color indexed="8"/>
        <rFont val="Times New Roman"/>
        <family val="1"/>
      </rPr>
      <t xml:space="preserve"> [SUM(R28:R34)]</t>
    </r>
  </si>
  <si>
    <r>
      <t>Cestovné (účet 512)</t>
    </r>
    <r>
      <rPr>
        <sz val="12"/>
        <color indexed="8"/>
        <rFont val="Times New Roman"/>
        <family val="1"/>
      </rPr>
      <t xml:space="preserve"> [SUM(R36:R37)]</t>
    </r>
  </si>
  <si>
    <r>
      <t>Ostatné služby (účet 518)</t>
    </r>
    <r>
      <rPr>
        <sz val="12"/>
        <color indexed="8"/>
        <rFont val="Times New Roman"/>
        <family val="1"/>
      </rPr>
      <t xml:space="preserve"> [SUM(R40:R54)]</t>
    </r>
  </si>
  <si>
    <r>
      <t>Mzdové náklady (účet 521)</t>
    </r>
    <r>
      <rPr>
        <sz val="12"/>
        <color indexed="8"/>
        <rFont val="Times New Roman"/>
        <family val="1"/>
      </rPr>
      <t xml:space="preserve">  [SUM(R56:R57)]</t>
    </r>
  </si>
  <si>
    <r>
      <t>Ostatné náklady (účtová skupina 54)</t>
    </r>
    <r>
      <rPr>
        <sz val="12"/>
        <color indexed="8"/>
        <rFont val="Times New Roman"/>
        <family val="1"/>
      </rPr>
      <t xml:space="preserve"> [R75+ R76]</t>
    </r>
  </si>
  <si>
    <t xml:space="preserve"> - odpisy ostatného DN a HM (účet 551 200, 221, 223, 400, 900, 921, 923)</t>
  </si>
  <si>
    <t xml:space="preserve"> - odpisy DN a HM nadobudnutého z kapitálových dotácií z EÚ (zo štrukturálnych fondov) (účet 551 300, 321, 323)</t>
  </si>
  <si>
    <r>
      <t>Poskytnuté príspevky</t>
    </r>
    <r>
      <rPr>
        <sz val="12"/>
        <color indexed="8"/>
        <rFont val="Times New Roman"/>
        <family val="1"/>
      </rPr>
      <t xml:space="preserve"> </t>
    </r>
    <r>
      <rPr>
        <b/>
        <sz val="12"/>
        <color indexed="8"/>
        <rFont val="Times New Roman"/>
        <family val="1"/>
      </rPr>
      <t>(účtová skupina 56)</t>
    </r>
  </si>
  <si>
    <t>Tabuľka č. 6: Zamestnanci a náklady na mzdy verejnej vysokej školy v roku 2014</t>
  </si>
  <si>
    <t xml:space="preserve">Tabuľka č. 7: Náklady verejnej vysokej školy na štipendiá interných doktorandov v roku 2014 </t>
  </si>
  <si>
    <t xml:space="preserve">Nevyčerpaná účelová dotácia (+) / nedoplatok účelovej dotácie (-) za rok 2013 </t>
  </si>
  <si>
    <t>Tabuľka č. 8: Údaje o systéme sociálnej podpory - časť  sociálne štipendiá  (§ 96 zákona) 
za roky 2013 a 2014</t>
  </si>
  <si>
    <r>
      <t>Tabuľka č. 9: Údaje o systéme sociálnej podpory  - časť výnosy a náklady</t>
    </r>
    <r>
      <rPr>
        <b/>
        <vertAlign val="superscript"/>
        <sz val="14"/>
        <rFont val="Times New Roman"/>
        <family val="1"/>
      </rPr>
      <t>1)</t>
    </r>
    <r>
      <rPr>
        <b/>
        <sz val="14"/>
        <rFont val="Times New Roman"/>
        <family val="1"/>
      </rPr>
      <t xml:space="preserve"> študentských domovov 
(bez zmluvných zariadení) za roky 2013 a 2014</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</si>
  <si>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2013 a 2014 </t>
    </r>
  </si>
  <si>
    <t>Tabuľka č. 11: Zdroje verejnej vysokej školy na obstaranie a technické zhodnotenie dlhodobého  majetku v rokoch 2013 a 2014 )</t>
  </si>
  <si>
    <t xml:space="preserve">Tabuľka č. 12: Výdavky verejnej vysokej školy na obstaranie a technické zhodnotenie dlhodobého majetku v roku 2014 </t>
  </si>
  <si>
    <t>Čerpanie kapitálovej dotácie v roku 2014
zo štátneho rozpočtu</t>
  </si>
  <si>
    <r>
      <t xml:space="preserve">Čerpanie kapitálovej dotácie v roku 2014
</t>
    </r>
    <r>
      <rPr>
        <b/>
        <sz val="11"/>
        <color indexed="8"/>
        <rFont val="Times New Roman"/>
        <family val="1"/>
      </rPr>
      <t>z prostriedkov EÚ (štrukturálnych fondov)</t>
    </r>
  </si>
  <si>
    <t xml:space="preserve">Čerpanie bežnej dotácie v roku 2014 prostredníctvom fondu reprodukcie </t>
  </si>
  <si>
    <t>Tabuľka č. 13: Stav a vývoj finančných fondov verejnej vysokej školy v rokoch 2013 a 2014</t>
  </si>
  <si>
    <t>Tabuľka č. 16: Štruktúra a stav finančných prostriedkov na bankových účtoch verejnej vysokej školy
   k 31. decembru 2014</t>
  </si>
  <si>
    <t>Stav účtu k 31.12.2014</t>
  </si>
  <si>
    <t xml:space="preserve">Tabuľka č. 17: Príjmy verejnej vysokej školy z prostriedkov EÚ a z prostriedkov na ich spolufinancovanie 
zo štátneho rozpočtu z kapitoly MŠVVaŠ SR a z iných kapitol štátneho rozpočtu v roku 2014
</t>
  </si>
  <si>
    <r>
      <t>Tabuľka č. 18: Príjmy z dotácií verejnej vysokej škole zo štátneho rozpočtu z kapitoly MŠVVaŠ SR poskytnuté mimo programu 077 a mimo príjmov z prostriedkov EÚ (zo štrukturálnych fondov) v roku 2014</t>
    </r>
    <r>
      <rPr>
        <sz val="14"/>
        <rFont val="Times New Roman"/>
        <family val="1"/>
      </rPr>
      <t xml:space="preserve"> 
</t>
    </r>
  </si>
  <si>
    <t>(uviesť zoznam všetkých dotácií, každú na zvláštny riadok, napr. podprogram 026 05)</t>
  </si>
  <si>
    <t xml:space="preserve">Tabuľka č. 19: Štipendiá z vlastných zdrojov podľa § 97 zákona v rokoch 2013 a 2014 </t>
  </si>
  <si>
    <r>
      <t xml:space="preserve">Tabuľka č. 21: Štruktúra účtu 384 </t>
    </r>
    <r>
      <rPr>
        <b/>
        <i/>
        <sz val="14"/>
        <rFont val="Times New Roman"/>
        <family val="1"/>
      </rPr>
      <t xml:space="preserve">- </t>
    </r>
    <r>
      <rPr>
        <b/>
        <sz val="14"/>
        <rFont val="Times New Roman"/>
        <family val="1"/>
      </rPr>
      <t>výnosy budúcich období</t>
    </r>
    <r>
      <rPr>
        <b/>
        <i/>
        <sz val="14"/>
        <rFont val="Times New Roman"/>
        <family val="1"/>
      </rPr>
      <t xml:space="preserve"> </t>
    </r>
    <r>
      <rPr>
        <b/>
        <sz val="14"/>
        <rFont val="Times New Roman"/>
        <family val="1"/>
      </rPr>
      <t xml:space="preserve">v rokoch 2013 a 2014 </t>
    </r>
  </si>
  <si>
    <t xml:space="preserve">Stav k 31. 12. 2014  </t>
  </si>
  <si>
    <t xml:space="preserve">Tabuľka č. 22: Výnosy verejnej vysokej školy v roku 2014 v oblasti sociálnej podpory študentov </t>
  </si>
  <si>
    <r>
      <t>Výnosy
v hlavnej činnosti
2013</t>
    </r>
    <r>
      <rPr>
        <b/>
        <sz val="12"/>
        <color indexed="10"/>
        <rFont val="Times New Roman"/>
        <family val="1"/>
      </rPr>
      <t xml:space="preserve"> </t>
    </r>
  </si>
  <si>
    <r>
      <t>Výnosy
hlavnej činnosti
2014</t>
    </r>
    <r>
      <rPr>
        <sz val="12"/>
        <color indexed="10"/>
        <rFont val="Times New Roman"/>
        <family val="1"/>
      </rPr>
      <t xml:space="preserve"> </t>
    </r>
  </si>
  <si>
    <r>
      <t>Rozdiel 2014-2013</t>
    </r>
    <r>
      <rPr>
        <sz val="12"/>
        <color indexed="10"/>
        <rFont val="Times New Roman"/>
        <family val="1"/>
      </rPr>
      <t xml:space="preserve"> </t>
    </r>
  </si>
  <si>
    <t xml:space="preserve">Tabuľka č .23:  Náklady verejnej vysokej školy  v roku 2014 v oblasti sociálnej podpory študentov </t>
  </si>
  <si>
    <r>
      <t>Náklady
hlavnej činnosti
2013</t>
    </r>
    <r>
      <rPr>
        <b/>
        <sz val="12"/>
        <color indexed="10"/>
        <rFont val="Times New Roman"/>
        <family val="1"/>
      </rPr>
      <t xml:space="preserve"> </t>
    </r>
  </si>
  <si>
    <t>Náklady
hlavnej činnosti
2014</t>
  </si>
  <si>
    <t>Tabuľka č. 24a: Súvaha k 31. 12. 2014 - Strana aktív 1. časť</t>
  </si>
  <si>
    <t>Poskytnuté prevádzkové preddavky  na zásoby (314 AÚ - 391 AÚ)</t>
  </si>
  <si>
    <t xml:space="preserve">Tabuľka č. 24b: Súvaha k 31. 12. 2014 - Strana aktív 2. časť </t>
  </si>
  <si>
    <t xml:space="preserve">Tabuľka č. 25: Súvaha k 31.12. 2014 - Strana pasív </t>
  </si>
  <si>
    <t>Priemerný evidenčný prepočítaný počet zamestnancov za rok 2014</t>
  </si>
  <si>
    <r>
      <t>Tabuľka č. 20: Motivačné štipendiá  v rokoch 2013 a 2014
(v zmysle § 96</t>
    </r>
    <r>
      <rPr>
        <b/>
        <sz val="14"/>
        <rFont val="Times New Roman"/>
        <family val="1"/>
      </rPr>
      <t>a</t>
    </r>
    <r>
      <rPr>
        <b/>
        <sz val="14"/>
        <rFont val="Times New Roman"/>
        <family val="1"/>
      </rPr>
      <t xml:space="preserve">  zákona )  </t>
    </r>
  </si>
  <si>
    <r>
      <t>B</t>
    </r>
    <r>
      <rPr>
        <vertAlign val="superscript"/>
        <sz val="12"/>
        <color indexed="10"/>
        <rFont val="Times New Roman"/>
        <family val="1"/>
      </rPr>
      <t>2)</t>
    </r>
  </si>
  <si>
    <r>
      <t>C</t>
    </r>
    <r>
      <rPr>
        <vertAlign val="superscript"/>
        <sz val="12"/>
        <color indexed="10"/>
        <rFont val="Times New Roman"/>
        <family val="1"/>
      </rPr>
      <t>3)</t>
    </r>
  </si>
  <si>
    <r>
      <t xml:space="preserve">Počet študentov, ktorým bolo priznané motivačné štipendium </t>
    </r>
    <r>
      <rPr>
        <b/>
        <vertAlign val="superscript"/>
        <sz val="12"/>
        <rFont val="Times New Roman"/>
        <family val="1"/>
      </rPr>
      <t>1)</t>
    </r>
  </si>
  <si>
    <t>uvádzajú sa len štipendiá vyplatené z vlastných zdrojov, kód v CRŠ: 9</t>
  </si>
  <si>
    <t>uvádzajú sa štipendiá vyplatené zo štátneho rozpočtu, kód v CRŠ: 1</t>
  </si>
  <si>
    <t xml:space="preserve">Pohľadávky z obchodného styku (311 AÚ až 314 AÚ) - 391 AÚ) </t>
  </si>
  <si>
    <t>z účelovej dotácie MŠVVaŠ SR
(kódy 10, 11)</t>
  </si>
  <si>
    <t xml:space="preserve">  - náklady na štipendiá vo výške 9. platovej triedy a 1. platového stupňa 
( v CRŠ kód 10 )</t>
  </si>
  <si>
    <t xml:space="preserve">  - náklady na štipendiá vo výške 10. platovej triedy a 1. platového stupňa 
( v CRŠ kód 11 )</t>
  </si>
  <si>
    <r>
      <t xml:space="preserve">  - náklady na časť štipendia prevyšujúce 10. platovú triedu a 1. platový stupeň </t>
    </r>
    <r>
      <rPr>
        <i/>
        <sz val="12"/>
        <color indexed="10"/>
        <rFont val="Times New Roman"/>
        <family val="1"/>
      </rPr>
      <t xml:space="preserve"> (kód 16)</t>
    </r>
  </si>
  <si>
    <t xml:space="preserve">- školné  (účet 649 001, 649 002, 649 020, 649 023)                                                     </t>
  </si>
  <si>
    <t>- iné analyticky sledované náklady (účet 511 006-008, 511 056)</t>
  </si>
  <si>
    <t xml:space="preserve"> - poistné náklady (havarijné, majetok, na študentov) (účet 549 004, 549 014, 549 015, 549 054)</t>
  </si>
  <si>
    <t xml:space="preserve"> - ostatné iné náklady (účet 549 098, 549 099, 549 013, 549 599)</t>
  </si>
  <si>
    <r>
      <t>Výnosy zo školného</t>
    </r>
    <r>
      <rPr>
        <sz val="12"/>
        <color indexed="8"/>
        <rFont val="Times New Roman"/>
        <family val="1"/>
      </rPr>
      <t xml:space="preserve">  [sum(R2:R6)]</t>
    </r>
  </si>
  <si>
    <r>
      <t>Výnosy z poplatkov spojených so štúdiom</t>
    </r>
    <r>
      <rPr>
        <sz val="12"/>
        <rFont val="Times New Roman"/>
        <family val="1"/>
      </rPr>
      <t xml:space="preserve"> [S</t>
    </r>
    <r>
      <rPr>
        <sz val="12"/>
        <color indexed="8"/>
        <rFont val="Times New Roman"/>
        <family val="1"/>
      </rPr>
      <t>UM (R8:R13</t>
    </r>
    <r>
      <rPr>
        <sz val="12"/>
        <rFont val="Times New Roman"/>
        <family val="1"/>
      </rPr>
      <t>)]</t>
    </r>
  </si>
  <si>
    <t>Priemerné platy</t>
  </si>
  <si>
    <t>I=H/D/12</t>
  </si>
  <si>
    <t>- vysokoškolskí učitelia s funkčným zaradením "profesor"                 *)</t>
  </si>
  <si>
    <t>*) medzi profesorov sa započítava aj funkčné zaradenie "hosťujúci profesor"</t>
  </si>
  <si>
    <t>- za prekročenie štandardnej dĺžky štúdia v dennej forme (§ 92 ods. 6) (649 001)</t>
  </si>
  <si>
    <t xml:space="preserve"> - za cudzojazyčné štúdium dennou formou (§ 92 ods. 8) (649 002, 649 023)</t>
  </si>
  <si>
    <t>- za externú formu štúdia (§ 92 ods. 4) (649 020)</t>
  </si>
  <si>
    <t xml:space="preserve">- náklady na tvorbu ostatných fondov (účty  556 510, 556 520) </t>
  </si>
  <si>
    <t>- ostatných fondov (účet  656 510, 656 520)</t>
  </si>
  <si>
    <r>
      <rPr>
        <vertAlign val="superscript"/>
        <sz val="12"/>
        <color indexed="10"/>
        <rFont val="Times New Roman"/>
        <family val="1"/>
      </rPr>
      <t>1)</t>
    </r>
    <r>
      <rPr>
        <sz val="12"/>
        <color indexed="10"/>
        <rFont val="Times New Roman"/>
        <family val="1"/>
      </rPr>
      <t xml:space="preserve">  v riadku 6 sa uvádzajú len cudzinci, ktorým nevznikla povinnosť uhradiť školné z dôvodov uvedených v riadkoch 2 až 5</t>
    </r>
  </si>
  <si>
    <r>
      <t xml:space="preserve"> - cudzinci podľa prechodných ustanovení </t>
    </r>
    <r>
      <rPr>
        <vertAlign val="superscript"/>
        <sz val="12"/>
        <color indexed="10"/>
        <rFont val="Times New Roman"/>
        <family val="1"/>
      </rPr>
      <t>1)</t>
    </r>
  </si>
  <si>
    <t>- za vydanie dokladov o absolvovaní štúdia v štátnom jazyku a v jazyku požadovanom študentom a ich kópií  (§ 92 ods. 15 zákona)</t>
  </si>
  <si>
    <t>- za vydanie dokladov o štúdiu a ich kópií (§ 92 ods. 15 zákona) (účet 649 006)</t>
  </si>
  <si>
    <r>
      <t xml:space="preserve"> - za uznávanie rovnocennosti dokladov o štúdiu (§ 92 ods. 15 zákona) </t>
    </r>
  </si>
  <si>
    <t>*)</t>
  </si>
  <si>
    <t xml:space="preserve">**) </t>
  </si>
  <si>
    <t>*) v riadku 11 v rokoch 2013, 2014 zahrnte aj výnosy z poplatkov z riadkov 12, 13</t>
  </si>
  <si>
    <t>93a</t>
  </si>
  <si>
    <t>- náklady na tvorbu fondu na podporu štúdia študentov so špecifickými potrebami 
  (účet 556 300)</t>
  </si>
  <si>
    <t>- fondu na podporu štúdia študentov so špecifickými potrebami 
  (účet 656 300)</t>
  </si>
  <si>
    <r>
      <t xml:space="preserve">Spolu </t>
    </r>
    <r>
      <rPr>
        <sz val="12"/>
        <color indexed="8"/>
        <rFont val="Times New Roman"/>
        <family val="1"/>
      </rPr>
      <t>[R1+R14+R21+R22+R27+R35+R38+R39+R55+SUM (R61:R63) +SUM (R70:R74)+R84+</t>
    </r>
    <r>
      <rPr>
        <sz val="12"/>
        <color indexed="10"/>
        <rFont val="Times New Roman"/>
        <family val="1"/>
      </rPr>
      <t>R93+R94]</t>
    </r>
  </si>
  <si>
    <r>
      <t xml:space="preserve">Spolu </t>
    </r>
    <r>
      <rPr>
        <sz val="12"/>
        <rFont val="Times New Roman"/>
        <family val="1"/>
      </rPr>
      <t>[R1+R6+SUM(R11:R16)+R19+R20+SUM(R34:R39)+SUM</t>
    </r>
    <r>
      <rPr>
        <sz val="12"/>
        <color indexed="10"/>
        <rFont val="Times New Roman"/>
        <family val="1"/>
      </rPr>
      <t>(R45:51)]</t>
    </r>
  </si>
  <si>
    <r>
      <t xml:space="preserve">2) </t>
    </r>
    <r>
      <rPr>
        <sz val="12"/>
        <color indexed="10"/>
        <rFont val="Times New Roman"/>
        <family val="1"/>
      </rPr>
      <t>uvádzajú sa len motivačné štipendiá vyplatené podľa § 96a, ods.1, písm. a) (kód CRŠ 19)</t>
    </r>
  </si>
  <si>
    <r>
      <t>3)</t>
    </r>
    <r>
      <rPr>
        <sz val="12"/>
        <color indexed="10"/>
        <rFont val="Times New Roman"/>
        <family val="1"/>
      </rPr>
      <t xml:space="preserve"> uvádzajú sa len motivačné štipendiá vyplatené podľa § 96a, ods.1, písm. b) (kódy v  CRŠ: 4, 5, 6, 7, 8)</t>
    </r>
  </si>
  <si>
    <r>
      <t xml:space="preserve">Výnosy z použitia fondov (účet 656) </t>
    </r>
    <r>
      <rPr>
        <b/>
        <sz val="12"/>
        <color indexed="10"/>
        <rFont val="Times New Roman"/>
        <family val="1"/>
      </rPr>
      <t>[SUM(R40:R44)</t>
    </r>
    <r>
      <rPr>
        <b/>
        <sz val="12"/>
        <color indexed="8"/>
        <rFont val="Times New Roman"/>
        <family val="1"/>
      </rPr>
      <t xml:space="preserve">]  </t>
    </r>
    <r>
      <rPr>
        <b/>
        <vertAlign val="superscript"/>
        <sz val="12"/>
        <color indexed="8"/>
        <rFont val="Times New Roman"/>
        <family val="1"/>
      </rPr>
      <t xml:space="preserve"> 1)</t>
    </r>
  </si>
  <si>
    <r>
      <t xml:space="preserve">Odpisy, predaný majetok a opravné položky (účtová skupina 55) </t>
    </r>
    <r>
      <rPr>
        <b/>
        <sz val="12"/>
        <color indexed="10"/>
        <rFont val="Times New Roman"/>
        <family val="1"/>
      </rPr>
      <t>[SUM(R85:R92)]</t>
    </r>
  </si>
  <si>
    <t>**) v roku 2015 budeme požadovať poplatky za vydanie dokladov poľa §92 ods. 15 zákona rozčleniť do 3 analytik tak ako je uvedené v R11, R12, R13</t>
  </si>
  <si>
    <t>Tabuľka č. 5: Náklady verejnej vysokej školy v rokoch 2013 a 2014</t>
  </si>
  <si>
    <t xml:space="preserve">1) V R40-43 sa uvedú výnosy účtované v súvislosti s použitím  príslušného fondu.  </t>
  </si>
  <si>
    <t>- za súbežné štúdium v dennej forme  (§ 92 ods. 5) (649 007)</t>
  </si>
  <si>
    <t>bude sa vypĺňať až v roku 2015</t>
  </si>
  <si>
    <t xml:space="preserve"> na miestach pridelených MŠVVaŠ SR
pred rokom 2012</t>
  </si>
  <si>
    <t xml:space="preserve">Názov verejnej vysokej školy:    UPJŠ v Košicach, Šrobárova 2
Názov fakulty:  </t>
  </si>
  <si>
    <t xml:space="preserve">Názov verejnej vysokej školy:    UPJŠ v Košicach, Šrobárova 2
Názov fakulty: </t>
  </si>
  <si>
    <t xml:space="preserve">Názov verejnej vysokej školy:    UPJŠ v Košicach, Šrobárova 2
Názov fakulty:   </t>
  </si>
  <si>
    <t xml:space="preserve">Názov verejnej vysokej školy:  UPJŠ v Košicach, Šrobárova 2
Názov fakulty:  </t>
  </si>
  <si>
    <t xml:space="preserve">Názov verejnej vysokej školy:   UPJŠ v Košicach, Šrobárova 2
Názov fakulty:  </t>
  </si>
  <si>
    <t>Názov verejnej vysokej školy:   UPJŠ v Košicach, Šrobárova 2</t>
  </si>
  <si>
    <t xml:space="preserve">Názov verejnej vysokej školy:  UPJŠ v Košicach, Šrobárova 2
Názov fakulty: </t>
  </si>
  <si>
    <t>MK SR pre Univerzitnú knižnicu</t>
  </si>
  <si>
    <t>spoluriešitelia APVV</t>
  </si>
  <si>
    <t>1c</t>
  </si>
  <si>
    <t>STU Bratislava -NMR zmluva o spolupráci</t>
  </si>
  <si>
    <t>príspevok od mesta Košice</t>
  </si>
  <si>
    <t>Ústav verejného zdravotníctva -Chronic Diseases -Mgr.Rajničová</t>
  </si>
  <si>
    <t>Výskum.projekt Youth and Health - Mgr.Madarasová-Gecková</t>
  </si>
  <si>
    <t>4c</t>
  </si>
  <si>
    <t>4d</t>
  </si>
  <si>
    <t>Univ. Medisch centrum Groningen - Rosenberg</t>
  </si>
  <si>
    <t>Masarykova univerzita Brno Erasmus</t>
  </si>
  <si>
    <t>4e</t>
  </si>
  <si>
    <t>4f</t>
  </si>
  <si>
    <t>4g</t>
  </si>
  <si>
    <t>7.RP Learn2Hear&amp;See doc.Kopčo</t>
  </si>
  <si>
    <t>7.RP Dublin University doc.Kireš</t>
  </si>
  <si>
    <t>FP7-SCIENCE-IN-Society-2011-1 doc.Kireš</t>
  </si>
  <si>
    <t>projekt 526773-LLP-1-2014241 UK ERASMUS of Oxford</t>
  </si>
  <si>
    <t>4h</t>
  </si>
  <si>
    <t>4i</t>
  </si>
  <si>
    <t>Socrates</t>
  </si>
  <si>
    <t>SK6581800000007000241949 Dotačný účet LF, SK7481800000007000241690 Dotačný účet PF, SK7081800000007000241762 Dotačný účet Práv.F, SK9581800000007000241797 Dotačný účet FVS, SK4881800000007000241770 Dotačný účet R</t>
  </si>
  <si>
    <t>SK7981800000007000137519 Zostatkový účet LF, SK5781800000007000137527 Zostatkový účet PF,  SK1081800000007000137500 Zost.dot.Práv.F, SK1381800000007000137543 Zost.dot.FVS, SK3581800000007000137535 Zost.dot.R</t>
  </si>
  <si>
    <t>SK6881800000007000152655 Distribučný účet, R</t>
  </si>
  <si>
    <t xml:space="preserve">SK7381800000007000078360 BUN LF,
SK2881800000007000078491BUN PF KE, 
SK6981800000007000078432 BUN Práv.F KE, 
SK5881800000007000086002 BUN FVS KE, 
SK6481800000007000074351BUN R UPJŠ
</t>
  </si>
  <si>
    <t xml:space="preserve">SK5081800000007000388107 FP7 EMI, 
SK7781800000007000257641 FP7 KnowARC, 
SK3881800000007000440315 7RP SAILS,
SK9881800000007000464261 CELIM, 
SK1281800000007000371719 MonInterFluoProt , 
SK3081800000007000373335 Establish
</t>
  </si>
  <si>
    <t xml:space="preserve">SK4581800000007000078379 ŠF LF, 
SK6581800000007000078504 ŠF PF KE, 
SK4781800000007000078440 ŠF Právn.F KE, 
SK8381800000007000086037 ŠF FVS KE, 
SK8081800000007000252349 ŠF Rekt.UPJŠ KE
</t>
  </si>
  <si>
    <t xml:space="preserve">SK1681800000007000078416 PČ LF, 
SK6881800000007000078547 PČ PF, 
SK5081800000007000078483 PČ Práv.F, 
SK3981800000007000086053 PČ FVS, 
SK1181800000007000074335 PČ R UPJŠ
</t>
  </si>
  <si>
    <t xml:space="preserve">SK9881800000007000078395 SF LF KE, 
SK2181800000007000078520 SF PF KE, 
SK9481800000007000078467 SF PrávF KE,
SK0881800000007000086029 SFFVS KE, 
SK8681800000007000074343 SF UPJŠ KE
</t>
  </si>
  <si>
    <t>SK1581800000007000467307 Zábezpeka,R</t>
  </si>
  <si>
    <t xml:space="preserve">SK2381800000007000078387 Dary a granty LF,
SK4381800000007000078512 Dary a granty PF,
SK1981800000007000078459 Dary a granty PrávF,
SK3681800000007000086010 Dary a granty FVS, 
SK5481800000007000099751 Dary a granty R, 
SK8881800000007000348623 BÚ - ĎVUI, PF, 
SK3981800000007000353676 HUSK 0801/003 Ba,PF,
SK7981800000007000358776 BÚ-MVP CCV, PF, 
SK8281800000007000368034 esf dokktorand, pf, 
SK6081800000007000368042 ESF MIV,
SK1081800000007000439752 AŠF CEZIS, PF, 
SK6281800000007000455015 AŠF  KVARK, PF, 
SK8681800000007000454389 AŠF IRES, PF, 
SK2681800000007000464296 ESF SOFOS, PF, 
SK2981800000007000476270 RIFIV, PF, 
SK0781800000007000368026 ESF 1.2 MoVeS FVS,R, 
SK0881800000007000379745 AŠF EU - CEX CEEPM, LF, 
SK3681800000007000386419 AŠF EU - Probio, LF,
 SK8881800000007000426417 AŠF Expert, FF,
SK4781800000007000429677 Vyšehrad.f.-TCEC KH FF, 
SK8981800000007000074386 Socrates, R
</t>
  </si>
  <si>
    <t>SK918100000007000078424 Devízový -USD LF</t>
  </si>
  <si>
    <t>SK3681800000007000252365 BU F.Repr.Rekt. UPJŠ</t>
  </si>
  <si>
    <t>SK3681800000007000436471 BU Cardpay HČ ŠJ</t>
  </si>
  <si>
    <t>V T4_R15_SD  je návrh na prídel do štipendijného fondu  vypočítaný v zmysle § 92 ods. 18 a to z 20% z prijmov zo školného, nie z výnosov (T4_R14_SD), ktoré podliehajú v bežnom období v zmysle postupov účtovania a zákona o účtovníctve časovému rozlíšeniu prostredníctvom výnosov budúcich období.</t>
  </si>
  <si>
    <t xml:space="preserve">0,00 </t>
  </si>
  <si>
    <t>0,00</t>
  </si>
  <si>
    <t>Názov verejnej vysokej školy:  UPJŠ v Košiciach, Šrobárova 2</t>
  </si>
  <si>
    <t xml:space="preserve">Názov verejnej vysokej školy:  UPJŠ v Košiciach
Názov fakulty:  </t>
  </si>
  <si>
    <t>Botanická záhrada</t>
  </si>
  <si>
    <t>Ústav európskeho práva</t>
  </si>
  <si>
    <r>
      <t xml:space="preserve">Kategória zamestnancov - </t>
    </r>
    <r>
      <rPr>
        <b/>
        <sz val="12"/>
        <color indexed="10"/>
        <rFont val="Times New Roman"/>
        <family val="1"/>
      </rPr>
      <t>žien</t>
    </r>
    <r>
      <rPr>
        <b/>
        <sz val="12"/>
        <rFont val="Times New Roman"/>
        <family val="1"/>
      </rPr>
      <t xml:space="preserve">
</t>
    </r>
  </si>
  <si>
    <r>
      <t xml:space="preserve">Priemerný evidenčný prepočítaný počet </t>
    </r>
    <r>
      <rPr>
        <b/>
        <sz val="12"/>
        <color indexed="10"/>
        <rFont val="Times New Roman"/>
        <family val="1"/>
      </rPr>
      <t>žien</t>
    </r>
    <r>
      <rPr>
        <b/>
        <sz val="12"/>
        <rFont val="Times New Roman"/>
        <family val="1"/>
      </rPr>
      <t xml:space="preserve"> za rok 2014</t>
    </r>
  </si>
  <si>
    <r>
      <t xml:space="preserve">Počet </t>
    </r>
    <r>
      <rPr>
        <b/>
        <sz val="12"/>
        <color indexed="10"/>
        <rFont val="Times New Roman"/>
        <family val="1"/>
      </rPr>
      <t>žien</t>
    </r>
    <r>
      <rPr>
        <b/>
        <sz val="12"/>
        <rFont val="Times New Roman"/>
        <family val="1"/>
      </rPr>
      <t xml:space="preserve"> platených z prostriedkov štátneho rozpočtu</t>
    </r>
  </si>
  <si>
    <r>
      <t xml:space="preserve">Počet </t>
    </r>
    <r>
      <rPr>
        <b/>
        <sz val="12"/>
        <color indexed="10"/>
        <rFont val="Times New Roman"/>
        <family val="1"/>
      </rPr>
      <t>žien</t>
    </r>
    <r>
      <rPr>
        <b/>
        <sz val="12"/>
        <rFont val="Times New Roman"/>
        <family val="1"/>
      </rPr>
      <t xml:space="preserve"> platených z iných zdrojov</t>
    </r>
  </si>
  <si>
    <r>
      <t xml:space="preserve">Počet </t>
    </r>
    <r>
      <rPr>
        <b/>
        <sz val="12"/>
        <color indexed="10"/>
        <rFont val="Times New Roman"/>
        <family val="1"/>
      </rPr>
      <t>žien</t>
    </r>
    <r>
      <rPr>
        <b/>
        <sz val="12"/>
        <rFont val="Times New Roman"/>
        <family val="1"/>
      </rPr>
      <t xml:space="preserve"> spolu</t>
    </r>
  </si>
  <si>
    <r>
      <rPr>
        <b/>
        <sz val="12"/>
        <color indexed="10"/>
        <rFont val="Times New Roman"/>
        <family val="1"/>
      </rPr>
      <t>Ženy</t>
    </r>
    <r>
      <rPr>
        <b/>
        <sz val="12"/>
        <rFont val="Times New Roman"/>
        <family val="1"/>
      </rPr>
      <t xml:space="preserve"> platené z dotácie MŠVVaŠ SR</t>
    </r>
  </si>
  <si>
    <t xml:space="preserve">Názov verejnej vysokej školy:  UPJŠ  v Košiciach
Názov fakulty:  </t>
  </si>
  <si>
    <t>Názov verejnej vysokej školy: UPJŠ v Košiciach</t>
  </si>
  <si>
    <t>Názov verejnej vysokej školy:  UPJŠ v Košiciach</t>
  </si>
  <si>
    <r>
      <t xml:space="preserve">mot. štipendiá podľa 
§ 96a, ods.1, písm. a)
</t>
    </r>
    <r>
      <rPr>
        <b/>
        <sz val="12"/>
        <color indexed="10"/>
        <rFont val="Times New Roman"/>
        <family val="1"/>
      </rPr>
      <t>(kód v CRŠ: 19)</t>
    </r>
  </si>
  <si>
    <r>
      <t xml:space="preserve">mot. štipendiá podľa 
§ 96a, ods.1, písm. b)
</t>
    </r>
    <r>
      <rPr>
        <b/>
        <sz val="12"/>
        <color indexed="10"/>
        <rFont val="Times New Roman"/>
        <family val="1"/>
      </rPr>
      <t>(kódy v  CRŠ: 4, 5, 6, 7, 8)</t>
    </r>
  </si>
  <si>
    <r>
      <t xml:space="preserve">V R1_SG je zohľadnená vratka KD v sume </t>
    </r>
    <r>
      <rPr>
        <b/>
        <sz val="12"/>
        <color indexed="10"/>
        <rFont val="Times New Roman"/>
        <family val="1"/>
      </rPr>
      <t>243,89</t>
    </r>
    <r>
      <rPr>
        <b/>
        <sz val="12"/>
        <rFont val="Times New Roman"/>
        <family val="1"/>
      </rPr>
      <t xml:space="preserve"> € </t>
    </r>
  </si>
  <si>
    <t>Názov verejnej vysokej školy: UPJŠ v Košiciach
Názov fakulty:</t>
  </si>
  <si>
    <r>
      <t>na miestach nepridelených MŠVVaŠ do 31.8.2012</t>
    </r>
    <r>
      <rPr>
        <b/>
        <sz val="12"/>
        <color indexed="10"/>
        <rFont val="Times New Roman"/>
        <family val="1"/>
      </rPr>
      <t xml:space="preserve">
 kódy (12, 13, 16, 17)</t>
    </r>
  </si>
  <si>
    <r>
      <t xml:space="preserve">na miestach nepridelených MŠVVaŠ po 1.9.2012 </t>
    </r>
    <r>
      <rPr>
        <b/>
        <sz val="12"/>
        <color indexed="10"/>
        <rFont val="Times New Roman"/>
        <family val="1"/>
      </rPr>
      <t xml:space="preserve">
</t>
    </r>
    <r>
      <rPr>
        <b/>
        <sz val="12"/>
        <color indexed="12"/>
        <rFont val="Times New Roman"/>
        <family val="1"/>
      </rPr>
      <t>ostatné kódy (12 - 17)</t>
    </r>
  </si>
  <si>
    <r>
      <t>Náklady na štipendiá interných doktorandov (R2+R5)</t>
    </r>
    <r>
      <rPr>
        <b/>
        <sz val="12"/>
        <color indexed="8"/>
        <rFont val="Times New Roman"/>
        <family val="1"/>
      </rPr>
      <t xml:space="preserve"> </t>
    </r>
    <r>
      <rPr>
        <b/>
        <vertAlign val="superscript"/>
        <sz val="12"/>
        <color indexed="8"/>
        <rFont val="Times New Roman"/>
        <family val="1"/>
      </rPr>
      <t>1)</t>
    </r>
  </si>
  <si>
    <r>
      <t xml:space="preserve">  - náklady na štipendiá interných doktorandov pred dizertačnou skúškou 
(v zmysle § 54 ods. 18 písm. a) zákona </t>
    </r>
    <r>
      <rPr>
        <u val="single"/>
        <sz val="12"/>
        <color indexed="8"/>
        <rFont val="Times New Roman"/>
        <family val="1"/>
      </rPr>
      <t>spolu</t>
    </r>
    <r>
      <rPr>
        <sz val="12"/>
        <color indexed="8"/>
        <rFont val="Times New Roman"/>
        <family val="1"/>
      </rPr>
      <t xml:space="preserve"> (SUM(R3:R4))</t>
    </r>
  </si>
  <si>
    <r>
      <t xml:space="preserve">  - náklady na časť štipendia prevyšujúce 9. platovú triedu a 1. platový stupeň  </t>
    </r>
    <r>
      <rPr>
        <sz val="12"/>
        <color indexed="10"/>
        <rFont val="Times New Roman"/>
        <family val="1"/>
      </rPr>
      <t xml:space="preserve"> </t>
    </r>
    <r>
      <rPr>
        <i/>
        <sz val="12"/>
        <color indexed="10"/>
        <rFont val="Times New Roman"/>
        <family val="1"/>
      </rPr>
      <t>(kód 16)</t>
    </r>
  </si>
  <si>
    <r>
      <t xml:space="preserve">  - náklady na štipendiá interných doktorandov po dizertačnej skúške 
(v zmysle § 54 ods. 18 písm. b) zákona</t>
    </r>
    <r>
      <rPr>
        <u val="single"/>
        <sz val="12"/>
        <color indexed="8"/>
        <rFont val="Times New Roman"/>
        <family val="1"/>
      </rPr>
      <t xml:space="preserve"> spolu</t>
    </r>
    <r>
      <rPr>
        <sz val="12"/>
        <color indexed="8"/>
        <rFont val="Times New Roman"/>
        <family val="1"/>
      </rPr>
      <t xml:space="preserve"> (SUM(R6:R7))</t>
    </r>
  </si>
  <si>
    <r>
      <t xml:space="preserve">Dotácia na štipendiá doktorandov poskytnutá v rámci dotačnej zmluvy v roku </t>
    </r>
    <r>
      <rPr>
        <sz val="12"/>
        <color indexed="10"/>
        <rFont val="Times New Roman"/>
        <family val="1"/>
      </rPr>
      <t>2014</t>
    </r>
  </si>
  <si>
    <r>
      <t xml:space="preserve">Nevyčerpaná účelová dotácia (+) / nedoplatok účelovej dotácie (-) za rok </t>
    </r>
    <r>
      <rPr>
        <sz val="12"/>
        <color indexed="10"/>
        <rFont val="Times New Roman"/>
        <family val="1"/>
      </rPr>
      <t xml:space="preserve">2014 </t>
    </r>
  </si>
  <si>
    <r>
      <t>Počet osobomesiacov za rok</t>
    </r>
    <r>
      <rPr>
        <sz val="12"/>
        <color indexed="10"/>
        <rFont val="Times New Roman"/>
        <family val="1"/>
      </rPr>
      <t xml:space="preserve"> 2014</t>
    </r>
  </si>
  <si>
    <r>
      <t xml:space="preserve">1) výška nákladov, vykazovaná k </t>
    </r>
    <r>
      <rPr>
        <sz val="12"/>
        <color indexed="10"/>
        <rFont val="Times New Roman"/>
        <family val="1"/>
      </rPr>
      <t xml:space="preserve">31.12.2014 </t>
    </r>
    <r>
      <rPr>
        <sz val="12"/>
        <rFont val="Times New Roman"/>
        <family val="2"/>
      </rPr>
      <t xml:space="preserve">zohľadnuje aj úhradu štipendií doktorandov, ak ich VVŠ vyplatila v januári </t>
    </r>
    <r>
      <rPr>
        <sz val="12"/>
        <color indexed="10"/>
        <rFont val="Times New Roman"/>
        <family val="1"/>
      </rPr>
      <t xml:space="preserve"> 2015 za december 2014</t>
    </r>
  </si>
  <si>
    <t>pozn.1): rozdiel medzi údajom, vykazovaným v stĺpci T6_R18_SH a údajom v T5_R56_(SC+SD) tvorí rozdiel výšky tvorby rezervy na nevyčerpanú dovolenku za rok 2014 a čerpanou rezervou z roku 2013 v celkovej čiastke 32 070,75 €.</t>
  </si>
  <si>
    <t>Poznámka: V CRŠ je vyššia čiastka o štipendiá vo výške 280,00, ktoré boli vrátené v roku 2014 z dôvodu ich neoprávneného vyplatenia v roku 2013, čo v CRŠ nie je možné zaevidovať.</t>
  </si>
  <si>
    <t>- zúčtovanie dotácie zo ŠR na DN a HM vo výške odpisov (691002)</t>
  </si>
  <si>
    <t>OK, Sev.</t>
  </si>
  <si>
    <r>
      <t xml:space="preserve">R4_SD vykazuje rozdiel voči T5_R86_SC+SD vo výške </t>
    </r>
    <r>
      <rPr>
        <sz val="12"/>
        <color indexed="10"/>
        <rFont val="Times New Roman"/>
        <family val="1"/>
      </rPr>
      <t>79 840,22 €</t>
    </r>
    <r>
      <rPr>
        <sz val="12"/>
        <rFont val="Times New Roman"/>
        <family val="1"/>
      </rPr>
      <t xml:space="preserve"> nakoľko je v T5_R86_SC+SD zahrnutý aj odpis majetku obstaraného z kapitálovej dotácie zo zahraničných projektov  (účet HK 384130) a darovaného majetku účtovaný na účte HK 551400  avšak podľa Metodiky sa z takého odpisu netvorí fond reprodukcie. Na druhú stranu sa ale tvorí fond reprodukcie z odpisu vo výške zostatkovej ceny predaného majetku, ktorý je účtovaný na účte HK 552 uvedený v T5_R 87 _SC.</t>
    </r>
  </si>
  <si>
    <t xml:space="preserve">Poznámka: Údaj v R1_SE je oproti T5_R77_SC vyšší o  200,00 Eur, ktoré boli vyplatené z podnikateľskej činnosti a sú naúčtované v T5_R77_SD.  V CRŠ je viac o 580,00 Eur - ide o vrátené štipendium v roku 2014 za rok 2013, čo sa nedá v CRŠ zaevidovať.   Finančné prostriedky 3 doktorandom UPJŠ LF neevidované v CRŠ spolu vo výške 900 € boli vyplatené z neúčelových prostriedkov fakulty v zmysle Usmernenia dekana k vyplácaniu odmien za publikáciu  s impact factorom (IF )väčším ako 0,5 s podmienkou, že práca musí byť publikovaná v období od 18.4.2013 do 31.1.2014 a prvým autorom musí byť študent doktorandského štúdia v dennej forme štúdia.  Vzhľadom na skutočnosť, že traja doktorandi preukázali splnenie uvedenej podmienky v stanovenom termíne, bola im odmena vyplatená na základe výzvy dekana fakulty v najbližšom výplatnom termíne, kedy dvaja z nich boli absolventami doktorandského štúdia a jeden bol študentom  externej formy doktorandského štúdia.  </t>
  </si>
  <si>
    <r>
      <t xml:space="preserve">Tabuľka č. 6a: Zamestnanci a náklady na mzdy verejnej vysokej školy v roku 2014   -   </t>
    </r>
    <r>
      <rPr>
        <b/>
        <sz val="14"/>
        <color indexed="10"/>
        <rFont val="Times New Roman"/>
        <family val="1"/>
      </rPr>
      <t xml:space="preserve">len  ženy   </t>
    </r>
    <r>
      <rPr>
        <b/>
        <sz val="14"/>
        <color indexed="30"/>
        <rFont val="Times New Roman"/>
        <family val="1"/>
      </rPr>
      <t>a výpočet priemerného platu mužov</t>
    </r>
  </si>
  <si>
    <t>Výpočet</t>
  </si>
  <si>
    <t>Priemerné platy mužov</t>
  </si>
  <si>
    <t>Priemerné platy žien</t>
  </si>
  <si>
    <r>
      <t xml:space="preserve">V T4_ R2 účet 649 007 neobsahuje žiadne poplatky za súbežné štúdium v dennej forme . V zmysle Metodického usmernenia k analytickému členeniu .. účtujeme tu všetky poplatky za ďalšie vzdelávanie, ktoré nepodliehajú tvorbe štipendijného fondu .       </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</si>
</sst>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_ ;[Red]\-#,##0\ "/>
    <numFmt numFmtId="173" formatCode="#,##0.0"/>
    <numFmt numFmtId="174" formatCode="#,##0.000"/>
    <numFmt numFmtId="175" formatCode="0.0"/>
    <numFmt numFmtId="176" formatCode="0.000"/>
    <numFmt numFmtId="177" formatCode="0.0000"/>
    <numFmt numFmtId="178" formatCode="0.00000"/>
    <numFmt numFmtId="179" formatCode="#,##0.0000"/>
    <numFmt numFmtId="180" formatCode="#,##0.00000"/>
    <numFmt numFmtId="181" formatCode="#,##0.000_ ;[Red]\-#,##0.000\ "/>
    <numFmt numFmtId="182" formatCode="#,##0.0000_ ;[Red]\-#,##0.0000\ "/>
    <numFmt numFmtId="183" formatCode="0.0000000"/>
    <numFmt numFmtId="184" formatCode="0.000000"/>
    <numFmt numFmtId="185" formatCode="&quot;Áno&quot;;&quot;Áno&quot;;&quot;Nie&quot;"/>
    <numFmt numFmtId="186" formatCode="&quot;Pravda&quot;;&quot;Pravda&quot;;&quot;Nepravda&quot;"/>
    <numFmt numFmtId="187" formatCode="&quot;Zapnuté&quot;;&quot;Zapnuté&quot;;&quot;Vypnuté&quot;"/>
    <numFmt numFmtId="188" formatCode="#,##0.00\ &quot;SKK&quot;"/>
    <numFmt numFmtId="189" formatCode="#,##0.00_ ;[Red]\-#,##0.00\ "/>
    <numFmt numFmtId="190" formatCode="0.0%"/>
    <numFmt numFmtId="191" formatCode="#,##0.000000"/>
    <numFmt numFmtId="192" formatCode="_-* #,##0.000\ _S_k_-;\-* #,##0.000\ _S_k_-;_-* &quot;-&quot;??\ _S_k_-;_-@_-"/>
    <numFmt numFmtId="193" formatCode="_-* #,##0.0000\ _S_k_-;\-* #,##0.0000\ _S_k_-;_-* &quot;-&quot;??\ _S_k_-;_-@_-"/>
    <numFmt numFmtId="194" formatCode="_-* #,##0.00000\ _S_k_-;\-* #,##0.00000\ _S_k_-;_-* &quot;-&quot;??\ _S_k_-;_-@_-"/>
    <numFmt numFmtId="195" formatCode="_-* #,##0.0\ _S_k_-;\-* #,##0.0\ _S_k_-;_-* &quot;-&quot;??\ _S_k_-;_-@_-"/>
    <numFmt numFmtId="196" formatCode="_-* #,##0\ _S_k_-;\-* #,##0\ _S_k_-;_-* &quot;-&quot;??\ _S_k_-;_-@_-"/>
    <numFmt numFmtId="197" formatCode="#,##0.0_ ;[Red]\-#,##0.0\ "/>
    <numFmt numFmtId="198" formatCode="[$-41B]d\.\ mmmm\ yyyy"/>
    <numFmt numFmtId="199" formatCode="#,##0_ ;\-#,##0\ "/>
    <numFmt numFmtId="200" formatCode="\P\r\a\vd\a;&quot;Pravda&quot;;&quot;Nepravda&quot;"/>
    <numFmt numFmtId="201" formatCode="[$€-2]\ #\ ##,000_);[Red]\([$¥€-2]\ #\ ##,000\)"/>
    <numFmt numFmtId="202" formatCode="_(&quot;$&quot;* #,##0_);_(&quot;$&quot;* \(#,##0\);_(&quot;$&quot;* &quot;-&quot;_);_(@_)"/>
    <numFmt numFmtId="203" formatCode="_(&quot;$&quot;* #,##0.00_);_(&quot;$&quot;* \(#,##0.00\);_(&quot;$&quot;* &quot;-&quot;??_);_(@_)"/>
    <numFmt numFmtId="204" formatCode="#,##0.00;&quot;- &quot;#,##0.00;0.00"/>
  </numFmts>
  <fonts count="117">
    <font>
      <sz val="10"/>
      <name val="Arial"/>
      <family val="0"/>
    </font>
    <font>
      <b/>
      <sz val="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8"/>
      <name val="Arial"/>
      <family val="2"/>
    </font>
    <font>
      <sz val="12"/>
      <color indexed="10"/>
      <name val="Times New Roman"/>
      <family val="1"/>
    </font>
    <font>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name val="Arial CE"/>
      <family val="0"/>
    </font>
    <font>
      <sz val="8"/>
      <name val="arial ce"/>
      <family val="0"/>
    </font>
    <font>
      <sz val="11"/>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i/>
      <sz val="14"/>
      <name val="Times New Roman"/>
      <family val="1"/>
    </font>
    <font>
      <sz val="10"/>
      <name val="Times New Roman"/>
      <family val="1"/>
    </font>
    <font>
      <b/>
      <sz val="12"/>
      <color indexed="12"/>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b/>
      <sz val="12"/>
      <color indexed="10"/>
      <name val="Times New Roman"/>
      <family val="1"/>
    </font>
    <font>
      <b/>
      <vertAlign val="superscript"/>
      <sz val="12"/>
      <color indexed="8"/>
      <name val="Times New Roman"/>
      <family val="1"/>
    </font>
    <font>
      <sz val="12"/>
      <color indexed="8"/>
      <name val="Times New Roman"/>
      <family val="1"/>
    </font>
    <font>
      <b/>
      <sz val="12"/>
      <color indexed="8"/>
      <name val="Times New Roman"/>
      <family val="1"/>
    </font>
    <font>
      <sz val="9"/>
      <name val="Arial"/>
      <family val="2"/>
    </font>
    <font>
      <sz val="9"/>
      <name val="Times New Roman"/>
      <family val="1"/>
    </font>
    <font>
      <b/>
      <sz val="10"/>
      <name val="Times New Roman"/>
      <family val="1"/>
    </font>
    <font>
      <b/>
      <sz val="12"/>
      <color indexed="17"/>
      <name val="Times New Roman"/>
      <family val="1"/>
    </font>
    <font>
      <strike/>
      <sz val="12"/>
      <name val="Times New Roman"/>
      <family val="1"/>
    </font>
    <font>
      <sz val="10"/>
      <color indexed="8"/>
      <name val="Tahoma"/>
      <family val="2"/>
    </font>
    <font>
      <sz val="12"/>
      <color indexed="8"/>
      <name val="Tahoma"/>
      <family val="2"/>
    </font>
    <font>
      <b/>
      <sz val="10"/>
      <color indexed="8"/>
      <name val="Tahoma"/>
      <family val="2"/>
    </font>
    <font>
      <b/>
      <sz val="10"/>
      <name val="Arial"/>
      <family val="2"/>
    </font>
    <font>
      <sz val="14"/>
      <name val="Times New Roman"/>
      <family val="1"/>
    </font>
    <font>
      <sz val="8"/>
      <name val="Tahoma"/>
      <family val="2"/>
    </font>
    <font>
      <b/>
      <sz val="8"/>
      <name val="Tahoma"/>
      <family val="2"/>
    </font>
    <font>
      <sz val="10"/>
      <name val="Tahoma"/>
      <family val="2"/>
    </font>
    <font>
      <u val="single"/>
      <sz val="10"/>
      <name val="Tahoma"/>
      <family val="2"/>
    </font>
    <font>
      <b/>
      <sz val="10"/>
      <name val="Tahoma"/>
      <family val="2"/>
    </font>
    <font>
      <b/>
      <sz val="10"/>
      <color indexed="8"/>
      <name val="Times New Roman"/>
      <family val="1"/>
    </font>
    <font>
      <b/>
      <sz val="11"/>
      <color indexed="8"/>
      <name val="Times New Roman"/>
      <family val="1"/>
    </font>
    <font>
      <vertAlign val="superscript"/>
      <sz val="11"/>
      <name val="Times New Roman"/>
      <family val="1"/>
    </font>
    <font>
      <u val="single"/>
      <sz val="12"/>
      <color indexed="8"/>
      <name val="Times New Roman"/>
      <family val="1"/>
    </font>
    <font>
      <b/>
      <sz val="14"/>
      <color indexed="10"/>
      <name val="Times New Roman"/>
      <family val="1"/>
    </font>
    <font>
      <vertAlign val="superscript"/>
      <sz val="12"/>
      <color indexed="8"/>
      <name val="Times New Roman"/>
      <family val="1"/>
    </font>
    <font>
      <vertAlign val="superscript"/>
      <sz val="12"/>
      <color indexed="10"/>
      <name val="Times New Roman"/>
      <family val="1"/>
    </font>
    <font>
      <i/>
      <sz val="12"/>
      <color indexed="10"/>
      <name val="Times New Roman"/>
      <family val="1"/>
    </font>
    <font>
      <sz val="10"/>
      <color indexed="8"/>
      <name val="Times New Roman"/>
      <family val="1"/>
    </font>
    <font>
      <sz val="9"/>
      <color indexed="8"/>
      <name val="Times New Roman"/>
      <family val="1"/>
    </font>
    <font>
      <sz val="8"/>
      <color indexed="8"/>
      <name val="Times New Roman"/>
      <family val="1"/>
    </font>
    <font>
      <b/>
      <sz val="14"/>
      <color indexed="30"/>
      <name val="Times New Roman"/>
      <family val="1"/>
    </font>
    <font>
      <sz val="12"/>
      <color indexed="9"/>
      <name val="Times New Roman"/>
      <family val="2"/>
    </font>
    <font>
      <sz val="12"/>
      <color indexed="17"/>
      <name val="Times New Roman"/>
      <family val="2"/>
    </font>
    <font>
      <b/>
      <sz val="12"/>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sz val="12"/>
      <color indexed="52"/>
      <name val="Times New Roman"/>
      <family val="2"/>
    </font>
    <font>
      <sz val="12"/>
      <color indexed="62"/>
      <name val="Times New Roman"/>
      <family val="2"/>
    </font>
    <font>
      <b/>
      <sz val="12"/>
      <color indexed="52"/>
      <name val="Times New Roman"/>
      <family val="2"/>
    </font>
    <font>
      <b/>
      <sz val="12"/>
      <color indexed="63"/>
      <name val="Times New Roman"/>
      <family val="2"/>
    </font>
    <font>
      <i/>
      <sz val="12"/>
      <color indexed="23"/>
      <name val="Times New Roman"/>
      <family val="2"/>
    </font>
    <font>
      <sz val="12"/>
      <color indexed="20"/>
      <name val="Times New Roman"/>
      <family val="2"/>
    </font>
    <font>
      <sz val="10"/>
      <color indexed="10"/>
      <name val="Times New Roman"/>
      <family val="1"/>
    </font>
    <font>
      <sz val="12"/>
      <color indexed="30"/>
      <name val="Times New Roman"/>
      <family val="1"/>
    </font>
    <font>
      <b/>
      <sz val="14"/>
      <color indexed="8"/>
      <name val="Times New Roman"/>
      <family val="1"/>
    </font>
    <font>
      <sz val="12"/>
      <color theme="1"/>
      <name val="Times New Roman"/>
      <family val="2"/>
    </font>
    <font>
      <sz val="12"/>
      <color theme="0"/>
      <name val="Times New Roman"/>
      <family val="2"/>
    </font>
    <font>
      <sz val="12"/>
      <color rgb="FF006100"/>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1"/>
      <color theme="1"/>
      <name val="Calibri"/>
      <family val="2"/>
    </font>
    <font>
      <sz val="12"/>
      <color rgb="FFFA7D00"/>
      <name val="Times New Roman"/>
      <family val="2"/>
    </font>
    <font>
      <b/>
      <sz val="12"/>
      <color theme="1"/>
      <name val="Times New Roman"/>
      <family val="2"/>
    </font>
    <font>
      <sz val="12"/>
      <color rgb="FFFF0000"/>
      <name val="Times New Roman"/>
      <family val="2"/>
    </font>
    <font>
      <b/>
      <sz val="18"/>
      <color theme="3"/>
      <name val="Cambria"/>
      <family val="2"/>
    </font>
    <font>
      <sz val="12"/>
      <color rgb="FF3F3F76"/>
      <name val="Times New Roman"/>
      <family val="2"/>
    </font>
    <font>
      <b/>
      <sz val="12"/>
      <color rgb="FFFA7D00"/>
      <name val="Times New Roman"/>
      <family val="2"/>
    </font>
    <font>
      <b/>
      <sz val="12"/>
      <color rgb="FF3F3F3F"/>
      <name val="Times New Roman"/>
      <family val="2"/>
    </font>
    <font>
      <i/>
      <sz val="12"/>
      <color rgb="FF7F7F7F"/>
      <name val="Times New Roman"/>
      <family val="2"/>
    </font>
    <font>
      <sz val="12"/>
      <color rgb="FF9C0006"/>
      <name val="Times New Roman"/>
      <family val="2"/>
    </font>
    <font>
      <sz val="10"/>
      <color rgb="FF000000"/>
      <name val="Tahoma"/>
      <family val="2"/>
    </font>
    <font>
      <b/>
      <sz val="12"/>
      <color rgb="FF000000"/>
      <name val="Times New Roman"/>
      <family val="1"/>
    </font>
    <font>
      <i/>
      <sz val="12"/>
      <color rgb="FFFF0000"/>
      <name val="Times New Roman"/>
      <family val="1"/>
    </font>
    <font>
      <sz val="10"/>
      <color rgb="FFFF0000"/>
      <name val="Times New Roman"/>
      <family val="1"/>
    </font>
    <font>
      <b/>
      <sz val="12"/>
      <color rgb="FFFF0000"/>
      <name val="Times New Roman"/>
      <family val="1"/>
    </font>
    <font>
      <sz val="12"/>
      <color rgb="FF0070C0"/>
      <name val="Times New Roman"/>
      <family val="1"/>
    </font>
    <font>
      <b/>
      <sz val="14"/>
      <color theme="1"/>
      <name val="Times New Roman"/>
      <family val="1"/>
    </font>
    <font>
      <b/>
      <sz val="8"/>
      <name val="Arial"/>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1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
      <patternFill patternType="solid">
        <fgColor indexed="9"/>
        <bgColor indexed="64"/>
      </patternFill>
    </fill>
    <fill>
      <patternFill patternType="solid">
        <fgColor theme="3" tint="0.7999799847602844"/>
        <bgColor indexed="64"/>
      </patternFill>
    </fill>
  </fills>
  <borders count="9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medium"/>
      <right style="thin"/>
      <top style="medium"/>
      <bottom style="medium"/>
    </border>
    <border>
      <left style="thin"/>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color indexed="63"/>
      </top>
      <bottom>
        <color indexed="63"/>
      </bottom>
    </border>
    <border>
      <left style="thin"/>
      <right style="medium"/>
      <top>
        <color indexed="63"/>
      </top>
      <bottom style="thin"/>
    </border>
    <border>
      <left style="thin"/>
      <right style="thin"/>
      <top>
        <color indexed="63"/>
      </top>
      <bottom style="thin"/>
    </border>
    <border>
      <left style="thin"/>
      <right>
        <color indexed="63"/>
      </right>
      <top style="thin"/>
      <bottom>
        <color indexed="63"/>
      </bottom>
    </border>
    <border>
      <left style="thin"/>
      <right style="medium"/>
      <top style="medium"/>
      <bottom style="medium"/>
    </border>
    <border>
      <left style="thin"/>
      <right>
        <color indexed="63"/>
      </right>
      <top>
        <color indexed="63"/>
      </top>
      <bottom style="thin"/>
    </border>
    <border>
      <left>
        <color indexed="63"/>
      </left>
      <right style="medium"/>
      <top style="thin"/>
      <bottom style="thin"/>
    </border>
    <border>
      <left>
        <color indexed="63"/>
      </left>
      <right style="thin"/>
      <top style="medium"/>
      <bottom style="medium"/>
    </border>
    <border>
      <left style="medium"/>
      <right style="medium"/>
      <top style="medium"/>
      <bottom style="thin"/>
    </border>
    <border>
      <left style="medium"/>
      <right style="medium"/>
      <top>
        <color indexed="63"/>
      </top>
      <bottom style="thin"/>
    </border>
    <border>
      <left style="thin"/>
      <right style="thin"/>
      <top style="medium"/>
      <bottom style="thin"/>
    </border>
    <border>
      <left>
        <color indexed="63"/>
      </left>
      <right>
        <color indexed="63"/>
      </right>
      <top>
        <color indexed="63"/>
      </top>
      <bottom style="thin"/>
    </border>
    <border>
      <left style="thin"/>
      <right style="medium"/>
      <top style="medium"/>
      <bottom style="thin"/>
    </border>
    <border>
      <left style="thin"/>
      <right>
        <color indexed="63"/>
      </right>
      <top style="medium"/>
      <bottom style="mediu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thin"/>
      <bottom style="medium"/>
    </border>
    <border>
      <left style="medium"/>
      <right style="medium"/>
      <top>
        <color indexed="63"/>
      </top>
      <bottom>
        <color indexed="63"/>
      </bottom>
    </border>
    <border>
      <left style="thin">
        <color indexed="8"/>
      </left>
      <right style="thin">
        <color indexed="8"/>
      </right>
      <top style="thin">
        <color indexed="8"/>
      </top>
      <bottom>
        <color indexed="8"/>
      </bottom>
    </border>
    <border>
      <left>
        <color indexed="63"/>
      </left>
      <right>
        <color indexed="63"/>
      </right>
      <top style="thin"/>
      <bottom style="thin"/>
    </border>
    <border>
      <left>
        <color indexed="63"/>
      </left>
      <right style="thin"/>
      <top style="thin"/>
      <bottom style="medium"/>
    </border>
    <border>
      <left>
        <color indexed="63"/>
      </left>
      <right style="thin"/>
      <top style="medium"/>
      <bottom style="thin"/>
    </border>
    <border>
      <left>
        <color indexed="63"/>
      </left>
      <right style="medium"/>
      <top style="medium"/>
      <bottom style="thin"/>
    </border>
    <border>
      <left style="thin">
        <color indexed="8"/>
      </left>
      <right>
        <color indexed="8"/>
      </right>
      <top style="thin">
        <color indexed="8"/>
      </top>
      <bottom>
        <color indexed="8"/>
      </bottom>
    </border>
    <border>
      <left style="medium"/>
      <right style="medium"/>
      <top style="medium"/>
      <bottom>
        <color indexed="63"/>
      </bottom>
    </border>
    <border>
      <left style="medium"/>
      <right>
        <color indexed="63"/>
      </right>
      <top style="thin"/>
      <bottom style="thin"/>
    </border>
    <border>
      <left style="medium"/>
      <right style="thin"/>
      <top style="medium"/>
      <bottom style="thin"/>
    </border>
    <border>
      <left>
        <color indexed="63"/>
      </left>
      <right>
        <color indexed="63"/>
      </right>
      <top style="medium"/>
      <bottom>
        <color indexed="63"/>
      </bottom>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1"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7" borderId="0" applyNumberFormat="0" applyBorder="0" applyAlignment="0" applyProtection="0"/>
    <xf numFmtId="0" fontId="28" fillId="9" borderId="0" applyNumberFormat="0" applyBorder="0" applyAlignment="0" applyProtection="0"/>
    <xf numFmtId="0" fontId="29" fillId="3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93" fillId="39" borderId="0" applyNumberFormat="0" applyBorder="0" applyAlignment="0" applyProtection="0"/>
    <xf numFmtId="0" fontId="30" fillId="0" borderId="0" applyNumberFormat="0" applyFill="0" applyBorder="0" applyAlignment="0" applyProtection="0"/>
    <xf numFmtId="0" fontId="31" fillId="10" borderId="0" applyNumberFormat="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40" borderId="5" applyNumberFormat="0" applyAlignment="0" applyProtection="0"/>
    <xf numFmtId="0" fontId="36" fillId="13" borderId="1" applyNumberFormat="0" applyAlignment="0" applyProtection="0"/>
    <xf numFmtId="0" fontId="94" fillId="41" borderId="6" applyNumberFormat="0" applyAlignment="0" applyProtection="0"/>
    <xf numFmtId="0" fontId="37"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0" borderId="8" applyNumberFormat="0" applyFill="0" applyAlignment="0" applyProtection="0"/>
    <xf numFmtId="0" fontId="96" fillId="0" borderId="9" applyNumberFormat="0" applyFill="0" applyAlignment="0" applyProtection="0"/>
    <xf numFmtId="0" fontId="97" fillId="0" borderId="10" applyNumberFormat="0" applyFill="0" applyAlignment="0" applyProtection="0"/>
    <xf numFmtId="0" fontId="97" fillId="0" borderId="0" applyNumberFormat="0" applyFill="0" applyBorder="0" applyAlignment="0" applyProtection="0"/>
    <xf numFmtId="0" fontId="38" fillId="42" borderId="0" applyNumberFormat="0" applyBorder="0" applyAlignment="0" applyProtection="0"/>
    <xf numFmtId="0" fontId="98" fillId="43" borderId="0" applyNumberFormat="0" applyBorder="0" applyAlignment="0" applyProtection="0"/>
    <xf numFmtId="0" fontId="0" fillId="0" borderId="0">
      <alignment/>
      <protection/>
    </xf>
    <xf numFmtId="0" fontId="99"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6" fillId="0" borderId="0">
      <alignment/>
      <protection/>
    </xf>
    <xf numFmtId="0" fontId="18" fillId="0" borderId="0">
      <alignment/>
      <protection/>
    </xf>
    <xf numFmtId="0" fontId="2" fillId="44" borderId="11" applyNumberFormat="0" applyFont="0" applyAlignment="0" applyProtection="0"/>
    <xf numFmtId="0" fontId="2" fillId="44" borderId="11" applyNumberFormat="0" applyFont="0" applyAlignment="0" applyProtection="0"/>
    <xf numFmtId="0" fontId="39" fillId="38" borderId="12"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5" borderId="13" applyNumberFormat="0" applyFont="0" applyAlignment="0" applyProtection="0"/>
    <xf numFmtId="0" fontId="100" fillId="0" borderId="14" applyNumberFormat="0" applyFill="0" applyAlignment="0" applyProtection="0"/>
    <xf numFmtId="4" fontId="9" fillId="42" borderId="15" applyNumberFormat="0" applyProtection="0">
      <alignment vertical="center"/>
    </xf>
    <xf numFmtId="4" fontId="10" fillId="42" borderId="15" applyNumberFormat="0" applyProtection="0">
      <alignment vertical="center"/>
    </xf>
    <xf numFmtId="4" fontId="9" fillId="42" borderId="15" applyNumberFormat="0" applyProtection="0">
      <alignment horizontal="left" vertical="center" indent="1"/>
    </xf>
    <xf numFmtId="0" fontId="9" fillId="42" borderId="15" applyNumberFormat="0" applyProtection="0">
      <alignment horizontal="left" vertical="top" indent="1"/>
    </xf>
    <xf numFmtId="4" fontId="11" fillId="9" borderId="15" applyNumberFormat="0" applyProtection="0">
      <alignment horizontal="right" vertical="center"/>
    </xf>
    <xf numFmtId="4" fontId="11" fillId="21" borderId="15" applyNumberFormat="0" applyProtection="0">
      <alignment horizontal="right" vertical="center"/>
    </xf>
    <xf numFmtId="4" fontId="11" fillId="35" borderId="15" applyNumberFormat="0" applyProtection="0">
      <alignment horizontal="right" vertical="center"/>
    </xf>
    <xf numFmtId="4" fontId="11" fillId="23" borderId="15" applyNumberFormat="0" applyProtection="0">
      <alignment horizontal="right" vertical="center"/>
    </xf>
    <xf numFmtId="4" fontId="11" fillId="33" borderId="15" applyNumberFormat="0" applyProtection="0">
      <alignment horizontal="right" vertical="center"/>
    </xf>
    <xf numFmtId="4" fontId="11" fillId="37" borderId="15" applyNumberFormat="0" applyProtection="0">
      <alignment horizontal="right" vertical="center"/>
    </xf>
    <xf numFmtId="4" fontId="11" fillId="36" borderId="15" applyNumberFormat="0" applyProtection="0">
      <alignment horizontal="right" vertical="center"/>
    </xf>
    <xf numFmtId="4" fontId="11" fillId="46" borderId="15" applyNumberFormat="0" applyProtection="0">
      <alignment horizontal="right" vertical="center"/>
    </xf>
    <xf numFmtId="4" fontId="11" fillId="22" borderId="15" applyNumberFormat="0" applyProtection="0">
      <alignment horizontal="right" vertical="center"/>
    </xf>
    <xf numFmtId="4" fontId="9" fillId="47" borderId="16" applyNumberFormat="0" applyProtection="0">
      <alignment horizontal="left" vertical="center" indent="1"/>
    </xf>
    <xf numFmtId="4" fontId="11" fillId="48" borderId="0" applyNumberFormat="0" applyProtection="0">
      <alignment horizontal="left" vertical="center" indent="1"/>
    </xf>
    <xf numFmtId="4" fontId="12" fillId="49" borderId="0" applyNumberFormat="0" applyProtection="0">
      <alignment horizontal="left" vertical="center" indent="1"/>
    </xf>
    <xf numFmtId="4" fontId="11" fillId="50" borderId="15" applyNumberFormat="0" applyProtection="0">
      <alignment horizontal="right" vertical="center"/>
    </xf>
    <xf numFmtId="4" fontId="11" fillId="48" borderId="0" applyNumberFormat="0" applyProtection="0">
      <alignment horizontal="left" vertical="center" indent="1"/>
    </xf>
    <xf numFmtId="4" fontId="11" fillId="50" borderId="0" applyNumberFormat="0" applyProtection="0">
      <alignment horizontal="left" vertical="center" indent="1"/>
    </xf>
    <xf numFmtId="0" fontId="0" fillId="49" borderId="15" applyNumberFormat="0" applyProtection="0">
      <alignment horizontal="left" vertical="center" indent="1"/>
    </xf>
    <xf numFmtId="0" fontId="0" fillId="49" borderId="15" applyNumberFormat="0" applyProtection="0">
      <alignment horizontal="left" vertical="top" indent="1"/>
    </xf>
    <xf numFmtId="0" fontId="0" fillId="50" borderId="15" applyNumberFormat="0" applyProtection="0">
      <alignment horizontal="left" vertical="center" indent="1"/>
    </xf>
    <xf numFmtId="0" fontId="0" fillId="50" borderId="15" applyNumberFormat="0" applyProtection="0">
      <alignment horizontal="left" vertical="top" indent="1"/>
    </xf>
    <xf numFmtId="0" fontId="0" fillId="20" borderId="15" applyNumberFormat="0" applyProtection="0">
      <alignment horizontal="left" vertical="center" indent="1"/>
    </xf>
    <xf numFmtId="0" fontId="0" fillId="20" borderId="15" applyNumberFormat="0" applyProtection="0">
      <alignment horizontal="left" vertical="top" indent="1"/>
    </xf>
    <xf numFmtId="0" fontId="0" fillId="48" borderId="15" applyNumberFormat="0" applyProtection="0">
      <alignment horizontal="left" vertical="center" indent="1"/>
    </xf>
    <xf numFmtId="0" fontId="0" fillId="48" borderId="15" applyNumberFormat="0" applyProtection="0">
      <alignment horizontal="left" vertical="top" indent="1"/>
    </xf>
    <xf numFmtId="4" fontId="9" fillId="50" borderId="0" applyNumberFormat="0" applyProtection="0">
      <alignment horizontal="left" vertical="center" indent="1"/>
    </xf>
    <xf numFmtId="4" fontId="11" fillId="44" borderId="15" applyNumberFormat="0" applyProtection="0">
      <alignment vertical="center"/>
    </xf>
    <xf numFmtId="4" fontId="13" fillId="44" borderId="15" applyNumberFormat="0" applyProtection="0">
      <alignment vertical="center"/>
    </xf>
    <xf numFmtId="4" fontId="11" fillId="44" borderId="15" applyNumberFormat="0" applyProtection="0">
      <alignment horizontal="left" vertical="center" indent="1"/>
    </xf>
    <xf numFmtId="0" fontId="11" fillId="44" borderId="15" applyNumberFormat="0" applyProtection="0">
      <alignment horizontal="left" vertical="top" indent="1"/>
    </xf>
    <xf numFmtId="4" fontId="11" fillId="48" borderId="15" applyNumberFormat="0" applyProtection="0">
      <alignment horizontal="right" vertical="center"/>
    </xf>
    <xf numFmtId="4" fontId="13" fillId="48" borderId="15" applyNumberFormat="0" applyProtection="0">
      <alignment horizontal="right" vertical="center"/>
    </xf>
    <xf numFmtId="4" fontId="11" fillId="50" borderId="15" applyNumberFormat="0" applyProtection="0">
      <alignment horizontal="left" vertical="center" indent="1"/>
    </xf>
    <xf numFmtId="0" fontId="11" fillId="50" borderId="15" applyNumberFormat="0" applyProtection="0">
      <alignment horizontal="left" vertical="top" indent="1"/>
    </xf>
    <xf numFmtId="4" fontId="14" fillId="51" borderId="0" applyNumberFormat="0" applyProtection="0">
      <alignment horizontal="left" vertical="center" indent="1"/>
    </xf>
    <xf numFmtId="4" fontId="15" fillId="48" borderId="15" applyNumberFormat="0" applyProtection="0">
      <alignment horizontal="right" vertical="center"/>
    </xf>
    <xf numFmtId="0" fontId="101" fillId="0" borderId="17" applyNumberFormat="0" applyFill="0" applyAlignment="0" applyProtection="0"/>
    <xf numFmtId="0" fontId="102" fillId="0" borderId="0" applyNumberFormat="0" applyFill="0" applyBorder="0" applyAlignment="0" applyProtection="0"/>
    <xf numFmtId="0" fontId="40" fillId="0" borderId="0" applyNumberFormat="0" applyFill="0" applyBorder="0" applyAlignment="0" applyProtection="0"/>
    <xf numFmtId="0" fontId="103" fillId="0" borderId="0" applyNumberFormat="0" applyFill="0" applyBorder="0" applyAlignment="0" applyProtection="0"/>
    <xf numFmtId="0" fontId="41" fillId="0" borderId="18" applyNumberFormat="0" applyFill="0" applyAlignment="0" applyProtection="0"/>
    <xf numFmtId="0" fontId="104" fillId="52" borderId="19" applyNumberFormat="0" applyAlignment="0" applyProtection="0"/>
    <xf numFmtId="0" fontId="105" fillId="53" borderId="19" applyNumberFormat="0" applyAlignment="0" applyProtection="0"/>
    <xf numFmtId="0" fontId="106" fillId="53" borderId="20" applyNumberFormat="0" applyAlignment="0" applyProtection="0"/>
    <xf numFmtId="0" fontId="107" fillId="0" borderId="0" applyNumberFormat="0" applyFill="0" applyBorder="0" applyAlignment="0" applyProtection="0"/>
    <xf numFmtId="0" fontId="42" fillId="0" borderId="0" applyNumberFormat="0" applyFill="0" applyBorder="0" applyAlignment="0" applyProtection="0"/>
    <xf numFmtId="0" fontId="108" fillId="54" borderId="0" applyNumberFormat="0" applyBorder="0" applyAlignment="0" applyProtection="0"/>
    <xf numFmtId="0" fontId="92" fillId="55" borderId="0" applyNumberFormat="0" applyBorder="0" applyAlignment="0" applyProtection="0"/>
    <xf numFmtId="0" fontId="92" fillId="56" borderId="0" applyNumberFormat="0" applyBorder="0" applyAlignment="0" applyProtection="0"/>
    <xf numFmtId="0" fontId="92" fillId="57" borderId="0" applyNumberFormat="0" applyBorder="0" applyAlignment="0" applyProtection="0"/>
    <xf numFmtId="0" fontId="92" fillId="58" borderId="0" applyNumberFormat="0" applyBorder="0" applyAlignment="0" applyProtection="0"/>
    <xf numFmtId="0" fontId="92" fillId="59" borderId="0" applyNumberFormat="0" applyBorder="0" applyAlignment="0" applyProtection="0"/>
    <xf numFmtId="0" fontId="92" fillId="60" borderId="0" applyNumberFormat="0" applyBorder="0" applyAlignment="0" applyProtection="0"/>
  </cellStyleXfs>
  <cellXfs count="910">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21" xfId="0" applyFont="1" applyBorder="1" applyAlignment="1">
      <alignment horizontal="center" vertical="center"/>
    </xf>
    <xf numFmtId="0" fontId="1" fillId="0" borderId="0" xfId="0" applyFont="1" applyBorder="1" applyAlignment="1">
      <alignment horizontal="center" vertical="center"/>
    </xf>
    <xf numFmtId="49" fontId="2" fillId="0" borderId="0" xfId="0" applyNumberFormat="1" applyFont="1" applyAlignment="1">
      <alignment/>
    </xf>
    <xf numFmtId="0" fontId="3" fillId="0" borderId="0" xfId="0" applyFont="1" applyAlignment="1">
      <alignment horizontal="center" vertical="center" wrapText="1"/>
    </xf>
    <xf numFmtId="49" fontId="2" fillId="0" borderId="0" xfId="0" applyNumberFormat="1" applyFont="1" applyBorder="1" applyAlignment="1">
      <alignment/>
    </xf>
    <xf numFmtId="49" fontId="2" fillId="0" borderId="0" xfId="0" applyNumberFormat="1" applyFont="1" applyAlignment="1">
      <alignment horizontal="lef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22"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1" fillId="0" borderId="22"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left" vertical="center" wrapText="1"/>
    </xf>
    <xf numFmtId="49" fontId="2" fillId="0" borderId="22" xfId="0" applyNumberFormat="1" applyFont="1" applyBorder="1" applyAlignment="1">
      <alignment horizontal="left" vertical="center" wrapText="1" indent="1"/>
    </xf>
    <xf numFmtId="49" fontId="1" fillId="0" borderId="22" xfId="0" applyNumberFormat="1" applyFont="1" applyBorder="1" applyAlignment="1">
      <alignment vertical="top"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0" fontId="2" fillId="0" borderId="0" xfId="0" applyFont="1" applyFill="1" applyAlignment="1">
      <alignment/>
    </xf>
    <xf numFmtId="49" fontId="1" fillId="0" borderId="22" xfId="0" applyNumberFormat="1" applyFont="1" applyBorder="1" applyAlignment="1">
      <alignment horizontal="left" vertical="center" wrapText="1" indent="1"/>
    </xf>
    <xf numFmtId="49" fontId="2" fillId="0" borderId="22" xfId="0" applyNumberFormat="1" applyFont="1" applyFill="1" applyBorder="1" applyAlignment="1">
      <alignment horizontal="left" vertical="center" wrapText="1" indent="1"/>
    </xf>
    <xf numFmtId="49" fontId="1" fillId="0" borderId="26" xfId="0" applyNumberFormat="1" applyFont="1" applyBorder="1" applyAlignment="1">
      <alignment horizontal="left" vertical="center" wrapText="1" indent="1"/>
    </xf>
    <xf numFmtId="49" fontId="2" fillId="0" borderId="0" xfId="0" applyNumberFormat="1" applyFont="1" applyBorder="1" applyAlignment="1">
      <alignment horizontal="left" vertical="center" wrapText="1" indent="1"/>
    </xf>
    <xf numFmtId="49" fontId="2" fillId="0" borderId="0" xfId="0" applyNumberFormat="1" applyFont="1" applyAlignment="1">
      <alignment horizontal="left" vertical="center" wrapText="1" indent="1"/>
    </xf>
    <xf numFmtId="3" fontId="1" fillId="42" borderId="22" xfId="0" applyNumberFormat="1" applyFont="1" applyFill="1" applyBorder="1" applyAlignment="1">
      <alignment horizontal="right" vertical="center" wrapText="1" indent="1"/>
    </xf>
    <xf numFmtId="3" fontId="1" fillId="42" borderId="23" xfId="0" applyNumberFormat="1" applyFont="1" applyFill="1" applyBorder="1" applyAlignment="1">
      <alignment horizontal="right" vertical="center" wrapText="1" indent="1"/>
    </xf>
    <xf numFmtId="3" fontId="2" fillId="10" borderId="22" xfId="0" applyNumberFormat="1" applyFont="1" applyFill="1" applyBorder="1" applyAlignment="1">
      <alignment horizontal="right" vertical="center" wrapText="1" indent="1"/>
    </xf>
    <xf numFmtId="3" fontId="1" fillId="42" borderId="26" xfId="0" applyNumberFormat="1" applyFont="1" applyFill="1" applyBorder="1" applyAlignment="1" applyProtection="1">
      <alignment horizontal="right" vertical="center" wrapText="1" indent="1"/>
      <protection/>
    </xf>
    <xf numFmtId="3" fontId="1" fillId="42" borderId="27" xfId="0" applyNumberFormat="1" applyFont="1" applyFill="1" applyBorder="1" applyAlignment="1">
      <alignment horizontal="right" vertical="center" wrapText="1" indent="1"/>
    </xf>
    <xf numFmtId="0" fontId="1" fillId="0" borderId="22" xfId="0" applyFont="1" applyBorder="1" applyAlignment="1">
      <alignment horizontal="left" vertical="top" wrapText="1" indent="1"/>
    </xf>
    <xf numFmtId="0" fontId="2" fillId="0" borderId="22" xfId="0" applyFont="1" applyBorder="1" applyAlignment="1">
      <alignment horizontal="left" vertical="top" wrapText="1" indent="1"/>
    </xf>
    <xf numFmtId="0" fontId="1" fillId="0" borderId="26" xfId="0" applyFont="1" applyBorder="1" applyAlignment="1">
      <alignment horizontal="left" wrapText="1" indent="1"/>
    </xf>
    <xf numFmtId="0" fontId="2" fillId="0" borderId="0" xfId="0" applyFont="1" applyAlignment="1">
      <alignment horizontal="left" indent="1"/>
    </xf>
    <xf numFmtId="49" fontId="1" fillId="0" borderId="22" xfId="0" applyNumberFormat="1" applyFont="1" applyBorder="1" applyAlignment="1">
      <alignment horizontal="left" vertical="top" wrapText="1" indent="1"/>
    </xf>
    <xf numFmtId="49" fontId="2" fillId="0" borderId="22" xfId="0" applyNumberFormat="1" applyFont="1" applyBorder="1" applyAlignment="1">
      <alignment horizontal="left" vertical="top" wrapText="1" indent="1"/>
    </xf>
    <xf numFmtId="3" fontId="1" fillId="42" borderId="22" xfId="0" applyNumberFormat="1" applyFont="1" applyFill="1" applyBorder="1" applyAlignment="1">
      <alignment horizontal="right" vertical="center" wrapText="1" indent="1"/>
    </xf>
    <xf numFmtId="3" fontId="1" fillId="42" borderId="26" xfId="0" applyNumberFormat="1" applyFont="1" applyFill="1" applyBorder="1" applyAlignment="1">
      <alignment horizontal="right" vertical="center" wrapText="1" indent="1"/>
    </xf>
    <xf numFmtId="49" fontId="1" fillId="0" borderId="22" xfId="0" applyNumberFormat="1" applyFont="1" applyBorder="1" applyAlignment="1">
      <alignment horizontal="left" vertical="center" wrapText="1" indent="1"/>
    </xf>
    <xf numFmtId="49" fontId="1" fillId="0" borderId="22" xfId="0" applyNumberFormat="1" applyFont="1" applyFill="1" applyBorder="1" applyAlignment="1">
      <alignment horizontal="left" vertical="center" wrapText="1" indent="1"/>
    </xf>
    <xf numFmtId="49" fontId="1" fillId="0" borderId="26" xfId="0" applyNumberFormat="1" applyFont="1" applyFill="1" applyBorder="1" applyAlignment="1">
      <alignment horizontal="left" vertical="center" wrapText="1" indent="1"/>
    </xf>
    <xf numFmtId="3" fontId="2" fillId="0" borderId="22" xfId="0" applyNumberFormat="1" applyFont="1" applyFill="1" applyBorder="1" applyAlignment="1">
      <alignment horizontal="right" vertical="center" wrapText="1" indent="1"/>
    </xf>
    <xf numFmtId="0" fontId="1" fillId="42" borderId="23" xfId="0" applyFont="1" applyFill="1" applyBorder="1" applyAlignment="1">
      <alignment horizontal="right" vertical="center" wrapText="1" indent="1"/>
    </xf>
    <xf numFmtId="0" fontId="1" fillId="0" borderId="22"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0" xfId="0" applyFont="1" applyAlignment="1">
      <alignment horizontal="left" vertical="center" wrapText="1" indent="1"/>
    </xf>
    <xf numFmtId="49" fontId="2" fillId="0" borderId="0" xfId="0" applyNumberFormat="1" applyFont="1" applyAlignment="1">
      <alignment vertical="center" wrapText="1"/>
    </xf>
    <xf numFmtId="3" fontId="1" fillId="0" borderId="0" xfId="91" applyNumberFormat="1" applyFont="1" applyBorder="1" applyAlignment="1">
      <alignment vertical="center" wrapText="1"/>
      <protection/>
    </xf>
    <xf numFmtId="3" fontId="1" fillId="0" borderId="0" xfId="91" applyNumberFormat="1" applyFont="1" applyBorder="1" applyAlignment="1">
      <alignment horizontal="center" vertical="center" wrapText="1"/>
      <protection/>
    </xf>
    <xf numFmtId="3" fontId="2" fillId="0" borderId="0" xfId="91" applyNumberFormat="1" applyFont="1" applyBorder="1" applyAlignment="1">
      <alignment vertical="center" wrapText="1"/>
      <protection/>
    </xf>
    <xf numFmtId="0" fontId="1" fillId="0" borderId="0" xfId="0" applyFont="1" applyAlignment="1">
      <alignment vertical="center" wrapText="1"/>
    </xf>
    <xf numFmtId="0" fontId="1" fillId="0" borderId="0" xfId="0" applyFont="1" applyBorder="1" applyAlignment="1">
      <alignment vertical="center" wrapText="1"/>
    </xf>
    <xf numFmtId="0" fontId="2" fillId="42" borderId="27" xfId="0" applyFont="1" applyFill="1" applyBorder="1" applyAlignment="1">
      <alignment horizontal="right" vertical="center" wrapText="1" indent="1"/>
    </xf>
    <xf numFmtId="3" fontId="1" fillId="10" borderId="22" xfId="0" applyNumberFormat="1" applyFont="1" applyFill="1" applyBorder="1" applyAlignment="1">
      <alignment horizontal="right" vertical="center" wrapText="1" indent="1"/>
    </xf>
    <xf numFmtId="3" fontId="1" fillId="0" borderId="23" xfId="0" applyNumberFormat="1"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1" fillId="0" borderId="26" xfId="0" applyFont="1" applyBorder="1" applyAlignment="1">
      <alignment horizontal="left" vertical="center" wrapText="1" indent="1"/>
    </xf>
    <xf numFmtId="3" fontId="1" fillId="10" borderId="23" xfId="0" applyNumberFormat="1" applyFont="1" applyFill="1" applyBorder="1" applyAlignment="1">
      <alignment horizontal="right" vertical="center" wrapText="1" indent="1"/>
    </xf>
    <xf numFmtId="3" fontId="2" fillId="10" borderId="22" xfId="0" applyNumberFormat="1" applyFont="1" applyFill="1" applyBorder="1" applyAlignment="1">
      <alignment horizontal="right" vertical="center" wrapText="1"/>
    </xf>
    <xf numFmtId="49" fontId="1" fillId="0" borderId="22" xfId="0" applyNumberFormat="1" applyFont="1" applyBorder="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0" xfId="0" applyBorder="1" applyAlignment="1">
      <alignment/>
    </xf>
    <xf numFmtId="0" fontId="1" fillId="0" borderId="22" xfId="0" applyFont="1" applyBorder="1" applyAlignment="1">
      <alignment horizontal="left" vertical="center" wrapText="1"/>
    </xf>
    <xf numFmtId="0" fontId="1" fillId="0" borderId="22" xfId="0" applyFont="1" applyFill="1" applyBorder="1" applyAlignment="1">
      <alignment horizontal="left" vertical="center" wrapText="1" indent="1"/>
    </xf>
    <xf numFmtId="0" fontId="2" fillId="0" borderId="0" xfId="0" applyFont="1" applyAlignment="1">
      <alignment/>
    </xf>
    <xf numFmtId="1" fontId="2" fillId="0" borderId="22" xfId="0" applyNumberFormat="1" applyFont="1" applyFill="1" applyBorder="1" applyAlignment="1">
      <alignment horizontal="center" vertical="center" wrapText="1"/>
    </xf>
    <xf numFmtId="49" fontId="1" fillId="0" borderId="26" xfId="0" applyNumberFormat="1" applyFont="1" applyFill="1" applyBorder="1" applyAlignment="1">
      <alignment horizontal="left" vertical="center" wrapText="1" indent="1"/>
    </xf>
    <xf numFmtId="49" fontId="1" fillId="0" borderId="22" xfId="0" applyNumberFormat="1" applyFont="1" applyBorder="1" applyAlignment="1">
      <alignment vertical="center" wrapText="1"/>
    </xf>
    <xf numFmtId="0" fontId="1"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22" xfId="91" applyFont="1" applyBorder="1" applyAlignment="1">
      <alignment horizontal="center" vertical="center" wrapText="1"/>
      <protection/>
    </xf>
    <xf numFmtId="3" fontId="2" fillId="0" borderId="22" xfId="91" applyNumberFormat="1" applyFont="1" applyBorder="1" applyAlignment="1">
      <alignment horizontal="center" vertical="center" wrapText="1"/>
      <protection/>
    </xf>
    <xf numFmtId="0" fontId="1" fillId="0" borderId="23" xfId="91" applyFont="1" applyBorder="1" applyAlignment="1">
      <alignment horizontal="center" vertical="center" wrapText="1"/>
      <protection/>
    </xf>
    <xf numFmtId="3" fontId="2" fillId="0" borderId="24" xfId="91" applyNumberFormat="1" applyFont="1" applyBorder="1" applyAlignment="1">
      <alignment vertical="center" wrapText="1"/>
      <protection/>
    </xf>
    <xf numFmtId="3" fontId="2" fillId="0" borderId="23" xfId="91" applyNumberFormat="1" applyFont="1" applyBorder="1" applyAlignment="1">
      <alignment horizontal="center" vertical="center" wrapText="1"/>
      <protection/>
    </xf>
    <xf numFmtId="3" fontId="2" fillId="0" borderId="25" xfId="91" applyNumberFormat="1" applyFont="1" applyBorder="1" applyAlignment="1">
      <alignment horizontal="center" vertical="center" wrapText="1"/>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 fillId="0" borderId="22" xfId="0" applyFont="1" applyBorder="1" applyAlignment="1">
      <alignment horizontal="left" vertical="center" wrapText="1" indent="1"/>
    </xf>
    <xf numFmtId="0" fontId="2" fillId="0" borderId="22" xfId="0" applyFont="1" applyBorder="1" applyAlignment="1">
      <alignment horizontal="center" vertical="center" wrapText="1"/>
    </xf>
    <xf numFmtId="0" fontId="1" fillId="0" borderId="24" xfId="0" applyFont="1" applyBorder="1" applyAlignment="1">
      <alignment horizontal="left" vertical="center" wrapText="1" indent="1"/>
    </xf>
    <xf numFmtId="0" fontId="1" fillId="0" borderId="28" xfId="0" applyFont="1" applyBorder="1" applyAlignment="1">
      <alignment horizontal="left" vertical="center" wrapText="1" indent="1"/>
    </xf>
    <xf numFmtId="49" fontId="2" fillId="0" borderId="22" xfId="0" applyNumberFormat="1" applyFont="1" applyBorder="1" applyAlignment="1">
      <alignment horizontal="left" vertical="center" wrapText="1" indent="1"/>
    </xf>
    <xf numFmtId="0" fontId="1" fillId="0" borderId="29"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indent="1"/>
    </xf>
    <xf numFmtId="0" fontId="15" fillId="0" borderId="0" xfId="0" applyFont="1" applyBorder="1" applyAlignment="1">
      <alignment/>
    </xf>
    <xf numFmtId="49" fontId="2" fillId="0" borderId="28" xfId="0" applyNumberFormat="1" applyFont="1" applyBorder="1" applyAlignment="1">
      <alignment horizontal="left" vertical="center" wrapText="1" indent="1"/>
    </xf>
    <xf numFmtId="0" fontId="2" fillId="0" borderId="30" xfId="0" applyFont="1" applyBorder="1" applyAlignment="1">
      <alignment horizontal="center" vertical="center" wrapText="1"/>
    </xf>
    <xf numFmtId="0" fontId="1" fillId="0" borderId="26"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Border="1" applyAlignment="1">
      <alignment wrapText="1"/>
    </xf>
    <xf numFmtId="0" fontId="1" fillId="0" borderId="31" xfId="0" applyFont="1" applyBorder="1" applyAlignment="1">
      <alignment vertical="center" wrapText="1"/>
    </xf>
    <xf numFmtId="0" fontId="2" fillId="10" borderId="23" xfId="0" applyFont="1" applyFill="1" applyBorder="1" applyAlignment="1">
      <alignment horizontal="left" vertical="center" wrapText="1" indent="1"/>
    </xf>
    <xf numFmtId="49" fontId="7" fillId="0" borderId="0" xfId="0" applyNumberFormat="1" applyFont="1" applyAlignment="1">
      <alignment horizontal="left" vertical="center" wrapText="1" indent="1"/>
    </xf>
    <xf numFmtId="49" fontId="2" fillId="0" borderId="22" xfId="0" applyNumberFormat="1" applyFont="1" applyFill="1" applyBorder="1" applyAlignment="1">
      <alignment horizontal="left" vertical="center" wrapText="1" indent="1"/>
    </xf>
    <xf numFmtId="1" fontId="1" fillId="42" borderId="22" xfId="0" applyNumberFormat="1" applyFont="1" applyFill="1" applyBorder="1" applyAlignment="1">
      <alignment horizontal="right" vertical="center" wrapText="1" indent="1"/>
    </xf>
    <xf numFmtId="0" fontId="2" fillId="0" borderId="24" xfId="0" applyFont="1" applyFill="1" applyBorder="1" applyAlignment="1">
      <alignment horizontal="center" vertical="center" wrapText="1"/>
    </xf>
    <xf numFmtId="3" fontId="1" fillId="0" borderId="23" xfId="0" applyNumberFormat="1" applyFont="1" applyFill="1" applyBorder="1" applyAlignment="1">
      <alignment horizontal="right" vertical="center" wrapText="1" indent="1"/>
    </xf>
    <xf numFmtId="49" fontId="2" fillId="0" borderId="0" xfId="0" applyNumberFormat="1" applyFont="1" applyAlignment="1">
      <alignment horizontal="left" wrapText="1"/>
    </xf>
    <xf numFmtId="0" fontId="2" fillId="0" borderId="0" xfId="0" applyFont="1" applyAlignment="1">
      <alignment horizontal="justify"/>
    </xf>
    <xf numFmtId="0" fontId="2" fillId="0" borderId="25" xfId="0" applyFont="1" applyFill="1" applyBorder="1" applyAlignment="1">
      <alignment horizontal="center" vertical="center"/>
    </xf>
    <xf numFmtId="0" fontId="1" fillId="0" borderId="26" xfId="0" applyFont="1" applyFill="1" applyBorder="1" applyAlignment="1">
      <alignment horizontal="left" wrapText="1" indent="1"/>
    </xf>
    <xf numFmtId="49" fontId="2" fillId="0" borderId="0" xfId="0" applyNumberFormat="1" applyFont="1" applyAlignment="1">
      <alignment horizontal="left" wrapText="1" indent="1"/>
    </xf>
    <xf numFmtId="0" fontId="2" fillId="0" borderId="0" xfId="0" applyFont="1" applyAlignment="1">
      <alignment vertical="center"/>
    </xf>
    <xf numFmtId="0" fontId="18" fillId="0" borderId="0" xfId="0" applyFont="1" applyBorder="1" applyAlignment="1">
      <alignment vertical="center"/>
    </xf>
    <xf numFmtId="0" fontId="1" fillId="0" borderId="24" xfId="0" applyFont="1" applyFill="1" applyBorder="1" applyAlignment="1">
      <alignment horizontal="center" vertical="center" wrapText="1"/>
    </xf>
    <xf numFmtId="0" fontId="2" fillId="10" borderId="32" xfId="0" applyFont="1" applyFill="1" applyBorder="1" applyAlignment="1">
      <alignment horizontal="left" vertical="center" wrapText="1" indent="1"/>
    </xf>
    <xf numFmtId="0" fontId="2" fillId="0" borderId="22" xfId="0" applyFont="1" applyBorder="1" applyAlignment="1">
      <alignment horizontal="left" vertical="top" wrapText="1" indent="1"/>
    </xf>
    <xf numFmtId="3" fontId="1" fillId="42" borderId="23" xfId="0" applyNumberFormat="1" applyFont="1" applyFill="1" applyBorder="1" applyAlignment="1">
      <alignment horizontal="right" vertical="center" wrapText="1" indent="1"/>
    </xf>
    <xf numFmtId="3" fontId="2" fillId="0" borderId="23" xfId="0" applyNumberFormat="1" applyFont="1" applyFill="1" applyBorder="1" applyAlignment="1">
      <alignment horizontal="right" vertical="center" wrapText="1" indent="1"/>
    </xf>
    <xf numFmtId="3" fontId="2" fillId="10" borderId="22" xfId="0" applyNumberFormat="1" applyFont="1" applyFill="1" applyBorder="1" applyAlignment="1">
      <alignment horizontal="right" vertical="center" wrapText="1" indent="1"/>
    </xf>
    <xf numFmtId="3" fontId="1" fillId="42" borderId="27" xfId="0" applyNumberFormat="1" applyFont="1" applyFill="1" applyBorder="1" applyAlignment="1">
      <alignment horizontal="right" vertical="center" wrapText="1" indent="1"/>
    </xf>
    <xf numFmtId="3" fontId="2" fillId="10" borderId="28" xfId="0" applyNumberFormat="1" applyFont="1" applyFill="1" applyBorder="1" applyAlignment="1">
      <alignment horizontal="right" vertical="center" wrapText="1" indent="1"/>
    </xf>
    <xf numFmtId="3" fontId="1" fillId="42" borderId="28" xfId="0" applyNumberFormat="1" applyFont="1" applyFill="1" applyBorder="1" applyAlignment="1">
      <alignment horizontal="right" vertical="center" wrapText="1" indent="1"/>
    </xf>
    <xf numFmtId="3" fontId="1" fillId="42" borderId="26" xfId="0" applyNumberFormat="1" applyFont="1" applyFill="1" applyBorder="1" applyAlignment="1">
      <alignment horizontal="right" vertical="center" wrapText="1" indent="1"/>
    </xf>
    <xf numFmtId="1" fontId="2" fillId="10" borderId="22" xfId="0" applyNumberFormat="1" applyFont="1" applyFill="1" applyBorder="1" applyAlignment="1">
      <alignment horizontal="right" vertical="center" wrapText="1" indent="1"/>
    </xf>
    <xf numFmtId="1" fontId="1" fillId="42" borderId="23" xfId="0" applyNumberFormat="1" applyFont="1" applyFill="1" applyBorder="1" applyAlignment="1">
      <alignment horizontal="right" vertical="center" wrapText="1" indent="1"/>
    </xf>
    <xf numFmtId="3" fontId="1" fillId="42" borderId="22" xfId="0" applyNumberFormat="1" applyFont="1" applyFill="1" applyBorder="1" applyAlignment="1">
      <alignment vertical="center" wrapText="1"/>
    </xf>
    <xf numFmtId="3" fontId="2" fillId="10" borderId="22" xfId="0" applyNumberFormat="1" applyFont="1" applyFill="1" applyBorder="1" applyAlignment="1">
      <alignment vertical="center" wrapText="1"/>
    </xf>
    <xf numFmtId="3" fontId="2" fillId="0" borderId="28" xfId="0" applyNumberFormat="1" applyFont="1" applyFill="1" applyBorder="1" applyAlignment="1">
      <alignment vertical="center" wrapText="1"/>
    </xf>
    <xf numFmtId="3" fontId="2" fillId="10" borderId="28" xfId="0" applyNumberFormat="1" applyFont="1" applyFill="1" applyBorder="1" applyAlignment="1">
      <alignment vertical="center" wrapText="1"/>
    </xf>
    <xf numFmtId="3" fontId="2" fillId="42" borderId="22" xfId="0" applyNumberFormat="1" applyFont="1" applyFill="1" applyBorder="1" applyAlignment="1">
      <alignment horizontal="right" vertical="center" wrapText="1" indent="1"/>
    </xf>
    <xf numFmtId="3" fontId="2" fillId="42" borderId="23" xfId="0" applyNumberFormat="1" applyFont="1" applyFill="1" applyBorder="1" applyAlignment="1">
      <alignment horizontal="right" vertical="center" wrapText="1" indent="1"/>
    </xf>
    <xf numFmtId="3" fontId="2" fillId="10" borderId="23" xfId="0" applyNumberFormat="1" applyFont="1" applyFill="1" applyBorder="1" applyAlignment="1">
      <alignment horizontal="right" vertical="center" wrapText="1" indent="1"/>
    </xf>
    <xf numFmtId="172" fontId="1" fillId="42" borderId="23" xfId="0" applyNumberFormat="1" applyFont="1" applyFill="1" applyBorder="1" applyAlignment="1">
      <alignment horizontal="right" vertical="center" wrapText="1" indent="1"/>
    </xf>
    <xf numFmtId="172" fontId="2" fillId="0" borderId="22" xfId="0" applyNumberFormat="1" applyFont="1" applyFill="1" applyBorder="1" applyAlignment="1">
      <alignment horizontal="center" vertical="center" wrapText="1"/>
    </xf>
    <xf numFmtId="172" fontId="2" fillId="0" borderId="26" xfId="0" applyNumberFormat="1" applyFont="1" applyFill="1" applyBorder="1" applyAlignment="1">
      <alignment horizontal="center" vertical="center" wrapText="1"/>
    </xf>
    <xf numFmtId="3" fontId="2" fillId="0" borderId="22"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2" fillId="10" borderId="28" xfId="0" applyNumberFormat="1" applyFont="1" applyFill="1" applyBorder="1" applyAlignment="1">
      <alignment horizontal="right" vertical="center" wrapText="1" indent="1"/>
    </xf>
    <xf numFmtId="3" fontId="2" fillId="0" borderId="28" xfId="0" applyNumberFormat="1" applyFont="1" applyFill="1" applyBorder="1" applyAlignment="1">
      <alignment horizontal="right" vertical="center" wrapText="1" indent="1"/>
    </xf>
    <xf numFmtId="1" fontId="2" fillId="10" borderId="23" xfId="0" applyNumberFormat="1" applyFont="1" applyFill="1" applyBorder="1" applyAlignment="1">
      <alignment horizontal="right" vertical="center" wrapText="1" indent="1"/>
    </xf>
    <xf numFmtId="1" fontId="2" fillId="10" borderId="28" xfId="0" applyNumberFormat="1" applyFont="1" applyFill="1" applyBorder="1" applyAlignment="1">
      <alignment horizontal="right" vertical="center" wrapText="1" indent="1"/>
    </xf>
    <xf numFmtId="1" fontId="2" fillId="10" borderId="32" xfId="0" applyNumberFormat="1" applyFont="1" applyFill="1" applyBorder="1" applyAlignment="1">
      <alignment horizontal="right" vertical="center" wrapText="1" indent="1"/>
    </xf>
    <xf numFmtId="1" fontId="1" fillId="0" borderId="26" xfId="0" applyNumberFormat="1" applyFont="1" applyFill="1" applyBorder="1" applyAlignment="1">
      <alignment horizontal="right" vertical="center" wrapText="1" indent="1"/>
    </xf>
    <xf numFmtId="1" fontId="2" fillId="10" borderId="26" xfId="0" applyNumberFormat="1" applyFont="1" applyFill="1" applyBorder="1" applyAlignment="1">
      <alignment horizontal="right" vertical="center" wrapText="1" indent="1"/>
    </xf>
    <xf numFmtId="1" fontId="2" fillId="10" borderId="27" xfId="0" applyNumberFormat="1" applyFont="1" applyFill="1" applyBorder="1" applyAlignment="1">
      <alignment horizontal="right" vertical="center" wrapText="1" indent="1"/>
    </xf>
    <xf numFmtId="3" fontId="1" fillId="42" borderId="22" xfId="0" applyNumberFormat="1" applyFont="1" applyFill="1" applyBorder="1" applyAlignment="1">
      <alignment horizontal="right" vertical="center" indent="1"/>
    </xf>
    <xf numFmtId="3" fontId="1" fillId="42" borderId="23" xfId="0" applyNumberFormat="1" applyFont="1" applyFill="1" applyBorder="1" applyAlignment="1">
      <alignment horizontal="right" vertical="center" indent="1"/>
    </xf>
    <xf numFmtId="0" fontId="91" fillId="0" borderId="0" xfId="85">
      <alignment/>
      <protection/>
    </xf>
    <xf numFmtId="0" fontId="101" fillId="0" borderId="22" xfId="85" applyFont="1" applyBorder="1" applyAlignment="1">
      <alignment horizontal="left" vertical="center" indent="1"/>
      <protection/>
    </xf>
    <xf numFmtId="0" fontId="8" fillId="0" borderId="22" xfId="0" applyFont="1" applyFill="1" applyBorder="1" applyAlignment="1">
      <alignment horizontal="left" vertical="center" wrapText="1" indent="1"/>
    </xf>
    <xf numFmtId="0" fontId="91" fillId="0" borderId="24" xfId="85" applyFont="1" applyBorder="1" applyAlignment="1">
      <alignment horizontal="center" vertical="center"/>
      <protection/>
    </xf>
    <xf numFmtId="0" fontId="91" fillId="0" borderId="22" xfId="85" applyFont="1" applyBorder="1" applyAlignment="1">
      <alignment horizontal="left" vertical="center" wrapText="1" indent="1"/>
      <protection/>
    </xf>
    <xf numFmtId="0" fontId="91" fillId="0" borderId="22" xfId="85" applyFont="1" applyBorder="1" applyAlignment="1">
      <alignment horizontal="left" vertical="center" indent="1"/>
      <protection/>
    </xf>
    <xf numFmtId="0" fontId="91" fillId="0" borderId="26" xfId="85" applyFont="1" applyBorder="1" applyAlignment="1">
      <alignment horizontal="left" vertical="center" indent="1"/>
      <protection/>
    </xf>
    <xf numFmtId="0" fontId="3" fillId="0" borderId="0" xfId="0" applyFont="1" applyBorder="1" applyAlignment="1">
      <alignment horizontal="center" vertical="center" wrapText="1"/>
    </xf>
    <xf numFmtId="0" fontId="1" fillId="0" borderId="0" xfId="0" applyFont="1" applyBorder="1" applyAlignment="1">
      <alignment horizontal="left" vertical="center" wrapText="1"/>
    </xf>
    <xf numFmtId="3" fontId="1" fillId="42" borderId="26" xfId="0" applyNumberFormat="1" applyFont="1" applyFill="1" applyBorder="1" applyAlignment="1">
      <alignment horizontal="right" vertical="center" indent="1"/>
    </xf>
    <xf numFmtId="3" fontId="1" fillId="42" borderId="27" xfId="0" applyNumberFormat="1" applyFont="1" applyFill="1" applyBorder="1" applyAlignment="1">
      <alignment horizontal="right" vertical="center" indent="1"/>
    </xf>
    <xf numFmtId="0" fontId="2" fillId="0" borderId="0" xfId="90" applyFont="1" applyAlignment="1">
      <alignment vertical="center" wrapText="1"/>
      <protection/>
    </xf>
    <xf numFmtId="3" fontId="1" fillId="0" borderId="33" xfId="90" applyNumberFormat="1" applyFont="1" applyFill="1" applyBorder="1" applyAlignment="1">
      <alignment horizontal="center" vertical="center" wrapText="1"/>
      <protection/>
    </xf>
    <xf numFmtId="0" fontId="1" fillId="61" borderId="34" xfId="90" applyFont="1" applyFill="1" applyBorder="1" applyAlignment="1">
      <alignment horizontal="center" vertical="center" wrapText="1"/>
      <protection/>
    </xf>
    <xf numFmtId="0" fontId="1" fillId="0" borderId="0" xfId="90" applyFont="1" applyAlignment="1">
      <alignment horizontal="center" vertical="center" wrapText="1"/>
      <protection/>
    </xf>
    <xf numFmtId="0" fontId="1" fillId="0" borderId="33" xfId="90" applyNumberFormat="1" applyFont="1" applyFill="1" applyBorder="1" applyAlignment="1">
      <alignment horizontal="center" vertical="center" wrapText="1"/>
      <protection/>
    </xf>
    <xf numFmtId="0" fontId="0" fillId="0" borderId="0" xfId="0" applyNumberFormat="1" applyAlignment="1">
      <alignment vertical="center" wrapText="1"/>
    </xf>
    <xf numFmtId="189" fontId="47" fillId="61" borderId="22" xfId="127" applyNumberFormat="1" applyFont="1" applyFill="1" applyBorder="1" applyAlignment="1" applyProtection="1" quotePrefix="1">
      <alignment horizontal="left" vertical="center" wrapText="1" indent="1"/>
      <protection locked="0"/>
    </xf>
    <xf numFmtId="189" fontId="46" fillId="61" borderId="22" xfId="135" applyNumberFormat="1" applyFont="1" applyFill="1" applyBorder="1" applyAlignment="1" applyProtection="1" quotePrefix="1">
      <alignment horizontal="left" vertical="center" wrapText="1" indent="1"/>
      <protection locked="0"/>
    </xf>
    <xf numFmtId="189" fontId="46" fillId="61" borderId="22" xfId="134" applyNumberFormat="1" applyFont="1" applyFill="1" applyBorder="1" applyProtection="1" quotePrefix="1">
      <alignment horizontal="left" vertical="center" indent="1"/>
      <protection locked="0"/>
    </xf>
    <xf numFmtId="0" fontId="2" fillId="0" borderId="22" xfId="0" applyFont="1" applyBorder="1" applyAlignment="1">
      <alignment/>
    </xf>
    <xf numFmtId="189" fontId="47" fillId="61" borderId="22" xfId="102" applyNumberFormat="1" applyFont="1" applyFill="1" applyBorder="1" quotePrefix="1">
      <alignment horizontal="left" vertical="center" indent="1"/>
    </xf>
    <xf numFmtId="189" fontId="47" fillId="61" borderId="22" xfId="102" applyNumberFormat="1" applyFont="1" applyFill="1" applyBorder="1">
      <alignment horizontal="left" vertical="center" indent="1"/>
    </xf>
    <xf numFmtId="189" fontId="46" fillId="61" borderId="22" xfId="134" applyNumberFormat="1" applyFont="1" applyFill="1" applyBorder="1" applyAlignment="1" applyProtection="1">
      <alignment vertical="center"/>
      <protection locked="0"/>
    </xf>
    <xf numFmtId="189" fontId="47" fillId="61" borderId="22" xfId="134" applyNumberFormat="1" applyFont="1" applyFill="1" applyBorder="1" applyProtection="1" quotePrefix="1">
      <alignment horizontal="left" vertical="center" indent="1"/>
      <protection locked="0"/>
    </xf>
    <xf numFmtId="189" fontId="46" fillId="61" borderId="22" xfId="135" applyNumberFormat="1" applyFont="1" applyFill="1" applyBorder="1" applyAlignment="1" applyProtection="1">
      <alignment horizontal="left" vertical="center" wrapText="1" indent="1"/>
      <protection locked="0"/>
    </xf>
    <xf numFmtId="0" fontId="0" fillId="0" borderId="0" xfId="86" applyProtection="1">
      <alignment/>
      <protection/>
    </xf>
    <xf numFmtId="0" fontId="0" fillId="0" borderId="0" xfId="86" applyAlignment="1" applyProtection="1">
      <alignment wrapText="1"/>
      <protection/>
    </xf>
    <xf numFmtId="0" fontId="0" fillId="0" borderId="0" xfId="86" applyAlignment="1" applyProtection="1">
      <alignment horizontal="center"/>
      <protection/>
    </xf>
    <xf numFmtId="199" fontId="48" fillId="0" borderId="0" xfId="86" applyNumberFormat="1" applyFont="1" applyProtection="1">
      <alignment/>
      <protection/>
    </xf>
    <xf numFmtId="0" fontId="0" fillId="0" borderId="0" xfId="86">
      <alignment/>
      <protection/>
    </xf>
    <xf numFmtId="0" fontId="0" fillId="0" borderId="0" xfId="86" applyAlignment="1">
      <alignment wrapText="1"/>
      <protection/>
    </xf>
    <xf numFmtId="0" fontId="0" fillId="0" borderId="0" xfId="86" applyAlignment="1">
      <alignment horizontal="center"/>
      <protection/>
    </xf>
    <xf numFmtId="3" fontId="48" fillId="0" borderId="0" xfId="86" applyNumberFormat="1" applyFont="1">
      <alignment/>
      <protection/>
    </xf>
    <xf numFmtId="3" fontId="0" fillId="0" borderId="0" xfId="86" applyNumberFormat="1" applyFont="1" applyAlignment="1">
      <alignment horizontal="right"/>
      <protection/>
    </xf>
    <xf numFmtId="3" fontId="0" fillId="0" borderId="0" xfId="86" applyNumberFormat="1" applyFont="1">
      <alignment/>
      <protection/>
    </xf>
    <xf numFmtId="49" fontId="1" fillId="10" borderId="22" xfId="86" applyNumberFormat="1" applyFont="1" applyFill="1" applyBorder="1" applyAlignment="1">
      <alignment horizontal="center"/>
      <protection/>
    </xf>
    <xf numFmtId="169" fontId="1" fillId="48" borderId="22" xfId="62" applyNumberFormat="1" applyFont="1" applyFill="1" applyBorder="1" applyAlignment="1">
      <alignment/>
    </xf>
    <xf numFmtId="49" fontId="2" fillId="0" borderId="22" xfId="86" applyNumberFormat="1" applyFont="1" applyBorder="1" applyAlignment="1">
      <alignment horizontal="center"/>
      <protection/>
    </xf>
    <xf numFmtId="169" fontId="2" fillId="0" borderId="22" xfId="62" applyNumberFormat="1" applyFont="1" applyBorder="1" applyAlignment="1" applyProtection="1">
      <alignment/>
      <protection locked="0"/>
    </xf>
    <xf numFmtId="169" fontId="1" fillId="0" borderId="22" xfId="62" applyNumberFormat="1" applyFont="1" applyBorder="1" applyAlignment="1" applyProtection="1">
      <alignment/>
      <protection locked="0"/>
    </xf>
    <xf numFmtId="49" fontId="1" fillId="0" borderId="22" xfId="86" applyNumberFormat="1" applyFont="1" applyFill="1" applyBorder="1" applyAlignment="1">
      <alignment horizontal="center"/>
      <protection/>
    </xf>
    <xf numFmtId="169" fontId="1" fillId="0" borderId="22" xfId="62" applyNumberFormat="1" applyFont="1" applyFill="1" applyBorder="1" applyAlignment="1" applyProtection="1">
      <alignment/>
      <protection locked="0"/>
    </xf>
    <xf numFmtId="169" fontId="1" fillId="10" borderId="22" xfId="62" applyNumberFormat="1" applyFont="1" applyFill="1" applyBorder="1" applyAlignment="1" applyProtection="1">
      <alignment/>
      <protection locked="0"/>
    </xf>
    <xf numFmtId="169" fontId="1" fillId="48" borderId="22" xfId="62" applyNumberFormat="1" applyFont="1" applyFill="1" applyBorder="1" applyAlignment="1" applyProtection="1">
      <alignment/>
      <protection locked="0"/>
    </xf>
    <xf numFmtId="49" fontId="2" fillId="0" borderId="22" xfId="86" applyNumberFormat="1" applyFont="1" applyFill="1" applyBorder="1" applyAlignment="1">
      <alignment horizontal="center"/>
      <protection/>
    </xf>
    <xf numFmtId="169" fontId="2" fillId="48" borderId="22" xfId="62" applyNumberFormat="1" applyFont="1" applyFill="1" applyBorder="1" applyAlignment="1">
      <alignment/>
    </xf>
    <xf numFmtId="169" fontId="2" fillId="10" borderId="22" xfId="62" applyNumberFormat="1" applyFont="1" applyFill="1" applyBorder="1" applyAlignment="1">
      <alignment/>
    </xf>
    <xf numFmtId="49" fontId="1" fillId="42" borderId="22" xfId="86" applyNumberFormat="1" applyFont="1" applyFill="1" applyBorder="1" applyAlignment="1">
      <alignment horizontal="center"/>
      <protection/>
    </xf>
    <xf numFmtId="169" fontId="2" fillId="42" borderId="22" xfId="62" applyNumberFormat="1" applyFont="1" applyFill="1" applyBorder="1" applyAlignment="1">
      <alignment/>
    </xf>
    <xf numFmtId="0" fontId="2" fillId="0" borderId="0" xfId="86" applyFont="1">
      <alignment/>
      <protection/>
    </xf>
    <xf numFmtId="0" fontId="2" fillId="0" borderId="0" xfId="86" applyFont="1" applyAlignment="1">
      <alignment horizontal="center"/>
      <protection/>
    </xf>
    <xf numFmtId="3" fontId="2" fillId="0" borderId="0" xfId="86" applyNumberFormat="1" applyFont="1" applyAlignment="1">
      <alignment horizontal="right"/>
      <protection/>
    </xf>
    <xf numFmtId="3" fontId="2" fillId="0" borderId="0" xfId="86" applyNumberFormat="1" applyFont="1">
      <alignment/>
      <protection/>
    </xf>
    <xf numFmtId="0" fontId="1" fillId="0" borderId="35" xfId="86" applyFont="1" applyBorder="1" applyAlignment="1" applyProtection="1">
      <alignment wrapText="1"/>
      <protection/>
    </xf>
    <xf numFmtId="49" fontId="1" fillId="0" borderId="22" xfId="86" applyNumberFormat="1" applyFont="1" applyBorder="1" applyAlignment="1" applyProtection="1">
      <alignment horizontal="center"/>
      <protection/>
    </xf>
    <xf numFmtId="0" fontId="2" fillId="0" borderId="36" xfId="86" applyFont="1" applyBorder="1" applyAlignment="1" applyProtection="1">
      <alignment wrapText="1"/>
      <protection/>
    </xf>
    <xf numFmtId="49" fontId="2" fillId="0" borderId="22" xfId="86" applyNumberFormat="1" applyFont="1" applyBorder="1" applyAlignment="1" applyProtection="1">
      <alignment horizontal="center"/>
      <protection/>
    </xf>
    <xf numFmtId="0" fontId="1" fillId="0" borderId="22" xfId="86" applyFont="1" applyBorder="1" applyAlignment="1" applyProtection="1">
      <alignment wrapText="1"/>
      <protection/>
    </xf>
    <xf numFmtId="0" fontId="2" fillId="0" borderId="22" xfId="86" applyFont="1" applyBorder="1" applyAlignment="1" applyProtection="1">
      <alignment wrapText="1"/>
      <protection/>
    </xf>
    <xf numFmtId="0" fontId="1" fillId="0" borderId="30" xfId="86" applyFont="1" applyBorder="1" applyAlignment="1" applyProtection="1">
      <alignment horizontal="center" wrapText="1"/>
      <protection/>
    </xf>
    <xf numFmtId="0" fontId="1" fillId="0" borderId="37" xfId="86" applyFont="1" applyBorder="1" applyAlignment="1" applyProtection="1">
      <alignment vertical="top" wrapText="1"/>
      <protection/>
    </xf>
    <xf numFmtId="0" fontId="1" fillId="0" borderId="31" xfId="86" applyFont="1" applyBorder="1" applyAlignment="1" applyProtection="1">
      <alignment vertical="top" wrapText="1"/>
      <protection/>
    </xf>
    <xf numFmtId="3" fontId="1" fillId="0" borderId="38" xfId="86" applyNumberFormat="1" applyFont="1" applyBorder="1" applyAlignment="1">
      <alignment horizontal="center" vertical="center" wrapText="1"/>
      <protection/>
    </xf>
    <xf numFmtId="3" fontId="2" fillId="10" borderId="39" xfId="90" applyNumberFormat="1" applyFont="1" applyFill="1" applyBorder="1" applyAlignment="1">
      <alignment horizontal="right" vertical="center" wrapText="1" indent="1"/>
      <protection/>
    </xf>
    <xf numFmtId="3" fontId="2" fillId="10" borderId="22" xfId="90" applyNumberFormat="1" applyFont="1" applyFill="1" applyBorder="1" applyAlignment="1">
      <alignment horizontal="right" vertical="center" wrapText="1" indent="1"/>
      <protection/>
    </xf>
    <xf numFmtId="49" fontId="2" fillId="0" borderId="29" xfId="86" applyNumberFormat="1" applyFont="1" applyBorder="1" applyAlignment="1">
      <alignment horizontal="center"/>
      <protection/>
    </xf>
    <xf numFmtId="49" fontId="2" fillId="0" borderId="40" xfId="86" applyNumberFormat="1" applyFont="1" applyBorder="1" applyAlignment="1">
      <alignment horizontal="center"/>
      <protection/>
    </xf>
    <xf numFmtId="3" fontId="1" fillId="42" borderId="34" xfId="0" applyNumberFormat="1" applyFont="1" applyFill="1" applyBorder="1" applyAlignment="1">
      <alignment horizontal="right" vertical="center" wrapText="1" indent="1"/>
    </xf>
    <xf numFmtId="3" fontId="1" fillId="42" borderId="41" xfId="0" applyNumberFormat="1" applyFont="1" applyFill="1" applyBorder="1" applyAlignment="1">
      <alignment horizontal="right" vertical="center" wrapText="1" indent="1"/>
    </xf>
    <xf numFmtId="49" fontId="2" fillId="0" borderId="42" xfId="86" applyNumberFormat="1" applyFont="1" applyBorder="1" applyAlignment="1">
      <alignment horizontal="center"/>
      <protection/>
    </xf>
    <xf numFmtId="3" fontId="1" fillId="42" borderId="43" xfId="0" applyNumberFormat="1" applyFont="1" applyFill="1" applyBorder="1" applyAlignment="1">
      <alignment horizontal="right" vertical="center" wrapText="1" indent="1"/>
    </xf>
    <xf numFmtId="0" fontId="1" fillId="0" borderId="30" xfId="86" applyFont="1" applyBorder="1" applyAlignment="1">
      <alignment horizontal="center" vertical="center" wrapText="1"/>
      <protection/>
    </xf>
    <xf numFmtId="0" fontId="1" fillId="0" borderId="22" xfId="86" applyFont="1" applyBorder="1" applyAlignment="1">
      <alignment vertical="center" wrapText="1"/>
      <protection/>
    </xf>
    <xf numFmtId="0" fontId="1" fillId="0" borderId="31" xfId="86" applyFont="1" applyBorder="1" applyAlignment="1">
      <alignment horizontal="center" vertical="center" wrapText="1"/>
      <protection/>
    </xf>
    <xf numFmtId="0" fontId="2" fillId="0" borderId="22" xfId="86" applyFont="1" applyBorder="1" applyAlignment="1">
      <alignment vertical="center" wrapText="1"/>
      <protection/>
    </xf>
    <xf numFmtId="0" fontId="1" fillId="0" borderId="24" xfId="86" applyFont="1" applyBorder="1" applyAlignment="1">
      <alignment horizontal="center" vertical="center" wrapText="1"/>
      <protection/>
    </xf>
    <xf numFmtId="0" fontId="1" fillId="0" borderId="37" xfId="86" applyFont="1" applyBorder="1" applyAlignment="1">
      <alignment horizontal="center" vertical="center" wrapText="1"/>
      <protection/>
    </xf>
    <xf numFmtId="0" fontId="2" fillId="0" borderId="39" xfId="86" applyFont="1" applyBorder="1" applyAlignment="1">
      <alignment vertical="center" wrapText="1"/>
      <protection/>
    </xf>
    <xf numFmtId="0" fontId="1" fillId="0" borderId="24" xfId="86" applyFont="1" applyBorder="1" applyAlignment="1">
      <alignment vertical="center" wrapText="1"/>
      <protection/>
    </xf>
    <xf numFmtId="0" fontId="2" fillId="0" borderId="28" xfId="86" applyFont="1" applyBorder="1" applyAlignment="1">
      <alignment vertical="center" wrapText="1"/>
      <protection/>
    </xf>
    <xf numFmtId="0" fontId="1" fillId="0" borderId="30" xfId="86" applyFont="1" applyBorder="1" applyAlignment="1">
      <alignment vertical="center" wrapText="1"/>
      <protection/>
    </xf>
    <xf numFmtId="0" fontId="1" fillId="0" borderId="24" xfId="86" applyFont="1" applyFill="1" applyBorder="1" applyAlignment="1">
      <alignment vertical="center" wrapText="1"/>
      <protection/>
    </xf>
    <xf numFmtId="0" fontId="1" fillId="0" borderId="22" xfId="86" applyFont="1" applyFill="1" applyBorder="1" applyAlignment="1">
      <alignment vertical="center" wrapText="1"/>
      <protection/>
    </xf>
    <xf numFmtId="0" fontId="1" fillId="0" borderId="22" xfId="86" applyFont="1" applyBorder="1" applyAlignment="1">
      <alignment horizontal="left" vertical="center" wrapText="1"/>
      <protection/>
    </xf>
    <xf numFmtId="0" fontId="1" fillId="0" borderId="39" xfId="86" applyFont="1" applyBorder="1" applyAlignment="1">
      <alignment vertical="center" wrapText="1"/>
      <protection/>
    </xf>
    <xf numFmtId="0" fontId="2" fillId="0" borderId="39" xfId="86" applyFont="1" applyBorder="1">
      <alignment/>
      <protection/>
    </xf>
    <xf numFmtId="0" fontId="2" fillId="0" borderId="22" xfId="86" applyFont="1" applyBorder="1">
      <alignment/>
      <protection/>
    </xf>
    <xf numFmtId="0" fontId="2" fillId="0" borderId="28" xfId="86" applyFont="1" applyBorder="1">
      <alignment/>
      <protection/>
    </xf>
    <xf numFmtId="0" fontId="2" fillId="10" borderId="22" xfId="0" applyFont="1" applyFill="1" applyBorder="1" applyAlignment="1">
      <alignment horizontal="right" vertical="center" wrapText="1" indent="1"/>
    </xf>
    <xf numFmtId="189" fontId="2" fillId="42" borderId="26" xfId="0" applyNumberFormat="1" applyFont="1" applyFill="1" applyBorder="1" applyAlignment="1">
      <alignment horizontal="right" vertical="center" wrapText="1" indent="1"/>
    </xf>
    <xf numFmtId="3" fontId="2" fillId="10" borderId="28" xfId="90" applyNumberFormat="1" applyFont="1" applyFill="1" applyBorder="1" applyAlignment="1">
      <alignment horizontal="right" vertical="center" wrapText="1" indent="1"/>
      <protection/>
    </xf>
    <xf numFmtId="3" fontId="1" fillId="42" borderId="32" xfId="0" applyNumberFormat="1" applyFont="1" applyFill="1" applyBorder="1" applyAlignment="1">
      <alignment horizontal="right" vertical="center" wrapText="1" indent="1"/>
    </xf>
    <xf numFmtId="3" fontId="1" fillId="42" borderId="38" xfId="0" applyNumberFormat="1" applyFont="1" applyFill="1" applyBorder="1" applyAlignment="1">
      <alignment horizontal="right" vertical="center" wrapText="1" indent="1"/>
    </xf>
    <xf numFmtId="0" fontId="1" fillId="61" borderId="41" xfId="90" applyFont="1" applyFill="1" applyBorder="1" applyAlignment="1">
      <alignment horizontal="center" vertical="center" wrapText="1"/>
      <protection/>
    </xf>
    <xf numFmtId="0" fontId="1" fillId="0" borderId="44" xfId="90" applyNumberFormat="1" applyFont="1" applyFill="1" applyBorder="1" applyAlignment="1">
      <alignment horizontal="center" vertical="center" wrapText="1"/>
      <protection/>
    </xf>
    <xf numFmtId="3" fontId="1" fillId="42" borderId="42" xfId="0" applyNumberFormat="1" applyFont="1" applyFill="1" applyBorder="1" applyAlignment="1">
      <alignment horizontal="right" vertical="center" wrapText="1" indent="1"/>
    </xf>
    <xf numFmtId="3" fontId="2" fillId="10" borderId="42" xfId="90" applyNumberFormat="1" applyFont="1" applyFill="1" applyBorder="1" applyAlignment="1">
      <alignment horizontal="right" vertical="center" wrapText="1" indent="1"/>
      <protection/>
    </xf>
    <xf numFmtId="3" fontId="2" fillId="10" borderId="29" xfId="90" applyNumberFormat="1" applyFont="1" applyFill="1" applyBorder="1" applyAlignment="1">
      <alignment horizontal="right" vertical="center" wrapText="1" indent="1"/>
      <protection/>
    </xf>
    <xf numFmtId="3" fontId="2" fillId="10" borderId="40" xfId="90" applyNumberFormat="1" applyFont="1" applyFill="1" applyBorder="1" applyAlignment="1">
      <alignment horizontal="right" vertical="center" wrapText="1" indent="1"/>
      <protection/>
    </xf>
    <xf numFmtId="3" fontId="1" fillId="42" borderId="29" xfId="0" applyNumberFormat="1" applyFont="1" applyFill="1" applyBorder="1" applyAlignment="1">
      <alignment horizontal="right" vertical="center" wrapText="1" indent="1"/>
    </xf>
    <xf numFmtId="3" fontId="1" fillId="42" borderId="45" xfId="0" applyNumberFormat="1" applyFont="1" applyFill="1" applyBorder="1" applyAlignment="1">
      <alignment horizontal="right" vertical="center" wrapText="1" indent="1"/>
    </xf>
    <xf numFmtId="3" fontId="1" fillId="42" borderId="46" xfId="0" applyNumberFormat="1" applyFont="1" applyFill="1" applyBorder="1" applyAlignment="1">
      <alignment horizontal="right" vertical="center" wrapText="1" indent="1"/>
    </xf>
    <xf numFmtId="0" fontId="18" fillId="0" borderId="39" xfId="86" applyFont="1" applyBorder="1">
      <alignment/>
      <protection/>
    </xf>
    <xf numFmtId="49" fontId="18" fillId="0" borderId="42" xfId="86" applyNumberFormat="1" applyFont="1" applyBorder="1" applyAlignment="1">
      <alignment horizontal="center"/>
      <protection/>
    </xf>
    <xf numFmtId="0" fontId="18" fillId="0" borderId="22" xfId="86" applyFont="1" applyBorder="1">
      <alignment/>
      <protection/>
    </xf>
    <xf numFmtId="49" fontId="18" fillId="0" borderId="29" xfId="86" applyNumberFormat="1" applyFont="1" applyBorder="1" applyAlignment="1">
      <alignment horizontal="center"/>
      <protection/>
    </xf>
    <xf numFmtId="0" fontId="18" fillId="0" borderId="22" xfId="86" applyFont="1" applyBorder="1" applyAlignment="1">
      <alignment vertical="center"/>
      <protection/>
    </xf>
    <xf numFmtId="49" fontId="43" fillId="48" borderId="29" xfId="86" applyNumberFormat="1" applyFont="1" applyFill="1" applyBorder="1" applyAlignment="1">
      <alignment horizontal="center"/>
      <protection/>
    </xf>
    <xf numFmtId="49" fontId="43" fillId="0" borderId="29" xfId="86" applyNumberFormat="1" applyFont="1" applyBorder="1" applyAlignment="1">
      <alignment horizontal="center"/>
      <protection/>
    </xf>
    <xf numFmtId="0" fontId="18" fillId="0" borderId="31" xfId="86" applyFont="1" applyBorder="1" applyAlignment="1">
      <alignment horizontal="left" indent="1"/>
      <protection/>
    </xf>
    <xf numFmtId="0" fontId="18" fillId="0" borderId="24" xfId="86" applyFont="1" applyBorder="1" applyAlignment="1">
      <alignment horizontal="left" indent="1"/>
      <protection/>
    </xf>
    <xf numFmtId="0" fontId="18" fillId="0" borderId="24" xfId="86" applyFont="1" applyFill="1" applyBorder="1" applyAlignment="1">
      <alignment horizontal="left" indent="1"/>
      <protection/>
    </xf>
    <xf numFmtId="0" fontId="18" fillId="0" borderId="34" xfId="86" applyFont="1" applyBorder="1" applyAlignment="1">
      <alignment horizontal="center"/>
      <protection/>
    </xf>
    <xf numFmtId="3" fontId="18" fillId="0" borderId="34" xfId="62" applyNumberFormat="1" applyFont="1" applyFill="1" applyBorder="1" applyAlignment="1">
      <alignment horizontal="center"/>
    </xf>
    <xf numFmtId="3" fontId="18" fillId="0" borderId="41" xfId="62" applyNumberFormat="1" applyFont="1" applyFill="1" applyBorder="1" applyAlignment="1">
      <alignment horizontal="center"/>
    </xf>
    <xf numFmtId="3" fontId="1" fillId="0" borderId="28" xfId="86" applyNumberFormat="1" applyFont="1" applyBorder="1" applyAlignment="1">
      <alignment horizontal="center" vertical="center"/>
      <protection/>
    </xf>
    <xf numFmtId="3" fontId="1" fillId="0" borderId="32" xfId="86" applyNumberFormat="1" applyFont="1" applyBorder="1" applyAlignment="1">
      <alignment horizontal="center" vertical="center"/>
      <protection/>
    </xf>
    <xf numFmtId="0" fontId="2" fillId="0" borderId="34" xfId="86" applyFont="1" applyBorder="1" applyAlignment="1">
      <alignment horizontal="center" vertical="center"/>
      <protection/>
    </xf>
    <xf numFmtId="3" fontId="2" fillId="0" borderId="34" xfId="86" applyNumberFormat="1" applyFont="1" applyBorder="1" applyAlignment="1">
      <alignment horizontal="center" vertical="center"/>
      <protection/>
    </xf>
    <xf numFmtId="3" fontId="2" fillId="0" borderId="41" xfId="86" applyNumberFormat="1" applyFont="1" applyBorder="1" applyAlignment="1">
      <alignment horizontal="center" vertical="center"/>
      <protection/>
    </xf>
    <xf numFmtId="199" fontId="1" fillId="0" borderId="28" xfId="86" applyNumberFormat="1" applyFont="1" applyBorder="1" applyAlignment="1" applyProtection="1">
      <alignment horizontal="center" vertical="center"/>
      <protection/>
    </xf>
    <xf numFmtId="199" fontId="1" fillId="0" borderId="32" xfId="86" applyNumberFormat="1" applyFont="1" applyBorder="1" applyAlignment="1" applyProtection="1">
      <alignment horizontal="center" vertical="center"/>
      <protection/>
    </xf>
    <xf numFmtId="199" fontId="2" fillId="0" borderId="34" xfId="86" applyNumberFormat="1" applyFont="1" applyBorder="1" applyAlignment="1" applyProtection="1">
      <alignment horizontal="center"/>
      <protection/>
    </xf>
    <xf numFmtId="199" fontId="2" fillId="0" borderId="41" xfId="86" applyNumberFormat="1" applyFont="1" applyBorder="1" applyAlignment="1" applyProtection="1">
      <alignment horizontal="center"/>
      <protection/>
    </xf>
    <xf numFmtId="3" fontId="1" fillId="42" borderId="23" xfId="0" applyNumberFormat="1" applyFont="1" applyFill="1" applyBorder="1" applyAlignment="1">
      <alignment horizontal="right" indent="1"/>
    </xf>
    <xf numFmtId="3" fontId="1" fillId="42" borderId="27" xfId="0" applyNumberFormat="1" applyFont="1" applyFill="1" applyBorder="1" applyAlignment="1">
      <alignment horizontal="right" indent="1"/>
    </xf>
    <xf numFmtId="0" fontId="0" fillId="0" borderId="0" xfId="86" applyAlignment="1">
      <alignment/>
      <protection/>
    </xf>
    <xf numFmtId="189" fontId="2" fillId="0" borderId="0" xfId="0" applyNumberFormat="1" applyFont="1" applyBorder="1" applyAlignment="1">
      <alignment/>
    </xf>
    <xf numFmtId="189" fontId="2" fillId="0" borderId="0" xfId="0" applyNumberFormat="1" applyFont="1" applyBorder="1" applyAlignment="1">
      <alignment wrapText="1"/>
    </xf>
    <xf numFmtId="0" fontId="23" fillId="0" borderId="0" xfId="0" applyFont="1" applyBorder="1" applyAlignment="1">
      <alignment horizontal="left"/>
    </xf>
    <xf numFmtId="0" fontId="23" fillId="0" borderId="0" xfId="0" applyFont="1" applyBorder="1" applyAlignment="1">
      <alignment horizontal="left" vertical="center"/>
    </xf>
    <xf numFmtId="0" fontId="2" fillId="0" borderId="0" xfId="85" applyFont="1">
      <alignment/>
      <protection/>
    </xf>
    <xf numFmtId="0" fontId="44" fillId="0" borderId="0" xfId="0" applyFont="1" applyAlignment="1">
      <alignment horizontal="left" vertical="center"/>
    </xf>
    <xf numFmtId="3" fontId="1" fillId="0" borderId="22" xfId="0" applyNumberFormat="1" applyFont="1" applyFill="1" applyBorder="1" applyAlignment="1">
      <alignment horizontal="right" vertical="center" indent="1"/>
    </xf>
    <xf numFmtId="3" fontId="1" fillId="0" borderId="23" xfId="0" applyNumberFormat="1" applyFont="1" applyFill="1" applyBorder="1" applyAlignment="1">
      <alignment horizontal="right" vertical="center" indent="1"/>
    </xf>
    <xf numFmtId="0" fontId="102" fillId="0" borderId="24" xfId="0" applyFont="1" applyBorder="1" applyAlignment="1">
      <alignment horizontal="center" vertical="center"/>
    </xf>
    <xf numFmtId="0" fontId="102" fillId="0" borderId="0" xfId="0" applyFont="1" applyAlignment="1">
      <alignment/>
    </xf>
    <xf numFmtId="0" fontId="52" fillId="0" borderId="0" xfId="0" applyFont="1" applyFill="1" applyAlignment="1">
      <alignment horizontal="left" vertical="center" indent="1"/>
    </xf>
    <xf numFmtId="3" fontId="2" fillId="0" borderId="0" xfId="91" applyNumberFormat="1" applyFont="1" applyBorder="1" applyAlignment="1">
      <alignment horizontal="center" vertical="center" wrapText="1"/>
      <protection/>
    </xf>
    <xf numFmtId="0" fontId="18" fillId="0" borderId="23" xfId="0" applyFont="1" applyFill="1" applyBorder="1" applyAlignment="1">
      <alignment horizontal="center" vertical="center" wrapText="1"/>
    </xf>
    <xf numFmtId="4" fontId="2" fillId="10" borderId="22" xfId="0" applyNumberFormat="1" applyFont="1" applyFill="1" applyBorder="1" applyAlignment="1">
      <alignment horizontal="right" vertical="center" wrapText="1" indent="1"/>
    </xf>
    <xf numFmtId="4" fontId="1" fillId="42" borderId="23" xfId="0" applyNumberFormat="1" applyFont="1" applyFill="1" applyBorder="1" applyAlignment="1">
      <alignment horizontal="right" vertical="center" wrapText="1" indent="1"/>
    </xf>
    <xf numFmtId="4" fontId="1" fillId="42" borderId="22" xfId="0" applyNumberFormat="1" applyFont="1" applyFill="1" applyBorder="1" applyAlignment="1">
      <alignment horizontal="right" vertical="center" wrapText="1" indent="1"/>
    </xf>
    <xf numFmtId="4" fontId="1" fillId="42" borderId="26" xfId="0" applyNumberFormat="1" applyFont="1" applyFill="1" applyBorder="1" applyAlignment="1">
      <alignment horizontal="right" vertical="center" wrapText="1" indent="1"/>
    </xf>
    <xf numFmtId="4" fontId="1" fillId="42" borderId="27" xfId="0" applyNumberFormat="1" applyFont="1" applyFill="1" applyBorder="1" applyAlignment="1">
      <alignment horizontal="right" vertical="center" wrapText="1" indent="1"/>
    </xf>
    <xf numFmtId="49" fontId="1" fillId="0" borderId="22" xfId="87" applyNumberFormat="1" applyFont="1" applyBorder="1" applyAlignment="1">
      <alignment horizontal="left" vertical="center" wrapText="1" indent="1"/>
      <protection/>
    </xf>
    <xf numFmtId="3" fontId="1" fillId="42" borderId="22" xfId="87" applyNumberFormat="1" applyFont="1" applyFill="1" applyBorder="1" applyAlignment="1">
      <alignment horizontal="right" vertical="center" wrapText="1" indent="1"/>
      <protection/>
    </xf>
    <xf numFmtId="3" fontId="2" fillId="10" borderId="22" xfId="87" applyNumberFormat="1" applyFont="1" applyFill="1" applyBorder="1" applyAlignment="1">
      <alignment horizontal="right" vertical="center" wrapText="1" indent="1"/>
      <protection/>
    </xf>
    <xf numFmtId="0" fontId="2" fillId="0" borderId="22" xfId="87" applyFont="1" applyBorder="1" applyAlignment="1">
      <alignment horizontal="left" vertical="top" wrapText="1" indent="1"/>
      <protection/>
    </xf>
    <xf numFmtId="3" fontId="2" fillId="10" borderId="28" xfId="87" applyNumberFormat="1" applyFont="1" applyFill="1" applyBorder="1" applyAlignment="1">
      <alignment horizontal="right" vertical="center" wrapText="1" indent="1"/>
      <protection/>
    </xf>
    <xf numFmtId="0" fontId="2" fillId="0" borderId="28" xfId="87" applyFont="1" applyBorder="1" applyAlignment="1">
      <alignment horizontal="left" vertical="top" wrapText="1" indent="1"/>
      <protection/>
    </xf>
    <xf numFmtId="0" fontId="8" fillId="0" borderId="0" xfId="0" applyFont="1" applyAlignment="1">
      <alignment horizontal="center" vertical="center"/>
    </xf>
    <xf numFmtId="0" fontId="8" fillId="0" borderId="0" xfId="0" applyFont="1" applyAlignment="1">
      <alignment horizontal="left" indent="1"/>
    </xf>
    <xf numFmtId="0" fontId="8" fillId="0" borderId="0" xfId="0" applyFont="1" applyAlignment="1">
      <alignment/>
    </xf>
    <xf numFmtId="0" fontId="0" fillId="0" borderId="0" xfId="86" applyBorder="1" applyAlignment="1">
      <alignment/>
      <protection/>
    </xf>
    <xf numFmtId="49" fontId="1" fillId="0" borderId="47" xfId="86" applyNumberFormat="1" applyFont="1" applyFill="1" applyBorder="1" applyAlignment="1">
      <alignment horizontal="center"/>
      <protection/>
    </xf>
    <xf numFmtId="169" fontId="1" fillId="0" borderId="47" xfId="62" applyNumberFormat="1" applyFont="1" applyBorder="1" applyAlignment="1">
      <alignment/>
    </xf>
    <xf numFmtId="0" fontId="2" fillId="0" borderId="24" xfId="0" applyFont="1" applyFill="1" applyBorder="1" applyAlignment="1">
      <alignment horizontal="center" vertical="center"/>
    </xf>
    <xf numFmtId="0" fontId="109" fillId="0" borderId="0" xfId="0" applyFont="1" applyAlignment="1">
      <alignment vertical="center"/>
    </xf>
    <xf numFmtId="0" fontId="102" fillId="0" borderId="0" xfId="0" applyFont="1" applyAlignment="1">
      <alignment wrapText="1"/>
    </xf>
    <xf numFmtId="3" fontId="2" fillId="0" borderId="0" xfId="91" applyNumberFormat="1" applyFont="1" applyBorder="1" applyAlignment="1">
      <alignment vertical="center"/>
      <protection/>
    </xf>
    <xf numFmtId="0" fontId="0" fillId="0" borderId="0" xfId="0" applyFont="1" applyBorder="1" applyAlignment="1">
      <alignment/>
    </xf>
    <xf numFmtId="3" fontId="1" fillId="42" borderId="48" xfId="0" applyNumberFormat="1" applyFont="1" applyFill="1" applyBorder="1" applyAlignment="1">
      <alignment horizontal="right" vertical="center" wrapText="1" indent="1"/>
    </xf>
    <xf numFmtId="199" fontId="1" fillId="0" borderId="49" xfId="86" applyNumberFormat="1" applyFont="1" applyBorder="1" applyAlignment="1" applyProtection="1">
      <alignment horizontal="center" vertical="center" wrapText="1"/>
      <protection/>
    </xf>
    <xf numFmtId="49" fontId="1" fillId="62" borderId="39" xfId="86" applyNumberFormat="1" applyFont="1" applyFill="1" applyBorder="1" applyAlignment="1" applyProtection="1">
      <alignment horizontal="center"/>
      <protection/>
    </xf>
    <xf numFmtId="0" fontId="2" fillId="0" borderId="34" xfId="86" applyFont="1" applyBorder="1" applyAlignment="1" applyProtection="1">
      <alignment horizontal="center"/>
      <protection/>
    </xf>
    <xf numFmtId="199" fontId="2" fillId="0" borderId="50" xfId="86" applyNumberFormat="1" applyFont="1" applyBorder="1" applyAlignment="1" applyProtection="1">
      <alignment horizontal="center"/>
      <protection/>
    </xf>
    <xf numFmtId="0" fontId="2" fillId="0" borderId="0" xfId="0" applyFont="1" applyFill="1" applyBorder="1" applyAlignment="1">
      <alignment/>
    </xf>
    <xf numFmtId="0" fontId="1" fillId="0" borderId="0" xfId="0" applyFont="1" applyFill="1" applyBorder="1" applyAlignment="1">
      <alignment horizontal="center" vertical="center"/>
    </xf>
    <xf numFmtId="49" fontId="1" fillId="0" borderId="22"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25" xfId="0" applyFont="1" applyFill="1" applyBorder="1" applyAlignment="1">
      <alignment horizontal="center" vertical="center" wrapText="1"/>
    </xf>
    <xf numFmtId="49" fontId="2" fillId="0" borderId="0" xfId="0" applyNumberFormat="1" applyFont="1" applyFill="1" applyBorder="1" applyAlignment="1">
      <alignment horizontal="left" indent="1"/>
    </xf>
    <xf numFmtId="0" fontId="18" fillId="0" borderId="0" xfId="0" applyFont="1" applyFill="1" applyBorder="1" applyAlignment="1">
      <alignment vertical="center"/>
    </xf>
    <xf numFmtId="0" fontId="23" fillId="0" borderId="0" xfId="83" applyFont="1" applyAlignment="1">
      <alignment horizontal="center" vertical="center" wrapText="1"/>
      <protection/>
    </xf>
    <xf numFmtId="0" fontId="2" fillId="0" borderId="0" xfId="83" applyFont="1">
      <alignment/>
      <protection/>
    </xf>
    <xf numFmtId="0" fontId="2" fillId="0" borderId="0" xfId="83" applyFont="1" applyAlignment="1">
      <alignment horizontal="center"/>
      <protection/>
    </xf>
    <xf numFmtId="0" fontId="1" fillId="0" borderId="24" xfId="83" applyFont="1" applyBorder="1" applyAlignment="1">
      <alignment horizontal="center" vertical="center" wrapText="1"/>
      <protection/>
    </xf>
    <xf numFmtId="49" fontId="1" fillId="0" borderId="22" xfId="83" applyNumberFormat="1" applyFont="1" applyBorder="1" applyAlignment="1">
      <alignment horizontal="center" vertical="center" wrapText="1"/>
      <protection/>
    </xf>
    <xf numFmtId="0" fontId="1" fillId="0" borderId="22" xfId="83" applyFont="1" applyBorder="1" applyAlignment="1">
      <alignment horizontal="center" vertical="center" wrapText="1"/>
      <protection/>
    </xf>
    <xf numFmtId="0" fontId="1" fillId="0" borderId="23" xfId="83" applyFont="1" applyBorder="1" applyAlignment="1">
      <alignment horizontal="center" vertical="center" wrapText="1"/>
      <protection/>
    </xf>
    <xf numFmtId="0" fontId="2" fillId="0" borderId="24" xfId="83" applyFont="1" applyBorder="1" applyAlignment="1">
      <alignment horizontal="center" wrapText="1"/>
      <protection/>
    </xf>
    <xf numFmtId="49" fontId="1" fillId="0" borderId="22" xfId="83" applyNumberFormat="1" applyFont="1" applyBorder="1" applyAlignment="1">
      <alignment vertical="top" wrapText="1"/>
      <protection/>
    </xf>
    <xf numFmtId="3" fontId="2" fillId="0" borderId="22" xfId="83" applyNumberFormat="1" applyFont="1" applyFill="1" applyBorder="1" applyAlignment="1">
      <alignment horizontal="center" wrapText="1"/>
      <protection/>
    </xf>
    <xf numFmtId="0" fontId="2" fillId="0" borderId="24" xfId="83" applyFont="1" applyBorder="1" applyAlignment="1">
      <alignment horizontal="center" vertical="center" wrapText="1"/>
      <protection/>
    </xf>
    <xf numFmtId="49" fontId="1" fillId="0" borderId="22" xfId="83" applyNumberFormat="1" applyFont="1" applyBorder="1" applyAlignment="1">
      <alignment horizontal="left" vertical="center" wrapText="1" indent="1"/>
      <protection/>
    </xf>
    <xf numFmtId="49" fontId="2" fillId="0" borderId="22" xfId="83" applyNumberFormat="1" applyFont="1" applyBorder="1" applyAlignment="1">
      <alignment horizontal="left" vertical="center" wrapText="1" indent="1"/>
      <protection/>
    </xf>
    <xf numFmtId="0" fontId="2" fillId="0" borderId="0" xfId="83" applyFont="1" applyFill="1" applyAlignment="1">
      <alignment horizontal="center"/>
      <protection/>
    </xf>
    <xf numFmtId="0" fontId="2" fillId="0" borderId="0" xfId="83" applyFont="1" applyFill="1">
      <alignment/>
      <protection/>
    </xf>
    <xf numFmtId="49" fontId="2" fillId="63" borderId="22" xfId="83" applyNumberFormat="1" applyFont="1" applyFill="1" applyBorder="1" applyAlignment="1">
      <alignment horizontal="left" vertical="center" wrapText="1" indent="1"/>
      <protection/>
    </xf>
    <xf numFmtId="49" fontId="1" fillId="0" borderId="26" xfId="83" applyNumberFormat="1" applyFont="1" applyBorder="1" applyAlignment="1">
      <alignment horizontal="left" vertical="center" wrapText="1" indent="1"/>
      <protection/>
    </xf>
    <xf numFmtId="0" fontId="2" fillId="0" borderId="0" xfId="83" applyFont="1" applyFill="1" applyBorder="1" applyAlignment="1">
      <alignment horizontal="center" vertical="center" wrapText="1"/>
      <protection/>
    </xf>
    <xf numFmtId="49" fontId="1" fillId="0" borderId="0" xfId="83" applyNumberFormat="1" applyFont="1" applyFill="1" applyBorder="1" applyAlignment="1">
      <alignment horizontal="left" vertical="top" wrapText="1" indent="1"/>
      <protection/>
    </xf>
    <xf numFmtId="3" fontId="1" fillId="0" borderId="0" xfId="83" applyNumberFormat="1" applyFont="1" applyFill="1" applyBorder="1" applyAlignment="1">
      <alignment horizontal="right" vertical="center" wrapText="1" indent="1"/>
      <protection/>
    </xf>
    <xf numFmtId="0" fontId="2" fillId="0" borderId="0" xfId="83" applyFont="1" applyAlignment="1">
      <alignment horizontal="center"/>
      <protection/>
    </xf>
    <xf numFmtId="0" fontId="2" fillId="0" borderId="0" xfId="83" applyFont="1">
      <alignment/>
      <protection/>
    </xf>
    <xf numFmtId="49" fontId="2" fillId="0" borderId="0" xfId="83" applyNumberFormat="1" applyFont="1">
      <alignment/>
      <protection/>
    </xf>
    <xf numFmtId="49" fontId="2" fillId="0" borderId="0" xfId="83" applyNumberFormat="1" applyFont="1">
      <alignment/>
      <protection/>
    </xf>
    <xf numFmtId="0" fontId="2" fillId="0" borderId="29" xfId="0" applyFont="1" applyFill="1" applyBorder="1" applyAlignment="1">
      <alignment horizontal="center" vertical="center" wrapText="1"/>
    </xf>
    <xf numFmtId="49" fontId="101" fillId="0" borderId="22" xfId="0" applyNumberFormat="1" applyFont="1" applyBorder="1" applyAlignment="1">
      <alignment horizontal="left" vertical="center" wrapText="1" indent="1"/>
    </xf>
    <xf numFmtId="49" fontId="91" fillId="0" borderId="22" xfId="0" applyNumberFormat="1" applyFont="1" applyBorder="1" applyAlignment="1">
      <alignment horizontal="left" vertical="center" wrapText="1" indent="1"/>
    </xf>
    <xf numFmtId="0" fontId="101" fillId="0" borderId="39" xfId="85" applyFont="1" applyBorder="1" applyAlignment="1">
      <alignment horizontal="center" vertical="center"/>
      <protection/>
    </xf>
    <xf numFmtId="0" fontId="101" fillId="0" borderId="31" xfId="85" applyFont="1" applyBorder="1" applyAlignment="1">
      <alignment vertical="center"/>
      <protection/>
    </xf>
    <xf numFmtId="0" fontId="101" fillId="0" borderId="39" xfId="85" applyFont="1" applyBorder="1" applyAlignment="1">
      <alignment vertical="center"/>
      <protection/>
    </xf>
    <xf numFmtId="0" fontId="101" fillId="0" borderId="38" xfId="85" applyFont="1" applyBorder="1" applyAlignment="1">
      <alignment horizontal="center" vertical="center"/>
      <protection/>
    </xf>
    <xf numFmtId="0" fontId="101" fillId="0" borderId="26" xfId="85" applyFont="1" applyBorder="1" applyAlignment="1">
      <alignment horizontal="center" vertical="center" wrapText="1"/>
      <protection/>
    </xf>
    <xf numFmtId="0" fontId="102" fillId="0" borderId="0" xfId="0" applyFont="1" applyBorder="1" applyAlignment="1">
      <alignment horizontal="left" vertical="center"/>
    </xf>
    <xf numFmtId="3" fontId="2" fillId="0" borderId="23" xfId="0" applyNumberFormat="1" applyFont="1" applyFill="1" applyBorder="1" applyAlignment="1">
      <alignment horizontal="center" vertical="center" wrapText="1"/>
    </xf>
    <xf numFmtId="0" fontId="2" fillId="0" borderId="24" xfId="87" applyFont="1" applyBorder="1" applyAlignment="1">
      <alignment horizontal="center" vertical="center" wrapText="1"/>
      <protection/>
    </xf>
    <xf numFmtId="3" fontId="1" fillId="42" borderId="23" xfId="87" applyNumberFormat="1" applyFont="1" applyFill="1" applyBorder="1" applyAlignment="1">
      <alignment horizontal="right" vertical="center" wrapText="1" indent="1"/>
      <protection/>
    </xf>
    <xf numFmtId="0" fontId="2" fillId="0" borderId="25" xfId="87" applyFont="1" applyBorder="1" applyAlignment="1">
      <alignment horizontal="center" vertical="center" wrapText="1"/>
      <protection/>
    </xf>
    <xf numFmtId="3" fontId="1" fillId="42" borderId="26" xfId="87" applyNumberFormat="1" applyFont="1" applyFill="1" applyBorder="1" applyAlignment="1">
      <alignment horizontal="right" vertical="center" wrapText="1" indent="1"/>
      <protection/>
    </xf>
    <xf numFmtId="3" fontId="1" fillId="42" borderId="26" xfId="87" applyNumberFormat="1" applyFont="1" applyFill="1" applyBorder="1" applyAlignment="1">
      <alignment horizontal="right" vertical="center" wrapText="1" indent="1"/>
      <protection/>
    </xf>
    <xf numFmtId="3" fontId="1" fillId="42" borderId="27" xfId="87" applyNumberFormat="1" applyFont="1" applyFill="1" applyBorder="1" applyAlignment="1">
      <alignment horizontal="right" vertical="center" wrapText="1" indent="1"/>
      <protection/>
    </xf>
    <xf numFmtId="3" fontId="1" fillId="42" borderId="43" xfId="0" applyNumberFormat="1" applyFont="1" applyFill="1" applyBorder="1" applyAlignment="1">
      <alignment horizontal="right" vertical="center" wrapText="1" indent="1"/>
    </xf>
    <xf numFmtId="3" fontId="2" fillId="0" borderId="43" xfId="83" applyNumberFormat="1" applyFont="1" applyFill="1" applyBorder="1" applyAlignment="1">
      <alignment horizontal="center" wrapText="1"/>
      <protection/>
    </xf>
    <xf numFmtId="3" fontId="1" fillId="42" borderId="43" xfId="83" applyNumberFormat="1" applyFont="1" applyFill="1" applyBorder="1" applyAlignment="1">
      <alignment horizontal="right" vertical="center" wrapText="1" indent="1"/>
      <protection/>
    </xf>
    <xf numFmtId="49" fontId="2" fillId="0" borderId="22" xfId="83" applyNumberFormat="1" applyFont="1" applyBorder="1" applyAlignment="1">
      <alignment horizontal="left" vertical="center" wrapText="1" indent="1"/>
      <protection/>
    </xf>
    <xf numFmtId="49" fontId="2" fillId="0" borderId="22" xfId="83" applyNumberFormat="1" applyFont="1" applyFill="1" applyBorder="1" applyAlignment="1">
      <alignment horizontal="left" vertical="center" wrapText="1" indent="1"/>
      <protection/>
    </xf>
    <xf numFmtId="49" fontId="110" fillId="0" borderId="22" xfId="0" applyNumberFormat="1" applyFont="1" applyFill="1" applyBorder="1" applyAlignment="1">
      <alignment horizontal="left" vertical="center" wrapText="1" indent="1"/>
    </xf>
    <xf numFmtId="0" fontId="91" fillId="0" borderId="0" xfId="85" applyAlignment="1">
      <alignment horizontal="right"/>
      <protection/>
    </xf>
    <xf numFmtId="0" fontId="91" fillId="0" borderId="25" xfId="85" applyFont="1" applyBorder="1" applyAlignment="1">
      <alignment horizontal="center" vertical="center"/>
      <protection/>
    </xf>
    <xf numFmtId="189" fontId="1" fillId="42" borderId="27" xfId="0" applyNumberFormat="1" applyFont="1" applyFill="1" applyBorder="1" applyAlignment="1">
      <alignment horizontal="right" vertical="center" wrapText="1" indent="1"/>
    </xf>
    <xf numFmtId="3" fontId="1" fillId="0" borderId="0" xfId="90" applyNumberFormat="1" applyFont="1" applyBorder="1" applyAlignment="1">
      <alignment horizontal="left" vertical="center" wrapText="1"/>
      <protection/>
    </xf>
    <xf numFmtId="3" fontId="1" fillId="0" borderId="51" xfId="90" applyNumberFormat="1" applyFont="1" applyBorder="1" applyAlignment="1">
      <alignment horizontal="left" vertical="center" wrapText="1"/>
      <protection/>
    </xf>
    <xf numFmtId="0" fontId="2" fillId="0" borderId="24" xfId="0" applyFont="1" applyBorder="1" applyAlignment="1">
      <alignment horizontal="center" vertical="top"/>
    </xf>
    <xf numFmtId="0" fontId="1" fillId="0" borderId="25" xfId="86" applyFont="1" applyBorder="1" applyAlignment="1" applyProtection="1">
      <alignment vertical="top" wrapText="1"/>
      <protection/>
    </xf>
    <xf numFmtId="49" fontId="2" fillId="0" borderId="26" xfId="86" applyNumberFormat="1" applyFont="1" applyBorder="1" applyAlignment="1" applyProtection="1">
      <alignment horizontal="center"/>
      <protection/>
    </xf>
    <xf numFmtId="0" fontId="2" fillId="0" borderId="0" xfId="0" applyFont="1" applyAlignment="1">
      <alignment horizontal="left" vertical="center"/>
    </xf>
    <xf numFmtId="0" fontId="101" fillId="0" borderId="42" xfId="85" applyFont="1" applyBorder="1" applyAlignment="1">
      <alignment horizontal="center" vertical="center"/>
      <protection/>
    </xf>
    <xf numFmtId="0" fontId="2" fillId="10" borderId="29" xfId="0" applyFont="1" applyFill="1" applyBorder="1" applyAlignment="1">
      <alignment horizontal="right" vertical="center" wrapText="1" indent="1"/>
    </xf>
    <xf numFmtId="0" fontId="23" fillId="0" borderId="0" xfId="0" applyFont="1" applyBorder="1" applyAlignment="1">
      <alignment horizontal="left" vertical="center" wrapText="1"/>
    </xf>
    <xf numFmtId="49" fontId="43" fillId="48" borderId="50" xfId="86" applyNumberFormat="1" applyFont="1" applyFill="1" applyBorder="1" applyAlignment="1">
      <alignment horizontal="center" vertical="center"/>
      <protection/>
    </xf>
    <xf numFmtId="0" fontId="2" fillId="0" borderId="24" xfId="86" applyFont="1" applyBorder="1" applyAlignment="1">
      <alignment horizontal="left" indent="1"/>
      <protection/>
    </xf>
    <xf numFmtId="0" fontId="2" fillId="0" borderId="31" xfId="86" applyFont="1" applyBorder="1" applyAlignment="1">
      <alignment horizontal="left" indent="1"/>
      <protection/>
    </xf>
    <xf numFmtId="0" fontId="2" fillId="0" borderId="24" xfId="86" applyFont="1" applyFill="1" applyBorder="1" applyAlignment="1">
      <alignment horizontal="left" indent="1"/>
      <protection/>
    </xf>
    <xf numFmtId="0" fontId="2" fillId="0" borderId="30" xfId="86" applyFont="1" applyFill="1" applyBorder="1" applyAlignment="1">
      <alignment horizontal="left" indent="1"/>
      <protection/>
    </xf>
    <xf numFmtId="49" fontId="1" fillId="10" borderId="39" xfId="86" applyNumberFormat="1" applyFont="1" applyFill="1" applyBorder="1" applyAlignment="1">
      <alignment horizontal="center" vertical="center"/>
      <protection/>
    </xf>
    <xf numFmtId="49" fontId="1" fillId="0" borderId="22" xfId="86" applyNumberFormat="1" applyFont="1" applyBorder="1" applyAlignment="1">
      <alignment horizontal="center" vertical="center"/>
      <protection/>
    </xf>
    <xf numFmtId="49" fontId="2" fillId="0" borderId="29" xfId="86" applyNumberFormat="1" applyFont="1" applyBorder="1" applyAlignment="1">
      <alignment horizontal="center" vertical="center"/>
      <protection/>
    </xf>
    <xf numFmtId="49" fontId="1" fillId="0" borderId="29" xfId="86" applyNumberFormat="1" applyFont="1" applyBorder="1" applyAlignment="1">
      <alignment horizontal="center" vertical="center"/>
      <protection/>
    </xf>
    <xf numFmtId="49" fontId="2" fillId="0" borderId="40" xfId="86" applyNumberFormat="1" applyFont="1" applyBorder="1" applyAlignment="1">
      <alignment horizontal="center" vertical="center"/>
      <protection/>
    </xf>
    <xf numFmtId="49" fontId="1" fillId="10" borderId="50" xfId="86" applyNumberFormat="1" applyFont="1" applyFill="1" applyBorder="1" applyAlignment="1">
      <alignment horizontal="center" vertical="center"/>
      <protection/>
    </xf>
    <xf numFmtId="49" fontId="2" fillId="0" borderId="42" xfId="86" applyNumberFormat="1" applyFont="1" applyBorder="1" applyAlignment="1">
      <alignment horizontal="center" vertical="center"/>
      <protection/>
    </xf>
    <xf numFmtId="49" fontId="2" fillId="42" borderId="50" xfId="86" applyNumberFormat="1" applyFont="1" applyFill="1" applyBorder="1" applyAlignment="1">
      <alignment horizontal="center" vertical="center"/>
      <protection/>
    </xf>
    <xf numFmtId="0" fontId="2" fillId="0" borderId="24" xfId="83" applyFont="1" applyFill="1" applyBorder="1" applyAlignment="1">
      <alignment horizontal="center" vertical="center" wrapText="1"/>
      <protection/>
    </xf>
    <xf numFmtId="0" fontId="2" fillId="0" borderId="25" xfId="83" applyFont="1" applyFill="1" applyBorder="1" applyAlignment="1">
      <alignment horizontal="center" vertical="center" wrapText="1"/>
      <protection/>
    </xf>
    <xf numFmtId="0" fontId="101" fillId="0" borderId="22" xfId="91" applyFont="1" applyBorder="1" applyAlignment="1">
      <alignment horizontal="center" vertical="center" wrapText="1"/>
      <protection/>
    </xf>
    <xf numFmtId="0" fontId="91" fillId="0" borderId="28" xfId="86" applyFont="1" applyBorder="1">
      <alignment/>
      <protection/>
    </xf>
    <xf numFmtId="0" fontId="91" fillId="0" borderId="39" xfId="86" applyFont="1" applyBorder="1" applyAlignment="1">
      <alignment vertical="center" wrapText="1"/>
      <protection/>
    </xf>
    <xf numFmtId="0" fontId="2" fillId="0" borderId="0" xfId="0" applyFont="1" applyBorder="1" applyAlignment="1">
      <alignment vertical="center"/>
    </xf>
    <xf numFmtId="0" fontId="91" fillId="0" borderId="22" xfId="0" applyFont="1" applyFill="1" applyBorder="1" applyAlignment="1">
      <alignment horizontal="center" vertical="center" wrapText="1"/>
    </xf>
    <xf numFmtId="0" fontId="91" fillId="0" borderId="23" xfId="0" applyFont="1" applyFill="1" applyBorder="1" applyAlignment="1">
      <alignment horizontal="center" vertical="center" wrapText="1"/>
    </xf>
    <xf numFmtId="49" fontId="101" fillId="0" borderId="26" xfId="87" applyNumberFormat="1" applyFont="1" applyBorder="1" applyAlignment="1">
      <alignment horizontal="left" vertical="center" wrapText="1" indent="1"/>
      <protection/>
    </xf>
    <xf numFmtId="0" fontId="2" fillId="0" borderId="0" xfId="83" applyFont="1" applyAlignment="1">
      <alignment vertical="center" wrapText="1"/>
      <protection/>
    </xf>
    <xf numFmtId="3" fontId="2" fillId="10" borderId="52" xfId="83" applyNumberFormat="1" applyFont="1" applyFill="1" applyBorder="1" applyAlignment="1">
      <alignment horizontal="right" vertical="center" wrapText="1" indent="1"/>
      <protection/>
    </xf>
    <xf numFmtId="0" fontId="2" fillId="0" borderId="53" xfId="83" applyFont="1" applyBorder="1" applyAlignment="1">
      <alignment horizontal="center" vertical="center" wrapText="1"/>
      <protection/>
    </xf>
    <xf numFmtId="3" fontId="2" fillId="10" borderId="54" xfId="83" applyNumberFormat="1" applyFont="1" applyFill="1" applyBorder="1" applyAlignment="1">
      <alignment horizontal="right" vertical="center" wrapText="1" indent="1"/>
      <protection/>
    </xf>
    <xf numFmtId="0" fontId="2" fillId="0" borderId="0" xfId="83" applyFont="1" applyBorder="1" applyAlignment="1">
      <alignment horizontal="center" vertical="center" wrapText="1"/>
      <protection/>
    </xf>
    <xf numFmtId="0" fontId="1" fillId="0" borderId="0" xfId="83" applyFont="1" applyBorder="1" applyAlignment="1">
      <alignment horizontal="left" vertical="center" wrapText="1" indent="1"/>
      <protection/>
    </xf>
    <xf numFmtId="49" fontId="21" fillId="0" borderId="0" xfId="83" applyNumberFormat="1" applyFont="1">
      <alignment/>
      <protection/>
    </xf>
    <xf numFmtId="49" fontId="2" fillId="0" borderId="22" xfId="87" applyNumberFormat="1" applyFont="1" applyBorder="1" applyAlignment="1">
      <alignment horizontal="left" vertical="center" wrapText="1" indent="1"/>
      <protection/>
    </xf>
    <xf numFmtId="3" fontId="2" fillId="10" borderId="22" xfId="87" applyNumberFormat="1" applyFont="1" applyFill="1" applyBorder="1" applyAlignment="1">
      <alignment horizontal="center" vertical="center" wrapText="1"/>
      <protection/>
    </xf>
    <xf numFmtId="3" fontId="1" fillId="42" borderId="22" xfId="87" applyNumberFormat="1" applyFont="1" applyFill="1" applyBorder="1" applyAlignment="1">
      <alignment horizontal="center" vertical="center" wrapText="1"/>
      <protection/>
    </xf>
    <xf numFmtId="3" fontId="1" fillId="42" borderId="23" xfId="87" applyNumberFormat="1" applyFont="1" applyFill="1" applyBorder="1" applyAlignment="1">
      <alignment horizontal="center" vertical="center" wrapText="1"/>
      <protection/>
    </xf>
    <xf numFmtId="49" fontId="91" fillId="0" borderId="22" xfId="0" applyNumberFormat="1" applyFont="1" applyFill="1" applyBorder="1" applyAlignment="1">
      <alignment horizontal="left" vertical="top" wrapText="1" indent="1"/>
    </xf>
    <xf numFmtId="0" fontId="8" fillId="0" borderId="24" xfId="0" applyFont="1" applyBorder="1" applyAlignment="1">
      <alignment horizontal="center" vertical="center"/>
    </xf>
    <xf numFmtId="49" fontId="111" fillId="0" borderId="22" xfId="0" applyNumberFormat="1" applyFont="1" applyFill="1" applyBorder="1" applyAlignment="1">
      <alignment horizontal="left" vertical="top" wrapText="1" indent="1"/>
    </xf>
    <xf numFmtId="49" fontId="101" fillId="0" borderId="22" xfId="0" applyNumberFormat="1" applyFont="1" applyFill="1" applyBorder="1" applyAlignment="1">
      <alignment horizontal="left" vertical="top" wrapText="1" indent="1"/>
    </xf>
    <xf numFmtId="49" fontId="91" fillId="0" borderId="22" xfId="0" applyNumberFormat="1" applyFont="1" applyFill="1" applyBorder="1" applyAlignment="1">
      <alignment horizontal="left" wrapText="1" indent="1"/>
    </xf>
    <xf numFmtId="49" fontId="101" fillId="0" borderId="22" xfId="0" applyNumberFormat="1" applyFont="1" applyFill="1" applyBorder="1" applyAlignment="1">
      <alignment horizontal="left" vertical="top" wrapText="1"/>
    </xf>
    <xf numFmtId="49" fontId="91" fillId="0" borderId="22" xfId="0" applyNumberFormat="1" applyFont="1" applyFill="1" applyBorder="1" applyAlignment="1">
      <alignment horizontal="left" vertical="center" wrapText="1" indent="1"/>
    </xf>
    <xf numFmtId="49" fontId="91" fillId="0" borderId="22" xfId="0" applyNumberFormat="1" applyFont="1" applyFill="1" applyBorder="1" applyAlignment="1">
      <alignment horizontal="left" vertical="center" wrapText="1"/>
    </xf>
    <xf numFmtId="49" fontId="91" fillId="63" borderId="22" xfId="0" applyNumberFormat="1" applyFont="1" applyFill="1" applyBorder="1" applyAlignment="1">
      <alignment horizontal="left" vertical="top" wrapText="1" indent="1"/>
    </xf>
    <xf numFmtId="49" fontId="101" fillId="0" borderId="26" xfId="0" applyNumberFormat="1" applyFont="1" applyFill="1" applyBorder="1" applyAlignment="1">
      <alignment horizontal="left" vertical="top" wrapText="1" indent="1"/>
    </xf>
    <xf numFmtId="49" fontId="91" fillId="0" borderId="22" xfId="0" applyNumberFormat="1" applyFont="1" applyFill="1" applyBorder="1" applyAlignment="1">
      <alignment horizontal="left" vertical="center" wrapText="1" indent="1"/>
    </xf>
    <xf numFmtId="0" fontId="91" fillId="0" borderId="22" xfId="86" applyFont="1" applyBorder="1" applyAlignment="1" applyProtection="1">
      <alignment wrapText="1"/>
      <protection/>
    </xf>
    <xf numFmtId="0" fontId="101" fillId="0" borderId="22" xfId="86" applyFont="1" applyBorder="1" applyAlignment="1" applyProtection="1">
      <alignment wrapText="1"/>
      <protection/>
    </xf>
    <xf numFmtId="0" fontId="91" fillId="0" borderId="22" xfId="86" applyFont="1" applyBorder="1" applyAlignment="1" applyProtection="1">
      <alignment vertical="center" wrapText="1"/>
      <protection/>
    </xf>
    <xf numFmtId="0" fontId="91" fillId="0" borderId="26" xfId="86" applyFont="1" applyBorder="1" applyAlignment="1" applyProtection="1">
      <alignment wrapText="1"/>
      <protection/>
    </xf>
    <xf numFmtId="0" fontId="101" fillId="0" borderId="22" xfId="86" applyFont="1" applyBorder="1" applyAlignment="1">
      <alignment vertical="center" wrapText="1"/>
      <protection/>
    </xf>
    <xf numFmtId="0" fontId="91" fillId="0" borderId="22" xfId="86" applyFont="1" applyBorder="1" applyAlignment="1">
      <alignment vertical="center" wrapText="1"/>
      <protection/>
    </xf>
    <xf numFmtId="0" fontId="102" fillId="0" borderId="43" xfId="83" applyFont="1" applyBorder="1" applyAlignment="1">
      <alignment horizontal="center" vertical="center" wrapText="1"/>
      <protection/>
    </xf>
    <xf numFmtId="0" fontId="2" fillId="0" borderId="31" xfId="83" applyFont="1" applyBorder="1" applyAlignment="1">
      <alignment horizontal="center" vertical="center" wrapText="1"/>
      <protection/>
    </xf>
    <xf numFmtId="3" fontId="1" fillId="42" borderId="52" xfId="83" applyNumberFormat="1" applyFont="1" applyFill="1" applyBorder="1" applyAlignment="1">
      <alignment horizontal="right" vertical="center" wrapText="1" indent="1"/>
      <protection/>
    </xf>
    <xf numFmtId="0" fontId="1" fillId="0" borderId="25" xfId="83" applyFont="1" applyBorder="1" applyAlignment="1">
      <alignment horizontal="center" vertical="center" wrapText="1"/>
      <protection/>
    </xf>
    <xf numFmtId="0" fontId="1" fillId="0" borderId="27" xfId="0" applyFont="1" applyBorder="1" applyAlignment="1">
      <alignment horizontal="center" vertical="center" wrapText="1"/>
    </xf>
    <xf numFmtId="0" fontId="102" fillId="0" borderId="31" xfId="83" applyFont="1" applyBorder="1" applyAlignment="1">
      <alignment horizontal="center" vertical="center" wrapText="1"/>
      <protection/>
    </xf>
    <xf numFmtId="0" fontId="2" fillId="0" borderId="55" xfId="0" applyFont="1" applyBorder="1" applyAlignment="1">
      <alignment horizontal="center" vertical="center" wrapText="1"/>
    </xf>
    <xf numFmtId="3" fontId="2" fillId="10" borderId="31" xfId="83" applyNumberFormat="1" applyFont="1" applyFill="1" applyBorder="1" applyAlignment="1">
      <alignment horizontal="right" vertical="center" wrapText="1" indent="1"/>
      <protection/>
    </xf>
    <xf numFmtId="3" fontId="2" fillId="10" borderId="53" xfId="83" applyNumberFormat="1" applyFont="1" applyFill="1" applyBorder="1" applyAlignment="1">
      <alignment horizontal="right" vertical="center" wrapText="1" indent="1"/>
      <protection/>
    </xf>
    <xf numFmtId="49" fontId="1" fillId="0" borderId="29" xfId="83" applyNumberFormat="1" applyFont="1" applyBorder="1" applyAlignment="1">
      <alignment horizontal="center" vertical="center" wrapText="1"/>
      <protection/>
    </xf>
    <xf numFmtId="49" fontId="1" fillId="0" borderId="56" xfId="83" applyNumberFormat="1" applyFont="1" applyBorder="1" applyAlignment="1">
      <alignment horizontal="center" vertical="center" wrapText="1"/>
      <protection/>
    </xf>
    <xf numFmtId="0" fontId="1" fillId="0" borderId="42" xfId="83" applyFont="1" applyBorder="1" applyAlignment="1">
      <alignment horizontal="left" vertical="center" wrapText="1" indent="1"/>
      <protection/>
    </xf>
    <xf numFmtId="0" fontId="1" fillId="0" borderId="29" xfId="83" applyFont="1" applyBorder="1" applyAlignment="1">
      <alignment horizontal="left" vertical="center" wrapText="1" indent="1"/>
      <protection/>
    </xf>
    <xf numFmtId="0" fontId="1" fillId="0" borderId="57" xfId="83" applyFont="1" applyBorder="1" applyAlignment="1">
      <alignment horizontal="left" vertical="center" wrapText="1" indent="1"/>
      <protection/>
    </xf>
    <xf numFmtId="0" fontId="1" fillId="0" borderId="45" xfId="83" applyFont="1" applyBorder="1" applyAlignment="1">
      <alignment horizontal="center" vertical="center" wrapText="1"/>
      <protection/>
    </xf>
    <xf numFmtId="0" fontId="1" fillId="0" borderId="58" xfId="83" applyFont="1" applyBorder="1" applyAlignment="1">
      <alignment horizontal="center" vertical="center" wrapText="1"/>
      <protection/>
    </xf>
    <xf numFmtId="0" fontId="1" fillId="0" borderId="59" xfId="83" applyFont="1" applyBorder="1" applyAlignment="1">
      <alignment horizontal="center" vertical="center" wrapText="1"/>
      <protection/>
    </xf>
    <xf numFmtId="3" fontId="2" fillId="10" borderId="46" xfId="83" applyNumberFormat="1" applyFont="1" applyFill="1" applyBorder="1" applyAlignment="1">
      <alignment horizontal="right" vertical="center" wrapText="1" indent="1"/>
      <protection/>
    </xf>
    <xf numFmtId="3" fontId="1" fillId="42" borderId="58" xfId="83" applyNumberFormat="1" applyFont="1" applyFill="1" applyBorder="1" applyAlignment="1">
      <alignment horizontal="right" vertical="center" wrapText="1" indent="1"/>
      <protection/>
    </xf>
    <xf numFmtId="3" fontId="2" fillId="10" borderId="59" xfId="83" applyNumberFormat="1" applyFont="1" applyFill="1" applyBorder="1" applyAlignment="1">
      <alignment horizontal="right" vertical="center" wrapText="1" indent="1"/>
      <protection/>
    </xf>
    <xf numFmtId="0" fontId="112" fillId="0" borderId="40" xfId="0" applyFont="1" applyBorder="1" applyAlignment="1">
      <alignment vertical="center"/>
    </xf>
    <xf numFmtId="0" fontId="112" fillId="0" borderId="60" xfId="0" applyFont="1" applyBorder="1" applyAlignment="1">
      <alignment vertical="center"/>
    </xf>
    <xf numFmtId="0" fontId="112" fillId="0" borderId="61" xfId="0" applyFont="1" applyBorder="1" applyAlignment="1">
      <alignment vertical="center"/>
    </xf>
    <xf numFmtId="0" fontId="112" fillId="0" borderId="0" xfId="0" applyFont="1" applyBorder="1" applyAlignment="1">
      <alignment vertical="center"/>
    </xf>
    <xf numFmtId="0" fontId="2" fillId="0" borderId="28" xfId="86" applyFont="1" applyBorder="1" applyAlignment="1">
      <alignment wrapText="1"/>
      <protection/>
    </xf>
    <xf numFmtId="0" fontId="101" fillId="64" borderId="56" xfId="85" applyFont="1" applyFill="1" applyBorder="1" applyAlignment="1">
      <alignment horizontal="center" vertical="center" wrapText="1"/>
      <protection/>
    </xf>
    <xf numFmtId="49" fontId="102" fillId="0" borderId="22" xfId="0" applyNumberFormat="1" applyFont="1" applyFill="1" applyBorder="1" applyAlignment="1">
      <alignment horizontal="left" vertical="top" wrapText="1" indent="1"/>
    </xf>
    <xf numFmtId="0" fontId="1" fillId="0" borderId="29" xfId="0" applyFont="1" applyFill="1" applyBorder="1" applyAlignment="1">
      <alignment horizontal="center" vertical="center" wrapText="1"/>
    </xf>
    <xf numFmtId="0" fontId="1" fillId="0" borderId="43" xfId="0" applyFont="1" applyBorder="1" applyAlignment="1">
      <alignment horizontal="center" vertical="center" wrapText="1"/>
    </xf>
    <xf numFmtId="3" fontId="2" fillId="10" borderId="43" xfId="0" applyNumberFormat="1" applyFont="1" applyFill="1" applyBorder="1" applyAlignment="1">
      <alignment horizontal="right" vertical="center" wrapText="1" indent="1"/>
    </xf>
    <xf numFmtId="3" fontId="2" fillId="10" borderId="43" xfId="0" applyNumberFormat="1" applyFont="1" applyFill="1" applyBorder="1" applyAlignment="1">
      <alignment horizontal="right" vertical="center" wrapText="1" indent="1"/>
    </xf>
    <xf numFmtId="3" fontId="1" fillId="10" borderId="62" xfId="0" applyNumberFormat="1" applyFont="1" applyFill="1" applyBorder="1" applyAlignment="1">
      <alignment horizontal="right" vertical="center" wrapText="1" indent="1"/>
    </xf>
    <xf numFmtId="49" fontId="102" fillId="0" borderId="22" xfId="0" applyNumberFormat="1" applyFont="1" applyBorder="1" applyAlignment="1">
      <alignment horizontal="left" vertical="center" wrapText="1" indent="1"/>
    </xf>
    <xf numFmtId="0" fontId="113" fillId="0" borderId="63" xfId="0" applyFont="1" applyBorder="1" applyAlignment="1">
      <alignment horizontal="center" vertical="center" wrapText="1"/>
    </xf>
    <xf numFmtId="49" fontId="101" fillId="0" borderId="22" xfId="0" applyNumberFormat="1" applyFont="1" applyFill="1" applyBorder="1" applyAlignment="1">
      <alignment horizontal="left" vertical="center" wrapText="1" indent="1"/>
    </xf>
    <xf numFmtId="49" fontId="102" fillId="0" borderId="22" xfId="0" applyNumberFormat="1" applyFont="1" applyFill="1" applyBorder="1" applyAlignment="1">
      <alignment horizontal="left" vertical="center" wrapText="1" indent="1"/>
    </xf>
    <xf numFmtId="0" fontId="91" fillId="0" borderId="0" xfId="0" applyFont="1" applyFill="1" applyBorder="1" applyAlignment="1">
      <alignment horizontal="left" vertical="center" wrapText="1" indent="1"/>
    </xf>
    <xf numFmtId="49" fontId="101" fillId="0" borderId="22" xfId="0" applyNumberFormat="1" applyFont="1" applyFill="1" applyBorder="1" applyAlignment="1">
      <alignment horizontal="left" vertical="center" indent="1"/>
    </xf>
    <xf numFmtId="49" fontId="101" fillId="61" borderId="22" xfId="0" applyNumberFormat="1" applyFont="1" applyFill="1" applyBorder="1" applyAlignment="1">
      <alignment horizontal="left" vertical="center" indent="1"/>
    </xf>
    <xf numFmtId="49" fontId="2" fillId="0" borderId="28" xfId="0" applyNumberFormat="1" applyFont="1" applyFill="1" applyBorder="1" applyAlignment="1">
      <alignment horizontal="left" vertical="center" wrapText="1" indent="1"/>
    </xf>
    <xf numFmtId="0" fontId="0" fillId="0" borderId="0" xfId="0" applyFont="1" applyAlignment="1">
      <alignment/>
    </xf>
    <xf numFmtId="49" fontId="2" fillId="65" borderId="22" xfId="0" applyNumberFormat="1" applyFont="1" applyFill="1" applyBorder="1" applyAlignment="1">
      <alignment horizontal="left" vertical="center" wrapText="1" indent="1"/>
    </xf>
    <xf numFmtId="49" fontId="102" fillId="0" borderId="0" xfId="0" applyNumberFormat="1" applyFont="1" applyAlignment="1">
      <alignment horizontal="left" vertical="center"/>
    </xf>
    <xf numFmtId="0" fontId="102" fillId="0" borderId="25" xfId="0" applyFont="1" applyBorder="1" applyAlignment="1">
      <alignment horizontal="center" vertical="center"/>
    </xf>
    <xf numFmtId="49" fontId="102" fillId="0" borderId="0" xfId="0" applyNumberFormat="1" applyFont="1" applyAlignment="1">
      <alignment horizontal="left" vertical="center" wrapText="1"/>
    </xf>
    <xf numFmtId="3" fontId="2" fillId="10" borderId="22" xfId="0" applyNumberFormat="1" applyFont="1" applyFill="1" applyBorder="1" applyAlignment="1">
      <alignment horizontal="center" vertical="center" wrapText="1"/>
    </xf>
    <xf numFmtId="0" fontId="71" fillId="66" borderId="64" xfId="0" applyFont="1" applyFill="1" applyBorder="1" applyAlignment="1">
      <alignment horizontal="left" vertical="center" wrapText="1"/>
    </xf>
    <xf numFmtId="4" fontId="2" fillId="0" borderId="0" xfId="0" applyNumberFormat="1" applyFont="1" applyAlignment="1">
      <alignment/>
    </xf>
    <xf numFmtId="4" fontId="1" fillId="10" borderId="22" xfId="0" applyNumberFormat="1" applyFont="1" applyFill="1" applyBorder="1" applyAlignment="1">
      <alignment horizontal="right" vertical="center" wrapText="1" indent="1"/>
    </xf>
    <xf numFmtId="4" fontId="1" fillId="10" borderId="23" xfId="0" applyNumberFormat="1" applyFont="1" applyFill="1" applyBorder="1" applyAlignment="1">
      <alignment horizontal="right" vertical="center" wrapText="1" indent="1"/>
    </xf>
    <xf numFmtId="4" fontId="2" fillId="10" borderId="22" xfId="0" applyNumberFormat="1" applyFont="1" applyFill="1" applyBorder="1" applyAlignment="1">
      <alignment horizontal="right" vertical="center" wrapText="1" indent="1"/>
    </xf>
    <xf numFmtId="4" fontId="2" fillId="10" borderId="23" xfId="0" applyNumberFormat="1" applyFont="1" applyFill="1" applyBorder="1" applyAlignment="1">
      <alignment horizontal="right" vertical="center" wrapText="1" indent="1"/>
    </xf>
    <xf numFmtId="3" fontId="2" fillId="0" borderId="0" xfId="91" applyNumberFormat="1" applyFont="1" applyFill="1" applyBorder="1" applyAlignment="1">
      <alignment vertical="center" wrapText="1"/>
      <protection/>
    </xf>
    <xf numFmtId="4" fontId="1" fillId="42" borderId="23" xfId="0" applyNumberFormat="1" applyFont="1" applyFill="1" applyBorder="1" applyAlignment="1">
      <alignment horizontal="right" vertical="center" wrapText="1" indent="1"/>
    </xf>
    <xf numFmtId="4" fontId="1" fillId="42" borderId="27" xfId="0" applyNumberFormat="1" applyFont="1" applyFill="1" applyBorder="1" applyAlignment="1">
      <alignment horizontal="right" vertical="center" wrapText="1" indent="1"/>
    </xf>
    <xf numFmtId="171" fontId="1" fillId="42" borderId="22" xfId="59" applyNumberFormat="1" applyFont="1" applyFill="1" applyBorder="1" applyAlignment="1">
      <alignment horizontal="right" vertical="center" wrapText="1" indent="1"/>
    </xf>
    <xf numFmtId="171" fontId="1" fillId="42" borderId="29" xfId="59" applyNumberFormat="1" applyFont="1" applyFill="1" applyBorder="1" applyAlignment="1">
      <alignment horizontal="right" vertical="center" wrapText="1" indent="1"/>
    </xf>
    <xf numFmtId="171" fontId="1" fillId="42" borderId="58" xfId="59" applyNumberFormat="1" applyFont="1" applyFill="1" applyBorder="1" applyAlignment="1">
      <alignment horizontal="right" vertical="center" wrapText="1" indent="1"/>
    </xf>
    <xf numFmtId="171" fontId="2" fillId="10" borderId="22" xfId="59" applyNumberFormat="1" applyFont="1" applyFill="1" applyBorder="1" applyAlignment="1">
      <alignment horizontal="right" vertical="center" wrapText="1" indent="1"/>
    </xf>
    <xf numFmtId="171" fontId="1" fillId="42" borderId="22" xfId="0" applyNumberFormat="1" applyFont="1" applyFill="1" applyBorder="1" applyAlignment="1">
      <alignment horizontal="right" vertical="center" wrapText="1" indent="1"/>
    </xf>
    <xf numFmtId="171" fontId="1" fillId="42" borderId="29" xfId="0" applyNumberFormat="1" applyFont="1" applyFill="1" applyBorder="1" applyAlignment="1">
      <alignment horizontal="right" vertical="center" wrapText="1" indent="1"/>
    </xf>
    <xf numFmtId="171" fontId="1" fillId="42" borderId="58" xfId="0" applyNumberFormat="1" applyFont="1" applyFill="1" applyBorder="1" applyAlignment="1">
      <alignment horizontal="right" vertical="center" wrapText="1" indent="1"/>
    </xf>
    <xf numFmtId="171" fontId="2" fillId="61" borderId="22" xfId="59" applyNumberFormat="1" applyFont="1" applyFill="1" applyBorder="1" applyAlignment="1">
      <alignment horizontal="right" vertical="center" wrapText="1" indent="1"/>
    </xf>
    <xf numFmtId="171" fontId="1" fillId="61" borderId="22" xfId="0" applyNumberFormat="1" applyFont="1" applyFill="1" applyBorder="1" applyAlignment="1">
      <alignment horizontal="right" vertical="center" wrapText="1" indent="1"/>
    </xf>
    <xf numFmtId="171" fontId="1" fillId="61" borderId="29" xfId="0" applyNumberFormat="1" applyFont="1" applyFill="1" applyBorder="1" applyAlignment="1">
      <alignment horizontal="right" vertical="center" wrapText="1" indent="1"/>
    </xf>
    <xf numFmtId="171" fontId="1" fillId="42" borderId="26" xfId="0" applyNumberFormat="1" applyFont="1" applyFill="1" applyBorder="1" applyAlignment="1">
      <alignment horizontal="right" vertical="center" wrapText="1" indent="1"/>
    </xf>
    <xf numFmtId="171" fontId="1" fillId="42" borderId="56" xfId="0" applyNumberFormat="1" applyFont="1" applyFill="1" applyBorder="1" applyAlignment="1">
      <alignment horizontal="right" vertical="center" wrapText="1" indent="1"/>
    </xf>
    <xf numFmtId="171" fontId="1" fillId="42" borderId="59" xfId="0" applyNumberFormat="1" applyFont="1" applyFill="1" applyBorder="1" applyAlignment="1">
      <alignment horizontal="right" vertical="center" wrapText="1" indent="1"/>
    </xf>
    <xf numFmtId="4" fontId="1" fillId="42" borderId="29" xfId="0" applyNumberFormat="1" applyFont="1" applyFill="1" applyBorder="1" applyAlignment="1">
      <alignment horizontal="right" vertical="center" wrapText="1" indent="1"/>
    </xf>
    <xf numFmtId="4" fontId="2" fillId="10" borderId="22" xfId="59" applyNumberFormat="1" applyFont="1" applyFill="1" applyBorder="1" applyAlignment="1">
      <alignment horizontal="right" vertical="center" wrapText="1" indent="1"/>
    </xf>
    <xf numFmtId="4" fontId="2" fillId="61" borderId="22" xfId="59" applyNumberFormat="1" applyFont="1" applyFill="1" applyBorder="1" applyAlignment="1">
      <alignment horizontal="right" vertical="center" wrapText="1" indent="1"/>
    </xf>
    <xf numFmtId="4" fontId="1" fillId="61" borderId="22" xfId="0" applyNumberFormat="1" applyFont="1" applyFill="1" applyBorder="1" applyAlignment="1">
      <alignment horizontal="right" vertical="center" wrapText="1" indent="1"/>
    </xf>
    <xf numFmtId="4" fontId="1" fillId="61" borderId="29" xfId="0" applyNumberFormat="1" applyFont="1" applyFill="1" applyBorder="1" applyAlignment="1">
      <alignment horizontal="right" vertical="center" wrapText="1" indent="1"/>
    </xf>
    <xf numFmtId="4" fontId="1" fillId="42" borderId="56" xfId="0" applyNumberFormat="1" applyFont="1" applyFill="1" applyBorder="1" applyAlignment="1">
      <alignment horizontal="right" vertical="center" wrapText="1" indent="1"/>
    </xf>
    <xf numFmtId="49" fontId="2" fillId="0" borderId="65" xfId="0" applyNumberFormat="1" applyFont="1" applyBorder="1" applyAlignment="1">
      <alignment horizontal="left" vertical="center" wrapText="1"/>
    </xf>
    <xf numFmtId="4" fontId="1" fillId="0" borderId="22" xfId="0" applyNumberFormat="1" applyFont="1" applyBorder="1" applyAlignment="1">
      <alignment horizontal="center" vertical="center" wrapText="1"/>
    </xf>
    <xf numFmtId="4" fontId="2" fillId="0" borderId="22" xfId="0" applyNumberFormat="1" applyFont="1" applyFill="1" applyBorder="1" applyAlignment="1">
      <alignment horizontal="center" vertical="center" wrapText="1"/>
    </xf>
    <xf numFmtId="4" fontId="2" fillId="0" borderId="0" xfId="0" applyNumberFormat="1" applyFont="1" applyAlignment="1">
      <alignment vertical="center"/>
    </xf>
    <xf numFmtId="49" fontId="2" fillId="0" borderId="29" xfId="0" applyNumberFormat="1" applyFont="1" applyBorder="1" applyAlignment="1">
      <alignment horizontal="left"/>
    </xf>
    <xf numFmtId="49" fontId="2" fillId="0" borderId="65" xfId="0" applyNumberFormat="1" applyFont="1" applyBorder="1" applyAlignment="1">
      <alignment horizontal="left"/>
    </xf>
    <xf numFmtId="49" fontId="2" fillId="0" borderId="36" xfId="0" applyNumberFormat="1" applyFont="1" applyBorder="1" applyAlignment="1">
      <alignment horizontal="left"/>
    </xf>
    <xf numFmtId="4" fontId="2" fillId="0" borderId="0" xfId="91" applyNumberFormat="1" applyFont="1" applyBorder="1" applyAlignment="1">
      <alignment vertical="center" wrapText="1"/>
      <protection/>
    </xf>
    <xf numFmtId="3" fontId="2" fillId="0" borderId="0" xfId="0" applyNumberFormat="1" applyFont="1" applyAlignment="1">
      <alignment/>
    </xf>
    <xf numFmtId="4" fontId="2" fillId="10" borderId="29" xfId="0" applyNumberFormat="1" applyFont="1" applyFill="1" applyBorder="1" applyAlignment="1">
      <alignment horizontal="right" vertical="center" wrapText="1" indent="1"/>
    </xf>
    <xf numFmtId="4" fontId="2" fillId="42" borderId="22" xfId="0" applyNumberFormat="1" applyFont="1" applyFill="1" applyBorder="1" applyAlignment="1">
      <alignment horizontal="right" vertical="center" wrapText="1" indent="1"/>
    </xf>
    <xf numFmtId="0" fontId="101" fillId="0" borderId="0" xfId="85" applyFont="1">
      <alignment/>
      <protection/>
    </xf>
    <xf numFmtId="3" fontId="1" fillId="42" borderId="39" xfId="0" applyNumberFormat="1" applyFont="1" applyFill="1" applyBorder="1" applyAlignment="1">
      <alignment horizontal="right" vertical="center" wrapText="1" indent="1"/>
    </xf>
    <xf numFmtId="3" fontId="2" fillId="62" borderId="22" xfId="90" applyNumberFormat="1" applyFont="1" applyFill="1" applyBorder="1" applyAlignment="1">
      <alignment horizontal="right" vertical="center" wrapText="1" indent="1"/>
      <protection/>
    </xf>
    <xf numFmtId="3" fontId="2" fillId="10" borderId="23" xfId="90" applyNumberFormat="1" applyFont="1" applyFill="1" applyBorder="1" applyAlignment="1">
      <alignment horizontal="right" vertical="center" wrapText="1" indent="1"/>
      <protection/>
    </xf>
    <xf numFmtId="3" fontId="2" fillId="10" borderId="26" xfId="90" applyNumberFormat="1" applyFont="1" applyFill="1" applyBorder="1" applyAlignment="1">
      <alignment horizontal="right" vertical="center" wrapText="1" indent="1"/>
      <protection/>
    </xf>
    <xf numFmtId="3" fontId="2" fillId="10" borderId="27" xfId="90" applyNumberFormat="1" applyFont="1" applyFill="1" applyBorder="1" applyAlignment="1">
      <alignment horizontal="right" vertical="center" wrapText="1" indent="1"/>
      <protection/>
    </xf>
    <xf numFmtId="3" fontId="1" fillId="10" borderId="22" xfId="86" applyNumberFormat="1" applyFont="1" applyFill="1" applyBorder="1" applyAlignment="1">
      <alignment/>
      <protection/>
    </xf>
    <xf numFmtId="3" fontId="1" fillId="10" borderId="36" xfId="86" applyNumberFormat="1" applyFont="1" applyFill="1" applyBorder="1" applyAlignment="1">
      <alignment/>
      <protection/>
    </xf>
    <xf numFmtId="3" fontId="1" fillId="10" borderId="43" xfId="86" applyNumberFormat="1" applyFont="1" applyFill="1" applyBorder="1" applyAlignment="1">
      <alignment/>
      <protection/>
    </xf>
    <xf numFmtId="3" fontId="1" fillId="10" borderId="26" xfId="86" applyNumberFormat="1" applyFont="1" applyFill="1" applyBorder="1" applyAlignment="1">
      <alignment/>
      <protection/>
    </xf>
    <xf numFmtId="3" fontId="1" fillId="10" borderId="66" xfId="86" applyNumberFormat="1" applyFont="1" applyFill="1" applyBorder="1" applyAlignment="1">
      <alignment/>
      <protection/>
    </xf>
    <xf numFmtId="3" fontId="1" fillId="10" borderId="62" xfId="86" applyNumberFormat="1" applyFont="1" applyFill="1" applyBorder="1" applyAlignment="1">
      <alignment/>
      <protection/>
    </xf>
    <xf numFmtId="3" fontId="1" fillId="10" borderId="47" xfId="86" applyNumberFormat="1" applyFont="1" applyFill="1" applyBorder="1" applyAlignment="1">
      <alignment/>
      <protection/>
    </xf>
    <xf numFmtId="3" fontId="1" fillId="10" borderId="67" xfId="86" applyNumberFormat="1" applyFont="1" applyFill="1" applyBorder="1" applyAlignment="1">
      <alignment/>
      <protection/>
    </xf>
    <xf numFmtId="3" fontId="1" fillId="10" borderId="68" xfId="86" applyNumberFormat="1" applyFont="1" applyFill="1" applyBorder="1" applyAlignment="1">
      <alignment/>
      <protection/>
    </xf>
    <xf numFmtId="3" fontId="1" fillId="42" borderId="47" xfId="0" applyNumberFormat="1" applyFont="1" applyFill="1" applyBorder="1" applyAlignment="1">
      <alignment horizontal="right" vertical="center" wrapText="1" indent="1"/>
    </xf>
    <xf numFmtId="3" fontId="1" fillId="42" borderId="49" xfId="0" applyNumberFormat="1" applyFont="1" applyFill="1" applyBorder="1" applyAlignment="1">
      <alignment horizontal="right" vertical="center" wrapText="1" indent="1"/>
    </xf>
    <xf numFmtId="3" fontId="2" fillId="10" borderId="39" xfId="0" applyNumberFormat="1" applyFont="1" applyFill="1" applyBorder="1" applyAlignment="1">
      <alignment horizontal="right" vertical="center" wrapText="1" indent="1"/>
    </xf>
    <xf numFmtId="3" fontId="2" fillId="10" borderId="38" xfId="0" applyNumberFormat="1" applyFont="1" applyFill="1" applyBorder="1" applyAlignment="1">
      <alignment horizontal="right" vertical="center" wrapText="1" indent="1"/>
    </xf>
    <xf numFmtId="3" fontId="1" fillId="10" borderId="22" xfId="62" applyNumberFormat="1" applyFont="1" applyFill="1" applyBorder="1" applyAlignment="1">
      <alignment horizontal="right"/>
    </xf>
    <xf numFmtId="3" fontId="1" fillId="10" borderId="23" xfId="62" applyNumberFormat="1" applyFont="1" applyFill="1" applyBorder="1" applyAlignment="1">
      <alignment horizontal="right"/>
    </xf>
    <xf numFmtId="3" fontId="2" fillId="10" borderId="26" xfId="0" applyNumberFormat="1" applyFont="1" applyFill="1" applyBorder="1" applyAlignment="1">
      <alignment horizontal="right" vertical="center" wrapText="1" indent="1"/>
    </xf>
    <xf numFmtId="3" fontId="1" fillId="42" borderId="26" xfId="91" applyNumberFormat="1" applyFont="1" applyFill="1" applyBorder="1" applyAlignment="1">
      <alignment horizontal="right" vertical="center" wrapText="1" indent="1"/>
      <protection/>
    </xf>
    <xf numFmtId="3" fontId="1" fillId="42" borderId="27" xfId="91" applyNumberFormat="1" applyFont="1" applyFill="1" applyBorder="1" applyAlignment="1">
      <alignment horizontal="right" vertical="center" wrapText="1" indent="1"/>
      <protection/>
    </xf>
    <xf numFmtId="3" fontId="43" fillId="67" borderId="22" xfId="0" applyNumberFormat="1" applyFont="1" applyFill="1" applyBorder="1" applyAlignment="1">
      <alignment vertical="center" wrapText="1"/>
    </xf>
    <xf numFmtId="3" fontId="43" fillId="68" borderId="22" xfId="0" applyNumberFormat="1" applyFont="1" applyFill="1" applyBorder="1" applyAlignment="1">
      <alignment vertical="center" wrapText="1"/>
    </xf>
    <xf numFmtId="3" fontId="43" fillId="10" borderId="22" xfId="0" applyNumberFormat="1" applyFont="1" applyFill="1" applyBorder="1" applyAlignment="1">
      <alignment vertical="center" wrapText="1"/>
    </xf>
    <xf numFmtId="3" fontId="43" fillId="68" borderId="23" xfId="0" applyNumberFormat="1" applyFont="1" applyFill="1" applyBorder="1" applyAlignment="1">
      <alignment vertical="center" wrapText="1"/>
    </xf>
    <xf numFmtId="3" fontId="43" fillId="42" borderId="22" xfId="0" applyNumberFormat="1" applyFont="1" applyFill="1" applyBorder="1" applyAlignment="1">
      <alignment vertical="center" wrapText="1"/>
    </xf>
    <xf numFmtId="3" fontId="73" fillId="66" borderId="69" xfId="88" applyNumberFormat="1" applyFont="1" applyFill="1" applyBorder="1" applyAlignment="1">
      <alignment horizontal="right" vertical="center"/>
      <protection/>
    </xf>
    <xf numFmtId="3" fontId="73" fillId="69" borderId="69" xfId="88" applyNumberFormat="1" applyFont="1" applyFill="1" applyBorder="1" applyAlignment="1">
      <alignment horizontal="center" vertical="center"/>
      <protection/>
    </xf>
    <xf numFmtId="3" fontId="18" fillId="67" borderId="26" xfId="0" applyNumberFormat="1" applyFont="1" applyFill="1" applyBorder="1" applyAlignment="1">
      <alignment vertical="center"/>
    </xf>
    <xf numFmtId="3" fontId="18" fillId="10" borderId="26" xfId="0" applyNumberFormat="1" applyFont="1" applyFill="1" applyBorder="1" applyAlignment="1">
      <alignment vertical="center"/>
    </xf>
    <xf numFmtId="3" fontId="43" fillId="68" borderId="26" xfId="0" applyNumberFormat="1" applyFont="1" applyFill="1" applyBorder="1" applyAlignment="1">
      <alignment vertical="center" wrapText="1"/>
    </xf>
    <xf numFmtId="3" fontId="43" fillId="68" borderId="27" xfId="0" applyNumberFormat="1" applyFont="1" applyFill="1" applyBorder="1" applyAlignment="1">
      <alignment vertical="center" wrapText="1"/>
    </xf>
    <xf numFmtId="3" fontId="1" fillId="42" borderId="22" xfId="83" applyNumberFormat="1" applyFont="1" applyFill="1" applyBorder="1" applyAlignment="1">
      <alignment horizontal="right" vertical="center" wrapText="1" indent="1"/>
      <protection/>
    </xf>
    <xf numFmtId="3" fontId="2" fillId="10" borderId="22" xfId="83" applyNumberFormat="1" applyFont="1" applyFill="1" applyBorder="1" applyAlignment="1">
      <alignment horizontal="right" vertical="center" wrapText="1" indent="1"/>
      <protection/>
    </xf>
    <xf numFmtId="3" fontId="2" fillId="10" borderId="43" xfId="83" applyNumberFormat="1" applyFont="1" applyFill="1" applyBorder="1" applyAlignment="1">
      <alignment horizontal="right" vertical="center" wrapText="1" indent="1"/>
      <protection/>
    </xf>
    <xf numFmtId="3" fontId="2" fillId="42" borderId="22" xfId="83" applyNumberFormat="1" applyFont="1" applyFill="1" applyBorder="1" applyAlignment="1">
      <alignment horizontal="right" vertical="center" wrapText="1" indent="1"/>
      <protection/>
    </xf>
    <xf numFmtId="3" fontId="2" fillId="42" borderId="43" xfId="83" applyNumberFormat="1" applyFont="1" applyFill="1" applyBorder="1" applyAlignment="1">
      <alignment horizontal="right" vertical="center" wrapText="1" indent="1"/>
      <protection/>
    </xf>
    <xf numFmtId="3" fontId="1" fillId="10" borderId="22" xfId="83" applyNumberFormat="1" applyFont="1" applyFill="1" applyBorder="1" applyAlignment="1">
      <alignment horizontal="right" vertical="center" wrapText="1" indent="1"/>
      <protection/>
    </xf>
    <xf numFmtId="3" fontId="1" fillId="10" borderId="43" xfId="83" applyNumberFormat="1" applyFont="1" applyFill="1" applyBorder="1" applyAlignment="1">
      <alignment horizontal="right" vertical="center" wrapText="1" indent="1"/>
      <protection/>
    </xf>
    <xf numFmtId="3" fontId="2" fillId="0" borderId="22" xfId="83" applyNumberFormat="1" applyFont="1" applyFill="1" applyBorder="1" applyAlignment="1">
      <alignment horizontal="right" vertical="center" wrapText="1" indent="1"/>
      <protection/>
    </xf>
    <xf numFmtId="3" fontId="2" fillId="0" borderId="43" xfId="83" applyNumberFormat="1" applyFont="1" applyFill="1" applyBorder="1" applyAlignment="1">
      <alignment horizontal="right" vertical="center" wrapText="1" indent="1"/>
      <protection/>
    </xf>
    <xf numFmtId="3" fontId="2" fillId="10" borderId="43" xfId="83" applyNumberFormat="1" applyFont="1" applyFill="1" applyBorder="1" applyAlignment="1">
      <alignment horizontal="right" vertical="center" wrapText="1" indent="1"/>
      <protection/>
    </xf>
    <xf numFmtId="3" fontId="1" fillId="42" borderId="26" xfId="83" applyNumberFormat="1" applyFont="1" applyFill="1" applyBorder="1" applyAlignment="1">
      <alignment horizontal="right" vertical="center" wrapText="1" indent="1"/>
      <protection/>
    </xf>
    <xf numFmtId="3" fontId="1" fillId="42" borderId="62" xfId="83" applyNumberFormat="1" applyFont="1" applyFill="1" applyBorder="1" applyAlignment="1">
      <alignment horizontal="right" vertical="center" wrapText="1" indent="1"/>
      <protection/>
    </xf>
    <xf numFmtId="3" fontId="2" fillId="0" borderId="22"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2" fillId="10" borderId="23" xfId="0" applyNumberFormat="1" applyFont="1" applyFill="1" applyBorder="1" applyAlignment="1">
      <alignment horizontal="right" vertical="center" wrapText="1" indent="1"/>
    </xf>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1" fillId="10" borderId="29" xfId="0" applyNumberFormat="1" applyFont="1" applyFill="1" applyBorder="1" applyAlignment="1">
      <alignment horizontal="right" vertical="center" wrapText="1" indent="1"/>
    </xf>
    <xf numFmtId="3" fontId="1" fillId="42" borderId="36" xfId="0" applyNumberFormat="1" applyFont="1" applyFill="1" applyBorder="1" applyAlignment="1">
      <alignment horizontal="right" vertical="center" wrapText="1" indent="1"/>
    </xf>
    <xf numFmtId="3" fontId="1" fillId="10" borderId="36" xfId="0" applyNumberFormat="1" applyFont="1" applyFill="1" applyBorder="1" applyAlignment="1">
      <alignment horizontal="right" vertical="center" wrapText="1" indent="1"/>
    </xf>
    <xf numFmtId="3" fontId="1" fillId="42" borderId="29" xfId="0" applyNumberFormat="1" applyFont="1" applyFill="1" applyBorder="1" applyAlignment="1">
      <alignment horizontal="right" vertical="center" wrapText="1" indent="1"/>
    </xf>
    <xf numFmtId="3" fontId="1" fillId="42" borderId="56" xfId="0" applyNumberFormat="1" applyFont="1" applyFill="1" applyBorder="1" applyAlignment="1">
      <alignment horizontal="right" vertical="center" wrapText="1" indent="1"/>
    </xf>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72" fillId="66" borderId="69" xfId="0" applyNumberFormat="1" applyFont="1" applyFill="1" applyBorder="1" applyAlignment="1">
      <alignment horizontal="right"/>
    </xf>
    <xf numFmtId="3" fontId="72" fillId="66" borderId="69" xfId="0" applyNumberFormat="1" applyFont="1" applyFill="1" applyBorder="1" applyAlignment="1">
      <alignment horizontal="right" vertical="center"/>
    </xf>
    <xf numFmtId="3" fontId="2" fillId="10" borderId="22" xfId="0" applyNumberFormat="1" applyFont="1" applyFill="1" applyBorder="1" applyAlignment="1">
      <alignment vertical="center"/>
    </xf>
    <xf numFmtId="3" fontId="1" fillId="64" borderId="26" xfId="0" applyNumberFormat="1" applyFont="1" applyFill="1" applyBorder="1" applyAlignment="1">
      <alignment horizontal="right" vertical="center" wrapText="1" indent="1"/>
    </xf>
    <xf numFmtId="3" fontId="2" fillId="0" borderId="0" xfId="0" applyNumberFormat="1" applyFont="1" applyFill="1" applyBorder="1" applyAlignment="1">
      <alignment/>
    </xf>
    <xf numFmtId="3" fontId="18" fillId="0" borderId="0" xfId="0" applyNumberFormat="1" applyFont="1" applyFill="1" applyBorder="1" applyAlignment="1">
      <alignment vertical="center"/>
    </xf>
    <xf numFmtId="1" fontId="1" fillId="64" borderId="22" xfId="0" applyNumberFormat="1" applyFont="1" applyFill="1" applyBorder="1" applyAlignment="1">
      <alignment horizontal="right" vertical="center" wrapText="1" indent="1"/>
    </xf>
    <xf numFmtId="3" fontId="2" fillId="64" borderId="31" xfId="83" applyNumberFormat="1" applyFont="1" applyFill="1" applyBorder="1" applyAlignment="1">
      <alignment horizontal="right" vertical="center" wrapText="1" indent="1"/>
      <protection/>
    </xf>
    <xf numFmtId="3" fontId="2" fillId="64" borderId="52" xfId="83" applyNumberFormat="1" applyFont="1" applyFill="1" applyBorder="1" applyAlignment="1">
      <alignment horizontal="right" vertical="center" wrapText="1" indent="1"/>
      <protection/>
    </xf>
    <xf numFmtId="3" fontId="91" fillId="0" borderId="0" xfId="85" applyNumberFormat="1">
      <alignment/>
      <protection/>
    </xf>
    <xf numFmtId="3" fontId="23" fillId="0" borderId="0" xfId="0" applyNumberFormat="1" applyFont="1" applyBorder="1" applyAlignment="1">
      <alignment horizontal="left" vertical="center"/>
    </xf>
    <xf numFmtId="4" fontId="102" fillId="0" borderId="0" xfId="0" applyNumberFormat="1" applyFont="1" applyBorder="1" applyAlignment="1">
      <alignment/>
    </xf>
    <xf numFmtId="4" fontId="2" fillId="0" borderId="22" xfId="0" applyNumberFormat="1" applyFont="1" applyFill="1" applyBorder="1" applyAlignment="1">
      <alignment horizontal="right" vertical="center" wrapText="1" indent="1"/>
    </xf>
    <xf numFmtId="4" fontId="102" fillId="0" borderId="0" xfId="91" applyNumberFormat="1" applyFont="1" applyBorder="1" applyAlignment="1">
      <alignment vertical="center" wrapText="1"/>
      <protection/>
    </xf>
    <xf numFmtId="3" fontId="2" fillId="0" borderId="0" xfId="91" applyNumberFormat="1" applyFont="1" applyBorder="1" applyAlignment="1">
      <alignment horizontal="right" vertical="center" wrapText="1"/>
      <protection/>
    </xf>
    <xf numFmtId="0" fontId="2" fillId="0" borderId="0" xfId="0" applyFont="1" applyAlignment="1">
      <alignment horizontal="right"/>
    </xf>
    <xf numFmtId="0" fontId="114" fillId="0" borderId="70" xfId="0" applyFont="1" applyBorder="1" applyAlignment="1">
      <alignment horizontal="center" vertical="center" wrapText="1"/>
    </xf>
    <xf numFmtId="4" fontId="1" fillId="2" borderId="58" xfId="0" applyNumberFormat="1" applyFont="1" applyFill="1" applyBorder="1" applyAlignment="1">
      <alignment horizontal="right" vertical="center" wrapText="1" indent="1"/>
    </xf>
    <xf numFmtId="0" fontId="113" fillId="0" borderId="21" xfId="0" applyFont="1" applyBorder="1" applyAlignment="1">
      <alignment horizontal="center" vertical="center" wrapText="1"/>
    </xf>
    <xf numFmtId="4" fontId="1" fillId="42" borderId="71" xfId="0" applyNumberFormat="1" applyFont="1" applyFill="1" applyBorder="1" applyAlignment="1">
      <alignment horizontal="right" vertical="center" wrapText="1" indent="1"/>
    </xf>
    <xf numFmtId="4" fontId="1" fillId="42" borderId="55" xfId="0" applyNumberFormat="1" applyFont="1" applyFill="1" applyBorder="1" applyAlignment="1">
      <alignment horizontal="right" vertical="center" wrapText="1" indent="1"/>
    </xf>
    <xf numFmtId="0" fontId="1" fillId="0" borderId="63" xfId="0" applyFont="1" applyBorder="1" applyAlignment="1">
      <alignment vertical="center" wrapText="1"/>
    </xf>
    <xf numFmtId="4" fontId="1" fillId="61" borderId="58" xfId="0" applyNumberFormat="1" applyFont="1" applyFill="1" applyBorder="1" applyAlignment="1">
      <alignment horizontal="right" vertical="center" wrapText="1" indent="1"/>
    </xf>
    <xf numFmtId="4" fontId="1" fillId="2" borderId="59" xfId="0" applyNumberFormat="1" applyFont="1" applyFill="1" applyBorder="1" applyAlignment="1">
      <alignment horizontal="right" vertical="center" wrapText="1" indent="1"/>
    </xf>
    <xf numFmtId="0" fontId="102" fillId="0" borderId="0" xfId="0" applyFont="1" applyAlignment="1">
      <alignment horizontal="center" vertical="center" wrapText="1"/>
    </xf>
    <xf numFmtId="0" fontId="2" fillId="65" borderId="22" xfId="85" applyFont="1" applyFill="1" applyBorder="1" applyAlignment="1">
      <alignment horizontal="left" vertical="center" wrapText="1" indent="1"/>
      <protection/>
    </xf>
    <xf numFmtId="0" fontId="3" fillId="0" borderId="72" xfId="0" applyFont="1" applyBorder="1" applyAlignment="1">
      <alignment horizontal="center" vertical="center" wrapText="1"/>
    </xf>
    <xf numFmtId="0" fontId="56" fillId="0" borderId="47" xfId="0" applyFont="1" applyBorder="1" applyAlignment="1">
      <alignment/>
    </xf>
    <xf numFmtId="0" fontId="56" fillId="0" borderId="49" xfId="0" applyFont="1" applyBorder="1" applyAlignment="1">
      <alignment/>
    </xf>
    <xf numFmtId="0" fontId="1" fillId="0" borderId="71" xfId="0" applyFont="1" applyBorder="1" applyAlignment="1">
      <alignment horizontal="left" vertical="center" wrapText="1"/>
    </xf>
    <xf numFmtId="0" fontId="1" fillId="0" borderId="65" xfId="0" applyFont="1" applyBorder="1" applyAlignment="1">
      <alignment horizontal="left" vertical="center" wrapText="1"/>
    </xf>
    <xf numFmtId="0" fontId="1" fillId="0" borderId="43" xfId="0" applyFont="1" applyBorder="1" applyAlignment="1">
      <alignment horizontal="left" vertical="center" wrapText="1"/>
    </xf>
    <xf numFmtId="0" fontId="2" fillId="0" borderId="73"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1" fillId="0" borderId="24"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49" fontId="102" fillId="0" borderId="40" xfId="0" applyNumberFormat="1" applyFont="1" applyBorder="1" applyAlignment="1">
      <alignment horizontal="left" wrapText="1"/>
    </xf>
    <xf numFmtId="49" fontId="102" fillId="0" borderId="60" xfId="0" applyNumberFormat="1" applyFont="1" applyBorder="1" applyAlignment="1">
      <alignment horizontal="left" wrapText="1"/>
    </xf>
    <xf numFmtId="49" fontId="102" fillId="0" borderId="74" xfId="0" applyNumberFormat="1" applyFont="1" applyBorder="1" applyAlignment="1">
      <alignment horizontal="left" wrapText="1"/>
    </xf>
    <xf numFmtId="49" fontId="2" fillId="0" borderId="42" xfId="0" applyNumberFormat="1" applyFont="1" applyBorder="1" applyAlignment="1">
      <alignment horizontal="left" wrapText="1"/>
    </xf>
    <xf numFmtId="49" fontId="2" fillId="0" borderId="48" xfId="0" applyNumberFormat="1" applyFont="1" applyBorder="1" applyAlignment="1">
      <alignment horizontal="left" wrapText="1"/>
    </xf>
    <xf numFmtId="49" fontId="2" fillId="0" borderId="35" xfId="0" applyNumberFormat="1" applyFont="1" applyBorder="1" applyAlignment="1">
      <alignment horizontal="left" wrapText="1"/>
    </xf>
    <xf numFmtId="0" fontId="3" fillId="0" borderId="72"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1" fillId="0" borderId="24" xfId="0" applyFont="1" applyBorder="1" applyAlignment="1">
      <alignment horizontal="center" vertical="center" wrapText="1"/>
    </xf>
    <xf numFmtId="49" fontId="1" fillId="0" borderId="22" xfId="0" applyNumberFormat="1" applyFont="1" applyBorder="1" applyAlignment="1">
      <alignment horizontal="left" vertical="center" wrapText="1" indent="1"/>
    </xf>
    <xf numFmtId="0" fontId="3" fillId="0" borderId="29" xfId="0" applyFont="1" applyBorder="1" applyAlignment="1">
      <alignment horizontal="center" vertical="center"/>
    </xf>
    <xf numFmtId="0" fontId="3" fillId="0" borderId="36" xfId="0" applyFont="1" applyBorder="1" applyAlignment="1">
      <alignment horizontal="center" vertical="center"/>
    </xf>
    <xf numFmtId="0" fontId="3" fillId="0" borderId="43" xfId="0" applyFont="1" applyBorder="1" applyAlignment="1">
      <alignment horizontal="center" vertical="center"/>
    </xf>
    <xf numFmtId="0" fontId="2" fillId="0" borderId="0" xfId="0" applyFont="1" applyAlignment="1">
      <alignment horizontal="left" vertical="center" wrapText="1"/>
    </xf>
    <xf numFmtId="49" fontId="2" fillId="0" borderId="29"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1" fillId="0" borderId="78" xfId="0" applyFont="1" applyBorder="1" applyAlignment="1">
      <alignment horizontal="left" vertical="center" wrapText="1"/>
    </xf>
    <xf numFmtId="0" fontId="1" fillId="0" borderId="79" xfId="0" applyFont="1" applyBorder="1" applyAlignment="1">
      <alignment horizontal="left" vertical="center" wrapText="1"/>
    </xf>
    <xf numFmtId="0" fontId="1" fillId="0" borderId="68" xfId="0" applyFont="1" applyBorder="1" applyAlignment="1">
      <alignment horizontal="left" vertical="center" wrapText="1"/>
    </xf>
    <xf numFmtId="49" fontId="1" fillId="0" borderId="28"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1" fillId="0" borderId="78" xfId="0" applyFont="1" applyBorder="1" applyAlignment="1">
      <alignment horizontal="left" vertical="center" wrapText="1" indent="1"/>
    </xf>
    <xf numFmtId="0" fontId="1" fillId="0" borderId="79" xfId="0" applyFont="1" applyBorder="1" applyAlignment="1">
      <alignment horizontal="left" vertical="center" wrapText="1" indent="1"/>
    </xf>
    <xf numFmtId="0" fontId="1" fillId="0" borderId="68" xfId="0" applyFont="1" applyBorder="1" applyAlignment="1">
      <alignment horizontal="left" vertical="center" wrapText="1" indent="1"/>
    </xf>
    <xf numFmtId="0" fontId="1" fillId="0" borderId="4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9" xfId="0" applyFont="1" applyBorder="1" applyAlignment="1">
      <alignment horizontal="center" vertical="center" wrapText="1"/>
    </xf>
    <xf numFmtId="0" fontId="1" fillId="63" borderId="39" xfId="0" applyFont="1" applyFill="1" applyBorder="1" applyAlignment="1">
      <alignment horizontal="center" vertical="center" wrapText="1"/>
    </xf>
    <xf numFmtId="0" fontId="1" fillId="63" borderId="22" xfId="0" applyFont="1" applyFill="1" applyBorder="1" applyAlignment="1">
      <alignment horizontal="center" vertical="center" wrapText="1"/>
    </xf>
    <xf numFmtId="49" fontId="102" fillId="0" borderId="29" xfId="0" applyNumberFormat="1" applyFont="1" applyBorder="1" applyAlignment="1">
      <alignment horizontal="left"/>
    </xf>
    <xf numFmtId="49" fontId="102" fillId="0" borderId="65" xfId="0" applyNumberFormat="1" applyFont="1" applyBorder="1" applyAlignment="1">
      <alignment horizontal="left"/>
    </xf>
    <xf numFmtId="49" fontId="102" fillId="0" borderId="36" xfId="0" applyNumberFormat="1" applyFont="1" applyBorder="1" applyAlignment="1">
      <alignment horizontal="left"/>
    </xf>
    <xf numFmtId="0" fontId="1" fillId="0" borderId="22" xfId="0" applyFont="1" applyBorder="1" applyAlignment="1">
      <alignment horizontal="center" vertical="center" wrapText="1"/>
    </xf>
    <xf numFmtId="49" fontId="1" fillId="0" borderId="22" xfId="0" applyNumberFormat="1" applyFont="1" applyBorder="1" applyAlignment="1">
      <alignment horizontal="center" vertical="center" wrapText="1"/>
    </xf>
    <xf numFmtId="0" fontId="1" fillId="0" borderId="31"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13" fillId="0" borderId="63" xfId="0" applyFont="1" applyBorder="1" applyAlignment="1">
      <alignment horizontal="center" vertical="center" wrapText="1"/>
    </xf>
    <xf numFmtId="0" fontId="113" fillId="0" borderId="46" xfId="0" applyFont="1" applyBorder="1" applyAlignment="1">
      <alignment horizontal="center" vertical="center" wrapText="1"/>
    </xf>
    <xf numFmtId="0" fontId="109" fillId="0" borderId="0" xfId="0" applyFont="1" applyAlignment="1">
      <alignment horizontal="left" vertical="center" wrapText="1"/>
    </xf>
    <xf numFmtId="0" fontId="113" fillId="0" borderId="21" xfId="0" applyFont="1" applyBorder="1" applyAlignment="1">
      <alignment horizontal="center" vertical="center" wrapText="1"/>
    </xf>
    <xf numFmtId="0" fontId="113" fillId="0" borderId="80" xfId="0" applyFont="1" applyBorder="1" applyAlignment="1">
      <alignment horizontal="center" vertical="center" wrapText="1"/>
    </xf>
    <xf numFmtId="0" fontId="113" fillId="0" borderId="63" xfId="83" applyFont="1" applyBorder="1" applyAlignment="1">
      <alignment horizontal="center" vertical="center" wrapText="1"/>
      <protection/>
    </xf>
    <xf numFmtId="0" fontId="113" fillId="0" borderId="46" xfId="83" applyFont="1" applyBorder="1" applyAlignment="1">
      <alignment horizontal="center" vertical="center" wrapText="1"/>
      <protection/>
    </xf>
    <xf numFmtId="0" fontId="101" fillId="0" borderId="0" xfId="85" applyFont="1" applyAlignment="1">
      <alignment horizontal="left" wrapText="1"/>
      <protection/>
    </xf>
    <xf numFmtId="0" fontId="101" fillId="0" borderId="0" xfId="85" applyFont="1" applyAlignment="1">
      <alignment horizontal="left"/>
      <protection/>
    </xf>
    <xf numFmtId="0" fontId="101" fillId="0" borderId="77" xfId="85" applyFont="1" applyBorder="1" applyAlignment="1">
      <alignment horizontal="center" vertical="center" wrapText="1"/>
      <protection/>
    </xf>
    <xf numFmtId="0" fontId="101" fillId="0" borderId="81" xfId="85" applyFont="1" applyBorder="1" applyAlignment="1">
      <alignment horizontal="center" vertical="center" wrapText="1"/>
      <protection/>
    </xf>
    <xf numFmtId="0" fontId="101" fillId="0" borderId="82" xfId="85" applyFont="1" applyBorder="1" applyAlignment="1">
      <alignment horizontal="center" vertical="center" wrapText="1"/>
      <protection/>
    </xf>
    <xf numFmtId="0" fontId="101" fillId="0" borderId="83" xfId="85" applyFont="1" applyBorder="1" applyAlignment="1">
      <alignment horizontal="left" vertical="center" wrapText="1" indent="1"/>
      <protection/>
    </xf>
    <xf numFmtId="0" fontId="101" fillId="0" borderId="84" xfId="85" applyFont="1" applyBorder="1" applyAlignment="1">
      <alignment horizontal="left" vertical="center" wrapText="1" indent="1"/>
      <protection/>
    </xf>
    <xf numFmtId="0" fontId="101" fillId="0" borderId="85" xfId="85" applyFont="1" applyBorder="1" applyAlignment="1">
      <alignment horizontal="left" vertical="center" wrapText="1" indent="1"/>
      <protection/>
    </xf>
    <xf numFmtId="0" fontId="101" fillId="0" borderId="0" xfId="85" applyFont="1" applyBorder="1" applyAlignment="1">
      <alignment horizontal="center" vertical="center"/>
      <protection/>
    </xf>
    <xf numFmtId="0" fontId="101" fillId="0" borderId="72" xfId="85" applyFont="1" applyBorder="1" applyAlignment="1">
      <alignment horizontal="center" vertical="center" wrapText="1"/>
      <protection/>
    </xf>
    <xf numFmtId="0" fontId="101" fillId="0" borderId="24" xfId="85" applyFont="1" applyBorder="1" applyAlignment="1">
      <alignment horizontal="center" vertical="center" wrapText="1"/>
      <protection/>
    </xf>
    <xf numFmtId="0" fontId="101" fillId="0" borderId="25" xfId="85" applyFont="1" applyBorder="1" applyAlignment="1">
      <alignment horizontal="center" vertical="center" wrapText="1"/>
      <protection/>
    </xf>
    <xf numFmtId="0" fontId="101" fillId="0" borderId="76" xfId="85" applyFont="1" applyBorder="1" applyAlignment="1">
      <alignment horizontal="center" vertical="center"/>
      <protection/>
    </xf>
    <xf numFmtId="0" fontId="101" fillId="0" borderId="86" xfId="85" applyFont="1" applyBorder="1" applyAlignment="1">
      <alignment horizontal="center" vertical="center"/>
      <protection/>
    </xf>
    <xf numFmtId="0" fontId="101" fillId="0" borderId="87" xfId="85" applyFont="1" applyBorder="1" applyAlignment="1">
      <alignment horizontal="center" vertical="center"/>
      <protection/>
    </xf>
    <xf numFmtId="0" fontId="1" fillId="0" borderId="88" xfId="85" applyFont="1" applyBorder="1" applyAlignment="1">
      <alignment horizontal="center" vertical="center" wrapText="1"/>
      <protection/>
    </xf>
    <xf numFmtId="0" fontId="1" fillId="0" borderId="79" xfId="85" applyFont="1" applyBorder="1" applyAlignment="1">
      <alignment horizontal="center" vertical="center" wrapText="1"/>
      <protection/>
    </xf>
    <xf numFmtId="0" fontId="101" fillId="0" borderId="29" xfId="85" applyFont="1" applyBorder="1" applyAlignment="1">
      <alignment horizontal="center" vertical="center"/>
      <protection/>
    </xf>
    <xf numFmtId="0" fontId="101" fillId="0" borderId="36" xfId="85" applyFont="1" applyBorder="1" applyAlignment="1">
      <alignment horizontal="center" vertical="center"/>
      <protection/>
    </xf>
    <xf numFmtId="0" fontId="1" fillId="70" borderId="76" xfId="85" applyFont="1" applyFill="1" applyBorder="1" applyAlignment="1">
      <alignment horizontal="center" vertical="center" wrapText="1"/>
      <protection/>
    </xf>
    <xf numFmtId="0" fontId="1" fillId="70" borderId="86" xfId="85" applyFont="1" applyFill="1" applyBorder="1" applyAlignment="1">
      <alignment horizontal="center" vertical="center" wrapText="1"/>
      <protection/>
    </xf>
    <xf numFmtId="0" fontId="1" fillId="70" borderId="87" xfId="85" applyFont="1" applyFill="1" applyBorder="1" applyAlignment="1">
      <alignment horizontal="center" vertical="center" wrapText="1"/>
      <protection/>
    </xf>
    <xf numFmtId="49" fontId="1" fillId="0" borderId="0" xfId="0" applyNumberFormat="1" applyFont="1" applyAlignment="1">
      <alignment horizontal="left" vertical="center" wrapText="1"/>
    </xf>
    <xf numFmtId="0" fontId="18" fillId="0" borderId="40" xfId="0" applyFont="1" applyBorder="1" applyAlignment="1">
      <alignment horizontal="left" vertical="center"/>
    </xf>
    <xf numFmtId="0" fontId="18" fillId="0" borderId="60" xfId="0" applyFont="1" applyBorder="1" applyAlignment="1">
      <alignment horizontal="left" vertical="center"/>
    </xf>
    <xf numFmtId="0" fontId="18" fillId="0" borderId="74" xfId="0" applyFont="1" applyBorder="1" applyAlignment="1">
      <alignment horizontal="left" vertical="center"/>
    </xf>
    <xf numFmtId="0" fontId="18" fillId="0" borderId="42" xfId="0" applyFont="1" applyBorder="1" applyAlignment="1">
      <alignment horizontal="left" vertical="center"/>
    </xf>
    <xf numFmtId="0" fontId="18" fillId="0" borderId="48" xfId="0" applyFont="1" applyBorder="1" applyAlignment="1">
      <alignment horizontal="left" vertical="center"/>
    </xf>
    <xf numFmtId="0" fontId="18" fillId="0" borderId="35" xfId="0" applyFont="1" applyBorder="1" applyAlignment="1">
      <alignment horizontal="left" vertical="center"/>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43" xfId="0" applyFont="1" applyBorder="1" applyAlignment="1">
      <alignment horizontal="center" vertical="center" wrapText="1"/>
    </xf>
    <xf numFmtId="49" fontId="1" fillId="0" borderId="74" xfId="0" applyNumberFormat="1" applyFont="1" applyBorder="1" applyAlignment="1">
      <alignment horizontal="center" vertical="center" wrapText="1"/>
    </xf>
    <xf numFmtId="49" fontId="1" fillId="0" borderId="35"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13" fillId="0" borderId="79" xfId="0" applyFont="1" applyBorder="1" applyAlignment="1">
      <alignment horizontal="center" vertical="center" wrapText="1"/>
    </xf>
    <xf numFmtId="0" fontId="113" fillId="0" borderId="68"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48" xfId="0" applyFont="1" applyBorder="1" applyAlignment="1">
      <alignment horizontal="left" vertical="center" wrapText="1"/>
    </xf>
    <xf numFmtId="0" fontId="18" fillId="0" borderId="35" xfId="0" applyFont="1" applyBorder="1" applyAlignment="1">
      <alignment horizontal="left" vertical="center" wrapText="1"/>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75" xfId="83" applyFont="1" applyBorder="1" applyAlignment="1">
      <alignment horizontal="center" vertical="center" wrapText="1"/>
      <protection/>
    </xf>
    <xf numFmtId="0" fontId="3" fillId="0" borderId="76" xfId="83" applyFont="1" applyBorder="1" applyAlignment="1">
      <alignment horizontal="center" vertical="center"/>
      <protection/>
    </xf>
    <xf numFmtId="0" fontId="3" fillId="0" borderId="77" xfId="83" applyFont="1" applyBorder="1" applyAlignment="1">
      <alignment horizontal="center" vertical="center"/>
      <protection/>
    </xf>
    <xf numFmtId="0" fontId="1" fillId="0" borderId="72" xfId="83" applyFont="1" applyBorder="1" applyAlignment="1">
      <alignment horizontal="left" vertical="center" wrapText="1"/>
      <protection/>
    </xf>
    <xf numFmtId="0" fontId="1" fillId="0" borderId="47" xfId="83" applyFont="1" applyBorder="1" applyAlignment="1">
      <alignment horizontal="left" vertical="center" wrapText="1"/>
      <protection/>
    </xf>
    <xf numFmtId="0" fontId="1" fillId="0" borderId="49" xfId="83" applyFont="1" applyBorder="1" applyAlignment="1">
      <alignment horizontal="left" vertical="center" wrapText="1"/>
      <protection/>
    </xf>
    <xf numFmtId="0" fontId="18" fillId="0" borderId="40" xfId="83" applyFont="1" applyBorder="1" applyAlignment="1">
      <alignment horizontal="left" vertical="center"/>
      <protection/>
    </xf>
    <xf numFmtId="0" fontId="18" fillId="0" borderId="60" xfId="83" applyFont="1" applyBorder="1" applyAlignment="1">
      <alignment horizontal="left" vertical="center"/>
      <protection/>
    </xf>
    <xf numFmtId="0" fontId="18" fillId="0" borderId="74" xfId="83" applyFont="1" applyBorder="1" applyAlignment="1">
      <alignment horizontal="left" vertical="center"/>
      <protection/>
    </xf>
    <xf numFmtId="0" fontId="18" fillId="63" borderId="61" xfId="83" applyFont="1" applyFill="1" applyBorder="1" applyAlignment="1">
      <alignment horizontal="left" vertical="center"/>
      <protection/>
    </xf>
    <xf numFmtId="0" fontId="18" fillId="63" borderId="0" xfId="83" applyFont="1" applyFill="1" applyBorder="1" applyAlignment="1">
      <alignment horizontal="left" vertical="center"/>
      <protection/>
    </xf>
    <xf numFmtId="0" fontId="18" fillId="63" borderId="89" xfId="83" applyFont="1" applyFill="1" applyBorder="1" applyAlignment="1">
      <alignment horizontal="left" vertical="center"/>
      <protection/>
    </xf>
    <xf numFmtId="0" fontId="18" fillId="0" borderId="61" xfId="83" applyFont="1" applyBorder="1" applyAlignment="1">
      <alignment horizontal="left" vertical="center"/>
      <protection/>
    </xf>
    <xf numFmtId="0" fontId="18" fillId="0" borderId="0" xfId="83" applyFont="1" applyBorder="1" applyAlignment="1">
      <alignment horizontal="left" vertical="center"/>
      <protection/>
    </xf>
    <xf numFmtId="0" fontId="18" fillId="0" borderId="89" xfId="83" applyFont="1" applyBorder="1" applyAlignment="1">
      <alignment horizontal="left" vertical="center"/>
      <protection/>
    </xf>
    <xf numFmtId="0" fontId="18" fillId="0" borderId="42" xfId="83" applyFont="1" applyBorder="1" applyAlignment="1">
      <alignment horizontal="left" vertical="center"/>
      <protection/>
    </xf>
    <xf numFmtId="0" fontId="18" fillId="0" borderId="48" xfId="83" applyFont="1" applyBorder="1" applyAlignment="1">
      <alignment horizontal="left" vertical="center"/>
      <protection/>
    </xf>
    <xf numFmtId="0" fontId="18" fillId="0" borderId="35" xfId="83" applyFont="1" applyBorder="1" applyAlignment="1">
      <alignment horizontal="left" vertical="center"/>
      <protection/>
    </xf>
    <xf numFmtId="0" fontId="3" fillId="0" borderId="7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9" xfId="0"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1" xfId="0" applyFont="1" applyBorder="1" applyAlignment="1">
      <alignment horizontal="left" vertical="center" wrapText="1" indent="1"/>
    </xf>
    <xf numFmtId="0" fontId="1" fillId="0" borderId="65" xfId="0" applyFont="1" applyBorder="1" applyAlignment="1">
      <alignment horizontal="left" vertical="center" wrapText="1" indent="1"/>
    </xf>
    <xf numFmtId="0" fontId="1" fillId="0" borderId="43" xfId="0" applyFont="1" applyBorder="1" applyAlignment="1">
      <alignment horizontal="left" vertical="center" wrapText="1" inden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68" xfId="0" applyFont="1" applyBorder="1" applyAlignment="1">
      <alignment horizontal="center" vertical="center" wrapText="1"/>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51" xfId="0" applyFont="1" applyBorder="1" applyAlignment="1">
      <alignment horizontal="left" vertical="center" wrapText="1"/>
    </xf>
    <xf numFmtId="49" fontId="1" fillId="63" borderId="47" xfId="0" applyNumberFormat="1" applyFont="1" applyFill="1" applyBorder="1" applyAlignment="1">
      <alignment horizontal="center" vertical="center" wrapText="1"/>
    </xf>
    <xf numFmtId="49" fontId="1" fillId="63" borderId="22" xfId="0" applyNumberFormat="1" applyFont="1" applyFill="1" applyBorder="1" applyAlignment="1">
      <alignment horizontal="center" vertical="center" wrapText="1"/>
    </xf>
    <xf numFmtId="49" fontId="101" fillId="0" borderId="47" xfId="0" applyNumberFormat="1" applyFont="1" applyBorder="1" applyAlignment="1">
      <alignment horizontal="center" vertical="center" wrapText="1"/>
    </xf>
    <xf numFmtId="49" fontId="101" fillId="0" borderId="22" xfId="0" applyNumberFormat="1" applyFont="1" applyBorder="1" applyAlignment="1">
      <alignment horizontal="center" vertical="center" wrapText="1"/>
    </xf>
    <xf numFmtId="0" fontId="1" fillId="0" borderId="72" xfId="0"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63" borderId="49" xfId="0" applyNumberFormat="1" applyFont="1" applyFill="1" applyBorder="1" applyAlignment="1">
      <alignment horizontal="center" vertical="center" wrapText="1"/>
    </xf>
    <xf numFmtId="49" fontId="1" fillId="63" borderId="23" xfId="0" applyNumberFormat="1" applyFont="1" applyFill="1" applyBorder="1" applyAlignment="1">
      <alignment horizontal="center" vertical="center" wrapText="1"/>
    </xf>
    <xf numFmtId="0" fontId="115" fillId="0" borderId="78" xfId="0" applyFont="1" applyFill="1" applyBorder="1" applyAlignment="1">
      <alignment horizontal="center" vertical="center"/>
    </xf>
    <xf numFmtId="0" fontId="115" fillId="0" borderId="79" xfId="0" applyFont="1" applyFill="1" applyBorder="1" applyAlignment="1">
      <alignment horizontal="center" vertical="center"/>
    </xf>
    <xf numFmtId="0" fontId="115" fillId="0" borderId="68" xfId="0" applyFont="1" applyFill="1" applyBorder="1" applyAlignment="1">
      <alignment horizontal="center" vertical="center"/>
    </xf>
    <xf numFmtId="0" fontId="1" fillId="0" borderId="80"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43" fillId="0" borderId="24" xfId="0"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1" fillId="0" borderId="22" xfId="0" applyFont="1" applyFill="1" applyBorder="1" applyAlignment="1">
      <alignment horizontal="center" vertical="center" wrapText="1"/>
    </xf>
    <xf numFmtId="0" fontId="101" fillId="0" borderId="22" xfId="0" applyFont="1" applyFill="1" applyBorder="1" applyAlignment="1">
      <alignment horizontal="center" vertical="center" wrapText="1"/>
    </xf>
    <xf numFmtId="0" fontId="2" fillId="0" borderId="0" xfId="0" applyFont="1" applyFill="1" applyBorder="1" applyAlignment="1">
      <alignment horizontal="left" wrapText="1"/>
    </xf>
    <xf numFmtId="0" fontId="1" fillId="0" borderId="3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8" fillId="0" borderId="0" xfId="0" applyFont="1" applyFill="1" applyBorder="1" applyAlignment="1">
      <alignment horizontal="left" wrapText="1"/>
    </xf>
    <xf numFmtId="0" fontId="3" fillId="0" borderId="72" xfId="87" applyFont="1" applyBorder="1" applyAlignment="1">
      <alignment horizontal="center" vertical="center" wrapText="1"/>
      <protection/>
    </xf>
    <xf numFmtId="0" fontId="3" fillId="0" borderId="47" xfId="87" applyFont="1" applyBorder="1" applyAlignment="1">
      <alignment horizontal="center" vertical="center" wrapText="1"/>
      <protection/>
    </xf>
    <xf numFmtId="0" fontId="3" fillId="0" borderId="49" xfId="87" applyFont="1" applyBorder="1" applyAlignment="1">
      <alignment horizontal="center" vertical="center" wrapText="1"/>
      <protection/>
    </xf>
    <xf numFmtId="0" fontId="1" fillId="0" borderId="90" xfId="0" applyFont="1" applyBorder="1" applyAlignment="1">
      <alignment horizontal="left" vertical="center" wrapText="1"/>
    </xf>
    <xf numFmtId="0" fontId="1" fillId="0" borderId="60" xfId="0" applyFont="1" applyBorder="1" applyAlignment="1">
      <alignment horizontal="left" vertical="center" wrapText="1"/>
    </xf>
    <xf numFmtId="0" fontId="1" fillId="0" borderId="91" xfId="0" applyFont="1" applyBorder="1" applyAlignment="1">
      <alignment horizontal="left" vertical="center" wrapText="1"/>
    </xf>
    <xf numFmtId="0" fontId="1" fillId="0" borderId="47"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71" xfId="0" applyFont="1" applyBorder="1" applyAlignment="1">
      <alignment horizontal="center" vertical="center" wrapText="1"/>
    </xf>
    <xf numFmtId="0" fontId="0" fillId="0" borderId="0" xfId="0" applyAlignment="1">
      <alignment/>
    </xf>
    <xf numFmtId="0" fontId="113" fillId="0" borderId="65" xfId="0" applyFont="1" applyBorder="1" applyAlignment="1">
      <alignment horizontal="center" vertical="center" wrapText="1"/>
    </xf>
    <xf numFmtId="0" fontId="113" fillId="0" borderId="43" xfId="0" applyFont="1" applyBorder="1" applyAlignment="1">
      <alignment horizontal="center" vertical="center" wrapText="1"/>
    </xf>
    <xf numFmtId="0" fontId="112" fillId="0" borderId="60" xfId="0" applyFont="1" applyBorder="1" applyAlignment="1">
      <alignment horizontal="left" vertical="center" wrapText="1"/>
    </xf>
    <xf numFmtId="0" fontId="23" fillId="0" borderId="40" xfId="0" applyFont="1" applyBorder="1" applyAlignment="1">
      <alignment horizontal="left" vertical="center"/>
    </xf>
    <xf numFmtId="0" fontId="23" fillId="0" borderId="60" xfId="0" applyFont="1" applyBorder="1" applyAlignment="1">
      <alignment horizontal="left" vertical="center"/>
    </xf>
    <xf numFmtId="0" fontId="23" fillId="0" borderId="74" xfId="0" applyFont="1" applyBorder="1" applyAlignment="1">
      <alignment horizontal="left" vertical="center"/>
    </xf>
    <xf numFmtId="0" fontId="23" fillId="0" borderId="42" xfId="0" applyFont="1" applyBorder="1" applyAlignment="1">
      <alignment horizontal="left" vertical="center"/>
    </xf>
    <xf numFmtId="0" fontId="23" fillId="0" borderId="48" xfId="0" applyFont="1" applyBorder="1" applyAlignment="1">
      <alignment horizontal="left" vertical="center"/>
    </xf>
    <xf numFmtId="0" fontId="23" fillId="0" borderId="35" xfId="0" applyFont="1" applyBorder="1" applyAlignment="1">
      <alignment horizontal="left" vertical="center"/>
    </xf>
    <xf numFmtId="0" fontId="3" fillId="0" borderId="76" xfId="83" applyFont="1" applyBorder="1" applyAlignment="1">
      <alignment horizontal="center" vertical="center" wrapText="1"/>
      <protection/>
    </xf>
    <xf numFmtId="0" fontId="3" fillId="0" borderId="92" xfId="83" applyFont="1" applyBorder="1" applyAlignment="1">
      <alignment horizontal="center" vertical="center" wrapText="1"/>
      <protection/>
    </xf>
    <xf numFmtId="0" fontId="3" fillId="0" borderId="77" xfId="83" applyFont="1" applyBorder="1" applyAlignment="1">
      <alignment horizontal="center" vertical="center" wrapText="1"/>
      <protection/>
    </xf>
    <xf numFmtId="0" fontId="1" fillId="0" borderId="76" xfId="83" applyFont="1" applyBorder="1" applyAlignment="1">
      <alignment horizontal="left" vertical="center" wrapText="1"/>
      <protection/>
    </xf>
    <xf numFmtId="0" fontId="1" fillId="0" borderId="92" xfId="83" applyFont="1" applyBorder="1" applyAlignment="1">
      <alignment horizontal="left" vertical="center" wrapText="1"/>
      <protection/>
    </xf>
    <xf numFmtId="0" fontId="1" fillId="0" borderId="77" xfId="83" applyFont="1" applyBorder="1" applyAlignment="1">
      <alignment horizontal="left" vertical="center" wrapText="1"/>
      <protection/>
    </xf>
    <xf numFmtId="0" fontId="23" fillId="0" borderId="22" xfId="83" applyFont="1" applyBorder="1" applyAlignment="1">
      <alignment horizontal="left" vertical="center" wrapText="1"/>
      <protection/>
    </xf>
    <xf numFmtId="0" fontId="1" fillId="0" borderId="78" xfId="83" applyFont="1" applyBorder="1" applyAlignment="1">
      <alignment horizontal="center" vertical="center" wrapText="1"/>
      <protection/>
    </xf>
    <xf numFmtId="0" fontId="1" fillId="0" borderId="68" xfId="83" applyFont="1" applyBorder="1" applyAlignment="1">
      <alignment horizontal="center" vertical="center" wrapText="1"/>
      <protection/>
    </xf>
    <xf numFmtId="3" fontId="1" fillId="0" borderId="0" xfId="91" applyNumberFormat="1" applyFont="1" applyFill="1" applyBorder="1" applyAlignment="1">
      <alignment horizontal="left" vertical="center" wrapText="1"/>
      <protection/>
    </xf>
    <xf numFmtId="3" fontId="1" fillId="0" borderId="24" xfId="91" applyNumberFormat="1" applyFont="1" applyBorder="1" applyAlignment="1">
      <alignment horizontal="center" vertical="center" wrapText="1"/>
      <protection/>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 fontId="3" fillId="0" borderId="93" xfId="91" applyNumberFormat="1" applyFont="1" applyBorder="1" applyAlignment="1">
      <alignment horizontal="center" vertical="center" wrapText="1"/>
      <protection/>
    </xf>
    <xf numFmtId="3" fontId="3" fillId="0" borderId="73" xfId="91" applyNumberFormat="1" applyFont="1" applyBorder="1" applyAlignment="1">
      <alignment horizontal="center" vertical="center" wrapText="1"/>
      <protection/>
    </xf>
    <xf numFmtId="3" fontId="3" fillId="0" borderId="94" xfId="91" applyNumberFormat="1" applyFont="1" applyBorder="1" applyAlignment="1">
      <alignment horizontal="center" vertical="center" wrapText="1"/>
      <protection/>
    </xf>
    <xf numFmtId="0" fontId="1" fillId="0" borderId="80" xfId="0" applyFont="1" applyBorder="1" applyAlignment="1">
      <alignment horizontal="left" vertical="center" wrapText="1" indent="1"/>
    </xf>
    <xf numFmtId="0" fontId="1" fillId="0" borderId="48" xfId="0" applyFont="1" applyBorder="1" applyAlignment="1">
      <alignment horizontal="left" vertical="center" wrapText="1" indent="1"/>
    </xf>
    <xf numFmtId="0" fontId="1" fillId="0" borderId="52" xfId="0" applyFont="1" applyBorder="1" applyAlignment="1">
      <alignment horizontal="left" vertical="center" wrapText="1" indent="1"/>
    </xf>
    <xf numFmtId="0" fontId="43" fillId="48" borderId="24" xfId="86" applyFont="1" applyFill="1" applyBorder="1" applyAlignment="1">
      <alignment/>
      <protection/>
    </xf>
    <xf numFmtId="0" fontId="43" fillId="48" borderId="22" xfId="86" applyFont="1" applyFill="1" applyBorder="1" applyAlignment="1">
      <alignment/>
      <protection/>
    </xf>
    <xf numFmtId="0" fontId="43" fillId="0" borderId="24" xfId="86" applyFont="1" applyBorder="1" applyAlignment="1">
      <alignment/>
      <protection/>
    </xf>
    <xf numFmtId="0" fontId="43" fillId="0" borderId="22" xfId="86" applyFont="1" applyBorder="1" applyAlignment="1">
      <alignment/>
      <protection/>
    </xf>
    <xf numFmtId="3" fontId="3" fillId="0" borderId="83" xfId="90" applyNumberFormat="1" applyFont="1" applyBorder="1" applyAlignment="1">
      <alignment horizontal="center" vertical="center" wrapText="1"/>
      <protection/>
    </xf>
    <xf numFmtId="3" fontId="3" fillId="0" borderId="84" xfId="90" applyNumberFormat="1" applyFont="1" applyBorder="1" applyAlignment="1">
      <alignment horizontal="center" vertical="center" wrapText="1"/>
      <protection/>
    </xf>
    <xf numFmtId="3" fontId="3" fillId="0" borderId="85" xfId="90" applyNumberFormat="1" applyFont="1" applyBorder="1" applyAlignment="1">
      <alignment horizontal="center" vertical="center" wrapText="1"/>
      <protection/>
    </xf>
    <xf numFmtId="3" fontId="1" fillId="0" borderId="83" xfId="90" applyNumberFormat="1" applyFont="1" applyBorder="1" applyAlignment="1">
      <alignment horizontal="left" vertical="center" wrapText="1"/>
      <protection/>
    </xf>
    <xf numFmtId="3" fontId="1" fillId="0" borderId="84" xfId="90" applyNumberFormat="1" applyFont="1" applyBorder="1" applyAlignment="1">
      <alignment horizontal="left" vertical="center" wrapText="1"/>
      <protection/>
    </xf>
    <xf numFmtId="0" fontId="1" fillId="0" borderId="83" xfId="0" applyFont="1" applyBorder="1" applyAlignment="1">
      <alignment horizontal="left" wrapText="1"/>
    </xf>
    <xf numFmtId="0" fontId="1" fillId="0" borderId="84" xfId="0" applyFont="1" applyBorder="1" applyAlignment="1">
      <alignment horizontal="left" wrapText="1"/>
    </xf>
    <xf numFmtId="0" fontId="1" fillId="0" borderId="85" xfId="0" applyFont="1" applyBorder="1" applyAlignment="1">
      <alignment horizontal="left" wrapText="1"/>
    </xf>
    <xf numFmtId="0" fontId="3" fillId="0" borderId="93" xfId="0" applyNumberFormat="1" applyFont="1" applyBorder="1" applyAlignment="1">
      <alignment horizontal="center" vertical="center" wrapText="1"/>
    </xf>
    <xf numFmtId="0" fontId="3" fillId="0" borderId="73" xfId="0" applyNumberFormat="1" applyFont="1" applyBorder="1" applyAlignment="1">
      <alignment horizontal="center" vertical="center" wrapText="1"/>
    </xf>
    <xf numFmtId="0" fontId="3" fillId="0" borderId="94" xfId="0" applyNumberFormat="1" applyFont="1" applyBorder="1" applyAlignment="1">
      <alignment horizontal="center" vertical="center" wrapText="1"/>
    </xf>
    <xf numFmtId="0" fontId="43" fillId="48" borderId="33" xfId="86" applyFont="1" applyFill="1" applyBorder="1" applyAlignment="1">
      <alignment horizontal="left" vertical="center" indent="1"/>
      <protection/>
    </xf>
    <xf numFmtId="0" fontId="43" fillId="48" borderId="34" xfId="86" applyFont="1" applyFill="1" applyBorder="1" applyAlignment="1">
      <alignment horizontal="left" vertical="center" indent="1"/>
      <protection/>
    </xf>
    <xf numFmtId="0" fontId="1" fillId="62" borderId="80" xfId="86" applyFont="1" applyFill="1" applyBorder="1" applyAlignment="1" applyProtection="1">
      <alignment horizontal="left"/>
      <protection/>
    </xf>
    <xf numFmtId="0" fontId="1" fillId="62" borderId="35" xfId="86" applyFont="1" applyFill="1" applyBorder="1" applyAlignment="1" applyProtection="1">
      <alignment horizontal="left"/>
      <protection/>
    </xf>
    <xf numFmtId="0" fontId="1" fillId="0" borderId="31" xfId="86" applyFont="1" applyBorder="1" applyAlignment="1" applyProtection="1">
      <alignment horizontal="center" vertical="top" wrapText="1"/>
      <protection/>
    </xf>
    <xf numFmtId="0" fontId="1" fillId="0" borderId="24" xfId="86" applyFont="1" applyBorder="1" applyAlignment="1" applyProtection="1">
      <alignment horizontal="center" vertical="top" wrapText="1"/>
      <protection/>
    </xf>
    <xf numFmtId="0" fontId="50" fillId="0" borderId="90" xfId="86" applyFont="1" applyBorder="1" applyAlignment="1" applyProtection="1">
      <alignment horizontal="left" vertical="center" wrapText="1"/>
      <protection/>
    </xf>
    <xf numFmtId="0" fontId="50" fillId="0" borderId="60" xfId="86" applyFont="1" applyBorder="1" applyAlignment="1" applyProtection="1">
      <alignment horizontal="left" vertical="center" wrapText="1"/>
      <protection/>
    </xf>
    <xf numFmtId="0" fontId="50" fillId="0" borderId="91" xfId="86" applyFont="1" applyBorder="1" applyAlignment="1" applyProtection="1">
      <alignment horizontal="left" vertical="center" wrapText="1"/>
      <protection/>
    </xf>
    <xf numFmtId="0" fontId="1" fillId="0" borderId="72" xfId="86" applyFont="1" applyBorder="1" applyAlignment="1" applyProtection="1">
      <alignment horizontal="center" vertical="center"/>
      <protection/>
    </xf>
    <xf numFmtId="0" fontId="1" fillId="0" borderId="47" xfId="86" applyFont="1" applyBorder="1" applyAlignment="1" applyProtection="1">
      <alignment horizontal="center" vertical="center"/>
      <protection/>
    </xf>
    <xf numFmtId="0" fontId="1" fillId="0" borderId="30" xfId="86" applyFont="1" applyBorder="1" applyAlignment="1" applyProtection="1">
      <alignment horizontal="center" vertical="center"/>
      <protection/>
    </xf>
    <xf numFmtId="0" fontId="1" fillId="0" borderId="28" xfId="86" applyFont="1" applyBorder="1" applyAlignment="1" applyProtection="1">
      <alignment horizontal="center" vertical="center"/>
      <protection/>
    </xf>
    <xf numFmtId="199" fontId="1" fillId="0" borderId="47" xfId="86" applyNumberFormat="1" applyFont="1" applyBorder="1" applyAlignment="1" applyProtection="1">
      <alignment horizontal="center" vertical="center"/>
      <protection/>
    </xf>
    <xf numFmtId="0" fontId="2" fillId="0" borderId="33" xfId="86" applyFont="1" applyBorder="1" applyAlignment="1" applyProtection="1">
      <alignment horizontal="center"/>
      <protection/>
    </xf>
    <xf numFmtId="0" fontId="2" fillId="0" borderId="34" xfId="86" applyFont="1" applyBorder="1" applyAlignment="1" applyProtection="1">
      <alignment horizontal="center"/>
      <protection/>
    </xf>
    <xf numFmtId="0" fontId="1" fillId="10" borderId="80" xfId="86" applyFont="1" applyFill="1" applyBorder="1" applyAlignment="1">
      <alignment horizontal="left" vertical="center" wrapText="1"/>
      <protection/>
    </xf>
    <xf numFmtId="0" fontId="1" fillId="10" borderId="35" xfId="86" applyFont="1" applyFill="1" applyBorder="1" applyAlignment="1">
      <alignment horizontal="left" vertical="center" wrapText="1"/>
      <protection/>
    </xf>
    <xf numFmtId="0" fontId="1" fillId="0" borderId="31" xfId="86" applyFont="1" applyBorder="1" applyAlignment="1">
      <alignment horizontal="center" vertical="center" wrapText="1"/>
      <protection/>
    </xf>
    <xf numFmtId="0" fontId="1" fillId="0" borderId="24" xfId="86" applyFont="1" applyBorder="1" applyAlignment="1">
      <alignment horizontal="center" vertical="center" wrapText="1"/>
      <protection/>
    </xf>
    <xf numFmtId="0" fontId="2" fillId="0" borderId="31" xfId="86" applyFont="1" applyBorder="1" applyAlignment="1">
      <alignment horizontal="center" vertical="center" wrapText="1"/>
      <protection/>
    </xf>
    <xf numFmtId="0" fontId="1" fillId="0" borderId="30" xfId="86" applyFont="1" applyBorder="1" applyAlignment="1">
      <alignment horizontal="center" vertical="center" wrapText="1"/>
      <protection/>
    </xf>
    <xf numFmtId="0" fontId="1" fillId="42" borderId="83" xfId="86" applyFont="1" applyFill="1" applyBorder="1" applyAlignment="1">
      <alignment horizontal="left" vertical="center" wrapText="1"/>
      <protection/>
    </xf>
    <xf numFmtId="0" fontId="1" fillId="42" borderId="44" xfId="86" applyFont="1" applyFill="1" applyBorder="1" applyAlignment="1">
      <alignment horizontal="left" vertical="center" wrapText="1"/>
      <protection/>
    </xf>
    <xf numFmtId="0" fontId="50" fillId="0" borderId="80" xfId="86" applyFont="1" applyBorder="1" applyAlignment="1" applyProtection="1">
      <alignment horizontal="left" vertical="center" wrapText="1"/>
      <protection/>
    </xf>
    <xf numFmtId="0" fontId="50" fillId="0" borderId="48" xfId="86" applyFont="1" applyBorder="1" applyAlignment="1" applyProtection="1">
      <alignment horizontal="left" vertical="center" wrapText="1"/>
      <protection/>
    </xf>
    <xf numFmtId="0" fontId="50" fillId="0" borderId="52" xfId="86" applyFont="1" applyBorder="1" applyAlignment="1" applyProtection="1">
      <alignment horizontal="left" vertical="center" wrapText="1"/>
      <protection/>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1" fillId="0" borderId="37" xfId="86" applyFont="1" applyBorder="1" applyAlignment="1">
      <alignment horizontal="center" vertical="center" wrapText="1"/>
      <protection/>
    </xf>
    <xf numFmtId="0" fontId="1" fillId="10" borderId="83" xfId="86" applyFont="1" applyFill="1" applyBorder="1" applyAlignment="1">
      <alignment vertical="center" wrapText="1"/>
      <protection/>
    </xf>
    <xf numFmtId="0" fontId="2" fillId="10" borderId="44" xfId="86" applyFont="1" applyFill="1" applyBorder="1" applyAlignment="1">
      <alignment vertical="center" wrapText="1"/>
      <protection/>
    </xf>
    <xf numFmtId="0" fontId="1" fillId="0" borderId="31" xfId="86" applyFont="1" applyBorder="1" applyAlignment="1">
      <alignment horizontal="center" vertical="center"/>
      <protection/>
    </xf>
    <xf numFmtId="0" fontId="1" fillId="0" borderId="39" xfId="86" applyFont="1" applyBorder="1" applyAlignment="1">
      <alignment horizontal="center" vertical="center"/>
      <protection/>
    </xf>
    <xf numFmtId="0" fontId="1" fillId="0" borderId="30" xfId="86" applyFont="1" applyBorder="1" applyAlignment="1">
      <alignment horizontal="center" vertical="center"/>
      <protection/>
    </xf>
    <xf numFmtId="0" fontId="1" fillId="0" borderId="28" xfId="86" applyFont="1" applyBorder="1" applyAlignment="1">
      <alignment horizontal="center" vertical="center"/>
      <protection/>
    </xf>
    <xf numFmtId="3" fontId="1" fillId="0" borderId="39" xfId="86" applyNumberFormat="1" applyFont="1" applyBorder="1" applyAlignment="1">
      <alignment horizontal="center" vertical="center"/>
      <protection/>
    </xf>
    <xf numFmtId="0" fontId="2" fillId="0" borderId="33" xfId="86" applyFont="1" applyBorder="1" applyAlignment="1">
      <alignment horizontal="center" vertical="center"/>
      <protection/>
    </xf>
    <xf numFmtId="0" fontId="2" fillId="0" borderId="34" xfId="86" applyFont="1" applyBorder="1" applyAlignment="1">
      <alignment horizontal="center" vertical="center"/>
      <protection/>
    </xf>
    <xf numFmtId="0" fontId="43" fillId="0" borderId="31" xfId="86" applyFont="1" applyBorder="1" applyAlignment="1">
      <alignment horizontal="center" vertical="center"/>
      <protection/>
    </xf>
    <xf numFmtId="0" fontId="43" fillId="0" borderId="39" xfId="86" applyFont="1" applyBorder="1" applyAlignment="1">
      <alignment horizontal="center" vertical="center"/>
      <protection/>
    </xf>
    <xf numFmtId="0" fontId="43" fillId="0" borderId="25" xfId="86" applyFont="1" applyBorder="1" applyAlignment="1">
      <alignment horizontal="center" vertical="center"/>
      <protection/>
    </xf>
    <xf numFmtId="0" fontId="43" fillId="0" borderId="26" xfId="86" applyFont="1" applyBorder="1" applyAlignment="1">
      <alignment horizontal="center" vertical="center"/>
      <protection/>
    </xf>
    <xf numFmtId="0" fontId="43" fillId="0" borderId="61" xfId="86" applyFont="1" applyBorder="1" applyAlignment="1">
      <alignment horizontal="center" vertical="center"/>
      <protection/>
    </xf>
    <xf numFmtId="0" fontId="43" fillId="0" borderId="0" xfId="86" applyFont="1" applyBorder="1" applyAlignment="1">
      <alignment horizontal="center" vertical="center"/>
      <protection/>
    </xf>
    <xf numFmtId="0" fontId="43" fillId="0" borderId="89" xfId="86" applyFont="1" applyBorder="1" applyAlignment="1">
      <alignment horizontal="center" vertical="center"/>
      <protection/>
    </xf>
    <xf numFmtId="0" fontId="18" fillId="0" borderId="57" xfId="86" applyFont="1" applyBorder="1" applyAlignment="1">
      <alignment/>
      <protection/>
    </xf>
    <xf numFmtId="0" fontId="18" fillId="0" borderId="95" xfId="86" applyFont="1" applyBorder="1" applyAlignment="1">
      <alignment/>
      <protection/>
    </xf>
    <xf numFmtId="0" fontId="18" fillId="0" borderId="96" xfId="86" applyFont="1" applyBorder="1" applyAlignment="1">
      <alignment/>
      <protection/>
    </xf>
    <xf numFmtId="3" fontId="43" fillId="0" borderId="81" xfId="86" applyNumberFormat="1" applyFont="1" applyBorder="1" applyAlignment="1">
      <alignment horizontal="center" vertical="center" wrapText="1"/>
      <protection/>
    </xf>
    <xf numFmtId="0" fontId="18" fillId="0" borderId="82" xfId="86" applyFont="1" applyBorder="1" applyAlignment="1">
      <alignment horizontal="center"/>
      <protection/>
    </xf>
    <xf numFmtId="0" fontId="18" fillId="0" borderId="33" xfId="86" applyFont="1" applyBorder="1" applyAlignment="1">
      <alignment horizontal="center"/>
      <protection/>
    </xf>
    <xf numFmtId="0" fontId="18" fillId="0" borderId="34" xfId="86" applyFont="1" applyBorder="1" applyAlignment="1">
      <alignment horizontal="center"/>
      <protection/>
    </xf>
    <xf numFmtId="0" fontId="1" fillId="10" borderId="78" xfId="86" applyFont="1" applyFill="1" applyBorder="1" applyAlignment="1">
      <alignment vertical="center" wrapText="1"/>
      <protection/>
    </xf>
    <xf numFmtId="0" fontId="2" fillId="0" borderId="67" xfId="86" applyFont="1" applyBorder="1" applyAlignment="1">
      <alignment vertical="center" wrapText="1"/>
      <protection/>
    </xf>
    <xf numFmtId="0" fontId="1" fillId="10" borderId="90" xfId="86" applyFont="1" applyFill="1" applyBorder="1" applyAlignment="1">
      <alignment vertical="center" wrapText="1"/>
      <protection/>
    </xf>
    <xf numFmtId="0" fontId="2" fillId="10" borderId="74" xfId="86" applyFont="1" applyFill="1" applyBorder="1" applyAlignment="1">
      <alignment vertical="center" wrapText="1"/>
      <protection/>
    </xf>
    <xf numFmtId="0" fontId="1" fillId="42" borderId="80" xfId="86" applyFont="1" applyFill="1" applyBorder="1" applyAlignment="1">
      <alignment horizontal="left" vertical="center" wrapText="1"/>
      <protection/>
    </xf>
    <xf numFmtId="0" fontId="1" fillId="42" borderId="35" xfId="86" applyFont="1" applyFill="1" applyBorder="1" applyAlignment="1">
      <alignment horizontal="left" vertical="center" wrapText="1"/>
      <protection/>
    </xf>
    <xf numFmtId="0" fontId="43" fillId="0" borderId="83" xfId="86" applyFont="1" applyBorder="1" applyAlignment="1" applyProtection="1">
      <alignment horizontal="left" vertical="center" wrapText="1"/>
      <protection/>
    </xf>
    <xf numFmtId="0" fontId="43" fillId="0" borderId="84" xfId="86" applyFont="1" applyBorder="1" applyAlignment="1" applyProtection="1">
      <alignment horizontal="left" vertical="center" wrapText="1"/>
      <protection/>
    </xf>
    <xf numFmtId="0" fontId="43" fillId="0" borderId="85" xfId="86" applyFont="1" applyBorder="1" applyAlignment="1" applyProtection="1">
      <alignment horizontal="left" vertical="center" wrapText="1"/>
      <protection/>
    </xf>
    <xf numFmtId="0" fontId="1" fillId="10" borderId="71" xfId="86" applyFont="1" applyFill="1" applyBorder="1" applyAlignment="1">
      <alignment horizontal="left" vertical="center" wrapText="1"/>
      <protection/>
    </xf>
    <xf numFmtId="0" fontId="1" fillId="10" borderId="36" xfId="86" applyFont="1" applyFill="1" applyBorder="1" applyAlignment="1">
      <alignment horizontal="left" vertical="center" wrapText="1"/>
      <protection/>
    </xf>
    <xf numFmtId="0" fontId="2" fillId="0" borderId="48" xfId="0" applyFont="1" applyBorder="1" applyAlignment="1">
      <alignment horizontal="left"/>
    </xf>
    <xf numFmtId="0" fontId="3" fillId="0" borderId="67" xfId="0" applyFont="1" applyBorder="1" applyAlignment="1">
      <alignment horizontal="center" vertical="center" wrapText="1"/>
    </xf>
  </cellXfs>
  <cellStyles count="14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Čiarka 2" xfId="61"/>
    <cellStyle name="čiarky 2" xfId="62"/>
    <cellStyle name="Dobrá" xfId="63"/>
    <cellStyle name="Explanatory Text" xfId="64"/>
    <cellStyle name="Good" xfId="65"/>
    <cellStyle name="Heading 1" xfId="66"/>
    <cellStyle name="Heading 2" xfId="67"/>
    <cellStyle name="Heading 3" xfId="68"/>
    <cellStyle name="Heading 4" xfId="69"/>
    <cellStyle name="Hyperlink" xfId="70"/>
    <cellStyle name="Check Cell" xfId="71"/>
    <cellStyle name="Input" xfId="72"/>
    <cellStyle name="Kontrolná bunka" xfId="73"/>
    <cellStyle name="Linked Cell" xfId="74"/>
    <cellStyle name="Currency" xfId="75"/>
    <cellStyle name="Currency [0]" xfId="76"/>
    <cellStyle name="Nadpis 1" xfId="77"/>
    <cellStyle name="Nadpis 2" xfId="78"/>
    <cellStyle name="Nadpis 3" xfId="79"/>
    <cellStyle name="Nadpis 4" xfId="80"/>
    <cellStyle name="Neutral" xfId="81"/>
    <cellStyle name="Neutrálna" xfId="82"/>
    <cellStyle name="Normálna 2" xfId="83"/>
    <cellStyle name="Normálna 6" xfId="84"/>
    <cellStyle name="normálne 2" xfId="85"/>
    <cellStyle name="normálne 3" xfId="86"/>
    <cellStyle name="normálne 4" xfId="87"/>
    <cellStyle name="Normálne 5" xfId="88"/>
    <cellStyle name="Normálne 5 2" xfId="89"/>
    <cellStyle name="normálne_Databazy_VVŠ_2007_ severská" xfId="90"/>
    <cellStyle name="normálne_sprava_VVŠ_2004_tabuľky_vláda" xfId="91"/>
    <cellStyle name="normální_List1" xfId="92"/>
    <cellStyle name="Note" xfId="93"/>
    <cellStyle name="Note 2" xfId="94"/>
    <cellStyle name="Output" xfId="95"/>
    <cellStyle name="Percent" xfId="96"/>
    <cellStyle name="Followed Hyperlink" xfId="97"/>
    <cellStyle name="Poznámka" xfId="98"/>
    <cellStyle name="Prepojená bunka" xfId="99"/>
    <cellStyle name="SAPBEXaggData" xfId="100"/>
    <cellStyle name="SAPBEXaggDataEmph" xfId="101"/>
    <cellStyle name="SAPBEXaggItem" xfId="102"/>
    <cellStyle name="SAPBEXaggItemX" xfId="103"/>
    <cellStyle name="SAPBEXexcBad7" xfId="104"/>
    <cellStyle name="SAPBEXexcBad8" xfId="105"/>
    <cellStyle name="SAPBEXexcBad9" xfId="106"/>
    <cellStyle name="SAPBEXexcCritical4" xfId="107"/>
    <cellStyle name="SAPBEXexcCritical5" xfId="108"/>
    <cellStyle name="SAPBEXexcCritical6" xfId="109"/>
    <cellStyle name="SAPBEXexcGood1" xfId="110"/>
    <cellStyle name="SAPBEXexcGood2" xfId="111"/>
    <cellStyle name="SAPBEXexcGood3" xfId="112"/>
    <cellStyle name="SAPBEXfilterDrill" xfId="113"/>
    <cellStyle name="SAPBEXfilterItem" xfId="114"/>
    <cellStyle name="SAPBEXfilterText" xfId="115"/>
    <cellStyle name="SAPBEXformats" xfId="116"/>
    <cellStyle name="SAPBEXheaderItem" xfId="117"/>
    <cellStyle name="SAPBEXheaderText" xfId="118"/>
    <cellStyle name="SAPBEXHLevel0" xfId="119"/>
    <cellStyle name="SAPBEXHLevel0X" xfId="120"/>
    <cellStyle name="SAPBEXHLevel1" xfId="121"/>
    <cellStyle name="SAPBEXHLevel1X" xfId="122"/>
    <cellStyle name="SAPBEXHLevel2" xfId="123"/>
    <cellStyle name="SAPBEXHLevel2X" xfId="124"/>
    <cellStyle name="SAPBEXHLevel3" xfId="125"/>
    <cellStyle name="SAPBEXHLevel3X" xfId="126"/>
    <cellStyle name="SAPBEXchaText" xfId="127"/>
    <cellStyle name="SAPBEXresData" xfId="128"/>
    <cellStyle name="SAPBEXresDataEmph" xfId="129"/>
    <cellStyle name="SAPBEXresItem" xfId="130"/>
    <cellStyle name="SAPBEXresItemX" xfId="131"/>
    <cellStyle name="SAPBEXstdData" xfId="132"/>
    <cellStyle name="SAPBEXstdDataEmph" xfId="133"/>
    <cellStyle name="SAPBEXstdItem" xfId="134"/>
    <cellStyle name="SAPBEXstdItemX" xfId="135"/>
    <cellStyle name="SAPBEXtitle" xfId="136"/>
    <cellStyle name="SAPBEXundefined" xfId="137"/>
    <cellStyle name="Spolu" xfId="138"/>
    <cellStyle name="Text upozornenia" xfId="139"/>
    <cellStyle name="Title" xfId="140"/>
    <cellStyle name="Titul" xfId="141"/>
    <cellStyle name="Total" xfId="142"/>
    <cellStyle name="Vstup" xfId="143"/>
    <cellStyle name="Výpočet" xfId="144"/>
    <cellStyle name="Výstup" xfId="145"/>
    <cellStyle name="Vysvetľujúci text" xfId="146"/>
    <cellStyle name="Warning Text" xfId="147"/>
    <cellStyle name="Zlá" xfId="148"/>
    <cellStyle name="Zvýraznenie1" xfId="149"/>
    <cellStyle name="Zvýraznenie2" xfId="150"/>
    <cellStyle name="Zvýraznenie3" xfId="151"/>
    <cellStyle name="Zvýraznenie4" xfId="152"/>
    <cellStyle name="Zvýraznenie5" xfId="153"/>
    <cellStyle name="Zvýraznenie6"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Zd_SFaR\Zd_OFV&#352;\ROK_2012\V&#253;ro&#269;n&#233;_spr&#225;vy_2011\Tabu&#318;ky%20VS_VV&#352;_2011_UVM_P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in-VS\Rok_2007\Vyro&#269;n&#233;_spr&#225;vy_2006\VV&#353;_Data\Databazy_VV&#352;_2006_%20seversk&#22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Zd_SFaR\Zd_OFV&#352;\ROK_2012\V&#253;ro&#269;n&#233;_spr&#225;vy_2011\Tabu&#318;ky%20VS_VV&#352;_2011_UVM_P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9_ŠD "/>
      <sheetName val="T10-ŠJ "/>
      <sheetName val="T11-Zdroje KV"/>
      <sheetName val="T12-KV"/>
      <sheetName val="T13 - Fondy"/>
      <sheetName val="T16 - Štruktúra hotovosti"/>
      <sheetName val="T17-Dotácie z ESF"/>
      <sheetName val="T18-Ostatné dotacie z kap MŠ SR"/>
      <sheetName val="T19-Štip_ z vlastných "/>
      <sheetName val="T20_motivačné štipendiá_nová"/>
      <sheetName val="T21-štruktúra_384"/>
      <sheetName val="T22_Výnosy_soc_oblasť"/>
      <sheetName val="T23_Náklady_soc_oblasť"/>
      <sheetName val="T24a_Aktíva_1"/>
      <sheetName val="T24b_Aktíva_2"/>
      <sheetName val="T25_Pasíva "/>
      <sheetName val="T24__Aktív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_18_soc. štip_2005_2007"/>
      <sheetName val="T19 - Ubytovacia_kapacita"/>
      <sheetName val="T_20a_Súvaha_A_2007"/>
      <sheetName val="T24_Náklady_2007"/>
      <sheetName val="T25 - Náklady_porovnanie"/>
      <sheetName val="T_26_HV_2007"/>
      <sheetName val="T23 - Výnosy_porovnanie"/>
      <sheetName val="T_20b_Súvaha_P_2007"/>
      <sheetName val="T_25_soc. štip_2006"/>
      <sheetName val="T_26_ubytov. kapacity_2006"/>
      <sheetName val="T_32_Výnosy_soc.star._2006"/>
      <sheetName val="T_33_Náklady_soc. star._2007"/>
      <sheetName val="T_34_HV_ soc. star._2007"/>
      <sheetName val="T_29_Výnosy_2006"/>
      <sheetName val="T_30_Náklady_2006"/>
      <sheetName val="T_31_HV_2006"/>
      <sheetName val="T_27a_Súvaha_A_2006"/>
      <sheetName val="T_27b_Súvaha_P_2006"/>
      <sheetName val="Databáza_T8"/>
      <sheetName val="KT_8"/>
      <sheetName val="Databáta_T9"/>
      <sheetName val="KT_9"/>
      <sheetName val="Databáza_T10"/>
      <sheetName val="KT_10"/>
      <sheetName val="Databáza_T19"/>
      <sheetName val="KT_19"/>
      <sheetName val="Databáza_T20"/>
      <sheetName val="KT_20"/>
      <sheetName val="T_33_Náklady_soc. star._2006"/>
      <sheetName val="T_34_HV_ soc. star._200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bsah"/>
      <sheetName val="zmeny"/>
      <sheetName val="Vysvetlivky"/>
      <sheetName val="Súvzťažnosti"/>
      <sheetName val="T1-Dotácie podľa DZ"/>
      <sheetName val="T2-Ostatné dot mimo MŠ SR"/>
      <sheetName val="T3-Výnosy"/>
      <sheetName val="T4-Výnosy zo školného"/>
      <sheetName val="T5 - Analýza nákladov"/>
      <sheetName val="T6-Zamestnanci_a_mzdy"/>
      <sheetName val="T7_Doktorandi-upr "/>
      <sheetName val="T8-Soc_štipendiá"/>
      <sheetName val="T9_ŠD "/>
      <sheetName val="T10-ŠJ "/>
      <sheetName val="T11-Zdroje KV"/>
      <sheetName val="T12-KV"/>
      <sheetName val="T13 - Fondy"/>
      <sheetName val="T16 - Štruktúra hotovosti"/>
      <sheetName val="T17-Dotácie z ESF"/>
      <sheetName val="T18-Ostatné dotacie z kap MŠ SR"/>
      <sheetName val="T19-Štip_ z vlastných "/>
      <sheetName val="T20_motivačné štipendiá_nová"/>
      <sheetName val="T21-štruktúra_384"/>
      <sheetName val="T22_Výnosy_soc_oblasť"/>
      <sheetName val="T23_Náklady_soc_oblasť"/>
      <sheetName val="T24a_Aktíva_1"/>
      <sheetName val="T24b_Aktíva_2"/>
      <sheetName val="T25_Pasíva "/>
      <sheetName val="T24__Aktív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E2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26" sqref="B26"/>
    </sheetView>
  </sheetViews>
  <sheetFormatPr defaultColWidth="9.140625" defaultRowHeight="12.75"/>
  <cols>
    <col min="1" max="1" width="9.140625" style="24" customWidth="1"/>
    <col min="2" max="2" width="77.8515625" style="49" customWidth="1"/>
    <col min="3" max="5" width="17.421875" style="19" customWidth="1"/>
    <col min="6" max="6" width="12.421875" style="19" customWidth="1"/>
    <col min="7" max="16384" width="9.140625" style="19" customWidth="1"/>
  </cols>
  <sheetData>
    <row r="1" spans="1:5" s="18" customFormat="1" ht="87" customHeight="1">
      <c r="A1" s="621" t="s">
        <v>852</v>
      </c>
      <c r="B1" s="622"/>
      <c r="C1" s="622"/>
      <c r="D1" s="622"/>
      <c r="E1" s="623"/>
    </row>
    <row r="2" spans="1:5" s="18" customFormat="1" ht="34.5" customHeight="1">
      <c r="A2" s="624" t="s">
        <v>951</v>
      </c>
      <c r="B2" s="625"/>
      <c r="C2" s="625"/>
      <c r="D2" s="625"/>
      <c r="E2" s="626"/>
    </row>
    <row r="3" spans="1:5" ht="43.5" customHeight="1">
      <c r="A3" s="30" t="s">
        <v>149</v>
      </c>
      <c r="B3" s="45" t="s">
        <v>148</v>
      </c>
      <c r="C3" s="14" t="s">
        <v>214</v>
      </c>
      <c r="D3" s="14" t="s">
        <v>215</v>
      </c>
      <c r="E3" s="35" t="s">
        <v>153</v>
      </c>
    </row>
    <row r="4" spans="1:5" ht="17.25" customHeight="1">
      <c r="A4" s="31"/>
      <c r="B4" s="45"/>
      <c r="C4" s="37" t="s">
        <v>199</v>
      </c>
      <c r="D4" s="37" t="s">
        <v>200</v>
      </c>
      <c r="E4" s="38" t="s">
        <v>14</v>
      </c>
    </row>
    <row r="5" spans="1:5" ht="15.75">
      <c r="A5" s="31">
        <v>1</v>
      </c>
      <c r="B5" s="45" t="s">
        <v>265</v>
      </c>
      <c r="C5" s="50">
        <f>C6</f>
        <v>14607110</v>
      </c>
      <c r="D5" s="50">
        <f>D6</f>
        <v>1920000</v>
      </c>
      <c r="E5" s="51">
        <f>C5+D5</f>
        <v>16527110</v>
      </c>
    </row>
    <row r="6" spans="1:5" ht="15.75">
      <c r="A6" s="31">
        <f>A5+1</f>
        <v>2</v>
      </c>
      <c r="B6" s="27" t="s">
        <v>181</v>
      </c>
      <c r="C6" s="52">
        <v>14607110</v>
      </c>
      <c r="D6" s="52">
        <v>1920000</v>
      </c>
      <c r="E6" s="51">
        <f>C6+D6</f>
        <v>16527110</v>
      </c>
    </row>
    <row r="7" spans="1:5" ht="15.75" customHeight="1">
      <c r="A7" s="31">
        <f>A6+1</f>
        <v>3</v>
      </c>
      <c r="B7" s="45" t="s">
        <v>266</v>
      </c>
      <c r="C7" s="50">
        <f>C8+C9+C10+C11+C12</f>
        <v>9407510</v>
      </c>
      <c r="D7" s="50">
        <f>D8+D9+D10+D11+D12</f>
        <v>200000</v>
      </c>
      <c r="E7" s="51">
        <f>C7+D7</f>
        <v>9607510</v>
      </c>
    </row>
    <row r="8" spans="1:5" ht="15.75">
      <c r="A8" s="31">
        <f aca="true" t="shared" si="0" ref="A8:A19">A7+1</f>
        <v>4</v>
      </c>
      <c r="B8" s="27" t="s">
        <v>182</v>
      </c>
      <c r="C8" s="52">
        <v>8543509</v>
      </c>
      <c r="D8" s="52">
        <v>200000</v>
      </c>
      <c r="E8" s="51">
        <f>C8+D8</f>
        <v>8743509</v>
      </c>
    </row>
    <row r="9" spans="1:5" ht="15.75">
      <c r="A9" s="31">
        <f t="shared" si="0"/>
        <v>5</v>
      </c>
      <c r="B9" s="27" t="s">
        <v>183</v>
      </c>
      <c r="C9" s="52">
        <v>777654</v>
      </c>
      <c r="D9" s="52"/>
      <c r="E9" s="51">
        <f>C9+D9</f>
        <v>777654</v>
      </c>
    </row>
    <row r="10" spans="1:5" ht="15.75">
      <c r="A10" s="31">
        <f t="shared" si="0"/>
        <v>6</v>
      </c>
      <c r="B10" s="27" t="s">
        <v>184</v>
      </c>
      <c r="C10" s="52"/>
      <c r="D10" s="52"/>
      <c r="E10" s="51">
        <f aca="true" t="shared" si="1" ref="E10:E19">C10+D10</f>
        <v>0</v>
      </c>
    </row>
    <row r="11" spans="1:5" ht="15.75">
      <c r="A11" s="31">
        <f t="shared" si="0"/>
        <v>7</v>
      </c>
      <c r="B11" s="27" t="s">
        <v>185</v>
      </c>
      <c r="C11" s="52"/>
      <c r="D11" s="52"/>
      <c r="E11" s="51">
        <f t="shared" si="1"/>
        <v>0</v>
      </c>
    </row>
    <row r="12" spans="1:5" ht="15.75">
      <c r="A12" s="31">
        <f t="shared" si="0"/>
        <v>8</v>
      </c>
      <c r="B12" s="27" t="s">
        <v>107</v>
      </c>
      <c r="C12" s="52">
        <v>86347</v>
      </c>
      <c r="D12" s="52"/>
      <c r="E12" s="51">
        <f t="shared" si="1"/>
        <v>86347</v>
      </c>
    </row>
    <row r="13" spans="1:5" ht="15.75" customHeight="1">
      <c r="A13" s="31">
        <f t="shared" si="0"/>
        <v>9</v>
      </c>
      <c r="B13" s="45" t="s">
        <v>267</v>
      </c>
      <c r="C13" s="50">
        <f>C14</f>
        <v>0</v>
      </c>
      <c r="D13" s="50">
        <f>D14</f>
        <v>0</v>
      </c>
      <c r="E13" s="51">
        <f t="shared" si="1"/>
        <v>0</v>
      </c>
    </row>
    <row r="14" spans="1:5" ht="15.75">
      <c r="A14" s="31">
        <f t="shared" si="0"/>
        <v>10</v>
      </c>
      <c r="B14" s="27" t="s">
        <v>108</v>
      </c>
      <c r="C14" s="52"/>
      <c r="D14" s="52"/>
      <c r="E14" s="51">
        <f t="shared" si="1"/>
        <v>0</v>
      </c>
    </row>
    <row r="15" spans="1:5" ht="15.75">
      <c r="A15" s="31">
        <f t="shared" si="0"/>
        <v>11</v>
      </c>
      <c r="B15" s="45" t="s">
        <v>268</v>
      </c>
      <c r="C15" s="50">
        <f>SUM(C16:C18)</f>
        <v>2327743</v>
      </c>
      <c r="D15" s="50">
        <f>SUM(D16:D18)</f>
        <v>0</v>
      </c>
      <c r="E15" s="51">
        <f t="shared" si="1"/>
        <v>2327743</v>
      </c>
    </row>
    <row r="16" spans="1:5" ht="15.75">
      <c r="A16" s="31">
        <f t="shared" si="0"/>
        <v>12</v>
      </c>
      <c r="B16" s="27" t="s">
        <v>109</v>
      </c>
      <c r="C16" s="52">
        <v>1132464</v>
      </c>
      <c r="D16" s="52"/>
      <c r="E16" s="51">
        <f t="shared" si="1"/>
        <v>1132464</v>
      </c>
    </row>
    <row r="17" spans="1:5" ht="15.75">
      <c r="A17" s="31">
        <f t="shared" si="0"/>
        <v>13</v>
      </c>
      <c r="B17" s="27" t="s">
        <v>110</v>
      </c>
      <c r="C17" s="52">
        <v>372025</v>
      </c>
      <c r="D17" s="52"/>
      <c r="E17" s="51">
        <f t="shared" si="1"/>
        <v>372025</v>
      </c>
    </row>
    <row r="18" spans="1:5" ht="15.75">
      <c r="A18" s="31">
        <f t="shared" si="0"/>
        <v>14</v>
      </c>
      <c r="B18" s="27" t="s">
        <v>111</v>
      </c>
      <c r="C18" s="52">
        <v>823254</v>
      </c>
      <c r="D18" s="52"/>
      <c r="E18" s="51">
        <f t="shared" si="1"/>
        <v>823254</v>
      </c>
    </row>
    <row r="19" spans="1:5" ht="16.5" thickBot="1">
      <c r="A19" s="32">
        <f t="shared" si="0"/>
        <v>15</v>
      </c>
      <c r="B19" s="47" t="s">
        <v>269</v>
      </c>
      <c r="C19" s="53">
        <f>C5+C7+C13+C15</f>
        <v>26342363</v>
      </c>
      <c r="D19" s="53">
        <f>D5+D7+D13+D15</f>
        <v>2120000</v>
      </c>
      <c r="E19" s="54">
        <f t="shared" si="1"/>
        <v>28462363</v>
      </c>
    </row>
    <row r="20" spans="1:4" ht="15.75">
      <c r="A20" s="20"/>
      <c r="B20" s="48"/>
      <c r="C20" s="627"/>
      <c r="D20" s="627"/>
    </row>
    <row r="21" spans="1:2" ht="15.75">
      <c r="A21" s="23"/>
      <c r="B21" s="122"/>
    </row>
    <row r="23" ht="15.75">
      <c r="B23" s="49" t="s">
        <v>112</v>
      </c>
    </row>
  </sheetData>
  <sheetProtection selectLockedCells="1"/>
  <protectedRanges>
    <protectedRange sqref="C8:D12 C16 C14:D14 C6:D6 C18" name="Rozsah2"/>
    <protectedRange sqref="C19:D19" name="Rozsah1"/>
  </protectedRanges>
  <mergeCells count="3">
    <mergeCell ref="A1:E1"/>
    <mergeCell ref="A2:E2"/>
    <mergeCell ref="C20:D20"/>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1:H25"/>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H17" sqref="H17"/>
    </sheetView>
  </sheetViews>
  <sheetFormatPr defaultColWidth="9.140625" defaultRowHeight="12.75"/>
  <cols>
    <col min="1" max="1" width="8.28125" style="87" customWidth="1"/>
    <col min="2" max="2" width="77.7109375" style="87" customWidth="1"/>
    <col min="3" max="6" width="14.7109375" style="87" customWidth="1"/>
    <col min="7" max="16384" width="9.140625" style="87" customWidth="1"/>
  </cols>
  <sheetData>
    <row r="1" spans="1:8" ht="49.5" customHeight="1">
      <c r="A1" s="621" t="s">
        <v>874</v>
      </c>
      <c r="B1" s="729"/>
      <c r="C1" s="729"/>
      <c r="D1" s="729"/>
      <c r="E1" s="729"/>
      <c r="F1" s="730"/>
      <c r="H1" s="112"/>
    </row>
    <row r="2" spans="1:6" ht="33" customHeight="1">
      <c r="A2" s="624" t="s">
        <v>1006</v>
      </c>
      <c r="B2" s="625"/>
      <c r="C2" s="625"/>
      <c r="D2" s="625"/>
      <c r="E2" s="625"/>
      <c r="F2" s="626"/>
    </row>
    <row r="3" spans="1:6" ht="18.75" customHeight="1">
      <c r="A3" s="722" t="s">
        <v>149</v>
      </c>
      <c r="B3" s="674" t="s">
        <v>234</v>
      </c>
      <c r="C3" s="673" t="s">
        <v>791</v>
      </c>
      <c r="D3" s="673"/>
      <c r="E3" s="673" t="s">
        <v>256</v>
      </c>
      <c r="F3" s="732"/>
    </row>
    <row r="4" spans="1:6" ht="18.75" customHeight="1">
      <c r="A4" s="731"/>
      <c r="B4" s="674"/>
      <c r="C4" s="94">
        <v>2013</v>
      </c>
      <c r="D4" s="94">
        <v>2014</v>
      </c>
      <c r="E4" s="14">
        <v>2013</v>
      </c>
      <c r="F4" s="29">
        <v>2014</v>
      </c>
    </row>
    <row r="5" spans="1:6" ht="15.75">
      <c r="A5" s="31"/>
      <c r="B5" s="84"/>
      <c r="C5" s="25" t="s">
        <v>199</v>
      </c>
      <c r="D5" s="25" t="s">
        <v>200</v>
      </c>
      <c r="E5" s="36" t="s">
        <v>201</v>
      </c>
      <c r="F5" s="86" t="s">
        <v>207</v>
      </c>
    </row>
    <row r="6" spans="1:7" ht="31.5">
      <c r="A6" s="31">
        <v>1</v>
      </c>
      <c r="B6" s="45" t="s">
        <v>710</v>
      </c>
      <c r="C6" s="583" t="s">
        <v>221</v>
      </c>
      <c r="D6" s="583" t="s">
        <v>221</v>
      </c>
      <c r="E6" s="139">
        <v>1951</v>
      </c>
      <c r="F6" s="152">
        <v>1951</v>
      </c>
      <c r="G6" s="330"/>
    </row>
    <row r="7" spans="1:6" ht="37.5">
      <c r="A7" s="31">
        <f>A6+1</f>
        <v>2</v>
      </c>
      <c r="B7" s="64" t="s">
        <v>248</v>
      </c>
      <c r="C7" s="583" t="s">
        <v>221</v>
      </c>
      <c r="D7" s="583" t="s">
        <v>221</v>
      </c>
      <c r="E7" s="139">
        <v>19380</v>
      </c>
      <c r="F7" s="152">
        <v>19470</v>
      </c>
    </row>
    <row r="8" spans="1:6" ht="15.75">
      <c r="A8" s="31">
        <v>3</v>
      </c>
      <c r="B8" s="80" t="s">
        <v>186</v>
      </c>
      <c r="C8" s="583" t="s">
        <v>221</v>
      </c>
      <c r="D8" s="583" t="s">
        <v>221</v>
      </c>
      <c r="E8" s="61">
        <v>1615</v>
      </c>
      <c r="F8" s="137">
        <f>F7/12</f>
        <v>1622.5</v>
      </c>
    </row>
    <row r="9" spans="1:6" ht="31.5">
      <c r="A9" s="31">
        <f aca="true" t="shared" si="0" ref="A9:A18">A8+1</f>
        <v>4</v>
      </c>
      <c r="B9" s="64" t="s">
        <v>259</v>
      </c>
      <c r="C9" s="52">
        <v>731480.04</v>
      </c>
      <c r="D9" s="83">
        <v>724945.44</v>
      </c>
      <c r="E9" s="583" t="s">
        <v>221</v>
      </c>
      <c r="F9" s="584" t="s">
        <v>221</v>
      </c>
    </row>
    <row r="10" spans="1:6" ht="31.5">
      <c r="A10" s="31">
        <f t="shared" si="0"/>
        <v>5</v>
      </c>
      <c r="B10" s="64" t="s">
        <v>271</v>
      </c>
      <c r="C10" s="52">
        <v>35113.54</v>
      </c>
      <c r="D10" s="52">
        <v>46100</v>
      </c>
      <c r="E10" s="52">
        <v>570</v>
      </c>
      <c r="F10" s="585">
        <v>760</v>
      </c>
    </row>
    <row r="11" spans="1:7" ht="31.5">
      <c r="A11" s="31">
        <f t="shared" si="0"/>
        <v>6</v>
      </c>
      <c r="B11" s="64" t="s">
        <v>192</v>
      </c>
      <c r="C11" s="139">
        <v>712423</v>
      </c>
      <c r="D11" s="139">
        <v>706376</v>
      </c>
      <c r="E11" s="583" t="s">
        <v>221</v>
      </c>
      <c r="F11" s="584" t="s">
        <v>221</v>
      </c>
      <c r="G11" s="330"/>
    </row>
    <row r="12" spans="1:6" ht="15.75">
      <c r="A12" s="31">
        <f t="shared" si="0"/>
        <v>7</v>
      </c>
      <c r="B12" s="64" t="s">
        <v>257</v>
      </c>
      <c r="C12" s="52">
        <v>10067.96</v>
      </c>
      <c r="D12" s="52">
        <v>9452.68</v>
      </c>
      <c r="E12" s="583" t="s">
        <v>221</v>
      </c>
      <c r="F12" s="584" t="s">
        <v>221</v>
      </c>
    </row>
    <row r="13" spans="1:6" ht="15.75">
      <c r="A13" s="31">
        <f t="shared" si="0"/>
        <v>8</v>
      </c>
      <c r="B13" s="64" t="s">
        <v>272</v>
      </c>
      <c r="C13" s="61">
        <v>1489084.54</v>
      </c>
      <c r="D13" s="61">
        <f>SUM(D9:D12)</f>
        <v>1486874.1199999999</v>
      </c>
      <c r="E13" s="583" t="s">
        <v>221</v>
      </c>
      <c r="F13" s="584" t="s">
        <v>221</v>
      </c>
    </row>
    <row r="14" spans="1:6" ht="15.75">
      <c r="A14" s="31">
        <f t="shared" si="0"/>
        <v>9</v>
      </c>
      <c r="B14" s="64" t="s">
        <v>273</v>
      </c>
      <c r="C14" s="61">
        <v>1341424.19</v>
      </c>
      <c r="D14" s="61">
        <f>D15+D16</f>
        <v>1354045.49</v>
      </c>
      <c r="E14" s="583" t="s">
        <v>221</v>
      </c>
      <c r="F14" s="584" t="s">
        <v>221</v>
      </c>
    </row>
    <row r="15" spans="1:6" ht="15.75">
      <c r="A15" s="31">
        <f t="shared" si="0"/>
        <v>10</v>
      </c>
      <c r="B15" s="46" t="s">
        <v>26</v>
      </c>
      <c r="C15" s="52">
        <v>452606.23</v>
      </c>
      <c r="D15" s="52">
        <v>487588.39</v>
      </c>
      <c r="E15" s="583" t="s">
        <v>221</v>
      </c>
      <c r="F15" s="584" t="s">
        <v>221</v>
      </c>
    </row>
    <row r="16" spans="1:6" ht="15.75">
      <c r="A16" s="31">
        <f t="shared" si="0"/>
        <v>11</v>
      </c>
      <c r="B16" s="46" t="s">
        <v>27</v>
      </c>
      <c r="C16" s="52">
        <v>888817.96</v>
      </c>
      <c r="D16" s="52">
        <v>866457.1</v>
      </c>
      <c r="E16" s="583" t="s">
        <v>221</v>
      </c>
      <c r="F16" s="584" t="s">
        <v>221</v>
      </c>
    </row>
    <row r="17" spans="1:6" ht="31.5">
      <c r="A17" s="31">
        <f t="shared" si="0"/>
        <v>12</v>
      </c>
      <c r="B17" s="64" t="s">
        <v>274</v>
      </c>
      <c r="C17" s="61">
        <v>147660.3500000001</v>
      </c>
      <c r="D17" s="61">
        <f>+D13-D14</f>
        <v>132828.6299999999</v>
      </c>
      <c r="E17" s="583" t="s">
        <v>221</v>
      </c>
      <c r="F17" s="584" t="s">
        <v>221</v>
      </c>
    </row>
    <row r="18" spans="1:6" ht="16.5" thickBot="1">
      <c r="A18" s="32">
        <f t="shared" si="0"/>
        <v>13</v>
      </c>
      <c r="B18" s="92" t="s">
        <v>275</v>
      </c>
      <c r="C18" s="62">
        <v>830.603213622291</v>
      </c>
      <c r="D18" s="62">
        <f>IF(F8=0,0,D14/F8)</f>
        <v>834.5426748844376</v>
      </c>
      <c r="E18" s="586" t="s">
        <v>221</v>
      </c>
      <c r="F18" s="587" t="s">
        <v>221</v>
      </c>
    </row>
    <row r="20" spans="1:6" ht="15">
      <c r="A20" s="707" t="s">
        <v>258</v>
      </c>
      <c r="B20" s="708"/>
      <c r="C20" s="708"/>
      <c r="D20" s="708"/>
      <c r="E20" s="708"/>
      <c r="F20" s="709"/>
    </row>
    <row r="21" spans="1:6" ht="35.25" customHeight="1">
      <c r="A21" s="726" t="s">
        <v>42</v>
      </c>
      <c r="B21" s="727"/>
      <c r="C21" s="727"/>
      <c r="D21" s="727"/>
      <c r="E21" s="727"/>
      <c r="F21" s="728"/>
    </row>
    <row r="25" ht="12.75">
      <c r="F25" s="330"/>
    </row>
  </sheetData>
  <sheetProtection/>
  <mergeCells count="8">
    <mergeCell ref="A21:F21"/>
    <mergeCell ref="A1:F1"/>
    <mergeCell ref="A3:A4"/>
    <mergeCell ref="B3:B4"/>
    <mergeCell ref="C3:D3"/>
    <mergeCell ref="E3:F3"/>
    <mergeCell ref="A2:F2"/>
    <mergeCell ref="A20:F20"/>
  </mergeCells>
  <printOptions/>
  <pageMargins left="0.66" right="0.45" top="0.984251968503937" bottom="0.77" header="0.5118110236220472" footer="0.5118110236220472"/>
  <pageSetup fitToHeight="1" fitToWidth="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K2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E42" sqref="E42"/>
    </sheetView>
  </sheetViews>
  <sheetFormatPr defaultColWidth="9.140625" defaultRowHeight="12.75"/>
  <cols>
    <col min="1" max="1" width="8.140625" style="344" customWidth="1"/>
    <col min="2" max="2" width="94.00390625" style="366" customWidth="1"/>
    <col min="3" max="3" width="18.7109375" style="344" customWidth="1"/>
    <col min="4" max="4" width="18.57421875" style="344" customWidth="1"/>
    <col min="5" max="5" width="11.421875" style="345" customWidth="1"/>
    <col min="6" max="16384" width="9.140625" style="344" customWidth="1"/>
  </cols>
  <sheetData>
    <row r="1" spans="1:5" ht="49.5" customHeight="1" thickBot="1">
      <c r="A1" s="733" t="s">
        <v>875</v>
      </c>
      <c r="B1" s="734"/>
      <c r="C1" s="734"/>
      <c r="D1" s="735"/>
      <c r="E1" s="343"/>
    </row>
    <row r="2" spans="1:4" ht="29.25" customHeight="1">
      <c r="A2" s="736" t="s">
        <v>1007</v>
      </c>
      <c r="B2" s="737"/>
      <c r="C2" s="737"/>
      <c r="D2" s="738"/>
    </row>
    <row r="3" spans="1:4" ht="33" customHeight="1">
      <c r="A3" s="346" t="s">
        <v>149</v>
      </c>
      <c r="B3" s="347" t="s">
        <v>234</v>
      </c>
      <c r="C3" s="348">
        <v>2013</v>
      </c>
      <c r="D3" s="349">
        <v>2014</v>
      </c>
    </row>
    <row r="4" spans="1:4" ht="15.75">
      <c r="A4" s="350"/>
      <c r="B4" s="351"/>
      <c r="C4" s="352" t="s">
        <v>199</v>
      </c>
      <c r="D4" s="384" t="s">
        <v>200</v>
      </c>
    </row>
    <row r="5" spans="1:4" ht="18.75">
      <c r="A5" s="353">
        <v>1</v>
      </c>
      <c r="B5" s="354" t="s">
        <v>193</v>
      </c>
      <c r="C5" s="571">
        <v>208138.32</v>
      </c>
      <c r="D5" s="385">
        <f>D6+D9</f>
        <v>265841.17000000004</v>
      </c>
    </row>
    <row r="6" spans="1:4" ht="18.75" customHeight="1">
      <c r="A6" s="353">
        <f aca="true" t="shared" si="0" ref="A6:A13">A5+1</f>
        <v>2</v>
      </c>
      <c r="B6" s="354" t="s">
        <v>263</v>
      </c>
      <c r="C6" s="571">
        <v>130965.32</v>
      </c>
      <c r="D6" s="385">
        <f>+D7+D8</f>
        <v>162428.17</v>
      </c>
    </row>
    <row r="7" spans="1:4" ht="15.75">
      <c r="A7" s="353">
        <f t="shared" si="0"/>
        <v>3</v>
      </c>
      <c r="B7" s="355" t="s">
        <v>261</v>
      </c>
      <c r="C7" s="572">
        <v>130965.32</v>
      </c>
      <c r="D7" s="573">
        <v>162428.17</v>
      </c>
    </row>
    <row r="8" spans="1:4" ht="15.75">
      <c r="A8" s="353">
        <f t="shared" si="0"/>
        <v>4</v>
      </c>
      <c r="B8" s="355" t="s">
        <v>262</v>
      </c>
      <c r="C8" s="572"/>
      <c r="D8" s="573"/>
    </row>
    <row r="9" spans="1:4" ht="15.75">
      <c r="A9" s="353">
        <f t="shared" si="0"/>
        <v>5</v>
      </c>
      <c r="B9" s="354" t="s">
        <v>174</v>
      </c>
      <c r="C9" s="574">
        <v>77173</v>
      </c>
      <c r="D9" s="575">
        <f>+D10+D11-D12</f>
        <v>103413</v>
      </c>
    </row>
    <row r="10" spans="1:4" ht="19.5" customHeight="1">
      <c r="A10" s="353">
        <f t="shared" si="0"/>
        <v>6</v>
      </c>
      <c r="B10" s="355" t="s">
        <v>138</v>
      </c>
      <c r="C10" s="572">
        <v>49064.21000000001</v>
      </c>
      <c r="D10" s="575">
        <f>+C12</f>
        <v>62233.21000000002</v>
      </c>
    </row>
    <row r="11" spans="1:4" ht="15.75">
      <c r="A11" s="353">
        <f t="shared" si="0"/>
        <v>7</v>
      </c>
      <c r="B11" s="355" t="s">
        <v>152</v>
      </c>
      <c r="C11" s="572">
        <v>90342</v>
      </c>
      <c r="D11" s="573">
        <v>76159</v>
      </c>
    </row>
    <row r="12" spans="1:4" ht="15.75">
      <c r="A12" s="353">
        <f t="shared" si="0"/>
        <v>8</v>
      </c>
      <c r="B12" s="355" t="s">
        <v>738</v>
      </c>
      <c r="C12" s="574">
        <v>62233.21000000002</v>
      </c>
      <c r="D12" s="575">
        <f>D10+D11-D20</f>
        <v>34979.21000000002</v>
      </c>
    </row>
    <row r="13" spans="1:4" ht="30" customHeight="1">
      <c r="A13" s="353">
        <f t="shared" si="0"/>
        <v>9</v>
      </c>
      <c r="B13" s="354" t="s">
        <v>739</v>
      </c>
      <c r="C13" s="576"/>
      <c r="D13" s="577"/>
    </row>
    <row r="14" spans="1:11" ht="15.75">
      <c r="A14" s="353"/>
      <c r="B14" s="386" t="s">
        <v>213</v>
      </c>
      <c r="C14" s="578"/>
      <c r="D14" s="579"/>
      <c r="E14" s="356"/>
      <c r="F14" s="357"/>
      <c r="G14" s="357"/>
      <c r="H14" s="357"/>
      <c r="I14" s="357"/>
      <c r="J14" s="357"/>
      <c r="K14" s="357"/>
    </row>
    <row r="15" spans="1:4" ht="18.75">
      <c r="A15" s="353">
        <f>A13+1</f>
        <v>10</v>
      </c>
      <c r="B15" s="387" t="s">
        <v>264</v>
      </c>
      <c r="C15" s="572">
        <v>217680.54</v>
      </c>
      <c r="D15" s="573">
        <v>316160.76</v>
      </c>
    </row>
    <row r="16" spans="1:4" ht="30.75" customHeight="1">
      <c r="A16" s="353">
        <f aca="true" t="shared" si="1" ref="A16:A21">+A15+1</f>
        <v>11</v>
      </c>
      <c r="B16" s="354" t="s">
        <v>740</v>
      </c>
      <c r="C16" s="571">
        <v>208138.32</v>
      </c>
      <c r="D16" s="385">
        <f>D5-D13</f>
        <v>265841.17000000004</v>
      </c>
    </row>
    <row r="17" spans="1:4" ht="18.75">
      <c r="A17" s="353">
        <f t="shared" si="1"/>
        <v>12</v>
      </c>
      <c r="B17" s="354" t="s">
        <v>741</v>
      </c>
      <c r="C17" s="571">
        <v>77173</v>
      </c>
      <c r="D17" s="385">
        <f>D18+D19</f>
        <v>103413</v>
      </c>
    </row>
    <row r="18" spans="1:4" ht="15.75">
      <c r="A18" s="414">
        <f t="shared" si="1"/>
        <v>13</v>
      </c>
      <c r="B18" s="358" t="s">
        <v>742</v>
      </c>
      <c r="C18" s="576">
        <v>77173</v>
      </c>
      <c r="D18" s="580">
        <v>103413</v>
      </c>
    </row>
    <row r="19" spans="1:4" ht="18.75">
      <c r="A19" s="414">
        <f>+A18+1</f>
        <v>14</v>
      </c>
      <c r="B19" s="358" t="s">
        <v>743</v>
      </c>
      <c r="C19" s="576"/>
      <c r="D19" s="580"/>
    </row>
    <row r="20" spans="1:4" ht="15.75">
      <c r="A20" s="414">
        <f>+A19+1</f>
        <v>15</v>
      </c>
      <c r="B20" s="354" t="s">
        <v>744</v>
      </c>
      <c r="C20" s="571">
        <v>77173</v>
      </c>
      <c r="D20" s="385">
        <f>(D18*1+D19*1)</f>
        <v>103413</v>
      </c>
    </row>
    <row r="21" spans="1:4" ht="16.5" thickBot="1">
      <c r="A21" s="415">
        <f t="shared" si="1"/>
        <v>16</v>
      </c>
      <c r="B21" s="359" t="s">
        <v>788</v>
      </c>
      <c r="C21" s="581">
        <v>2.8206826221606005</v>
      </c>
      <c r="D21" s="582">
        <f>IF(D18=0,0,D15/D18)</f>
        <v>3.057263206753503</v>
      </c>
    </row>
    <row r="22" spans="1:5" s="357" customFormat="1" ht="15.75">
      <c r="A22" s="360"/>
      <c r="B22" s="361"/>
      <c r="C22" s="362"/>
      <c r="D22" s="362"/>
      <c r="E22" s="356"/>
    </row>
    <row r="23" spans="1:5" s="364" customFormat="1" ht="15.75">
      <c r="A23" s="739" t="s">
        <v>260</v>
      </c>
      <c r="B23" s="740"/>
      <c r="C23" s="740"/>
      <c r="D23" s="741"/>
      <c r="E23" s="363"/>
    </row>
    <row r="24" spans="1:5" s="364" customFormat="1" ht="15.75">
      <c r="A24" s="742" t="s">
        <v>700</v>
      </c>
      <c r="B24" s="743"/>
      <c r="C24" s="743"/>
      <c r="D24" s="744"/>
      <c r="E24" s="363"/>
    </row>
    <row r="25" spans="1:5" s="364" customFormat="1" ht="15.75">
      <c r="A25" s="745" t="s">
        <v>703</v>
      </c>
      <c r="B25" s="746"/>
      <c r="C25" s="746"/>
      <c r="D25" s="747"/>
      <c r="E25" s="363"/>
    </row>
    <row r="26" spans="1:5" s="364" customFormat="1" ht="15.75">
      <c r="A26" s="748" t="s">
        <v>704</v>
      </c>
      <c r="B26" s="749"/>
      <c r="C26" s="749"/>
      <c r="D26" s="750"/>
      <c r="E26" s="363"/>
    </row>
    <row r="27" spans="2:5" s="364" customFormat="1" ht="15.75">
      <c r="B27" s="365"/>
      <c r="E27" s="363"/>
    </row>
    <row r="28" spans="2:5" s="364" customFormat="1" ht="15.75">
      <c r="B28" s="365"/>
      <c r="E28" s="363"/>
    </row>
    <row r="29" spans="2:5" s="364" customFormat="1" ht="15.75">
      <c r="B29" s="365"/>
      <c r="E29" s="363"/>
    </row>
  </sheetData>
  <sheetProtection/>
  <mergeCells count="6">
    <mergeCell ref="A1:D1"/>
    <mergeCell ref="A2:D2"/>
    <mergeCell ref="A23:D23"/>
    <mergeCell ref="A24:D24"/>
    <mergeCell ref="A25:D25"/>
    <mergeCell ref="A26:D26"/>
  </mergeCells>
  <printOptions/>
  <pageMargins left="0.7480314960629921" right="0.7480314960629921" top="0.5905511811023623" bottom="0.5905511811023623" header="0.5118110236220472" footer="0.5118110236220472"/>
  <pageSetup fitToHeight="1" fitToWidth="1"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A1:I23"/>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24" sqref="E24"/>
    </sheetView>
  </sheetViews>
  <sheetFormatPr defaultColWidth="9.140625" defaultRowHeight="12.75"/>
  <cols>
    <col min="1" max="1" width="9.140625" style="2" customWidth="1"/>
    <col min="2" max="2" width="88.7109375" style="8" customWidth="1"/>
    <col min="3" max="4" width="23.421875" style="2" customWidth="1"/>
    <col min="5" max="5" width="15.28125" style="298" bestFit="1" customWidth="1"/>
    <col min="6" max="6" width="10.00390625" style="298" bestFit="1" customWidth="1"/>
    <col min="7" max="16384" width="9.140625" style="2" customWidth="1"/>
  </cols>
  <sheetData>
    <row r="1" spans="1:4" ht="49.5" customHeight="1">
      <c r="A1" s="751" t="s">
        <v>876</v>
      </c>
      <c r="B1" s="752"/>
      <c r="C1" s="752"/>
      <c r="D1" s="753"/>
    </row>
    <row r="2" spans="1:4" ht="27.75" customHeight="1">
      <c r="A2" s="757" t="s">
        <v>956</v>
      </c>
      <c r="B2" s="758"/>
      <c r="C2" s="758"/>
      <c r="D2" s="759"/>
    </row>
    <row r="3" spans="1:4" ht="15.75">
      <c r="A3" s="643" t="s">
        <v>149</v>
      </c>
      <c r="B3" s="754" t="s">
        <v>234</v>
      </c>
      <c r="C3" s="755" t="s">
        <v>217</v>
      </c>
      <c r="D3" s="756"/>
    </row>
    <row r="4" spans="1:6" s="5" customFormat="1" ht="15.75">
      <c r="A4" s="643"/>
      <c r="B4" s="754"/>
      <c r="C4" s="16">
        <v>2013</v>
      </c>
      <c r="D4" s="15">
        <v>2014</v>
      </c>
      <c r="E4" s="299"/>
      <c r="F4" s="299"/>
    </row>
    <row r="5" spans="1:6" s="5" customFormat="1" ht="15.75">
      <c r="A5" s="31"/>
      <c r="B5" s="28"/>
      <c r="C5" s="16" t="s">
        <v>199</v>
      </c>
      <c r="D5" s="15" t="s">
        <v>200</v>
      </c>
      <c r="E5" s="299"/>
      <c r="F5" s="299"/>
    </row>
    <row r="6" spans="1:6" s="5" customFormat="1" ht="15.75">
      <c r="A6" s="102">
        <v>1</v>
      </c>
      <c r="B6" s="59" t="s">
        <v>151</v>
      </c>
      <c r="C6" s="499">
        <v>4003943.27</v>
      </c>
      <c r="D6" s="500">
        <v>5313612.32</v>
      </c>
      <c r="E6" s="299"/>
      <c r="F6" s="299"/>
    </row>
    <row r="7" spans="1:6" s="5" customFormat="1" ht="15.75">
      <c r="A7" s="102">
        <f aca="true" t="shared" si="0" ref="A7:A20">A6+1</f>
        <v>2</v>
      </c>
      <c r="B7" s="45" t="s">
        <v>116</v>
      </c>
      <c r="C7" s="50">
        <f>SUM(C8:C13)</f>
        <v>1760810.63</v>
      </c>
      <c r="D7" s="51">
        <f>SUM(D8:D13)</f>
        <v>1315271.77</v>
      </c>
      <c r="E7" s="299"/>
      <c r="F7" s="299"/>
    </row>
    <row r="8" spans="1:6" s="5" customFormat="1" ht="18.75">
      <c r="A8" s="102">
        <f t="shared" si="0"/>
        <v>3</v>
      </c>
      <c r="B8" s="60" t="s">
        <v>281</v>
      </c>
      <c r="C8" s="139"/>
      <c r="D8" s="152"/>
      <c r="E8" s="299"/>
      <c r="F8" s="299"/>
    </row>
    <row r="9" spans="1:6" s="5" customFormat="1" ht="15.75">
      <c r="A9" s="102">
        <f t="shared" si="0"/>
        <v>4</v>
      </c>
      <c r="B9" s="60" t="s">
        <v>284</v>
      </c>
      <c r="C9" s="501">
        <v>1225532.17</v>
      </c>
      <c r="D9" s="502">
        <f>1291626.05-82483+11451.05-546</f>
        <v>1220048.1</v>
      </c>
      <c r="E9" s="299"/>
      <c r="F9" s="299"/>
    </row>
    <row r="10" spans="1:6" s="5" customFormat="1" ht="15.75">
      <c r="A10" s="102">
        <f t="shared" si="0"/>
        <v>5</v>
      </c>
      <c r="B10" s="60" t="s">
        <v>285</v>
      </c>
      <c r="C10" s="501">
        <v>535278.46</v>
      </c>
      <c r="D10" s="502">
        <v>95223.67</v>
      </c>
      <c r="E10" s="299"/>
      <c r="F10" s="299"/>
    </row>
    <row r="11" spans="1:6" s="5" customFormat="1" ht="15.75">
      <c r="A11" s="102">
        <f t="shared" si="0"/>
        <v>6</v>
      </c>
      <c r="B11" s="60" t="s">
        <v>282</v>
      </c>
      <c r="C11" s="139"/>
      <c r="D11" s="152"/>
      <c r="E11" s="299"/>
      <c r="F11" s="299"/>
    </row>
    <row r="12" spans="1:6" s="5" customFormat="1" ht="15.75">
      <c r="A12" s="102">
        <f t="shared" si="0"/>
        <v>7</v>
      </c>
      <c r="B12" s="60" t="s">
        <v>283</v>
      </c>
      <c r="C12" s="139"/>
      <c r="D12" s="152"/>
      <c r="E12" s="299"/>
      <c r="F12" s="299"/>
    </row>
    <row r="13" spans="1:6" s="5" customFormat="1" ht="19.5" customHeight="1">
      <c r="A13" s="102">
        <f t="shared" si="0"/>
        <v>8</v>
      </c>
      <c r="B13" s="60" t="s">
        <v>286</v>
      </c>
      <c r="C13" s="139"/>
      <c r="D13" s="152"/>
      <c r="E13" s="299"/>
      <c r="F13" s="299"/>
    </row>
    <row r="14" spans="1:6" s="5" customFormat="1" ht="21.75" customHeight="1">
      <c r="A14" s="102">
        <f t="shared" si="0"/>
        <v>9</v>
      </c>
      <c r="B14" s="45" t="s">
        <v>23</v>
      </c>
      <c r="C14" s="50">
        <f>C6+C7</f>
        <v>5764753.9</v>
      </c>
      <c r="D14" s="504">
        <f>D6+D7</f>
        <v>6628884.09</v>
      </c>
      <c r="E14" s="299"/>
      <c r="F14" s="299"/>
    </row>
    <row r="15" spans="1:6" s="5" customFormat="1" ht="40.5" customHeight="1">
      <c r="A15" s="102">
        <f t="shared" si="0"/>
        <v>10</v>
      </c>
      <c r="B15" s="45" t="s">
        <v>178</v>
      </c>
      <c r="C15" s="499">
        <v>3669246</v>
      </c>
      <c r="D15" s="500">
        <v>2132700</v>
      </c>
      <c r="E15" s="400"/>
      <c r="F15" s="605"/>
    </row>
    <row r="16" spans="1:6" s="5" customFormat="1" ht="31.5">
      <c r="A16" s="125" t="s">
        <v>718</v>
      </c>
      <c r="B16" s="64" t="s">
        <v>814</v>
      </c>
      <c r="C16" s="499">
        <v>7181473.02</v>
      </c>
      <c r="D16" s="500">
        <v>4290002.4</v>
      </c>
      <c r="E16" s="299"/>
      <c r="F16" s="605"/>
    </row>
    <row r="17" spans="1:6" s="5" customFormat="1" ht="28.5" customHeight="1">
      <c r="A17" s="102">
        <f>A15+1</f>
        <v>11</v>
      </c>
      <c r="B17" s="45" t="s">
        <v>815</v>
      </c>
      <c r="C17" s="499">
        <v>320577.06</v>
      </c>
      <c r="D17" s="500">
        <v>3133044.59</v>
      </c>
      <c r="E17" s="299"/>
      <c r="F17" s="299"/>
    </row>
    <row r="18" spans="1:6" s="5" customFormat="1" ht="23.25" customHeight="1">
      <c r="A18" s="102">
        <f t="shared" si="0"/>
        <v>12</v>
      </c>
      <c r="B18" s="45" t="s">
        <v>177</v>
      </c>
      <c r="C18" s="499"/>
      <c r="D18" s="500"/>
      <c r="E18" s="299"/>
      <c r="F18" s="299"/>
    </row>
    <row r="19" spans="1:6" s="5" customFormat="1" ht="33" customHeight="1">
      <c r="A19" s="102">
        <f t="shared" si="0"/>
        <v>13</v>
      </c>
      <c r="B19" s="45" t="s">
        <v>816</v>
      </c>
      <c r="C19" s="499">
        <v>765455</v>
      </c>
      <c r="D19" s="500">
        <f>1740570.51-4512.01+39772.16</f>
        <v>1775830.66</v>
      </c>
      <c r="E19" s="299"/>
      <c r="F19" s="299"/>
    </row>
    <row r="20" spans="1:6" s="5" customFormat="1" ht="16.5" thickBot="1">
      <c r="A20" s="103">
        <f t="shared" si="0"/>
        <v>14</v>
      </c>
      <c r="B20" s="47" t="s">
        <v>44</v>
      </c>
      <c r="C20" s="143">
        <f>SUM(C14:C19)</f>
        <v>17701504.98</v>
      </c>
      <c r="D20" s="505">
        <f>SUM(D14:D19)</f>
        <v>17960461.74</v>
      </c>
      <c r="E20" s="299"/>
      <c r="F20" s="299"/>
    </row>
    <row r="22" spans="1:4" ht="18" customHeight="1">
      <c r="A22" s="707" t="s">
        <v>48</v>
      </c>
      <c r="B22" s="708"/>
      <c r="C22" s="708"/>
      <c r="D22" s="709"/>
    </row>
    <row r="23" spans="1:9" ht="15.75">
      <c r="A23" s="726" t="s">
        <v>8</v>
      </c>
      <c r="B23" s="727"/>
      <c r="C23" s="727"/>
      <c r="D23" s="728"/>
      <c r="E23" s="299"/>
      <c r="F23" s="299"/>
      <c r="G23" s="133"/>
      <c r="H23" s="133"/>
      <c r="I23" s="133"/>
    </row>
  </sheetData>
  <sheetProtection/>
  <mergeCells count="7">
    <mergeCell ref="A23:D23"/>
    <mergeCell ref="A22:D22"/>
    <mergeCell ref="A1:D1"/>
    <mergeCell ref="A3:A4"/>
    <mergeCell ref="B3:B4"/>
    <mergeCell ref="C3:D3"/>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J82"/>
  <sheetViews>
    <sheetView zoomScalePageLayoutView="0" workbookViewId="0" topLeftCell="A1">
      <pane xSplit="2" ySplit="5" topLeftCell="C15" activePane="bottomRight" state="frozen"/>
      <selection pane="topLeft" activeCell="A1" sqref="A1"/>
      <selection pane="topRight" activeCell="C1" sqref="C1"/>
      <selection pane="bottomLeft" activeCell="A6" sqref="A6"/>
      <selection pane="bottomRight" activeCell="J20" sqref="J20"/>
    </sheetView>
  </sheetViews>
  <sheetFormatPr defaultColWidth="9.140625" defaultRowHeight="12.75"/>
  <cols>
    <col min="1" max="1" width="7.421875" style="2" customWidth="1"/>
    <col min="2" max="2" width="51.57421875" style="8" customWidth="1"/>
    <col min="3" max="3" width="15.28125" style="8" customWidth="1"/>
    <col min="4" max="4" width="18.140625" style="2" customWidth="1"/>
    <col min="5" max="5" width="18.57421875" style="2" customWidth="1"/>
    <col min="6" max="6" width="16.28125" style="2" customWidth="1"/>
    <col min="7" max="7" width="13.7109375" style="2" customWidth="1"/>
    <col min="8" max="8" width="16.28125" style="2" customWidth="1"/>
    <col min="9" max="9" width="21.00390625" style="2" customWidth="1"/>
    <col min="10" max="10" width="25.7109375" style="2" customWidth="1"/>
    <col min="11" max="16384" width="9.140625" style="2" customWidth="1"/>
  </cols>
  <sheetData>
    <row r="1" spans="1:9" ht="34.5" customHeight="1">
      <c r="A1" s="760" t="s">
        <v>877</v>
      </c>
      <c r="B1" s="761"/>
      <c r="C1" s="761"/>
      <c r="D1" s="761"/>
      <c r="E1" s="761"/>
      <c r="F1" s="761"/>
      <c r="G1" s="761"/>
      <c r="H1" s="761"/>
      <c r="I1" s="762"/>
    </row>
    <row r="2" spans="1:9" ht="34.5" customHeight="1" thickBot="1">
      <c r="A2" s="763" t="s">
        <v>995</v>
      </c>
      <c r="B2" s="764"/>
      <c r="C2" s="764"/>
      <c r="D2" s="764"/>
      <c r="E2" s="764"/>
      <c r="F2" s="764"/>
      <c r="G2" s="764"/>
      <c r="H2" s="764"/>
      <c r="I2" s="765"/>
    </row>
    <row r="3" spans="1:9" s="5" customFormat="1" ht="35.25" customHeight="1">
      <c r="A3" s="770" t="s">
        <v>149</v>
      </c>
      <c r="B3" s="771" t="s">
        <v>234</v>
      </c>
      <c r="C3" s="768" t="s">
        <v>878</v>
      </c>
      <c r="D3" s="768" t="s">
        <v>879</v>
      </c>
      <c r="E3" s="771" t="s">
        <v>880</v>
      </c>
      <c r="F3" s="771" t="s">
        <v>126</v>
      </c>
      <c r="G3" s="766" t="s">
        <v>155</v>
      </c>
      <c r="H3" s="766" t="s">
        <v>730</v>
      </c>
      <c r="I3" s="772" t="s">
        <v>156</v>
      </c>
    </row>
    <row r="4" spans="1:9" s="5" customFormat="1" ht="72" customHeight="1">
      <c r="A4" s="643"/>
      <c r="B4" s="674"/>
      <c r="C4" s="769"/>
      <c r="D4" s="769"/>
      <c r="E4" s="674"/>
      <c r="F4" s="674"/>
      <c r="G4" s="767"/>
      <c r="H4" s="767"/>
      <c r="I4" s="773"/>
    </row>
    <row r="5" spans="1:9" s="5" customFormat="1" ht="15.75">
      <c r="A5" s="31"/>
      <c r="B5" s="88"/>
      <c r="C5" s="91" t="s">
        <v>199</v>
      </c>
      <c r="D5" s="91" t="s">
        <v>200</v>
      </c>
      <c r="E5" s="36" t="s">
        <v>201</v>
      </c>
      <c r="F5" s="36" t="s">
        <v>207</v>
      </c>
      <c r="G5" s="36" t="s">
        <v>202</v>
      </c>
      <c r="H5" s="36" t="s">
        <v>203</v>
      </c>
      <c r="I5" s="308" t="s">
        <v>719</v>
      </c>
    </row>
    <row r="6" spans="1:9" s="5" customFormat="1" ht="15.75">
      <c r="A6" s="31">
        <v>1</v>
      </c>
      <c r="B6" s="68" t="s">
        <v>277</v>
      </c>
      <c r="C6" s="309">
        <v>3000000</v>
      </c>
      <c r="D6" s="309">
        <v>113081.16</v>
      </c>
      <c r="E6" s="309">
        <v>2652</v>
      </c>
      <c r="F6" s="309">
        <v>21112.24</v>
      </c>
      <c r="G6" s="309"/>
      <c r="H6" s="309"/>
      <c r="I6" s="310">
        <f aca="true" t="shared" si="0" ref="I6:I16">SUM(C6:H6)</f>
        <v>3136845.4000000004</v>
      </c>
    </row>
    <row r="7" spans="1:9" s="5" customFormat="1" ht="15.75">
      <c r="A7" s="31"/>
      <c r="B7" s="69" t="s">
        <v>213</v>
      </c>
      <c r="C7" s="309"/>
      <c r="D7" s="309"/>
      <c r="E7" s="309"/>
      <c r="F7" s="309"/>
      <c r="G7" s="309"/>
      <c r="H7" s="309"/>
      <c r="I7" s="310"/>
    </row>
    <row r="8" spans="1:9" s="5" customFormat="1" ht="15.75">
      <c r="A8" s="31">
        <v>2</v>
      </c>
      <c r="B8" s="108" t="s">
        <v>24</v>
      </c>
      <c r="C8" s="309"/>
      <c r="D8" s="309">
        <v>108703.56</v>
      </c>
      <c r="E8" s="309">
        <v>2652</v>
      </c>
      <c r="F8" s="309">
        <v>20690.04</v>
      </c>
      <c r="G8" s="309"/>
      <c r="H8" s="309"/>
      <c r="I8" s="310">
        <f t="shared" si="0"/>
        <v>132045.6</v>
      </c>
    </row>
    <row r="9" spans="1:9" ht="15.75">
      <c r="A9" s="31">
        <v>3</v>
      </c>
      <c r="B9" s="68" t="s">
        <v>198</v>
      </c>
      <c r="C9" s="309"/>
      <c r="D9" s="309"/>
      <c r="E9" s="309"/>
      <c r="F9" s="309"/>
      <c r="G9" s="309"/>
      <c r="H9" s="309"/>
      <c r="I9" s="310">
        <f t="shared" si="0"/>
        <v>0</v>
      </c>
    </row>
    <row r="10" spans="1:9" ht="31.5">
      <c r="A10" s="31">
        <v>4</v>
      </c>
      <c r="B10" s="68" t="s">
        <v>171</v>
      </c>
      <c r="C10" s="311">
        <f aca="true" t="shared" si="1" ref="C10:H10">SUM(C11:C15)</f>
        <v>179635.81</v>
      </c>
      <c r="D10" s="311">
        <f t="shared" si="1"/>
        <v>1525248.47</v>
      </c>
      <c r="E10" s="311">
        <f t="shared" si="1"/>
        <v>142390.73</v>
      </c>
      <c r="F10" s="311">
        <f t="shared" si="1"/>
        <v>1226002.48</v>
      </c>
      <c r="G10" s="311">
        <f t="shared" si="1"/>
        <v>0</v>
      </c>
      <c r="H10" s="311">
        <f t="shared" si="1"/>
        <v>22868.5</v>
      </c>
      <c r="I10" s="310">
        <f t="shared" si="0"/>
        <v>3096145.99</v>
      </c>
    </row>
    <row r="11" spans="1:9" ht="15.75">
      <c r="A11" s="31">
        <v>5</v>
      </c>
      <c r="B11" s="108" t="s">
        <v>251</v>
      </c>
      <c r="C11" s="309"/>
      <c r="D11" s="309"/>
      <c r="E11" s="309"/>
      <c r="F11" s="309"/>
      <c r="G11" s="309"/>
      <c r="H11" s="309"/>
      <c r="I11" s="310">
        <f t="shared" si="0"/>
        <v>0</v>
      </c>
    </row>
    <row r="12" spans="1:9" ht="15.75">
      <c r="A12" s="31">
        <v>6</v>
      </c>
      <c r="B12" s="108" t="s">
        <v>252</v>
      </c>
      <c r="C12" s="309"/>
      <c r="D12" s="309"/>
      <c r="E12" s="309"/>
      <c r="F12" s="309"/>
      <c r="G12" s="309"/>
      <c r="H12" s="309"/>
      <c r="I12" s="310">
        <f t="shared" si="0"/>
        <v>0</v>
      </c>
    </row>
    <row r="13" spans="1:9" ht="15.75">
      <c r="A13" s="31">
        <v>7</v>
      </c>
      <c r="B13" s="123" t="s">
        <v>253</v>
      </c>
      <c r="C13" s="309">
        <v>13510</v>
      </c>
      <c r="D13" s="309">
        <v>73794.27</v>
      </c>
      <c r="E13" s="309">
        <v>61987.46</v>
      </c>
      <c r="F13" s="309">
        <v>165343.06</v>
      </c>
      <c r="G13" s="309"/>
      <c r="H13" s="309">
        <v>1656.8</v>
      </c>
      <c r="I13" s="310">
        <f t="shared" si="0"/>
        <v>316291.59</v>
      </c>
    </row>
    <row r="14" spans="1:10" ht="31.5">
      <c r="A14" s="31">
        <v>8</v>
      </c>
      <c r="B14" s="108" t="s">
        <v>254</v>
      </c>
      <c r="C14" s="309">
        <f>6125.81+160000</f>
        <v>166125.81</v>
      </c>
      <c r="D14" s="309">
        <v>1451454.2</v>
      </c>
      <c r="E14" s="309">
        <v>80403.27</v>
      </c>
      <c r="F14" s="309">
        <v>1054648.72</v>
      </c>
      <c r="G14" s="309"/>
      <c r="H14" s="309">
        <v>2793.1</v>
      </c>
      <c r="I14" s="310">
        <f t="shared" si="0"/>
        <v>2755425.1</v>
      </c>
      <c r="J14" s="119"/>
    </row>
    <row r="15" spans="1:9" ht="31.5">
      <c r="A15" s="42">
        <v>9</v>
      </c>
      <c r="B15" s="108" t="s">
        <v>255</v>
      </c>
      <c r="C15" s="309"/>
      <c r="D15" s="309"/>
      <c r="E15" s="309"/>
      <c r="F15" s="309">
        <v>6010.7</v>
      </c>
      <c r="G15" s="309"/>
      <c r="H15" s="309">
        <v>18418.6</v>
      </c>
      <c r="I15" s="310">
        <f t="shared" si="0"/>
        <v>24429.3</v>
      </c>
    </row>
    <row r="16" spans="1:9" ht="15.75">
      <c r="A16" s="31">
        <v>10</v>
      </c>
      <c r="B16" s="63" t="s">
        <v>130</v>
      </c>
      <c r="C16" s="309"/>
      <c r="D16" s="309"/>
      <c r="E16" s="309"/>
      <c r="F16" s="309"/>
      <c r="G16" s="309"/>
      <c r="H16" s="309">
        <v>23880</v>
      </c>
      <c r="I16" s="310">
        <f t="shared" si="0"/>
        <v>23880</v>
      </c>
    </row>
    <row r="17" spans="1:9" ht="15.75">
      <c r="A17" s="31">
        <v>11</v>
      </c>
      <c r="B17" s="68" t="s">
        <v>131</v>
      </c>
      <c r="C17" s="309"/>
      <c r="D17" s="309"/>
      <c r="E17" s="309">
        <v>11820</v>
      </c>
      <c r="F17" s="309">
        <v>33890</v>
      </c>
      <c r="G17" s="309"/>
      <c r="H17" s="309"/>
      <c r="I17" s="310">
        <f>SUM(C17:H17)</f>
        <v>45710</v>
      </c>
    </row>
    <row r="18" spans="1:9" ht="15.75">
      <c r="A18" s="31">
        <v>12</v>
      </c>
      <c r="B18" s="68" t="s">
        <v>210</v>
      </c>
      <c r="C18" s="309">
        <v>124731.37</v>
      </c>
      <c r="D18" s="309">
        <v>2651672.8</v>
      </c>
      <c r="E18" s="309">
        <v>227632.24</v>
      </c>
      <c r="F18" s="309">
        <v>715804.49</v>
      </c>
      <c r="G18" s="309"/>
      <c r="H18" s="309">
        <v>6399.43</v>
      </c>
      <c r="I18" s="310">
        <f>SUM(C18:H18)</f>
        <v>3726240.3300000005</v>
      </c>
    </row>
    <row r="19" spans="1:9" ht="15.75">
      <c r="A19" s="31">
        <v>13</v>
      </c>
      <c r="B19" s="68" t="s">
        <v>132</v>
      </c>
      <c r="C19" s="309"/>
      <c r="D19" s="309"/>
      <c r="E19" s="309">
        <v>826.5</v>
      </c>
      <c r="F19" s="309">
        <v>7842</v>
      </c>
      <c r="G19" s="309"/>
      <c r="H19" s="309">
        <v>265</v>
      </c>
      <c r="I19" s="310">
        <f>SUM(C19:H19)</f>
        <v>8933.5</v>
      </c>
    </row>
    <row r="20" spans="1:9" ht="15.75">
      <c r="A20" s="31">
        <v>14</v>
      </c>
      <c r="B20" s="68" t="s">
        <v>218</v>
      </c>
      <c r="C20" s="309">
        <v>40243.89</v>
      </c>
      <c r="D20" s="309"/>
      <c r="E20" s="309"/>
      <c r="F20" s="309"/>
      <c r="G20" s="309"/>
      <c r="H20" s="309"/>
      <c r="I20" s="310">
        <f>SUM(C20:H20)</f>
        <v>40243.89</v>
      </c>
    </row>
    <row r="21" spans="1:9" ht="48" thickBot="1">
      <c r="A21" s="32">
        <v>15</v>
      </c>
      <c r="B21" s="81" t="s">
        <v>25</v>
      </c>
      <c r="C21" s="312">
        <f aca="true" t="shared" si="2" ref="C21:H21">+C6+C9+C10+C16+C17+C18+C19+C20</f>
        <v>3344611.0700000003</v>
      </c>
      <c r="D21" s="312">
        <f t="shared" si="2"/>
        <v>4290002.43</v>
      </c>
      <c r="E21" s="312">
        <f t="shared" si="2"/>
        <v>385321.47</v>
      </c>
      <c r="F21" s="312">
        <f t="shared" si="2"/>
        <v>2004651.21</v>
      </c>
      <c r="G21" s="312">
        <f t="shared" si="2"/>
        <v>0</v>
      </c>
      <c r="H21" s="312">
        <f t="shared" si="2"/>
        <v>53412.93</v>
      </c>
      <c r="I21" s="313">
        <f>SUM(C21:H21)</f>
        <v>10077999.11</v>
      </c>
    </row>
    <row r="22" spans="3:9" ht="15.75">
      <c r="C22" s="296"/>
      <c r="D22" s="296"/>
      <c r="E22" s="296"/>
      <c r="F22" s="296"/>
      <c r="G22" s="296"/>
      <c r="H22" s="296"/>
      <c r="I22" s="607">
        <v>10024586.18</v>
      </c>
    </row>
    <row r="23" spans="3:9" ht="15.75">
      <c r="C23" s="297"/>
      <c r="D23" s="296"/>
      <c r="E23" s="296"/>
      <c r="F23" s="296"/>
      <c r="G23" s="296"/>
      <c r="H23" s="296"/>
      <c r="I23" s="606"/>
    </row>
    <row r="24" spans="3:8" ht="15.75">
      <c r="C24" s="296"/>
      <c r="D24" s="296"/>
      <c r="E24" s="296"/>
      <c r="F24" s="296"/>
      <c r="G24" s="296"/>
      <c r="H24" s="296"/>
    </row>
    <row r="25" spans="3:8" ht="15.75">
      <c r="C25" s="296"/>
      <c r="D25" s="296"/>
      <c r="E25" s="296"/>
      <c r="F25" s="296"/>
      <c r="G25" s="296"/>
      <c r="H25" s="296"/>
    </row>
    <row r="26" spans="3:8" ht="15.75">
      <c r="C26" s="296"/>
      <c r="D26" s="296"/>
      <c r="E26" s="296"/>
      <c r="F26" s="296"/>
      <c r="G26" s="296"/>
      <c r="H26" s="296"/>
    </row>
    <row r="27" spans="3:8" ht="15.75">
      <c r="C27" s="296"/>
      <c r="D27" s="296"/>
      <c r="E27" s="296"/>
      <c r="F27" s="296"/>
      <c r="G27" s="296"/>
      <c r="H27" s="296"/>
    </row>
    <row r="28" spans="3:8" ht="15.75">
      <c r="C28" s="296"/>
      <c r="D28" s="296"/>
      <c r="E28" s="296"/>
      <c r="F28" s="296"/>
      <c r="G28" s="296"/>
      <c r="H28" s="296"/>
    </row>
    <row r="29" spans="3:8" ht="15.75">
      <c r="C29" s="296"/>
      <c r="D29" s="296"/>
      <c r="E29" s="296"/>
      <c r="F29" s="296"/>
      <c r="G29" s="296"/>
      <c r="H29" s="296"/>
    </row>
    <row r="30" spans="3:8" ht="15.75">
      <c r="C30" s="296"/>
      <c r="D30" s="296"/>
      <c r="E30" s="296"/>
      <c r="F30" s="296"/>
      <c r="G30" s="296"/>
      <c r="H30" s="296"/>
    </row>
    <row r="31" spans="3:8" ht="15.75">
      <c r="C31" s="296"/>
      <c r="D31" s="296"/>
      <c r="E31" s="296"/>
      <c r="F31" s="296"/>
      <c r="G31" s="296"/>
      <c r="H31" s="296"/>
    </row>
    <row r="32" spans="3:8" ht="15.75">
      <c r="C32" s="296"/>
      <c r="D32" s="296"/>
      <c r="E32" s="296"/>
      <c r="F32" s="296"/>
      <c r="G32" s="296"/>
      <c r="H32" s="296"/>
    </row>
    <row r="33" spans="3:8" ht="15.75">
      <c r="C33" s="296"/>
      <c r="D33" s="296"/>
      <c r="E33" s="296"/>
      <c r="F33" s="296"/>
      <c r="G33" s="296"/>
      <c r="H33" s="296"/>
    </row>
    <row r="34" spans="3:8" ht="15.75">
      <c r="C34" s="296"/>
      <c r="D34" s="296"/>
      <c r="E34" s="296"/>
      <c r="F34" s="296"/>
      <c r="G34" s="296"/>
      <c r="H34" s="296"/>
    </row>
    <row r="35" spans="3:8" ht="15.75">
      <c r="C35" s="296"/>
      <c r="D35" s="296"/>
      <c r="E35" s="296"/>
      <c r="F35" s="296"/>
      <c r="G35" s="296"/>
      <c r="H35" s="296"/>
    </row>
    <row r="36" spans="3:8" ht="15.75">
      <c r="C36" s="296"/>
      <c r="D36" s="296"/>
      <c r="E36" s="296"/>
      <c r="F36" s="296"/>
      <c r="G36" s="296"/>
      <c r="H36" s="296"/>
    </row>
    <row r="37" spans="3:8" ht="15.75">
      <c r="C37" s="296"/>
      <c r="D37" s="296"/>
      <c r="E37" s="296"/>
      <c r="F37" s="296"/>
      <c r="G37" s="296"/>
      <c r="H37" s="296"/>
    </row>
    <row r="38" spans="3:8" ht="15.75">
      <c r="C38" s="296"/>
      <c r="D38" s="296"/>
      <c r="E38" s="296"/>
      <c r="F38" s="296"/>
      <c r="G38" s="296"/>
      <c r="H38" s="296"/>
    </row>
    <row r="39" spans="3:8" ht="15.75">
      <c r="C39" s="296"/>
      <c r="D39" s="296"/>
      <c r="E39" s="296"/>
      <c r="F39" s="296"/>
      <c r="G39" s="296"/>
      <c r="H39" s="296"/>
    </row>
    <row r="40" spans="3:8" ht="15.75">
      <c r="C40" s="296"/>
      <c r="D40" s="296"/>
      <c r="E40" s="296"/>
      <c r="F40" s="296"/>
      <c r="G40" s="296"/>
      <c r="H40" s="296"/>
    </row>
    <row r="41" spans="3:8" ht="15.75">
      <c r="C41" s="296"/>
      <c r="D41" s="296"/>
      <c r="E41" s="296"/>
      <c r="F41" s="296"/>
      <c r="G41" s="296"/>
      <c r="H41" s="296"/>
    </row>
    <row r="42" spans="3:8" ht="15.75">
      <c r="C42" s="296"/>
      <c r="D42" s="296"/>
      <c r="E42" s="296"/>
      <c r="F42" s="296"/>
      <c r="G42" s="296"/>
      <c r="H42" s="296"/>
    </row>
    <row r="43" spans="3:8" ht="15.75">
      <c r="C43" s="296"/>
      <c r="D43" s="296"/>
      <c r="E43" s="296"/>
      <c r="F43" s="296"/>
      <c r="G43" s="296"/>
      <c r="H43" s="296"/>
    </row>
    <row r="44" spans="3:8" ht="15.75">
      <c r="C44" s="296"/>
      <c r="D44" s="296"/>
      <c r="E44" s="296"/>
      <c r="F44" s="296"/>
      <c r="G44" s="296"/>
      <c r="H44" s="296"/>
    </row>
    <row r="45" spans="3:8" ht="15.75">
      <c r="C45" s="296"/>
      <c r="D45" s="296"/>
      <c r="E45" s="296"/>
      <c r="F45" s="296"/>
      <c r="G45" s="296"/>
      <c r="H45" s="296"/>
    </row>
    <row r="46" spans="3:8" ht="15.75">
      <c r="C46" s="296"/>
      <c r="D46" s="296"/>
      <c r="E46" s="296"/>
      <c r="F46" s="296"/>
      <c r="G46" s="296"/>
      <c r="H46" s="296"/>
    </row>
    <row r="47" spans="3:8" ht="15.75">
      <c r="C47" s="296"/>
      <c r="D47" s="296"/>
      <c r="E47" s="296"/>
      <c r="F47" s="296"/>
      <c r="G47" s="296"/>
      <c r="H47" s="296"/>
    </row>
    <row r="48" spans="3:8" ht="15.75">
      <c r="C48" s="296"/>
      <c r="D48" s="296"/>
      <c r="E48" s="296"/>
      <c r="F48" s="296"/>
      <c r="G48" s="296"/>
      <c r="H48" s="296"/>
    </row>
    <row r="49" spans="3:8" ht="15.75">
      <c r="C49" s="296"/>
      <c r="D49" s="296"/>
      <c r="E49" s="296"/>
      <c r="F49" s="296"/>
      <c r="G49" s="296"/>
      <c r="H49" s="296"/>
    </row>
    <row r="50" spans="3:8" ht="15.75">
      <c r="C50" s="296"/>
      <c r="D50" s="296"/>
      <c r="E50" s="296"/>
      <c r="F50" s="296"/>
      <c r="G50" s="296"/>
      <c r="H50" s="296"/>
    </row>
    <row r="51" spans="3:8" ht="15.75">
      <c r="C51" s="296"/>
      <c r="D51" s="296"/>
      <c r="E51" s="296"/>
      <c r="F51" s="296"/>
      <c r="G51" s="296"/>
      <c r="H51" s="296"/>
    </row>
    <row r="52" spans="3:8" ht="15.75">
      <c r="C52" s="296"/>
      <c r="D52" s="296"/>
      <c r="E52" s="296"/>
      <c r="F52" s="296"/>
      <c r="G52" s="296"/>
      <c r="H52" s="296"/>
    </row>
    <row r="53" spans="3:8" ht="15.75">
      <c r="C53" s="296"/>
      <c r="D53" s="296"/>
      <c r="E53" s="296"/>
      <c r="F53" s="296"/>
      <c r="G53" s="296"/>
      <c r="H53" s="296"/>
    </row>
    <row r="54" spans="3:8" ht="15.75">
      <c r="C54" s="296"/>
      <c r="D54" s="296"/>
      <c r="E54" s="296"/>
      <c r="F54" s="296"/>
      <c r="G54" s="296"/>
      <c r="H54" s="296"/>
    </row>
    <row r="55" spans="3:8" ht="15.75">
      <c r="C55" s="296"/>
      <c r="D55" s="296"/>
      <c r="E55" s="296"/>
      <c r="F55" s="296"/>
      <c r="G55" s="296"/>
      <c r="H55" s="296"/>
    </row>
    <row r="56" spans="3:8" ht="15.75">
      <c r="C56" s="296"/>
      <c r="D56" s="296"/>
      <c r="E56" s="296"/>
      <c r="F56" s="296"/>
      <c r="G56" s="296"/>
      <c r="H56" s="296"/>
    </row>
    <row r="57" spans="3:8" ht="15.75">
      <c r="C57" s="296"/>
      <c r="D57" s="296"/>
      <c r="E57" s="296"/>
      <c r="F57" s="296"/>
      <c r="G57" s="296"/>
      <c r="H57" s="296"/>
    </row>
    <row r="58" spans="3:8" ht="15.75">
      <c r="C58" s="296"/>
      <c r="D58" s="296"/>
      <c r="E58" s="296"/>
      <c r="F58" s="296"/>
      <c r="G58" s="296"/>
      <c r="H58" s="296"/>
    </row>
    <row r="59" spans="3:8" ht="15.75">
      <c r="C59" s="296"/>
      <c r="D59" s="296"/>
      <c r="E59" s="296"/>
      <c r="F59" s="296"/>
      <c r="G59" s="296"/>
      <c r="H59" s="296"/>
    </row>
    <row r="60" spans="3:8" ht="15.75">
      <c r="C60" s="296"/>
      <c r="D60" s="296"/>
      <c r="E60" s="296"/>
      <c r="F60" s="296"/>
      <c r="G60" s="296"/>
      <c r="H60" s="296"/>
    </row>
    <row r="61" spans="3:8" ht="15.75">
      <c r="C61" s="296"/>
      <c r="D61" s="296"/>
      <c r="E61" s="296"/>
      <c r="F61" s="296"/>
      <c r="G61" s="296"/>
      <c r="H61" s="296"/>
    </row>
    <row r="62" spans="3:8" ht="15.75">
      <c r="C62" s="296"/>
      <c r="D62" s="296"/>
      <c r="E62" s="296"/>
      <c r="F62" s="296"/>
      <c r="G62" s="296"/>
      <c r="H62" s="296"/>
    </row>
    <row r="63" spans="3:8" ht="15.75">
      <c r="C63" s="296"/>
      <c r="D63" s="296"/>
      <c r="E63" s="296"/>
      <c r="F63" s="296"/>
      <c r="G63" s="296"/>
      <c r="H63" s="296"/>
    </row>
    <row r="64" spans="3:8" ht="15.75">
      <c r="C64" s="296"/>
      <c r="D64" s="296"/>
      <c r="E64" s="296"/>
      <c r="F64" s="296"/>
      <c r="G64" s="296"/>
      <c r="H64" s="296"/>
    </row>
    <row r="65" spans="3:8" ht="15.75">
      <c r="C65" s="296"/>
      <c r="D65" s="296"/>
      <c r="E65" s="296"/>
      <c r="F65" s="296"/>
      <c r="G65" s="296"/>
      <c r="H65" s="296"/>
    </row>
    <row r="66" spans="3:8" ht="15.75">
      <c r="C66" s="296"/>
      <c r="D66" s="296"/>
      <c r="E66" s="296"/>
      <c r="F66" s="296"/>
      <c r="G66" s="296"/>
      <c r="H66" s="296"/>
    </row>
    <row r="67" spans="3:8" ht="15.75">
      <c r="C67" s="296"/>
      <c r="D67" s="296"/>
      <c r="E67" s="296"/>
      <c r="F67" s="296"/>
      <c r="G67" s="296"/>
      <c r="H67" s="296"/>
    </row>
    <row r="68" spans="3:8" ht="15.75">
      <c r="C68" s="296"/>
      <c r="D68" s="296"/>
      <c r="E68" s="296"/>
      <c r="F68" s="296"/>
      <c r="G68" s="296"/>
      <c r="H68" s="296"/>
    </row>
    <row r="69" spans="3:8" ht="15.75">
      <c r="C69" s="296"/>
      <c r="D69" s="296"/>
      <c r="E69" s="296"/>
      <c r="F69" s="296"/>
      <c r="G69" s="296"/>
      <c r="H69" s="296"/>
    </row>
    <row r="70" spans="3:8" ht="15.75">
      <c r="C70" s="296"/>
      <c r="D70" s="296"/>
      <c r="E70" s="296"/>
      <c r="F70" s="296"/>
      <c r="G70" s="296"/>
      <c r="H70" s="296"/>
    </row>
    <row r="71" spans="3:8" ht="15.75">
      <c r="C71" s="296"/>
      <c r="D71" s="296"/>
      <c r="E71" s="296"/>
      <c r="F71" s="296"/>
      <c r="G71" s="296"/>
      <c r="H71" s="296"/>
    </row>
    <row r="72" spans="3:8" ht="15.75">
      <c r="C72" s="296"/>
      <c r="D72" s="296"/>
      <c r="E72" s="296"/>
      <c r="F72" s="296"/>
      <c r="G72" s="296"/>
      <c r="H72" s="296"/>
    </row>
    <row r="73" spans="3:8" ht="15.75">
      <c r="C73" s="296"/>
      <c r="D73" s="296"/>
      <c r="E73" s="296"/>
      <c r="F73" s="296"/>
      <c r="G73" s="296"/>
      <c r="H73" s="296"/>
    </row>
    <row r="74" spans="3:8" ht="15.75">
      <c r="C74" s="296"/>
      <c r="D74" s="296"/>
      <c r="E74" s="296"/>
      <c r="F74" s="296"/>
      <c r="G74" s="296"/>
      <c r="H74" s="296"/>
    </row>
    <row r="75" spans="3:8" ht="15.75">
      <c r="C75" s="296"/>
      <c r="D75" s="296"/>
      <c r="E75" s="296"/>
      <c r="F75" s="296"/>
      <c r="G75" s="296"/>
      <c r="H75" s="296"/>
    </row>
    <row r="76" spans="3:8" ht="15.75">
      <c r="C76" s="296"/>
      <c r="D76" s="296"/>
      <c r="E76" s="296"/>
      <c r="F76" s="296"/>
      <c r="G76" s="296"/>
      <c r="H76" s="296"/>
    </row>
    <row r="77" spans="3:8" ht="15.75">
      <c r="C77" s="296"/>
      <c r="D77" s="296"/>
      <c r="E77" s="296"/>
      <c r="F77" s="296"/>
      <c r="G77" s="296"/>
      <c r="H77" s="296"/>
    </row>
    <row r="78" spans="3:8" ht="15.75">
      <c r="C78" s="296"/>
      <c r="D78" s="296"/>
      <c r="E78" s="296"/>
      <c r="F78" s="296"/>
      <c r="G78" s="296"/>
      <c r="H78" s="296"/>
    </row>
    <row r="79" spans="3:8" ht="15.75">
      <c r="C79" s="296"/>
      <c r="D79" s="296"/>
      <c r="E79" s="296"/>
      <c r="F79" s="296"/>
      <c r="G79" s="296"/>
      <c r="H79" s="296"/>
    </row>
    <row r="80" spans="3:8" ht="15.75">
      <c r="C80" s="296"/>
      <c r="D80" s="296"/>
      <c r="E80" s="296"/>
      <c r="F80" s="296"/>
      <c r="G80" s="296"/>
      <c r="H80" s="296"/>
    </row>
    <row r="81" spans="3:8" ht="15.75">
      <c r="C81" s="296"/>
      <c r="D81" s="296"/>
      <c r="E81" s="296"/>
      <c r="F81" s="296"/>
      <c r="G81" s="296"/>
      <c r="H81" s="296"/>
    </row>
    <row r="82" spans="3:8" ht="15.75">
      <c r="C82" s="296"/>
      <c r="D82" s="296"/>
      <c r="E82" s="296"/>
      <c r="F82" s="296"/>
      <c r="G82" s="296"/>
      <c r="H82" s="296"/>
    </row>
  </sheetData>
  <sheetProtection/>
  <mergeCells count="11">
    <mergeCell ref="I3:I4"/>
    <mergeCell ref="A1:I1"/>
    <mergeCell ref="A2:I2"/>
    <mergeCell ref="G3:G4"/>
    <mergeCell ref="C3:C4"/>
    <mergeCell ref="H3:H4"/>
    <mergeCell ref="A3:A4"/>
    <mergeCell ref="B3:B4"/>
    <mergeCell ref="D3:D4"/>
    <mergeCell ref="F3:F4"/>
    <mergeCell ref="E3:E4"/>
  </mergeCells>
  <printOptions gridLines="1"/>
  <pageMargins left="0.48" right="0.44" top="0.984251968503937" bottom="0.984251968503937" header="0.5118110236220472" footer="0.5118110236220472"/>
  <pageSetup fitToHeight="1" fitToWidth="1"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1:IV2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O16" sqref="O16:O18"/>
    </sheetView>
  </sheetViews>
  <sheetFormatPr defaultColWidth="9.140625" defaultRowHeight="12.75"/>
  <cols>
    <col min="1" max="1" width="7.28125" style="336" customWidth="1"/>
    <col min="2" max="2" width="39.8515625" style="341" customWidth="1"/>
    <col min="3" max="3" width="12.8515625" style="336" customWidth="1"/>
    <col min="4" max="4" width="14.57421875" style="336" customWidth="1"/>
    <col min="5" max="5" width="13.7109375" style="336" customWidth="1"/>
    <col min="6" max="6" width="15.00390625" style="336" customWidth="1"/>
    <col min="7" max="7" width="13.28125" style="336" customWidth="1"/>
    <col min="8" max="8" width="13.57421875" style="336" customWidth="1"/>
    <col min="9" max="9" width="13.421875" style="336" customWidth="1"/>
    <col min="10" max="10" width="12.421875" style="336" customWidth="1"/>
    <col min="11" max="11" width="14.57421875" style="336" customWidth="1"/>
    <col min="12" max="12" width="13.421875" style="336" bestFit="1" customWidth="1"/>
    <col min="13" max="13" width="14.28125" style="336" customWidth="1"/>
    <col min="14" max="14" width="13.8515625" style="336" bestFit="1" customWidth="1"/>
    <col min="15" max="15" width="14.140625" style="336" customWidth="1"/>
    <col min="16" max="16384" width="9.140625" style="336" customWidth="1"/>
  </cols>
  <sheetData>
    <row r="1" spans="1:14" ht="27.75" customHeight="1">
      <c r="A1" s="774" t="s">
        <v>881</v>
      </c>
      <c r="B1" s="775"/>
      <c r="C1" s="775"/>
      <c r="D1" s="775"/>
      <c r="E1" s="775"/>
      <c r="F1" s="775"/>
      <c r="G1" s="775"/>
      <c r="H1" s="775"/>
      <c r="I1" s="775"/>
      <c r="J1" s="775"/>
      <c r="K1" s="775"/>
      <c r="L1" s="775"/>
      <c r="M1" s="775"/>
      <c r="N1" s="776"/>
    </row>
    <row r="2" spans="1:14" ht="28.5" customHeight="1">
      <c r="A2" s="777" t="s">
        <v>956</v>
      </c>
      <c r="B2" s="778"/>
      <c r="C2" s="778"/>
      <c r="D2" s="778"/>
      <c r="E2" s="778"/>
      <c r="F2" s="778"/>
      <c r="G2" s="778"/>
      <c r="H2" s="778"/>
      <c r="I2" s="779"/>
      <c r="J2" s="779"/>
      <c r="K2" s="778"/>
      <c r="L2" s="778"/>
      <c r="M2" s="778"/>
      <c r="N2" s="780"/>
    </row>
    <row r="3" spans="1:256" ht="51.75" customHeight="1">
      <c r="A3" s="781" t="s">
        <v>149</v>
      </c>
      <c r="B3" s="782"/>
      <c r="C3" s="783" t="s">
        <v>237</v>
      </c>
      <c r="D3" s="783"/>
      <c r="E3" s="783" t="s">
        <v>238</v>
      </c>
      <c r="F3" s="783"/>
      <c r="G3" s="783" t="s">
        <v>239</v>
      </c>
      <c r="H3" s="755"/>
      <c r="I3" s="784" t="s">
        <v>753</v>
      </c>
      <c r="J3" s="784"/>
      <c r="K3" s="786" t="s">
        <v>219</v>
      </c>
      <c r="L3" s="783"/>
      <c r="M3" s="783" t="s">
        <v>233</v>
      </c>
      <c r="N3" s="78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37"/>
      <c r="CC3" s="337"/>
      <c r="CD3" s="337"/>
      <c r="CE3" s="337"/>
      <c r="CF3" s="337"/>
      <c r="CG3" s="337"/>
      <c r="CH3" s="337"/>
      <c r="CI3" s="337"/>
      <c r="CJ3" s="337"/>
      <c r="CK3" s="337"/>
      <c r="CL3" s="337"/>
      <c r="CM3" s="337"/>
      <c r="CN3" s="337"/>
      <c r="CO3" s="337"/>
      <c r="CP3" s="337"/>
      <c r="CQ3" s="337"/>
      <c r="CR3" s="337"/>
      <c r="CS3" s="337"/>
      <c r="CT3" s="337"/>
      <c r="CU3" s="337"/>
      <c r="CV3" s="337"/>
      <c r="CW3" s="337"/>
      <c r="CX3" s="337"/>
      <c r="CY3" s="337"/>
      <c r="CZ3" s="337"/>
      <c r="DA3" s="337"/>
      <c r="DB3" s="337"/>
      <c r="DC3" s="337"/>
      <c r="DD3" s="337"/>
      <c r="DE3" s="337"/>
      <c r="DF3" s="337"/>
      <c r="DG3" s="337"/>
      <c r="DH3" s="337"/>
      <c r="DI3" s="337"/>
      <c r="DJ3" s="337"/>
      <c r="DK3" s="337"/>
      <c r="DL3" s="337"/>
      <c r="DM3" s="337"/>
      <c r="DN3" s="337"/>
      <c r="DO3" s="337"/>
      <c r="DP3" s="337"/>
      <c r="DQ3" s="337"/>
      <c r="DR3" s="337"/>
      <c r="DS3" s="337"/>
      <c r="DT3" s="337"/>
      <c r="DU3" s="337"/>
      <c r="DV3" s="337"/>
      <c r="DW3" s="337"/>
      <c r="DX3" s="337"/>
      <c r="DY3" s="337"/>
      <c r="DZ3" s="337"/>
      <c r="EA3" s="337"/>
      <c r="EB3" s="337"/>
      <c r="EC3" s="337"/>
      <c r="ED3" s="337"/>
      <c r="EE3" s="337"/>
      <c r="EF3" s="337"/>
      <c r="EG3" s="337"/>
      <c r="EH3" s="337"/>
      <c r="EI3" s="337"/>
      <c r="EJ3" s="337"/>
      <c r="EK3" s="337"/>
      <c r="EL3" s="337"/>
      <c r="EM3" s="337"/>
      <c r="EN3" s="337"/>
      <c r="EO3" s="337"/>
      <c r="EP3" s="337"/>
      <c r="EQ3" s="337"/>
      <c r="ER3" s="337"/>
      <c r="ES3" s="337"/>
      <c r="ET3" s="337"/>
      <c r="EU3" s="337"/>
      <c r="EV3" s="337"/>
      <c r="EW3" s="337"/>
      <c r="EX3" s="337"/>
      <c r="EY3" s="337"/>
      <c r="EZ3" s="337"/>
      <c r="FA3" s="337"/>
      <c r="FB3" s="337"/>
      <c r="FC3" s="337"/>
      <c r="FD3" s="337"/>
      <c r="FE3" s="337"/>
      <c r="FF3" s="337"/>
      <c r="FG3" s="337"/>
      <c r="FH3" s="337"/>
      <c r="FI3" s="337"/>
      <c r="FJ3" s="337"/>
      <c r="FK3" s="337"/>
      <c r="FL3" s="337"/>
      <c r="FM3" s="337"/>
      <c r="FN3" s="337"/>
      <c r="FO3" s="337"/>
      <c r="FP3" s="337"/>
      <c r="FQ3" s="337"/>
      <c r="FR3" s="337"/>
      <c r="FS3" s="337"/>
      <c r="FT3" s="337"/>
      <c r="FU3" s="337"/>
      <c r="FV3" s="337"/>
      <c r="FW3" s="337"/>
      <c r="FX3" s="337"/>
      <c r="FY3" s="337"/>
      <c r="FZ3" s="337"/>
      <c r="GA3" s="337"/>
      <c r="GB3" s="337"/>
      <c r="GC3" s="337"/>
      <c r="GD3" s="337"/>
      <c r="GE3" s="337"/>
      <c r="GF3" s="337"/>
      <c r="GG3" s="337"/>
      <c r="GH3" s="337"/>
      <c r="GI3" s="337"/>
      <c r="GJ3" s="337"/>
      <c r="GK3" s="337"/>
      <c r="GL3" s="337"/>
      <c r="GM3" s="337"/>
      <c r="GN3" s="337"/>
      <c r="GO3" s="337"/>
      <c r="GP3" s="337"/>
      <c r="GQ3" s="337"/>
      <c r="GR3" s="337"/>
      <c r="GS3" s="337"/>
      <c r="GT3" s="337"/>
      <c r="GU3" s="337"/>
      <c r="GV3" s="337"/>
      <c r="GW3" s="337"/>
      <c r="GX3" s="337"/>
      <c r="GY3" s="337"/>
      <c r="GZ3" s="337"/>
      <c r="HA3" s="337"/>
      <c r="HB3" s="337"/>
      <c r="HC3" s="337"/>
      <c r="HD3" s="337"/>
      <c r="HE3" s="337"/>
      <c r="HF3" s="337"/>
      <c r="HG3" s="337"/>
      <c r="HH3" s="337"/>
      <c r="HI3" s="337"/>
      <c r="HJ3" s="337"/>
      <c r="HK3" s="337"/>
      <c r="HL3" s="337"/>
      <c r="HM3" s="337"/>
      <c r="HN3" s="337"/>
      <c r="HO3" s="337"/>
      <c r="HP3" s="337"/>
      <c r="HQ3" s="337"/>
      <c r="HR3" s="337"/>
      <c r="HS3" s="337"/>
      <c r="HT3" s="337"/>
      <c r="HU3" s="337"/>
      <c r="HV3" s="337"/>
      <c r="HW3" s="337"/>
      <c r="HX3" s="337"/>
      <c r="HY3" s="337"/>
      <c r="HZ3" s="337"/>
      <c r="IA3" s="337"/>
      <c r="IB3" s="337"/>
      <c r="IC3" s="337"/>
      <c r="ID3" s="337"/>
      <c r="IE3" s="337"/>
      <c r="IF3" s="337"/>
      <c r="IG3" s="337"/>
      <c r="IH3" s="337"/>
      <c r="II3" s="337"/>
      <c r="IJ3" s="337"/>
      <c r="IK3" s="337"/>
      <c r="IL3" s="337"/>
      <c r="IM3" s="337"/>
      <c r="IN3" s="337"/>
      <c r="IO3" s="337"/>
      <c r="IP3" s="337"/>
      <c r="IQ3" s="337"/>
      <c r="IR3" s="337"/>
      <c r="IS3" s="337"/>
      <c r="IT3" s="337"/>
      <c r="IU3" s="337"/>
      <c r="IV3" s="337"/>
    </row>
    <row r="4" spans="1:256" ht="17.25" customHeight="1">
      <c r="A4" s="781"/>
      <c r="B4" s="782"/>
      <c r="C4" s="16">
        <v>2013</v>
      </c>
      <c r="D4" s="16">
        <v>2014</v>
      </c>
      <c r="E4" s="16">
        <v>2013</v>
      </c>
      <c r="F4" s="16">
        <v>2014</v>
      </c>
      <c r="G4" s="16">
        <v>2013</v>
      </c>
      <c r="H4" s="16">
        <v>2014</v>
      </c>
      <c r="I4" s="16">
        <v>2013</v>
      </c>
      <c r="J4" s="16">
        <v>2014</v>
      </c>
      <c r="K4" s="16">
        <v>2013</v>
      </c>
      <c r="L4" s="16">
        <v>2014</v>
      </c>
      <c r="M4" s="16">
        <v>2013</v>
      </c>
      <c r="N4" s="16">
        <v>2014</v>
      </c>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37"/>
      <c r="ED4" s="337"/>
      <c r="EE4" s="337"/>
      <c r="EF4" s="337"/>
      <c r="EG4" s="337"/>
      <c r="EH4" s="337"/>
      <c r="EI4" s="337"/>
      <c r="EJ4" s="337"/>
      <c r="EK4" s="337"/>
      <c r="EL4" s="337"/>
      <c r="EM4" s="337"/>
      <c r="EN4" s="337"/>
      <c r="EO4" s="337"/>
      <c r="EP4" s="337"/>
      <c r="EQ4" s="337"/>
      <c r="ER4" s="337"/>
      <c r="ES4" s="337"/>
      <c r="ET4" s="337"/>
      <c r="EU4" s="337"/>
      <c r="EV4" s="337"/>
      <c r="EW4" s="337"/>
      <c r="EX4" s="337"/>
      <c r="EY4" s="337"/>
      <c r="EZ4" s="337"/>
      <c r="FA4" s="337"/>
      <c r="FB4" s="337"/>
      <c r="FC4" s="337"/>
      <c r="FD4" s="337"/>
      <c r="FE4" s="337"/>
      <c r="FF4" s="337"/>
      <c r="FG4" s="337"/>
      <c r="FH4" s="337"/>
      <c r="FI4" s="337"/>
      <c r="FJ4" s="337"/>
      <c r="FK4" s="337"/>
      <c r="FL4" s="337"/>
      <c r="FM4" s="337"/>
      <c r="FN4" s="337"/>
      <c r="FO4" s="337"/>
      <c r="FP4" s="337"/>
      <c r="FQ4" s="337"/>
      <c r="FR4" s="337"/>
      <c r="FS4" s="337"/>
      <c r="FT4" s="337"/>
      <c r="FU4" s="337"/>
      <c r="FV4" s="337"/>
      <c r="FW4" s="337"/>
      <c r="FX4" s="337"/>
      <c r="FY4" s="337"/>
      <c r="FZ4" s="337"/>
      <c r="GA4" s="337"/>
      <c r="GB4" s="337"/>
      <c r="GC4" s="337"/>
      <c r="GD4" s="337"/>
      <c r="GE4" s="337"/>
      <c r="GF4" s="337"/>
      <c r="GG4" s="337"/>
      <c r="GH4" s="337"/>
      <c r="GI4" s="337"/>
      <c r="GJ4" s="337"/>
      <c r="GK4" s="337"/>
      <c r="GL4" s="337"/>
      <c r="GM4" s="337"/>
      <c r="GN4" s="337"/>
      <c r="GO4" s="337"/>
      <c r="GP4" s="337"/>
      <c r="GQ4" s="337"/>
      <c r="GR4" s="337"/>
      <c r="GS4" s="337"/>
      <c r="GT4" s="337"/>
      <c r="GU4" s="337"/>
      <c r="GV4" s="337"/>
      <c r="GW4" s="337"/>
      <c r="GX4" s="337"/>
      <c r="GY4" s="337"/>
      <c r="GZ4" s="337"/>
      <c r="HA4" s="337"/>
      <c r="HB4" s="337"/>
      <c r="HC4" s="337"/>
      <c r="HD4" s="337"/>
      <c r="HE4" s="337"/>
      <c r="HF4" s="337"/>
      <c r="HG4" s="337"/>
      <c r="HH4" s="337"/>
      <c r="HI4" s="337"/>
      <c r="HJ4" s="337"/>
      <c r="HK4" s="337"/>
      <c r="HL4" s="337"/>
      <c r="HM4" s="337"/>
      <c r="HN4" s="337"/>
      <c r="HO4" s="337"/>
      <c r="HP4" s="337"/>
      <c r="HQ4" s="337"/>
      <c r="HR4" s="337"/>
      <c r="HS4" s="337"/>
      <c r="HT4" s="337"/>
      <c r="HU4" s="337"/>
      <c r="HV4" s="337"/>
      <c r="HW4" s="337"/>
      <c r="HX4" s="337"/>
      <c r="HY4" s="337"/>
      <c r="HZ4" s="337"/>
      <c r="IA4" s="337"/>
      <c r="IB4" s="337"/>
      <c r="IC4" s="337"/>
      <c r="ID4" s="337"/>
      <c r="IE4" s="337"/>
      <c r="IF4" s="337"/>
      <c r="IG4" s="337"/>
      <c r="IH4" s="337"/>
      <c r="II4" s="337"/>
      <c r="IJ4" s="337"/>
      <c r="IK4" s="337"/>
      <c r="IL4" s="337"/>
      <c r="IM4" s="337"/>
      <c r="IN4" s="337"/>
      <c r="IO4" s="337"/>
      <c r="IP4" s="337"/>
      <c r="IQ4" s="337"/>
      <c r="IR4" s="337"/>
      <c r="IS4" s="337"/>
      <c r="IT4" s="337"/>
      <c r="IU4" s="337"/>
      <c r="IV4" s="337"/>
    </row>
    <row r="5" spans="1:256" ht="31.5">
      <c r="A5" s="42"/>
      <c r="B5" s="338"/>
      <c r="C5" s="36" t="s">
        <v>199</v>
      </c>
      <c r="D5" s="36" t="s">
        <v>200</v>
      </c>
      <c r="E5" s="36" t="s">
        <v>201</v>
      </c>
      <c r="F5" s="36" t="s">
        <v>207</v>
      </c>
      <c r="G5" s="36" t="s">
        <v>202</v>
      </c>
      <c r="H5" s="367" t="s">
        <v>203</v>
      </c>
      <c r="I5" s="36" t="s">
        <v>204</v>
      </c>
      <c r="J5" s="36" t="s">
        <v>205</v>
      </c>
      <c r="K5" s="36" t="s">
        <v>206</v>
      </c>
      <c r="L5" s="36" t="s">
        <v>715</v>
      </c>
      <c r="M5" s="420" t="s">
        <v>789</v>
      </c>
      <c r="N5" s="421" t="s">
        <v>790</v>
      </c>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c r="CT5" s="339"/>
      <c r="CU5" s="339"/>
      <c r="CV5" s="339"/>
      <c r="CW5" s="339"/>
      <c r="CX5" s="339"/>
      <c r="CY5" s="339"/>
      <c r="CZ5" s="339"/>
      <c r="DA5" s="339"/>
      <c r="DB5" s="339"/>
      <c r="DC5" s="339"/>
      <c r="DD5" s="339"/>
      <c r="DE5" s="339"/>
      <c r="DF5" s="339"/>
      <c r="DG5" s="339"/>
      <c r="DH5" s="339"/>
      <c r="DI5" s="339"/>
      <c r="DJ5" s="339"/>
      <c r="DK5" s="339"/>
      <c r="DL5" s="339"/>
      <c r="DM5" s="339"/>
      <c r="DN5" s="339"/>
      <c r="DO5" s="339"/>
      <c r="DP5" s="339"/>
      <c r="DQ5" s="339"/>
      <c r="DR5" s="339"/>
      <c r="DS5" s="339"/>
      <c r="DT5" s="339"/>
      <c r="DU5" s="339"/>
      <c r="DV5" s="339"/>
      <c r="DW5" s="339"/>
      <c r="DX5" s="339"/>
      <c r="DY5" s="339"/>
      <c r="DZ5" s="339"/>
      <c r="EA5" s="339"/>
      <c r="EB5" s="339"/>
      <c r="EC5" s="339"/>
      <c r="ED5" s="339"/>
      <c r="EE5" s="339"/>
      <c r="EF5" s="339"/>
      <c r="EG5" s="339"/>
      <c r="EH5" s="339"/>
      <c r="EI5" s="339"/>
      <c r="EJ5" s="339"/>
      <c r="EK5" s="339"/>
      <c r="EL5" s="339"/>
      <c r="EM5" s="339"/>
      <c r="EN5" s="339"/>
      <c r="EO5" s="339"/>
      <c r="EP5" s="339"/>
      <c r="EQ5" s="339"/>
      <c r="ER5" s="339"/>
      <c r="ES5" s="339"/>
      <c r="ET5" s="339"/>
      <c r="EU5" s="339"/>
      <c r="EV5" s="339"/>
      <c r="EW5" s="339"/>
      <c r="EX5" s="339"/>
      <c r="EY5" s="339"/>
      <c r="EZ5" s="339"/>
      <c r="FA5" s="339"/>
      <c r="FB5" s="339"/>
      <c r="FC5" s="339"/>
      <c r="FD5" s="339"/>
      <c r="FE5" s="339"/>
      <c r="FF5" s="339"/>
      <c r="FG5" s="339"/>
      <c r="FH5" s="339"/>
      <c r="FI5" s="339"/>
      <c r="FJ5" s="339"/>
      <c r="FK5" s="339"/>
      <c r="FL5" s="339"/>
      <c r="FM5" s="339"/>
      <c r="FN5" s="339"/>
      <c r="FO5" s="339"/>
      <c r="FP5" s="339"/>
      <c r="FQ5" s="339"/>
      <c r="FR5" s="339"/>
      <c r="FS5" s="339"/>
      <c r="FT5" s="339"/>
      <c r="FU5" s="339"/>
      <c r="FV5" s="339"/>
      <c r="FW5" s="339"/>
      <c r="FX5" s="339"/>
      <c r="FY5" s="339"/>
      <c r="FZ5" s="339"/>
      <c r="GA5" s="339"/>
      <c r="GB5" s="339"/>
      <c r="GC5" s="339"/>
      <c r="GD5" s="339"/>
      <c r="GE5" s="339"/>
      <c r="GF5" s="339"/>
      <c r="GG5" s="339"/>
      <c r="GH5" s="339"/>
      <c r="GI5" s="339"/>
      <c r="GJ5" s="339"/>
      <c r="GK5" s="339"/>
      <c r="GL5" s="339"/>
      <c r="GM5" s="339"/>
      <c r="GN5" s="339"/>
      <c r="GO5" s="339"/>
      <c r="GP5" s="339"/>
      <c r="GQ5" s="339"/>
      <c r="GR5" s="339"/>
      <c r="GS5" s="339"/>
      <c r="GT5" s="339"/>
      <c r="GU5" s="339"/>
      <c r="GV5" s="339"/>
      <c r="GW5" s="339"/>
      <c r="GX5" s="339"/>
      <c r="GY5" s="339"/>
      <c r="GZ5" s="339"/>
      <c r="HA5" s="339"/>
      <c r="HB5" s="339"/>
      <c r="HC5" s="339"/>
      <c r="HD5" s="339"/>
      <c r="HE5" s="339"/>
      <c r="HF5" s="339"/>
      <c r="HG5" s="339"/>
      <c r="HH5" s="339"/>
      <c r="HI5" s="339"/>
      <c r="HJ5" s="339"/>
      <c r="HK5" s="339"/>
      <c r="HL5" s="339"/>
      <c r="HM5" s="339"/>
      <c r="HN5" s="339"/>
      <c r="HO5" s="339"/>
      <c r="HP5" s="339"/>
      <c r="HQ5" s="339"/>
      <c r="HR5" s="339"/>
      <c r="HS5" s="339"/>
      <c r="HT5" s="339"/>
      <c r="HU5" s="339"/>
      <c r="HV5" s="339"/>
      <c r="HW5" s="339"/>
      <c r="HX5" s="339"/>
      <c r="HY5" s="339"/>
      <c r="HZ5" s="339"/>
      <c r="IA5" s="339"/>
      <c r="IB5" s="339"/>
      <c r="IC5" s="339"/>
      <c r="ID5" s="339"/>
      <c r="IE5" s="339"/>
      <c r="IF5" s="339"/>
      <c r="IG5" s="339"/>
      <c r="IH5" s="339"/>
      <c r="II5" s="339"/>
      <c r="IJ5" s="339"/>
      <c r="IK5" s="339"/>
      <c r="IL5" s="339"/>
      <c r="IM5" s="339"/>
      <c r="IN5" s="339"/>
      <c r="IO5" s="339"/>
      <c r="IP5" s="339"/>
      <c r="IQ5" s="339"/>
      <c r="IR5" s="339"/>
      <c r="IS5" s="339"/>
      <c r="IT5" s="339"/>
      <c r="IU5" s="339"/>
      <c r="IV5" s="339"/>
    </row>
    <row r="6" spans="1:14" ht="31.5">
      <c r="A6" s="42">
        <v>1</v>
      </c>
      <c r="B6" s="64" t="s">
        <v>145</v>
      </c>
      <c r="C6" s="560">
        <v>1090929.02</v>
      </c>
      <c r="D6" s="561">
        <f>C17</f>
        <v>2355283.8099999996</v>
      </c>
      <c r="E6" s="560">
        <v>4003943.27</v>
      </c>
      <c r="F6" s="561">
        <f>E17</f>
        <v>5313612.32</v>
      </c>
      <c r="G6" s="562">
        <v>360984.23</v>
      </c>
      <c r="H6" s="561">
        <f>G17</f>
        <v>617425.0299999998</v>
      </c>
      <c r="I6" s="560">
        <v>0</v>
      </c>
      <c r="J6" s="561">
        <f>SUM(I17)</f>
        <v>10000</v>
      </c>
      <c r="K6" s="560">
        <v>0</v>
      </c>
      <c r="L6" s="561">
        <f>SUM(K17)</f>
        <v>0</v>
      </c>
      <c r="M6" s="561">
        <f aca="true" t="shared" si="0" ref="M6:N8">C6+E6+G6+I6+K6</f>
        <v>5455856.52</v>
      </c>
      <c r="N6" s="563">
        <f t="shared" si="0"/>
        <v>8296321.16</v>
      </c>
    </row>
    <row r="7" spans="1:14" ht="31.5">
      <c r="A7" s="42">
        <v>2</v>
      </c>
      <c r="B7" s="388" t="s">
        <v>737</v>
      </c>
      <c r="C7" s="561">
        <f aca="true" t="shared" si="1" ref="C7:L7">SUM(C8:C15)</f>
        <v>1297386.41</v>
      </c>
      <c r="D7" s="561">
        <f t="shared" si="1"/>
        <v>587882.87</v>
      </c>
      <c r="E7" s="561">
        <f t="shared" si="1"/>
        <v>1760810.63</v>
      </c>
      <c r="F7" s="561">
        <f t="shared" si="1"/>
        <v>1315271.77</v>
      </c>
      <c r="G7" s="564">
        <f>SUM(G8:G15)</f>
        <v>2228017.8</v>
      </c>
      <c r="H7" s="561">
        <f>SUM(H8:H15)</f>
        <v>1561096.87</v>
      </c>
      <c r="I7" s="561">
        <f t="shared" si="1"/>
        <v>10000</v>
      </c>
      <c r="J7" s="561">
        <f>SUM(J8:J15)</f>
        <v>10000</v>
      </c>
      <c r="K7" s="561">
        <f t="shared" si="1"/>
        <v>0</v>
      </c>
      <c r="L7" s="561">
        <f t="shared" si="1"/>
        <v>0</v>
      </c>
      <c r="M7" s="561">
        <f t="shared" si="0"/>
        <v>5296214.84</v>
      </c>
      <c r="N7" s="563">
        <f t="shared" si="0"/>
        <v>3474251.5100000002</v>
      </c>
    </row>
    <row r="8" spans="1:14" ht="22.5" customHeight="1">
      <c r="A8" s="42">
        <v>3</v>
      </c>
      <c r="B8" s="46" t="s">
        <v>45</v>
      </c>
      <c r="C8" s="565">
        <v>1297386.41</v>
      </c>
      <c r="D8" s="565">
        <v>587882.87</v>
      </c>
      <c r="E8" s="565">
        <v>0</v>
      </c>
      <c r="F8" s="565">
        <v>0</v>
      </c>
      <c r="G8" s="565" t="s">
        <v>994</v>
      </c>
      <c r="H8" s="565" t="s">
        <v>994</v>
      </c>
      <c r="I8" s="565" t="s">
        <v>994</v>
      </c>
      <c r="J8" s="565" t="s">
        <v>994</v>
      </c>
      <c r="K8" s="565">
        <v>0</v>
      </c>
      <c r="L8" s="565">
        <v>0</v>
      </c>
      <c r="M8" s="561">
        <f t="shared" si="0"/>
        <v>1297386.41</v>
      </c>
      <c r="N8" s="563">
        <f t="shared" si="0"/>
        <v>587882.87</v>
      </c>
    </row>
    <row r="9" spans="1:14" ht="21.75" customHeight="1">
      <c r="A9" s="42">
        <v>4</v>
      </c>
      <c r="B9" s="46" t="s">
        <v>222</v>
      </c>
      <c r="C9" s="566" t="s">
        <v>221</v>
      </c>
      <c r="D9" s="566" t="s">
        <v>221</v>
      </c>
      <c r="E9" s="565">
        <v>1225532.17</v>
      </c>
      <c r="F9" s="565">
        <v>1220048.1</v>
      </c>
      <c r="G9" s="566" t="s">
        <v>221</v>
      </c>
      <c r="H9" s="566" t="s">
        <v>221</v>
      </c>
      <c r="I9" s="566" t="s">
        <v>221</v>
      </c>
      <c r="J9" s="566" t="s">
        <v>221</v>
      </c>
      <c r="K9" s="566" t="s">
        <v>221</v>
      </c>
      <c r="L9" s="566" t="s">
        <v>221</v>
      </c>
      <c r="M9" s="561">
        <f>E9</f>
        <v>1225532.17</v>
      </c>
      <c r="N9" s="563">
        <f>F9</f>
        <v>1220048.1</v>
      </c>
    </row>
    <row r="10" spans="1:256" ht="31.5">
      <c r="A10" s="42">
        <v>5</v>
      </c>
      <c r="B10" s="46" t="s">
        <v>0</v>
      </c>
      <c r="C10" s="566" t="s">
        <v>221</v>
      </c>
      <c r="D10" s="566" t="s">
        <v>221</v>
      </c>
      <c r="E10" s="565">
        <v>535278.46</v>
      </c>
      <c r="F10" s="565">
        <v>95223.67</v>
      </c>
      <c r="G10" s="566" t="s">
        <v>221</v>
      </c>
      <c r="H10" s="566" t="s">
        <v>221</v>
      </c>
      <c r="I10" s="566" t="s">
        <v>221</v>
      </c>
      <c r="J10" s="566" t="s">
        <v>221</v>
      </c>
      <c r="K10" s="566" t="s">
        <v>221</v>
      </c>
      <c r="L10" s="566" t="s">
        <v>221</v>
      </c>
      <c r="M10" s="561">
        <f>E10</f>
        <v>535278.46</v>
      </c>
      <c r="N10" s="563">
        <f>F10</f>
        <v>95223.67</v>
      </c>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39"/>
      <c r="CP10" s="339"/>
      <c r="CQ10" s="339"/>
      <c r="CR10" s="339"/>
      <c r="CS10" s="339"/>
      <c r="CT10" s="339"/>
      <c r="CU10" s="339"/>
      <c r="CV10" s="339"/>
      <c r="CW10" s="339"/>
      <c r="CX10" s="339"/>
      <c r="CY10" s="339"/>
      <c r="CZ10" s="339"/>
      <c r="DA10" s="339"/>
      <c r="DB10" s="339"/>
      <c r="DC10" s="339"/>
      <c r="DD10" s="339"/>
      <c r="DE10" s="339"/>
      <c r="DF10" s="339"/>
      <c r="DG10" s="339"/>
      <c r="DH10" s="339"/>
      <c r="DI10" s="339"/>
      <c r="DJ10" s="339"/>
      <c r="DK10" s="339"/>
      <c r="DL10" s="339"/>
      <c r="DM10" s="339"/>
      <c r="DN10" s="339"/>
      <c r="DO10" s="339"/>
      <c r="DP10" s="339"/>
      <c r="DQ10" s="339"/>
      <c r="DR10" s="339"/>
      <c r="DS10" s="339"/>
      <c r="DT10" s="339"/>
      <c r="DU10" s="339"/>
      <c r="DV10" s="339"/>
      <c r="DW10" s="339"/>
      <c r="DX10" s="339"/>
      <c r="DY10" s="339"/>
      <c r="DZ10" s="339"/>
      <c r="EA10" s="339"/>
      <c r="EB10" s="339"/>
      <c r="EC10" s="339"/>
      <c r="ED10" s="339"/>
      <c r="EE10" s="339"/>
      <c r="EF10" s="339"/>
      <c r="EG10" s="339"/>
      <c r="EH10" s="339"/>
      <c r="EI10" s="339"/>
      <c r="EJ10" s="339"/>
      <c r="EK10" s="339"/>
      <c r="EL10" s="339"/>
      <c r="EM10" s="339"/>
      <c r="EN10" s="339"/>
      <c r="EO10" s="339"/>
      <c r="EP10" s="339"/>
      <c r="EQ10" s="339"/>
      <c r="ER10" s="339"/>
      <c r="ES10" s="339"/>
      <c r="ET10" s="339"/>
      <c r="EU10" s="339"/>
      <c r="EV10" s="339"/>
      <c r="EW10" s="339"/>
      <c r="EX10" s="339"/>
      <c r="EY10" s="339"/>
      <c r="EZ10" s="339"/>
      <c r="FA10" s="339"/>
      <c r="FB10" s="339"/>
      <c r="FC10" s="339"/>
      <c r="FD10" s="339"/>
      <c r="FE10" s="339"/>
      <c r="FF10" s="339"/>
      <c r="FG10" s="339"/>
      <c r="FH10" s="339"/>
      <c r="FI10" s="339"/>
      <c r="FJ10" s="339"/>
      <c r="FK10" s="339"/>
      <c r="FL10" s="339"/>
      <c r="FM10" s="339"/>
      <c r="FN10" s="339"/>
      <c r="FO10" s="339"/>
      <c r="FP10" s="339"/>
      <c r="FQ10" s="339"/>
      <c r="FR10" s="339"/>
      <c r="FS10" s="339"/>
      <c r="FT10" s="339"/>
      <c r="FU10" s="339"/>
      <c r="FV10" s="339"/>
      <c r="FW10" s="339"/>
      <c r="FX10" s="339"/>
      <c r="FY10" s="339"/>
      <c r="FZ10" s="339"/>
      <c r="GA10" s="339"/>
      <c r="GB10" s="339"/>
      <c r="GC10" s="339"/>
      <c r="GD10" s="339"/>
      <c r="GE10" s="339"/>
      <c r="GF10" s="339"/>
      <c r="GG10" s="339"/>
      <c r="GH10" s="339"/>
      <c r="GI10" s="339"/>
      <c r="GJ10" s="339"/>
      <c r="GK10" s="339"/>
      <c r="GL10" s="339"/>
      <c r="GM10" s="339"/>
      <c r="GN10" s="339"/>
      <c r="GO10" s="339"/>
      <c r="GP10" s="339"/>
      <c r="GQ10" s="339"/>
      <c r="GR10" s="339"/>
      <c r="GS10" s="339"/>
      <c r="GT10" s="339"/>
      <c r="GU10" s="339"/>
      <c r="GV10" s="339"/>
      <c r="GW10" s="339"/>
      <c r="GX10" s="339"/>
      <c r="GY10" s="339"/>
      <c r="GZ10" s="339"/>
      <c r="HA10" s="339"/>
      <c r="HB10" s="339"/>
      <c r="HC10" s="339"/>
      <c r="HD10" s="339"/>
      <c r="HE10" s="339"/>
      <c r="HF10" s="339"/>
      <c r="HG10" s="339"/>
      <c r="HH10" s="339"/>
      <c r="HI10" s="339"/>
      <c r="HJ10" s="339"/>
      <c r="HK10" s="339"/>
      <c r="HL10" s="339"/>
      <c r="HM10" s="339"/>
      <c r="HN10" s="339"/>
      <c r="HO10" s="339"/>
      <c r="HP10" s="339"/>
      <c r="HQ10" s="339"/>
      <c r="HR10" s="339"/>
      <c r="HS10" s="339"/>
      <c r="HT10" s="339"/>
      <c r="HU10" s="339"/>
      <c r="HV10" s="339"/>
      <c r="HW10" s="339"/>
      <c r="HX10" s="339"/>
      <c r="HY10" s="339"/>
      <c r="HZ10" s="339"/>
      <c r="IA10" s="339"/>
      <c r="IB10" s="339"/>
      <c r="IC10" s="339"/>
      <c r="ID10" s="339"/>
      <c r="IE10" s="339"/>
      <c r="IF10" s="339"/>
      <c r="IG10" s="339"/>
      <c r="IH10" s="339"/>
      <c r="II10" s="339"/>
      <c r="IJ10" s="339"/>
      <c r="IK10" s="339"/>
      <c r="IL10" s="339"/>
      <c r="IM10" s="339"/>
      <c r="IN10" s="339"/>
      <c r="IO10" s="339"/>
      <c r="IP10" s="339"/>
      <c r="IQ10" s="339"/>
      <c r="IR10" s="339"/>
      <c r="IS10" s="339"/>
      <c r="IT10" s="339"/>
      <c r="IU10" s="339"/>
      <c r="IV10" s="339"/>
    </row>
    <row r="11" spans="1:14" ht="31.5">
      <c r="A11" s="42">
        <v>6</v>
      </c>
      <c r="B11" s="46" t="s">
        <v>223</v>
      </c>
      <c r="C11" s="566" t="s">
        <v>221</v>
      </c>
      <c r="D11" s="566" t="s">
        <v>221</v>
      </c>
      <c r="E11" s="565" t="s">
        <v>994</v>
      </c>
      <c r="F11" s="565" t="s">
        <v>994</v>
      </c>
      <c r="G11" s="565" t="s">
        <v>994</v>
      </c>
      <c r="H11" s="565" t="s">
        <v>994</v>
      </c>
      <c r="I11" s="565">
        <v>10000</v>
      </c>
      <c r="J11" s="565">
        <v>10000</v>
      </c>
      <c r="K11" s="565" t="s">
        <v>994</v>
      </c>
      <c r="L11" s="565" t="s">
        <v>994</v>
      </c>
      <c r="M11" s="561">
        <f>E11+G11+I11+K11</f>
        <v>10000</v>
      </c>
      <c r="N11" s="563">
        <f>F11+H11+J11+L11</f>
        <v>10000</v>
      </c>
    </row>
    <row r="12" spans="1:14" ht="17.25" customHeight="1">
      <c r="A12" s="42">
        <v>7</v>
      </c>
      <c r="B12" s="46" t="s">
        <v>224</v>
      </c>
      <c r="C12" s="565" t="s">
        <v>994</v>
      </c>
      <c r="D12" s="565" t="s">
        <v>994</v>
      </c>
      <c r="E12" s="565">
        <v>0</v>
      </c>
      <c r="F12" s="565">
        <v>0</v>
      </c>
      <c r="G12" s="565">
        <v>0</v>
      </c>
      <c r="H12" s="565">
        <v>0</v>
      </c>
      <c r="I12" s="565">
        <v>0</v>
      </c>
      <c r="J12" s="565">
        <v>0</v>
      </c>
      <c r="K12" s="565">
        <v>0</v>
      </c>
      <c r="L12" s="565">
        <v>0</v>
      </c>
      <c r="M12" s="561">
        <f>C12+E12+G12+I12+K12</f>
        <v>0</v>
      </c>
      <c r="N12" s="563">
        <f>D12+F12+H12+J12+L12</f>
        <v>0</v>
      </c>
    </row>
    <row r="13" spans="1:14" ht="18.75">
      <c r="A13" s="42">
        <v>8</v>
      </c>
      <c r="B13" s="123" t="s">
        <v>46</v>
      </c>
      <c r="C13" s="566" t="s">
        <v>221</v>
      </c>
      <c r="D13" s="566" t="s">
        <v>221</v>
      </c>
      <c r="E13" s="566" t="s">
        <v>221</v>
      </c>
      <c r="F13" s="566" t="s">
        <v>221</v>
      </c>
      <c r="G13" s="565">
        <v>2162741</v>
      </c>
      <c r="H13" s="565">
        <v>1504488.87</v>
      </c>
      <c r="I13" s="566" t="s">
        <v>221</v>
      </c>
      <c r="J13" s="566" t="s">
        <v>221</v>
      </c>
      <c r="K13" s="566" t="s">
        <v>221</v>
      </c>
      <c r="L13" s="566" t="s">
        <v>221</v>
      </c>
      <c r="M13" s="561">
        <f>G13</f>
        <v>2162741</v>
      </c>
      <c r="N13" s="563">
        <f>H13</f>
        <v>1504488.87</v>
      </c>
    </row>
    <row r="14" spans="1:14" ht="19.5" customHeight="1">
      <c r="A14" s="42">
        <v>9</v>
      </c>
      <c r="B14" s="46" t="s">
        <v>9</v>
      </c>
      <c r="C14" s="566" t="s">
        <v>221</v>
      </c>
      <c r="D14" s="566" t="s">
        <v>221</v>
      </c>
      <c r="E14" s="566" t="s">
        <v>221</v>
      </c>
      <c r="F14" s="566" t="s">
        <v>221</v>
      </c>
      <c r="G14" s="565">
        <v>65276.8</v>
      </c>
      <c r="H14" s="565">
        <v>56608</v>
      </c>
      <c r="I14" s="566" t="s">
        <v>221</v>
      </c>
      <c r="J14" s="566" t="s">
        <v>221</v>
      </c>
      <c r="K14" s="566" t="s">
        <v>221</v>
      </c>
      <c r="L14" s="566" t="s">
        <v>221</v>
      </c>
      <c r="M14" s="561">
        <f>G14</f>
        <v>65276.8</v>
      </c>
      <c r="N14" s="563">
        <f>H14</f>
        <v>56608</v>
      </c>
    </row>
    <row r="15" spans="1:14" ht="18.75">
      <c r="A15" s="42">
        <v>10</v>
      </c>
      <c r="B15" s="46" t="s">
        <v>47</v>
      </c>
      <c r="C15" s="565" t="s">
        <v>994</v>
      </c>
      <c r="D15" s="565" t="s">
        <v>994</v>
      </c>
      <c r="E15" s="565" t="s">
        <v>994</v>
      </c>
      <c r="F15" s="565" t="s">
        <v>994</v>
      </c>
      <c r="G15" s="565" t="s">
        <v>994</v>
      </c>
      <c r="H15" s="565" t="s">
        <v>994</v>
      </c>
      <c r="I15" s="565" t="s">
        <v>994</v>
      </c>
      <c r="J15" s="565" t="s">
        <v>994</v>
      </c>
      <c r="K15" s="565" t="s">
        <v>994</v>
      </c>
      <c r="L15" s="565" t="s">
        <v>994</v>
      </c>
      <c r="M15" s="561">
        <f>C15+E15+G15+I15+K15</f>
        <v>0</v>
      </c>
      <c r="N15" s="563">
        <f>D15+F15+H15+J15+L15</f>
        <v>0</v>
      </c>
    </row>
    <row r="16" spans="1:14" ht="31.5">
      <c r="A16" s="42">
        <v>11</v>
      </c>
      <c r="B16" s="64" t="s">
        <v>146</v>
      </c>
      <c r="C16" s="565">
        <v>33031.62</v>
      </c>
      <c r="D16" s="565">
        <v>11876.39</v>
      </c>
      <c r="E16" s="565">
        <v>451141.58</v>
      </c>
      <c r="F16" s="565">
        <v>2230676.34</v>
      </c>
      <c r="G16" s="565">
        <v>1971577</v>
      </c>
      <c r="H16" s="565">
        <v>1850105</v>
      </c>
      <c r="I16" s="565" t="s">
        <v>994</v>
      </c>
      <c r="J16" s="565">
        <v>10039.96</v>
      </c>
      <c r="K16" s="565">
        <v>0</v>
      </c>
      <c r="L16" s="565">
        <v>0</v>
      </c>
      <c r="M16" s="561">
        <f aca="true" t="shared" si="2" ref="M16:N18">C16+E16+G16+I16+K16</f>
        <v>2455750.2</v>
      </c>
      <c r="N16" s="563">
        <f t="shared" si="2"/>
        <v>4102697.69</v>
      </c>
    </row>
    <row r="17" spans="1:14" ht="31.5">
      <c r="A17" s="42">
        <v>12</v>
      </c>
      <c r="B17" s="64" t="s">
        <v>10</v>
      </c>
      <c r="C17" s="561">
        <f aca="true" t="shared" si="3" ref="C17:L17">C6+C7-C16</f>
        <v>2355283.8099999996</v>
      </c>
      <c r="D17" s="561">
        <f t="shared" si="3"/>
        <v>2931290.2899999996</v>
      </c>
      <c r="E17" s="561">
        <f t="shared" si="3"/>
        <v>5313612.32</v>
      </c>
      <c r="F17" s="561">
        <f t="shared" si="3"/>
        <v>4398207.75</v>
      </c>
      <c r="G17" s="564">
        <f t="shared" si="3"/>
        <v>617425.0299999998</v>
      </c>
      <c r="H17" s="561">
        <f t="shared" si="3"/>
        <v>328416.8999999999</v>
      </c>
      <c r="I17" s="561">
        <f t="shared" si="3"/>
        <v>10000</v>
      </c>
      <c r="J17" s="561">
        <f t="shared" si="3"/>
        <v>9960.04</v>
      </c>
      <c r="K17" s="561">
        <f t="shared" si="3"/>
        <v>0</v>
      </c>
      <c r="L17" s="561">
        <f t="shared" si="3"/>
        <v>0</v>
      </c>
      <c r="M17" s="561">
        <f t="shared" si="2"/>
        <v>8296321.16</v>
      </c>
      <c r="N17" s="563">
        <f t="shared" si="2"/>
        <v>7667874.9799999995</v>
      </c>
    </row>
    <row r="18" spans="1:14" ht="62.25" customHeight="1" thickBot="1">
      <c r="A18" s="340">
        <v>13</v>
      </c>
      <c r="B18" s="92" t="s">
        <v>801</v>
      </c>
      <c r="C18" s="567">
        <v>0</v>
      </c>
      <c r="D18" s="567">
        <v>0</v>
      </c>
      <c r="E18" s="567">
        <v>0</v>
      </c>
      <c r="F18" s="567">
        <v>350000</v>
      </c>
      <c r="G18" s="568">
        <v>0</v>
      </c>
      <c r="H18" s="568">
        <v>0</v>
      </c>
      <c r="I18" s="567">
        <v>0</v>
      </c>
      <c r="J18" s="567">
        <v>0</v>
      </c>
      <c r="K18" s="567">
        <v>0</v>
      </c>
      <c r="L18" s="567">
        <v>0</v>
      </c>
      <c r="M18" s="569">
        <f t="shared" si="2"/>
        <v>0</v>
      </c>
      <c r="N18" s="570">
        <f t="shared" si="2"/>
        <v>350000</v>
      </c>
    </row>
    <row r="19" spans="6:10" ht="15.75">
      <c r="F19" s="599"/>
      <c r="H19" s="599"/>
      <c r="I19" s="342"/>
      <c r="J19" s="342"/>
    </row>
    <row r="20" spans="1:14" ht="15.75">
      <c r="A20" s="342" t="s">
        <v>48</v>
      </c>
      <c r="B20" s="342"/>
      <c r="C20" s="342"/>
      <c r="D20" s="342"/>
      <c r="E20" s="342"/>
      <c r="F20" s="600"/>
      <c r="G20" s="342"/>
      <c r="H20" s="600"/>
      <c r="I20" s="342"/>
      <c r="J20" s="342"/>
      <c r="K20" s="342"/>
      <c r="L20" s="342"/>
      <c r="M20" s="342"/>
      <c r="N20" s="342"/>
    </row>
    <row r="21" spans="1:14" ht="15.75">
      <c r="A21" s="342" t="s">
        <v>49</v>
      </c>
      <c r="B21" s="342"/>
      <c r="C21" s="342"/>
      <c r="D21" s="342"/>
      <c r="E21" s="342"/>
      <c r="F21" s="342"/>
      <c r="G21" s="342"/>
      <c r="H21" s="600"/>
      <c r="I21" s="342"/>
      <c r="J21" s="342"/>
      <c r="K21" s="342"/>
      <c r="L21" s="342"/>
      <c r="M21" s="342"/>
      <c r="N21" s="342"/>
    </row>
    <row r="22" spans="1:14" ht="33" customHeight="1">
      <c r="A22" s="788" t="s">
        <v>50</v>
      </c>
      <c r="B22" s="788"/>
      <c r="C22" s="788"/>
      <c r="D22" s="342"/>
      <c r="E22" s="342"/>
      <c r="F22" s="342"/>
      <c r="G22" s="342"/>
      <c r="H22" s="342"/>
      <c r="I22" s="342"/>
      <c r="J22" s="342"/>
      <c r="K22" s="342"/>
      <c r="L22" s="342"/>
      <c r="M22" s="342"/>
      <c r="N22" s="342"/>
    </row>
    <row r="23" spans="9:12" ht="15.75">
      <c r="I23" s="342"/>
      <c r="J23" s="342"/>
      <c r="K23" s="342"/>
      <c r="L23" s="342"/>
    </row>
    <row r="24" spans="1:14" ht="51.75" customHeight="1">
      <c r="A24" s="785" t="s">
        <v>1026</v>
      </c>
      <c r="B24" s="785"/>
      <c r="C24" s="785"/>
      <c r="D24" s="785"/>
      <c r="E24" s="785"/>
      <c r="F24" s="785"/>
      <c r="G24" s="785"/>
      <c r="H24" s="785"/>
      <c r="I24" s="785"/>
      <c r="J24" s="785"/>
      <c r="K24" s="785"/>
      <c r="L24" s="785"/>
      <c r="M24" s="785"/>
      <c r="N24" s="785"/>
    </row>
  </sheetData>
  <sheetProtection/>
  <mergeCells count="12">
    <mergeCell ref="A24:N24"/>
    <mergeCell ref="K3:L3"/>
    <mergeCell ref="M3:N3"/>
    <mergeCell ref="A22:C22"/>
    <mergeCell ref="A1:N1"/>
    <mergeCell ref="A2:N2"/>
    <mergeCell ref="A3:A4"/>
    <mergeCell ref="B3:B4"/>
    <mergeCell ref="C3:D3"/>
    <mergeCell ref="E3:F3"/>
    <mergeCell ref="G3:H3"/>
    <mergeCell ref="I3:J3"/>
  </mergeCells>
  <printOptions/>
  <pageMargins left="0.42" right="0.29" top="0.7480314960629921" bottom="0.7480314960629921" header="0.31496062992125984" footer="0.31496062992125984"/>
  <pageSetup fitToHeight="1" fitToWidth="1"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1:D24"/>
  <sheetViews>
    <sheetView zoomScalePageLayoutView="0" workbookViewId="0" topLeftCell="A1">
      <pane xSplit="2" ySplit="4" topLeftCell="C20" activePane="bottomRight" state="frozen"/>
      <selection pane="topLeft" activeCell="A1" sqref="A1"/>
      <selection pane="topRight" activeCell="C1" sqref="C1"/>
      <selection pane="bottomLeft" activeCell="A5" sqref="A5"/>
      <selection pane="bottomRight" activeCell="D35" sqref="D35"/>
    </sheetView>
  </sheetViews>
  <sheetFormatPr defaultColWidth="9.140625" defaultRowHeight="12.75"/>
  <cols>
    <col min="1" max="1" width="10.57421875" style="12" customWidth="1"/>
    <col min="2" max="2" width="43.140625" style="70" customWidth="1"/>
    <col min="3" max="3" width="28.421875" style="11" customWidth="1"/>
    <col min="4" max="4" width="52.7109375" style="11" customWidth="1"/>
    <col min="5" max="16384" width="9.140625" style="11" customWidth="1"/>
  </cols>
  <sheetData>
    <row r="1" spans="1:4" ht="49.5" customHeight="1">
      <c r="A1" s="628" t="s">
        <v>882</v>
      </c>
      <c r="B1" s="629"/>
      <c r="C1" s="629"/>
      <c r="D1" s="630"/>
    </row>
    <row r="2" spans="1:4" ht="34.5" customHeight="1">
      <c r="A2" s="624" t="s">
        <v>957</v>
      </c>
      <c r="B2" s="625"/>
      <c r="C2" s="625"/>
      <c r="D2" s="626"/>
    </row>
    <row r="3" spans="1:4" ht="31.5">
      <c r="A3" s="106" t="s">
        <v>149</v>
      </c>
      <c r="B3" s="68" t="s">
        <v>208</v>
      </c>
      <c r="C3" s="94" t="s">
        <v>883</v>
      </c>
      <c r="D3" s="35" t="s">
        <v>745</v>
      </c>
    </row>
    <row r="4" spans="1:4" s="13" customFormat="1" ht="18" customHeight="1">
      <c r="A4" s="102"/>
      <c r="B4" s="105" t="s">
        <v>199</v>
      </c>
      <c r="C4" s="85" t="s">
        <v>200</v>
      </c>
      <c r="D4" s="86" t="s">
        <v>201</v>
      </c>
    </row>
    <row r="5" spans="1:4" s="13" customFormat="1" ht="31.5">
      <c r="A5" s="102">
        <v>1</v>
      </c>
      <c r="B5" s="68" t="s">
        <v>11</v>
      </c>
      <c r="C5" s="61">
        <f>SUM(C6:C19)</f>
        <v>14528401.81</v>
      </c>
      <c r="D5" s="67"/>
    </row>
    <row r="6" spans="1:4" ht="63.75">
      <c r="A6" s="102">
        <v>2</v>
      </c>
      <c r="B6" s="60" t="s">
        <v>139</v>
      </c>
      <c r="C6" s="139">
        <v>0</v>
      </c>
      <c r="D6" s="497" t="s">
        <v>979</v>
      </c>
    </row>
    <row r="7" spans="1:4" ht="63.75">
      <c r="A7" s="102">
        <v>3</v>
      </c>
      <c r="B7" s="60" t="s">
        <v>140</v>
      </c>
      <c r="C7" s="139">
        <v>6366141.26</v>
      </c>
      <c r="D7" s="497" t="s">
        <v>980</v>
      </c>
    </row>
    <row r="8" spans="1:4" ht="15.75">
      <c r="A8" s="102">
        <v>4</v>
      </c>
      <c r="B8" s="108" t="s">
        <v>141</v>
      </c>
      <c r="C8" s="139">
        <v>0</v>
      </c>
      <c r="D8" s="497" t="s">
        <v>981</v>
      </c>
    </row>
    <row r="9" spans="1:4" ht="76.5">
      <c r="A9" s="102">
        <v>5</v>
      </c>
      <c r="B9" s="108" t="s">
        <v>118</v>
      </c>
      <c r="C9" s="139">
        <v>5140288.54</v>
      </c>
      <c r="D9" s="497" t="s">
        <v>982</v>
      </c>
    </row>
    <row r="10" spans="1:4" ht="15.75">
      <c r="A10" s="102">
        <v>6</v>
      </c>
      <c r="B10" s="108" t="s">
        <v>188</v>
      </c>
      <c r="C10" s="139"/>
      <c r="D10" s="121"/>
    </row>
    <row r="11" spans="1:4" ht="15.75">
      <c r="A11" s="102">
        <v>7</v>
      </c>
      <c r="B11" s="108" t="s">
        <v>189</v>
      </c>
      <c r="C11" s="139">
        <v>3825.35</v>
      </c>
      <c r="D11" s="497" t="s">
        <v>991</v>
      </c>
    </row>
    <row r="12" spans="1:4" ht="89.25">
      <c r="A12" s="102">
        <v>8</v>
      </c>
      <c r="B12" s="108" t="s">
        <v>295</v>
      </c>
      <c r="C12" s="139">
        <v>251712.59</v>
      </c>
      <c r="D12" s="497" t="s">
        <v>983</v>
      </c>
    </row>
    <row r="13" spans="1:4" ht="15.75">
      <c r="A13" s="102">
        <v>9</v>
      </c>
      <c r="B13" s="108" t="s">
        <v>119</v>
      </c>
      <c r="C13" s="139">
        <v>526113.3</v>
      </c>
      <c r="D13" s="497" t="s">
        <v>989</v>
      </c>
    </row>
    <row r="14" spans="1:4" ht="76.5">
      <c r="A14" s="102">
        <v>10</v>
      </c>
      <c r="B14" s="108" t="s">
        <v>120</v>
      </c>
      <c r="C14" s="139">
        <v>0</v>
      </c>
      <c r="D14" s="497" t="s">
        <v>984</v>
      </c>
    </row>
    <row r="15" spans="1:4" ht="76.5">
      <c r="A15" s="102">
        <v>11</v>
      </c>
      <c r="B15" s="108" t="s">
        <v>121</v>
      </c>
      <c r="C15" s="139">
        <v>323058.44</v>
      </c>
      <c r="D15" s="497" t="s">
        <v>985</v>
      </c>
    </row>
    <row r="16" spans="1:4" ht="76.5">
      <c r="A16" s="102">
        <v>12</v>
      </c>
      <c r="B16" s="108" t="s">
        <v>122</v>
      </c>
      <c r="C16" s="139">
        <v>88759.69</v>
      </c>
      <c r="D16" s="497" t="s">
        <v>986</v>
      </c>
    </row>
    <row r="17" spans="1:4" ht="15.75">
      <c r="A17" s="102">
        <v>13</v>
      </c>
      <c r="B17" s="108" t="s">
        <v>123</v>
      </c>
      <c r="C17" s="139">
        <v>350000</v>
      </c>
      <c r="D17" s="497" t="s">
        <v>990</v>
      </c>
    </row>
    <row r="18" spans="1:4" ht="15.75">
      <c r="A18" s="102">
        <v>14</v>
      </c>
      <c r="B18" s="108" t="s">
        <v>124</v>
      </c>
      <c r="C18" s="139">
        <v>119012.67</v>
      </c>
      <c r="D18" s="497" t="s">
        <v>987</v>
      </c>
    </row>
    <row r="19" spans="1:4" ht="280.5">
      <c r="A19" s="102">
        <v>15</v>
      </c>
      <c r="B19" s="108" t="s">
        <v>125</v>
      </c>
      <c r="C19" s="139">
        <v>1359489.97</v>
      </c>
      <c r="D19" s="497" t="s">
        <v>988</v>
      </c>
    </row>
    <row r="20" spans="1:4" ht="15.75">
      <c r="A20" s="102">
        <v>16</v>
      </c>
      <c r="B20" s="68" t="s">
        <v>220</v>
      </c>
      <c r="C20" s="139"/>
      <c r="D20" s="121"/>
    </row>
    <row r="21" spans="1:4" ht="15.75">
      <c r="A21" s="102">
        <v>17</v>
      </c>
      <c r="B21" s="107" t="s">
        <v>724</v>
      </c>
      <c r="C21" s="158"/>
      <c r="D21" s="135"/>
    </row>
    <row r="22" spans="1:4" ht="32.25" thickBot="1">
      <c r="A22" s="103">
        <v>18</v>
      </c>
      <c r="B22" s="81" t="s">
        <v>21</v>
      </c>
      <c r="C22" s="312">
        <f>+C5+C20+C21</f>
        <v>14528401.81</v>
      </c>
      <c r="D22" s="77"/>
    </row>
    <row r="24" ht="15.75">
      <c r="D24" s="19"/>
    </row>
  </sheetData>
  <sheetProtection/>
  <mergeCells count="2">
    <mergeCell ref="A1:D1"/>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I1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I12" sqref="I12"/>
    </sheetView>
  </sheetViews>
  <sheetFormatPr defaultColWidth="9.140625" defaultRowHeight="12.75"/>
  <cols>
    <col min="1" max="1" width="7.7109375" style="20" customWidth="1"/>
    <col min="2" max="2" width="47.57421875" style="21" customWidth="1"/>
    <col min="3" max="3" width="17.8515625" style="22" customWidth="1"/>
    <col min="4" max="4" width="16.8515625" style="22" customWidth="1"/>
    <col min="5" max="5" width="17.140625" style="22" customWidth="1"/>
    <col min="6" max="6" width="18.140625" style="22" customWidth="1"/>
    <col min="7" max="7" width="17.421875" style="22" customWidth="1"/>
    <col min="8" max="8" width="17.00390625" style="22" customWidth="1"/>
    <col min="9" max="16384" width="9.140625" style="22" customWidth="1"/>
  </cols>
  <sheetData>
    <row r="1" spans="1:9" s="26" customFormat="1" ht="60" customHeight="1">
      <c r="A1" s="789" t="s">
        <v>884</v>
      </c>
      <c r="B1" s="790"/>
      <c r="C1" s="790"/>
      <c r="D1" s="790"/>
      <c r="E1" s="790"/>
      <c r="F1" s="790"/>
      <c r="G1" s="790"/>
      <c r="H1" s="791"/>
      <c r="I1" s="375"/>
    </row>
    <row r="2" spans="1:8" s="26" customFormat="1" ht="34.5" customHeight="1" thickBot="1">
      <c r="A2" s="792" t="s">
        <v>955</v>
      </c>
      <c r="B2" s="793"/>
      <c r="C2" s="793"/>
      <c r="D2" s="793"/>
      <c r="E2" s="793"/>
      <c r="F2" s="793"/>
      <c r="G2" s="793"/>
      <c r="H2" s="794"/>
    </row>
    <row r="3" spans="1:8" ht="27" customHeight="1">
      <c r="A3" s="770" t="s">
        <v>149</v>
      </c>
      <c r="B3" s="771"/>
      <c r="C3" s="795" t="s">
        <v>214</v>
      </c>
      <c r="D3" s="795"/>
      <c r="E3" s="795" t="s">
        <v>215</v>
      </c>
      <c r="F3" s="795"/>
      <c r="G3" s="796" t="s">
        <v>153</v>
      </c>
      <c r="H3" s="797"/>
    </row>
    <row r="4" spans="1:8" ht="33" customHeight="1">
      <c r="A4" s="643"/>
      <c r="B4" s="674"/>
      <c r="C4" s="14" t="s">
        <v>37</v>
      </c>
      <c r="D4" s="14" t="s">
        <v>142</v>
      </c>
      <c r="E4" s="14" t="s">
        <v>37</v>
      </c>
      <c r="F4" s="14" t="s">
        <v>142</v>
      </c>
      <c r="G4" s="14" t="s">
        <v>37</v>
      </c>
      <c r="H4" s="29" t="s">
        <v>142</v>
      </c>
    </row>
    <row r="5" spans="1:8" ht="21" customHeight="1">
      <c r="A5" s="30"/>
      <c r="B5" s="17"/>
      <c r="C5" s="43" t="s">
        <v>199</v>
      </c>
      <c r="D5" s="43" t="s">
        <v>200</v>
      </c>
      <c r="E5" s="43" t="s">
        <v>201</v>
      </c>
      <c r="F5" s="43" t="s">
        <v>207</v>
      </c>
      <c r="G5" s="43" t="s">
        <v>17</v>
      </c>
      <c r="H5" s="376" t="s">
        <v>18</v>
      </c>
    </row>
    <row r="6" spans="1:8" ht="19.5" customHeight="1">
      <c r="A6" s="377">
        <v>1</v>
      </c>
      <c r="B6" s="314" t="s">
        <v>804</v>
      </c>
      <c r="C6" s="315">
        <f>C7</f>
        <v>2413841.01</v>
      </c>
      <c r="D6" s="315">
        <f>D8</f>
        <v>286923.18</v>
      </c>
      <c r="E6" s="315">
        <f>E7</f>
        <v>3762618.7</v>
      </c>
      <c r="F6" s="315">
        <f>F8</f>
        <v>527383.7</v>
      </c>
      <c r="G6" s="315">
        <f>C6+E6</f>
        <v>6176459.71</v>
      </c>
      <c r="H6" s="378">
        <f>D6+F6</f>
        <v>814306.8799999999</v>
      </c>
    </row>
    <row r="7" spans="1:8" ht="19.5" customHeight="1">
      <c r="A7" s="377">
        <v>2</v>
      </c>
      <c r="B7" s="430" t="s">
        <v>802</v>
      </c>
      <c r="C7" s="316">
        <v>2413841.01</v>
      </c>
      <c r="D7" s="431" t="s">
        <v>808</v>
      </c>
      <c r="E7" s="316">
        <v>3762618.7</v>
      </c>
      <c r="F7" s="431" t="s">
        <v>808</v>
      </c>
      <c r="G7" s="315">
        <f aca="true" t="shared" si="0" ref="G7:G16">C7+E7</f>
        <v>6176459.71</v>
      </c>
      <c r="H7" s="433" t="s">
        <v>808</v>
      </c>
    </row>
    <row r="8" spans="1:8" ht="19.5" customHeight="1">
      <c r="A8" s="377">
        <f aca="true" t="shared" si="1" ref="A8:A14">A7+1</f>
        <v>3</v>
      </c>
      <c r="B8" s="430" t="s">
        <v>803</v>
      </c>
      <c r="C8" s="431" t="s">
        <v>808</v>
      </c>
      <c r="D8" s="316">
        <v>286923.18</v>
      </c>
      <c r="E8" s="431" t="s">
        <v>808</v>
      </c>
      <c r="F8" s="316">
        <v>527383.7</v>
      </c>
      <c r="G8" s="432" t="s">
        <v>808</v>
      </c>
      <c r="H8" s="378">
        <f aca="true" t="shared" si="2" ref="H8:H16">D8+F8</f>
        <v>814306.8799999999</v>
      </c>
    </row>
    <row r="9" spans="1:8" ht="19.5" customHeight="1">
      <c r="A9" s="377">
        <f t="shared" si="1"/>
        <v>4</v>
      </c>
      <c r="B9" s="314" t="s">
        <v>805</v>
      </c>
      <c r="C9" s="315">
        <f>SUM(C10:C11)</f>
        <v>2533205.25</v>
      </c>
      <c r="D9" s="315">
        <f>SUM(D10:D11)</f>
        <v>298024.28</v>
      </c>
      <c r="E9" s="315">
        <f>SUM(E10:E11)</f>
        <v>0</v>
      </c>
      <c r="F9" s="315">
        <f>SUM(F10:F11)</f>
        <v>0</v>
      </c>
      <c r="G9" s="315">
        <f t="shared" si="0"/>
        <v>2533205.25</v>
      </c>
      <c r="H9" s="378">
        <f t="shared" si="2"/>
        <v>298024.28</v>
      </c>
    </row>
    <row r="10" spans="1:8" ht="19.5" customHeight="1">
      <c r="A10" s="377">
        <f t="shared" si="1"/>
        <v>5</v>
      </c>
      <c r="B10" s="430" t="s">
        <v>806</v>
      </c>
      <c r="C10" s="316">
        <v>2533205.25</v>
      </c>
      <c r="D10" s="431" t="s">
        <v>808</v>
      </c>
      <c r="E10" s="316"/>
      <c r="F10" s="431" t="s">
        <v>808</v>
      </c>
      <c r="G10" s="315">
        <f t="shared" si="0"/>
        <v>2533205.25</v>
      </c>
      <c r="H10" s="433" t="s">
        <v>808</v>
      </c>
    </row>
    <row r="11" spans="1:8" ht="19.5" customHeight="1">
      <c r="A11" s="377">
        <f t="shared" si="1"/>
        <v>6</v>
      </c>
      <c r="B11" s="430" t="s">
        <v>807</v>
      </c>
      <c r="C11" s="431" t="s">
        <v>808</v>
      </c>
      <c r="D11" s="316">
        <v>298024.28</v>
      </c>
      <c r="E11" s="431" t="s">
        <v>808</v>
      </c>
      <c r="F11" s="316"/>
      <c r="G11" s="432" t="s">
        <v>808</v>
      </c>
      <c r="H11" s="378">
        <f t="shared" si="2"/>
        <v>298024.28</v>
      </c>
    </row>
    <row r="12" spans="1:9" ht="31.5">
      <c r="A12" s="377">
        <f t="shared" si="1"/>
        <v>7</v>
      </c>
      <c r="B12" s="314" t="s">
        <v>810</v>
      </c>
      <c r="C12" s="315">
        <f aca="true" t="shared" si="3" ref="C12:H12">C6+C9</f>
        <v>4947046.26</v>
      </c>
      <c r="D12" s="315">
        <f t="shared" si="3"/>
        <v>584947.46</v>
      </c>
      <c r="E12" s="315">
        <f t="shared" si="3"/>
        <v>3762618.7</v>
      </c>
      <c r="F12" s="315">
        <f t="shared" si="3"/>
        <v>527383.7</v>
      </c>
      <c r="G12" s="315">
        <f t="shared" si="3"/>
        <v>8709664.96</v>
      </c>
      <c r="H12" s="378">
        <f t="shared" si="3"/>
        <v>1112331.16</v>
      </c>
      <c r="I12" s="419"/>
    </row>
    <row r="13" spans="1:8" ht="26.25" customHeight="1">
      <c r="A13" s="377">
        <f t="shared" si="1"/>
        <v>8</v>
      </c>
      <c r="B13" s="314" t="s">
        <v>812</v>
      </c>
      <c r="C13" s="315">
        <f>SUM(C14:C15)</f>
        <v>0</v>
      </c>
      <c r="D13" s="315">
        <f>SUM(D14:D15)</f>
        <v>0</v>
      </c>
      <c r="E13" s="315">
        <f>SUM(E14:E15)</f>
        <v>0</v>
      </c>
      <c r="F13" s="315">
        <f>SUM(F14:F15)</f>
        <v>0</v>
      </c>
      <c r="G13" s="315">
        <f t="shared" si="0"/>
        <v>0</v>
      </c>
      <c r="H13" s="378">
        <f t="shared" si="2"/>
        <v>0</v>
      </c>
    </row>
    <row r="14" spans="1:8" ht="24" customHeight="1">
      <c r="A14" s="377">
        <f t="shared" si="1"/>
        <v>9</v>
      </c>
      <c r="B14" s="317"/>
      <c r="C14" s="318"/>
      <c r="D14" s="318"/>
      <c r="E14" s="318"/>
      <c r="F14" s="318"/>
      <c r="G14" s="315">
        <f t="shared" si="0"/>
        <v>0</v>
      </c>
      <c r="H14" s="378">
        <f t="shared" si="2"/>
        <v>0</v>
      </c>
    </row>
    <row r="15" spans="1:8" ht="24.75" customHeight="1">
      <c r="A15" s="377" t="s">
        <v>811</v>
      </c>
      <c r="B15" s="319"/>
      <c r="C15" s="318"/>
      <c r="D15" s="318"/>
      <c r="E15" s="318"/>
      <c r="F15" s="318"/>
      <c r="G15" s="315">
        <f t="shared" si="0"/>
        <v>0</v>
      </c>
      <c r="H15" s="378">
        <f t="shared" si="2"/>
        <v>0</v>
      </c>
    </row>
    <row r="16" spans="1:8" ht="23.25" customHeight="1" thickBot="1">
      <c r="A16" s="379">
        <v>10</v>
      </c>
      <c r="B16" s="422" t="s">
        <v>813</v>
      </c>
      <c r="C16" s="380">
        <f>C12+C13</f>
        <v>4947046.26</v>
      </c>
      <c r="D16" s="380">
        <f>D12+D13</f>
        <v>584947.46</v>
      </c>
      <c r="E16" s="380">
        <f>E12+E13</f>
        <v>3762618.7</v>
      </c>
      <c r="F16" s="380">
        <f>F12+F13</f>
        <v>527383.7</v>
      </c>
      <c r="G16" s="381">
        <f t="shared" si="0"/>
        <v>8709664.96</v>
      </c>
      <c r="H16" s="382">
        <f t="shared" si="2"/>
        <v>1112331.16</v>
      </c>
    </row>
  </sheetData>
  <sheetProtection selectLockedCells="1"/>
  <mergeCells count="7">
    <mergeCell ref="A1:H1"/>
    <mergeCell ref="A2:H2"/>
    <mergeCell ref="A3:A4"/>
    <mergeCell ref="B3:B4"/>
    <mergeCell ref="C3:D3"/>
    <mergeCell ref="E3:F3"/>
    <mergeCell ref="G3:H3"/>
  </mergeCells>
  <printOptions gridLines="1"/>
  <pageMargins left="0.7480314960629921" right="0.7480314960629921" top="0.984251968503937" bottom="0.88" header="0.5118110236220472" footer="0.5118110236220472"/>
  <pageSetup fitToHeight="1" fitToWidth="1" horizontalDpi="600" verticalDpi="600" orientation="landscape" paperSize="9" scale="83" r:id="rId1"/>
</worksheet>
</file>

<file path=xl/worksheets/sheet17.xml><?xml version="1.0" encoding="utf-8"?>
<worksheet xmlns="http://schemas.openxmlformats.org/spreadsheetml/2006/main" xmlns:r="http://schemas.openxmlformats.org/officeDocument/2006/relationships">
  <sheetPr>
    <tabColor indexed="42"/>
    <pageSetUpPr fitToPage="1"/>
  </sheetPr>
  <dimension ref="A1:G2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E25" sqref="E25"/>
    </sheetView>
  </sheetViews>
  <sheetFormatPr defaultColWidth="9.140625" defaultRowHeight="12.75"/>
  <cols>
    <col min="1" max="1" width="9.57421875" style="3" customWidth="1"/>
    <col min="2" max="2" width="58.421875" style="1" customWidth="1"/>
    <col min="3" max="3" width="22.140625" style="19" customWidth="1"/>
    <col min="4" max="4" width="21.140625" style="19" customWidth="1"/>
    <col min="5" max="5" width="24.140625" style="19" customWidth="1"/>
    <col min="6" max="16384" width="9.140625" style="1" customWidth="1"/>
  </cols>
  <sheetData>
    <row r="1" spans="1:7" ht="65.25" customHeight="1">
      <c r="A1" s="760" t="s">
        <v>885</v>
      </c>
      <c r="B1" s="761"/>
      <c r="C1" s="761"/>
      <c r="D1" s="761"/>
      <c r="E1" s="762"/>
      <c r="F1" s="7"/>
      <c r="G1" s="7"/>
    </row>
    <row r="2" spans="1:7" ht="34.5" customHeight="1">
      <c r="A2" s="624" t="s">
        <v>955</v>
      </c>
      <c r="B2" s="625"/>
      <c r="C2" s="625"/>
      <c r="D2" s="625"/>
      <c r="E2" s="626"/>
      <c r="F2" s="7"/>
      <c r="G2" s="7"/>
    </row>
    <row r="3" spans="1:5" s="10" customFormat="1" ht="46.5" customHeight="1">
      <c r="A3" s="30" t="s">
        <v>149</v>
      </c>
      <c r="B3" s="14" t="s">
        <v>234</v>
      </c>
      <c r="C3" s="14" t="s">
        <v>214</v>
      </c>
      <c r="D3" s="14" t="s">
        <v>215</v>
      </c>
      <c r="E3" s="29" t="s">
        <v>150</v>
      </c>
    </row>
    <row r="4" spans="1:5" s="10" customFormat="1" ht="16.5" customHeight="1">
      <c r="A4" s="30"/>
      <c r="B4" s="14"/>
      <c r="C4" s="14" t="s">
        <v>199</v>
      </c>
      <c r="D4" s="14" t="s">
        <v>200</v>
      </c>
      <c r="E4" s="29" t="s">
        <v>14</v>
      </c>
    </row>
    <row r="5" spans="1:5" s="10" customFormat="1" ht="17.25" customHeight="1">
      <c r="A5" s="30"/>
      <c r="B5" s="170" t="s">
        <v>270</v>
      </c>
      <c r="C5" s="66"/>
      <c r="D5" s="66"/>
      <c r="E5" s="126"/>
    </row>
    <row r="6" spans="1:5" s="10" customFormat="1" ht="17.25" customHeight="1">
      <c r="A6" s="125">
        <v>1</v>
      </c>
      <c r="B6" s="104" t="s">
        <v>299</v>
      </c>
      <c r="C6" s="50">
        <f>SUM(C7:C10)</f>
        <v>1035700.56</v>
      </c>
      <c r="D6" s="50">
        <f>SUM(D7:D10)</f>
        <v>0</v>
      </c>
      <c r="E6" s="51">
        <f>C6+D6</f>
        <v>1035700.56</v>
      </c>
    </row>
    <row r="7" spans="1:5" s="19" customFormat="1" ht="15.75">
      <c r="A7" s="31">
        <f>A6+1</f>
        <v>2</v>
      </c>
      <c r="B7" s="123" t="s">
        <v>99</v>
      </c>
      <c r="C7" s="52">
        <v>1025700.56</v>
      </c>
      <c r="D7" s="139"/>
      <c r="E7" s="51">
        <f>C7+D7</f>
        <v>1025700.56</v>
      </c>
    </row>
    <row r="8" spans="1:5" s="19" customFormat="1" ht="15.75">
      <c r="A8" s="31">
        <f>A7+1</f>
        <v>3</v>
      </c>
      <c r="B8" s="123" t="s">
        <v>297</v>
      </c>
      <c r="C8" s="52">
        <v>10000</v>
      </c>
      <c r="D8" s="52"/>
      <c r="E8" s="51">
        <f aca="true" t="shared" si="0" ref="E8:E16">C8+D8</f>
        <v>10000</v>
      </c>
    </row>
    <row r="9" spans="1:5" s="19" customFormat="1" ht="15.75">
      <c r="A9" s="31">
        <f>A8+1</f>
        <v>4</v>
      </c>
      <c r="B9" s="123"/>
      <c r="C9" s="52"/>
      <c r="D9" s="52"/>
      <c r="E9" s="51"/>
    </row>
    <row r="10" spans="1:5" s="19" customFormat="1" ht="15.75">
      <c r="A10" s="31">
        <f>A9+1</f>
        <v>5</v>
      </c>
      <c r="B10" s="123"/>
      <c r="C10" s="52"/>
      <c r="D10" s="52"/>
      <c r="E10" s="51">
        <f t="shared" si="0"/>
        <v>0</v>
      </c>
    </row>
    <row r="11" spans="1:5" s="19" customFormat="1" ht="15.75">
      <c r="A11" s="42"/>
      <c r="B11" s="170" t="s">
        <v>723</v>
      </c>
      <c r="C11" s="66"/>
      <c r="D11" s="66"/>
      <c r="E11" s="126"/>
    </row>
    <row r="12" spans="1:5" ht="15.75">
      <c r="A12" s="42">
        <v>6</v>
      </c>
      <c r="B12" s="123" t="s">
        <v>6</v>
      </c>
      <c r="C12" s="141">
        <v>4602.9</v>
      </c>
      <c r="D12" s="141"/>
      <c r="E12" s="51">
        <f t="shared" si="0"/>
        <v>4602.9</v>
      </c>
    </row>
    <row r="13" spans="1:5" ht="15.75">
      <c r="A13" s="42">
        <v>7</v>
      </c>
      <c r="B13" s="123" t="s">
        <v>7</v>
      </c>
      <c r="C13" s="52">
        <v>720</v>
      </c>
      <c r="D13" s="52"/>
      <c r="E13" s="51">
        <f t="shared" si="0"/>
        <v>720</v>
      </c>
    </row>
    <row r="14" spans="1:5" s="44" customFormat="1" ht="15.75">
      <c r="A14" s="42"/>
      <c r="B14" s="80"/>
      <c r="C14" s="159"/>
      <c r="D14" s="159"/>
      <c r="E14" s="126"/>
    </row>
    <row r="15" spans="1:5" ht="15.75">
      <c r="A15" s="42">
        <v>8</v>
      </c>
      <c r="B15" s="80" t="s">
        <v>300</v>
      </c>
      <c r="C15" s="142">
        <f>SUM(C16:C17)</f>
        <v>0</v>
      </c>
      <c r="D15" s="142">
        <f>SUM(D16:D17)</f>
        <v>0</v>
      </c>
      <c r="E15" s="51">
        <f t="shared" si="0"/>
        <v>0</v>
      </c>
    </row>
    <row r="16" spans="1:5" ht="31.5">
      <c r="A16" s="42" t="s">
        <v>298</v>
      </c>
      <c r="B16" s="444" t="s">
        <v>886</v>
      </c>
      <c r="C16" s="141"/>
      <c r="D16" s="141"/>
      <c r="E16" s="51">
        <f t="shared" si="0"/>
        <v>0</v>
      </c>
    </row>
    <row r="17" spans="1:5" ht="15.75">
      <c r="A17" s="42"/>
      <c r="B17" s="80"/>
      <c r="C17" s="159"/>
      <c r="D17" s="159"/>
      <c r="E17" s="126"/>
    </row>
    <row r="18" spans="1:5" ht="16.5" thickBot="1">
      <c r="A18" s="129">
        <v>9</v>
      </c>
      <c r="B18" s="130" t="s">
        <v>695</v>
      </c>
      <c r="C18" s="62">
        <f>C6+C12+C13+C15</f>
        <v>1041023.4600000001</v>
      </c>
      <c r="D18" s="62">
        <f>D6+D15</f>
        <v>0</v>
      </c>
      <c r="E18" s="140">
        <f>E6+E12+E13+E15</f>
        <v>1041023.4600000001</v>
      </c>
    </row>
    <row r="19" ht="15.75">
      <c r="E19" s="22"/>
    </row>
    <row r="21" spans="2:3" ht="15.75">
      <c r="B21" s="306"/>
      <c r="C21" s="3"/>
    </row>
    <row r="22" spans="2:3" ht="15.75">
      <c r="B22" s="3"/>
      <c r="C22" s="3"/>
    </row>
    <row r="23" spans="2:3" ht="15.75">
      <c r="B23" s="3"/>
      <c r="C23" s="3"/>
    </row>
  </sheetData>
  <sheetProtection/>
  <protectedRanges>
    <protectedRange sqref="C8:D10" name="Rozsah2_1"/>
    <protectedRange sqref="C11:D11" name="Rozsah2_2"/>
  </protectedRanges>
  <mergeCells count="2">
    <mergeCell ref="A1:E1"/>
    <mergeCell ref="A2:E2"/>
  </mergeCells>
  <printOptions/>
  <pageMargins left="0.79" right="0.7480314960629921" top="0.984251968503937" bottom="0.77" header="0.5118110236220472" footer="0.5118110236220472"/>
  <pageSetup fitToHeight="1" fitToWidth="1"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sheetPr>
    <tabColor indexed="42"/>
    <pageSetUpPr fitToPage="1"/>
  </sheetPr>
  <dimension ref="A1:K23"/>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I34" sqref="I34"/>
    </sheetView>
  </sheetViews>
  <sheetFormatPr defaultColWidth="9.140625" defaultRowHeight="12.75"/>
  <cols>
    <col min="1" max="1" width="9.140625" style="19" customWidth="1"/>
    <col min="2" max="2" width="75.421875" style="71" customWidth="1"/>
    <col min="3" max="6" width="17.28125" style="19" customWidth="1"/>
    <col min="7" max="7" width="16.00390625" style="19" customWidth="1"/>
    <col min="8" max="16384" width="9.140625" style="19" customWidth="1"/>
  </cols>
  <sheetData>
    <row r="1" spans="1:6" ht="34.5" customHeight="1">
      <c r="A1" s="621" t="s">
        <v>887</v>
      </c>
      <c r="B1" s="729"/>
      <c r="C1" s="729"/>
      <c r="D1" s="729"/>
      <c r="E1" s="729"/>
      <c r="F1" s="730"/>
    </row>
    <row r="2" spans="1:6" ht="34.5" customHeight="1">
      <c r="A2" s="798" t="s">
        <v>955</v>
      </c>
      <c r="B2" s="718"/>
      <c r="C2" s="800" t="s">
        <v>906</v>
      </c>
      <c r="D2" s="800"/>
      <c r="E2" s="800"/>
      <c r="F2" s="801"/>
    </row>
    <row r="3" spans="1:6" ht="22.5" customHeight="1">
      <c r="A3" s="643" t="s">
        <v>149</v>
      </c>
      <c r="B3" s="674" t="s">
        <v>234</v>
      </c>
      <c r="C3" s="673">
        <v>2013</v>
      </c>
      <c r="D3" s="673"/>
      <c r="E3" s="673">
        <v>2014</v>
      </c>
      <c r="F3" s="732"/>
    </row>
    <row r="4" spans="1:6" ht="75" customHeight="1">
      <c r="A4" s="643"/>
      <c r="B4" s="674"/>
      <c r="C4" s="14" t="s">
        <v>19</v>
      </c>
      <c r="D4" s="14" t="s">
        <v>143</v>
      </c>
      <c r="E4" s="14" t="s">
        <v>19</v>
      </c>
      <c r="F4" s="29" t="s">
        <v>144</v>
      </c>
    </row>
    <row r="5" spans="1:6" ht="15.75">
      <c r="A5" s="31"/>
      <c r="B5" s="93"/>
      <c r="C5" s="40" t="s">
        <v>199</v>
      </c>
      <c r="D5" s="40" t="s">
        <v>200</v>
      </c>
      <c r="E5" s="40" t="s">
        <v>201</v>
      </c>
      <c r="F5" s="41" t="s">
        <v>207</v>
      </c>
    </row>
    <row r="6" spans="1:11" ht="31.5">
      <c r="A6" s="31">
        <v>1</v>
      </c>
      <c r="B6" s="63" t="s">
        <v>711</v>
      </c>
      <c r="C6" s="61">
        <f>C7+C10+C13+C16</f>
        <v>78847</v>
      </c>
      <c r="D6" s="124">
        <f>D7+D10+D13+D16</f>
        <v>390</v>
      </c>
      <c r="E6" s="601">
        <f>E7+E10+E13+E16</f>
        <v>59000</v>
      </c>
      <c r="F6" s="124">
        <f>F7+F10+F13+F16</f>
        <v>332</v>
      </c>
      <c r="G6" s="799"/>
      <c r="H6" s="799"/>
      <c r="I6" s="799"/>
      <c r="J6" s="799"/>
      <c r="K6"/>
    </row>
    <row r="7" spans="1:11" ht="44.25" customHeight="1">
      <c r="A7" s="31">
        <v>2</v>
      </c>
      <c r="B7" s="63" t="s">
        <v>77</v>
      </c>
      <c r="C7" s="61">
        <f>SUM(C8:C9)</f>
        <v>37473</v>
      </c>
      <c r="D7" s="124">
        <f>SUM(D8:D9)</f>
        <v>103</v>
      </c>
      <c r="E7" s="124">
        <f>SUM(E8:E9)</f>
        <v>22163</v>
      </c>
      <c r="F7" s="124">
        <f>SUM(F8:F9)</f>
        <v>55</v>
      </c>
      <c r="G7"/>
      <c r="H7"/>
      <c r="I7"/>
      <c r="J7"/>
      <c r="K7"/>
    </row>
    <row r="8" spans="1:11" ht="15.75">
      <c r="A8" s="31">
        <v>3</v>
      </c>
      <c r="B8" s="27" t="s">
        <v>22</v>
      </c>
      <c r="C8" s="52">
        <v>37073</v>
      </c>
      <c r="D8" s="144">
        <v>99</v>
      </c>
      <c r="E8" s="144">
        <v>22163</v>
      </c>
      <c r="F8" s="160">
        <v>55</v>
      </c>
      <c r="G8"/>
      <c r="H8"/>
      <c r="I8"/>
      <c r="J8"/>
      <c r="K8"/>
    </row>
    <row r="9" spans="1:6" ht="18.75">
      <c r="A9" s="31">
        <v>4</v>
      </c>
      <c r="B9" s="27" t="s">
        <v>102</v>
      </c>
      <c r="C9" s="52">
        <v>400</v>
      </c>
      <c r="D9" s="144">
        <v>4</v>
      </c>
      <c r="E9" s="144"/>
      <c r="F9" s="160"/>
    </row>
    <row r="10" spans="1:6" ht="15.75">
      <c r="A10" s="31">
        <v>5</v>
      </c>
      <c r="B10" s="63" t="s">
        <v>78</v>
      </c>
      <c r="C10" s="61">
        <f>SUM(C11:C12)</f>
        <v>22084</v>
      </c>
      <c r="D10" s="124">
        <f>SUM(D11:D12)</f>
        <v>200</v>
      </c>
      <c r="E10" s="124">
        <f>SUM(E11:E12)</f>
        <v>26522</v>
      </c>
      <c r="F10" s="145">
        <f>SUM(F11:F12)</f>
        <v>172</v>
      </c>
    </row>
    <row r="11" spans="1:6" ht="15.75">
      <c r="A11" s="31">
        <v>6</v>
      </c>
      <c r="B11" s="27" t="s">
        <v>22</v>
      </c>
      <c r="C11" s="52">
        <v>22084</v>
      </c>
      <c r="D11" s="144">
        <v>200</v>
      </c>
      <c r="E11" s="144">
        <v>26522</v>
      </c>
      <c r="F11" s="160">
        <v>172</v>
      </c>
    </row>
    <row r="12" spans="1:6" ht="18.75">
      <c r="A12" s="31">
        <v>7</v>
      </c>
      <c r="B12" s="27" t="s">
        <v>102</v>
      </c>
      <c r="C12" s="52"/>
      <c r="D12" s="144"/>
      <c r="E12" s="144"/>
      <c r="F12" s="160"/>
    </row>
    <row r="13" spans="1:6" ht="15.75">
      <c r="A13" s="31">
        <v>8</v>
      </c>
      <c r="B13" s="63" t="s">
        <v>76</v>
      </c>
      <c r="C13" s="61">
        <f>SUM(C14:C15)</f>
        <v>15990</v>
      </c>
      <c r="D13" s="124">
        <f>SUM(D14:D15)</f>
        <v>78</v>
      </c>
      <c r="E13" s="124">
        <f>SUM(E14:E15)</f>
        <v>7595</v>
      </c>
      <c r="F13" s="124">
        <f>SUM(F14:F15)</f>
        <v>95</v>
      </c>
    </row>
    <row r="14" spans="1:6" ht="15.75">
      <c r="A14" s="31">
        <v>9</v>
      </c>
      <c r="B14" s="27" t="s">
        <v>22</v>
      </c>
      <c r="C14" s="52">
        <v>15990</v>
      </c>
      <c r="D14" s="144">
        <v>78</v>
      </c>
      <c r="E14" s="144">
        <v>7595</v>
      </c>
      <c r="F14" s="160">
        <v>95</v>
      </c>
    </row>
    <row r="15" spans="1:6" ht="18.75">
      <c r="A15" s="31">
        <v>10</v>
      </c>
      <c r="B15" s="27" t="s">
        <v>102</v>
      </c>
      <c r="C15" s="52"/>
      <c r="D15" s="144"/>
      <c r="E15" s="144"/>
      <c r="F15" s="160"/>
    </row>
    <row r="16" spans="1:6" ht="15.75">
      <c r="A16" s="31">
        <v>11</v>
      </c>
      <c r="B16" s="63" t="s">
        <v>35</v>
      </c>
      <c r="C16" s="61">
        <f>SUM(C17:C18)</f>
        <v>3300</v>
      </c>
      <c r="D16" s="124">
        <f>SUM(D17:D18)</f>
        <v>9</v>
      </c>
      <c r="E16" s="124">
        <f>SUM(E17:E18)</f>
        <v>2720</v>
      </c>
      <c r="F16" s="145">
        <f>SUM(F17:F18)</f>
        <v>10</v>
      </c>
    </row>
    <row r="17" spans="1:6" ht="15.75">
      <c r="A17" s="31">
        <v>12</v>
      </c>
      <c r="B17" s="27" t="s">
        <v>22</v>
      </c>
      <c r="C17" s="52">
        <v>2200</v>
      </c>
      <c r="D17" s="144">
        <v>7</v>
      </c>
      <c r="E17" s="144">
        <v>2720</v>
      </c>
      <c r="F17" s="160">
        <v>10</v>
      </c>
    </row>
    <row r="18" spans="1:6" ht="18.75">
      <c r="A18" s="114">
        <v>13</v>
      </c>
      <c r="B18" s="113" t="s">
        <v>102</v>
      </c>
      <c r="C18" s="141">
        <v>1100</v>
      </c>
      <c r="D18" s="161">
        <v>2</v>
      </c>
      <c r="E18" s="161">
        <v>0</v>
      </c>
      <c r="F18" s="162"/>
    </row>
    <row r="19" spans="1:6" ht="19.5" thickBot="1">
      <c r="A19" s="32">
        <v>14</v>
      </c>
      <c r="B19" s="115" t="s">
        <v>785</v>
      </c>
      <c r="C19" s="163" t="s">
        <v>221</v>
      </c>
      <c r="D19" s="164">
        <v>291</v>
      </c>
      <c r="E19" s="163" t="s">
        <v>221</v>
      </c>
      <c r="F19" s="165">
        <v>332</v>
      </c>
    </row>
    <row r="20" spans="1:6" s="118" customFormat="1" ht="15.75">
      <c r="A20" s="110"/>
      <c r="B20" s="116"/>
      <c r="C20" s="117"/>
      <c r="D20" s="111"/>
      <c r="E20" s="117"/>
      <c r="F20" s="111"/>
    </row>
    <row r="21" spans="1:6" ht="15.75">
      <c r="A21" s="803" t="s">
        <v>712</v>
      </c>
      <c r="B21" s="804"/>
      <c r="C21" s="804"/>
      <c r="D21" s="804"/>
      <c r="E21" s="804"/>
      <c r="F21" s="805"/>
    </row>
    <row r="22" spans="1:6" ht="15.75">
      <c r="A22" s="806" t="s">
        <v>713</v>
      </c>
      <c r="B22" s="807"/>
      <c r="C22" s="807"/>
      <c r="D22" s="807"/>
      <c r="E22" s="807"/>
      <c r="F22" s="808"/>
    </row>
    <row r="23" spans="1:6" ht="15.75">
      <c r="A23" s="802" t="s">
        <v>792</v>
      </c>
      <c r="B23" s="802"/>
      <c r="C23" s="802"/>
      <c r="D23" s="802"/>
      <c r="E23" s="802"/>
      <c r="F23" s="802"/>
    </row>
  </sheetData>
  <sheetProtection/>
  <mergeCells count="11">
    <mergeCell ref="G6:J6"/>
    <mergeCell ref="C2:F2"/>
    <mergeCell ref="A23:F23"/>
    <mergeCell ref="A21:F21"/>
    <mergeCell ref="A22:F22"/>
    <mergeCell ref="A1:F1"/>
    <mergeCell ref="A3:A4"/>
    <mergeCell ref="B3:B4"/>
    <mergeCell ref="C3:D3"/>
    <mergeCell ref="E3:F3"/>
    <mergeCell ref="A2:B2"/>
  </mergeCells>
  <printOptions/>
  <pageMargins left="0.7480314960629921" right="0.56" top="0.984251968503937" bottom="0.984251968503937" header="0.5118110236220472" footer="0.5118110236220472"/>
  <pageSetup fitToHeight="1" fitToWidth="1"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sheetPr>
    <tabColor indexed="42"/>
    <pageSetUpPr fitToPage="1"/>
  </sheetPr>
  <dimension ref="A1:L16"/>
  <sheetViews>
    <sheetView zoomScalePageLayoutView="0" workbookViewId="0" topLeftCell="A1">
      <pane xSplit="2" ySplit="5" topLeftCell="C6" activePane="bottomRight" state="frozen"/>
      <selection pane="topLeft" activeCell="A1" sqref="A1"/>
      <selection pane="topRight" activeCell="C1" sqref="C1"/>
      <selection pane="bottomLeft" activeCell="A5" sqref="A5"/>
      <selection pane="bottomRight" activeCell="H16" sqref="H16"/>
    </sheetView>
  </sheetViews>
  <sheetFormatPr defaultColWidth="9.140625" defaultRowHeight="12.75"/>
  <cols>
    <col min="1" max="1" width="9.140625" style="344" customWidth="1"/>
    <col min="2" max="2" width="67.28125" style="366" customWidth="1"/>
    <col min="3" max="3" width="21.57421875" style="429" customWidth="1"/>
    <col min="4" max="4" width="24.8515625" style="429" customWidth="1"/>
    <col min="5" max="5" width="26.421875" style="344" customWidth="1"/>
    <col min="6" max="6" width="16.140625" style="344" customWidth="1"/>
    <col min="7" max="16384" width="9.140625" style="344" customWidth="1"/>
  </cols>
  <sheetData>
    <row r="1" spans="1:5" ht="49.5" customHeight="1" thickBot="1">
      <c r="A1" s="733" t="s">
        <v>902</v>
      </c>
      <c r="B1" s="809"/>
      <c r="C1" s="809"/>
      <c r="D1" s="810"/>
      <c r="E1" s="811"/>
    </row>
    <row r="2" spans="1:5" ht="34.5" customHeight="1" thickBot="1">
      <c r="A2" s="736" t="s">
        <v>996</v>
      </c>
      <c r="B2" s="737"/>
      <c r="C2" s="812"/>
      <c r="D2" s="813"/>
      <c r="E2" s="814"/>
    </row>
    <row r="3" spans="1:5" ht="33" customHeight="1">
      <c r="A3" s="346" t="s">
        <v>149</v>
      </c>
      <c r="B3" s="460" t="s">
        <v>234</v>
      </c>
      <c r="C3" s="465">
        <v>2013</v>
      </c>
      <c r="D3" s="816">
        <v>2014</v>
      </c>
      <c r="E3" s="817"/>
    </row>
    <row r="4" spans="1:5" ht="71.25" customHeight="1">
      <c r="A4" s="346"/>
      <c r="B4" s="460"/>
      <c r="C4" s="466"/>
      <c r="D4" s="456" t="s">
        <v>1008</v>
      </c>
      <c r="E4" s="451" t="s">
        <v>1009</v>
      </c>
    </row>
    <row r="5" spans="1:5" ht="22.5" customHeight="1" thickBot="1">
      <c r="A5" s="454"/>
      <c r="B5" s="461"/>
      <c r="C5" s="467" t="s">
        <v>199</v>
      </c>
      <c r="D5" s="457" t="s">
        <v>903</v>
      </c>
      <c r="E5" s="455" t="s">
        <v>904</v>
      </c>
    </row>
    <row r="6" spans="1:5" s="423" customFormat="1" ht="31.5">
      <c r="A6" s="452">
        <v>1</v>
      </c>
      <c r="B6" s="462" t="s">
        <v>793</v>
      </c>
      <c r="C6" s="468">
        <v>18842</v>
      </c>
      <c r="D6" s="156" t="s">
        <v>221</v>
      </c>
      <c r="E6" s="453">
        <f>C9</f>
        <v>1760</v>
      </c>
    </row>
    <row r="7" spans="1:12" ht="36" customHeight="1">
      <c r="A7" s="353">
        <v>2</v>
      </c>
      <c r="B7" s="463" t="s">
        <v>701</v>
      </c>
      <c r="C7" s="468">
        <v>351118</v>
      </c>
      <c r="D7" s="458">
        <v>128775</v>
      </c>
      <c r="E7" s="424">
        <v>243250</v>
      </c>
      <c r="F7"/>
      <c r="G7"/>
      <c r="H7"/>
      <c r="I7"/>
      <c r="J7"/>
      <c r="K7"/>
      <c r="L7"/>
    </row>
    <row r="8" spans="1:12" ht="35.25" customHeight="1">
      <c r="A8" s="353">
        <v>3</v>
      </c>
      <c r="B8" s="463" t="s">
        <v>795</v>
      </c>
      <c r="C8" s="468">
        <v>368200</v>
      </c>
      <c r="D8" s="602">
        <v>128775</v>
      </c>
      <c r="E8" s="603">
        <v>245010</v>
      </c>
      <c r="F8" s="799"/>
      <c r="G8" s="799"/>
      <c r="H8" s="799"/>
      <c r="I8" s="799"/>
      <c r="J8" s="799"/>
      <c r="K8"/>
      <c r="L8"/>
    </row>
    <row r="9" spans="1:12" ht="39.75" customHeight="1">
      <c r="A9" s="353">
        <v>4</v>
      </c>
      <c r="B9" s="463" t="s">
        <v>794</v>
      </c>
      <c r="C9" s="469">
        <f>C6+C7-C8</f>
        <v>1760</v>
      </c>
      <c r="D9" s="469">
        <f>D7-D8</f>
        <v>0</v>
      </c>
      <c r="E9" s="385">
        <f>E6+E7-E8</f>
        <v>0</v>
      </c>
      <c r="F9"/>
      <c r="G9"/>
      <c r="H9"/>
      <c r="I9"/>
      <c r="J9"/>
      <c r="K9"/>
      <c r="L9"/>
    </row>
    <row r="10" spans="1:12" ht="36" customHeight="1" thickBot="1">
      <c r="A10" s="425">
        <v>5</v>
      </c>
      <c r="B10" s="464" t="s">
        <v>905</v>
      </c>
      <c r="C10" s="470">
        <v>804</v>
      </c>
      <c r="D10" s="459">
        <v>160</v>
      </c>
      <c r="E10" s="426">
        <v>709</v>
      </c>
      <c r="F10"/>
      <c r="G10"/>
      <c r="H10"/>
      <c r="I10"/>
      <c r="J10"/>
      <c r="K10"/>
      <c r="L10"/>
    </row>
    <row r="11" spans="1:6" ht="21" customHeight="1">
      <c r="A11" s="427"/>
      <c r="B11" s="428"/>
      <c r="C11" s="344"/>
      <c r="D11" s="344"/>
      <c r="F11" s="423"/>
    </row>
    <row r="12" spans="1:5" ht="27.75" customHeight="1">
      <c r="A12" s="815" t="s">
        <v>796</v>
      </c>
      <c r="B12" s="815"/>
      <c r="C12" s="815"/>
      <c r="D12" s="815"/>
      <c r="E12" s="815"/>
    </row>
    <row r="13" spans="1:2" ht="18.75">
      <c r="A13" s="471" t="s">
        <v>941</v>
      </c>
      <c r="B13" s="472"/>
    </row>
    <row r="14" spans="1:2" ht="18.75">
      <c r="A14" s="473" t="s">
        <v>942</v>
      </c>
      <c r="B14" s="474"/>
    </row>
    <row r="16" ht="18.75">
      <c r="C16" s="429" t="s">
        <v>112</v>
      </c>
    </row>
  </sheetData>
  <sheetProtection/>
  <mergeCells count="5">
    <mergeCell ref="A1:E1"/>
    <mergeCell ref="A2:E2"/>
    <mergeCell ref="A12:E12"/>
    <mergeCell ref="D3:E3"/>
    <mergeCell ref="F8:J8"/>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G31"/>
  <sheetViews>
    <sheetView zoomScalePageLayoutView="0" workbookViewId="0" topLeftCell="A1">
      <pane xSplit="2" ySplit="4" topLeftCell="C23" activePane="bottomRight" state="frozen"/>
      <selection pane="topLeft" activeCell="A1" sqref="A1"/>
      <selection pane="topRight" activeCell="C1" sqref="C1"/>
      <selection pane="bottomLeft" activeCell="A5" sqref="A5"/>
      <selection pane="bottomRight" activeCell="E31" sqref="E31"/>
    </sheetView>
  </sheetViews>
  <sheetFormatPr defaultColWidth="9.140625" defaultRowHeight="12.75"/>
  <cols>
    <col min="1" max="1" width="10.140625" style="3" customWidth="1"/>
    <col min="2" max="2" width="83.00390625" style="58" customWidth="1"/>
    <col min="3" max="3" width="15.421875" style="1" customWidth="1"/>
    <col min="4" max="4" width="14.28125" style="1" customWidth="1"/>
    <col min="5" max="5" width="14.7109375" style="1" customWidth="1"/>
    <col min="6" max="16384" width="9.140625" style="1" customWidth="1"/>
  </cols>
  <sheetData>
    <row r="1" spans="1:7" ht="49.5" customHeight="1">
      <c r="A1" s="628" t="s">
        <v>853</v>
      </c>
      <c r="B1" s="629"/>
      <c r="C1" s="629"/>
      <c r="D1" s="629"/>
      <c r="E1" s="630"/>
      <c r="F1" s="7"/>
      <c r="G1" s="7"/>
    </row>
    <row r="2" spans="1:5" s="18" customFormat="1" ht="38.25" customHeight="1">
      <c r="A2" s="631" t="s">
        <v>952</v>
      </c>
      <c r="B2" s="632"/>
      <c r="C2" s="632"/>
      <c r="D2" s="632"/>
      <c r="E2" s="633"/>
    </row>
    <row r="3" spans="1:5" s="10" customFormat="1" ht="35.25" customHeight="1">
      <c r="A3" s="30" t="s">
        <v>149</v>
      </c>
      <c r="B3" s="104" t="s">
        <v>234</v>
      </c>
      <c r="C3" s="14" t="s">
        <v>214</v>
      </c>
      <c r="D3" s="14" t="s">
        <v>215</v>
      </c>
      <c r="E3" s="35" t="s">
        <v>153</v>
      </c>
    </row>
    <row r="4" spans="1:5" s="19" customFormat="1" ht="17.25" customHeight="1">
      <c r="A4" s="31"/>
      <c r="B4" s="45"/>
      <c r="C4" s="37" t="s">
        <v>199</v>
      </c>
      <c r="D4" s="37" t="s">
        <v>200</v>
      </c>
      <c r="E4" s="38" t="s">
        <v>14</v>
      </c>
    </row>
    <row r="5" spans="1:5" ht="31.5">
      <c r="A5" s="33">
        <v>1</v>
      </c>
      <c r="B5" s="55" t="s">
        <v>747</v>
      </c>
      <c r="C5" s="61">
        <f>SUM(C6:C8)</f>
        <v>130988.22</v>
      </c>
      <c r="D5" s="61">
        <f>SUM(D6:D7)</f>
        <v>12700</v>
      </c>
      <c r="E5" s="293">
        <f>C5+D5</f>
        <v>143688.22</v>
      </c>
    </row>
    <row r="6" spans="1:5" ht="15.75">
      <c r="A6" s="33" t="s">
        <v>225</v>
      </c>
      <c r="B6" s="56" t="s">
        <v>958</v>
      </c>
      <c r="C6" s="52">
        <v>4000</v>
      </c>
      <c r="D6" s="52">
        <v>12700</v>
      </c>
      <c r="E6" s="293">
        <f aca="true" t="shared" si="0" ref="E6:E29">C6+D6</f>
        <v>16700</v>
      </c>
    </row>
    <row r="7" spans="1:5" ht="15.75">
      <c r="A7" s="33" t="s">
        <v>287</v>
      </c>
      <c r="B7" s="56" t="s">
        <v>959</v>
      </c>
      <c r="C7" s="52">
        <v>111988.22</v>
      </c>
      <c r="D7" s="52"/>
      <c r="E7" s="293">
        <f t="shared" si="0"/>
        <v>111988.22</v>
      </c>
    </row>
    <row r="8" spans="1:5" ht="15.75">
      <c r="A8" s="33" t="s">
        <v>960</v>
      </c>
      <c r="B8" s="56" t="s">
        <v>961</v>
      </c>
      <c r="C8" s="52">
        <v>15000</v>
      </c>
      <c r="D8" s="52"/>
      <c r="E8" s="293"/>
    </row>
    <row r="9" spans="1:5" ht="15.75">
      <c r="A9" s="33"/>
      <c r="B9" s="56"/>
      <c r="C9" s="52"/>
      <c r="D9" s="52"/>
      <c r="E9" s="293">
        <f t="shared" si="0"/>
        <v>0</v>
      </c>
    </row>
    <row r="10" spans="1:5" ht="15.75">
      <c r="A10" s="33">
        <v>2</v>
      </c>
      <c r="B10" s="55" t="s">
        <v>38</v>
      </c>
      <c r="C10" s="61">
        <f>SUM(C11:C12)</f>
        <v>300</v>
      </c>
      <c r="D10" s="61">
        <f>SUM(D11:D12)</f>
        <v>0</v>
      </c>
      <c r="E10" s="293">
        <f t="shared" si="0"/>
        <v>300</v>
      </c>
    </row>
    <row r="11" spans="1:5" ht="15.75">
      <c r="A11" s="33" t="s">
        <v>226</v>
      </c>
      <c r="B11" s="56" t="s">
        <v>962</v>
      </c>
      <c r="C11" s="52">
        <v>300</v>
      </c>
      <c r="D11" s="52"/>
      <c r="E11" s="293">
        <f t="shared" si="0"/>
        <v>300</v>
      </c>
    </row>
    <row r="12" spans="1:5" ht="15.75">
      <c r="A12" s="33" t="s">
        <v>288</v>
      </c>
      <c r="B12" s="56"/>
      <c r="C12" s="52"/>
      <c r="D12" s="52"/>
      <c r="E12" s="293">
        <f t="shared" si="0"/>
        <v>0</v>
      </c>
    </row>
    <row r="13" spans="1:5" ht="15.75">
      <c r="A13" s="33"/>
      <c r="B13" s="56"/>
      <c r="C13" s="52"/>
      <c r="D13" s="52"/>
      <c r="E13" s="293">
        <f t="shared" si="0"/>
        <v>0</v>
      </c>
    </row>
    <row r="14" spans="1:5" ht="15.75">
      <c r="A14" s="33">
        <v>3</v>
      </c>
      <c r="B14" s="55" t="s">
        <v>179</v>
      </c>
      <c r="C14" s="61">
        <f>SUM(C15:C16)</f>
        <v>0</v>
      </c>
      <c r="D14" s="61">
        <f>SUM(D15:D16)</f>
        <v>0</v>
      </c>
      <c r="E14" s="293">
        <f t="shared" si="0"/>
        <v>0</v>
      </c>
    </row>
    <row r="15" spans="1:5" ht="15.75">
      <c r="A15" s="33" t="s">
        <v>227</v>
      </c>
      <c r="B15" s="136"/>
      <c r="C15" s="52"/>
      <c r="D15" s="52"/>
      <c r="E15" s="293">
        <f t="shared" si="0"/>
        <v>0</v>
      </c>
    </row>
    <row r="16" spans="1:5" ht="15.75">
      <c r="A16" s="33" t="s">
        <v>289</v>
      </c>
      <c r="B16" s="136"/>
      <c r="C16" s="52"/>
      <c r="D16" s="52"/>
      <c r="E16" s="293">
        <f t="shared" si="0"/>
        <v>0</v>
      </c>
    </row>
    <row r="17" spans="1:5" ht="15.75">
      <c r="A17" s="33"/>
      <c r="B17" s="56"/>
      <c r="C17" s="52"/>
      <c r="D17" s="52"/>
      <c r="E17" s="293">
        <f t="shared" si="0"/>
        <v>0</v>
      </c>
    </row>
    <row r="18" spans="1:5" ht="15.75">
      <c r="A18" s="33">
        <v>4</v>
      </c>
      <c r="B18" s="55" t="s">
        <v>180</v>
      </c>
      <c r="C18" s="61">
        <f>SUM(C19:C27)</f>
        <v>582674.62</v>
      </c>
      <c r="D18" s="61">
        <f>SUM(D19:D20)</f>
        <v>0</v>
      </c>
      <c r="E18" s="293">
        <f t="shared" si="0"/>
        <v>582674.62</v>
      </c>
    </row>
    <row r="19" spans="1:5" ht="15.75">
      <c r="A19" s="33" t="s">
        <v>168</v>
      </c>
      <c r="B19" s="56" t="s">
        <v>963</v>
      </c>
      <c r="C19" s="139">
        <v>26518.71</v>
      </c>
      <c r="D19" s="139"/>
      <c r="E19" s="293">
        <f t="shared" si="0"/>
        <v>26518.71</v>
      </c>
    </row>
    <row r="20" spans="1:5" ht="15.75">
      <c r="A20" s="33" t="s">
        <v>290</v>
      </c>
      <c r="B20" s="56" t="s">
        <v>964</v>
      </c>
      <c r="C20" s="139">
        <v>15728.72</v>
      </c>
      <c r="D20" s="139"/>
      <c r="E20" s="293">
        <f t="shared" si="0"/>
        <v>15728.72</v>
      </c>
    </row>
    <row r="21" spans="1:5" ht="15.75">
      <c r="A21" s="33" t="s">
        <v>965</v>
      </c>
      <c r="B21" s="56" t="s">
        <v>967</v>
      </c>
      <c r="C21" s="139">
        <v>9373.7</v>
      </c>
      <c r="D21" s="139"/>
      <c r="E21" s="293"/>
    </row>
    <row r="22" spans="1:5" ht="15.75">
      <c r="A22" s="33" t="s">
        <v>966</v>
      </c>
      <c r="B22" s="56" t="s">
        <v>968</v>
      </c>
      <c r="C22" s="139">
        <v>18457.8</v>
      </c>
      <c r="D22" s="139"/>
      <c r="E22" s="293"/>
    </row>
    <row r="23" spans="1:5" ht="15.75">
      <c r="A23" s="33" t="s">
        <v>969</v>
      </c>
      <c r="B23" s="56" t="s">
        <v>972</v>
      </c>
      <c r="C23" s="139">
        <v>10818.16</v>
      </c>
      <c r="D23" s="139"/>
      <c r="E23" s="293"/>
    </row>
    <row r="24" spans="1:5" ht="15.75">
      <c r="A24" s="33" t="s">
        <v>970</v>
      </c>
      <c r="B24" s="56" t="s">
        <v>973</v>
      </c>
      <c r="C24" s="139">
        <v>33982.81</v>
      </c>
      <c r="D24" s="139"/>
      <c r="E24" s="293"/>
    </row>
    <row r="25" spans="1:5" ht="15.75">
      <c r="A25" s="33" t="s">
        <v>971</v>
      </c>
      <c r="B25" s="56" t="s">
        <v>974</v>
      </c>
      <c r="C25" s="139">
        <v>33061.01</v>
      </c>
      <c r="D25" s="139"/>
      <c r="E25" s="293"/>
    </row>
    <row r="26" spans="1:5" ht="15.75">
      <c r="A26" s="33" t="s">
        <v>976</v>
      </c>
      <c r="B26" s="56" t="s">
        <v>975</v>
      </c>
      <c r="C26" s="139">
        <v>934.11</v>
      </c>
      <c r="D26" s="139"/>
      <c r="E26" s="293"/>
    </row>
    <row r="27" spans="1:5" ht="15.75">
      <c r="A27" s="33" t="s">
        <v>977</v>
      </c>
      <c r="B27" s="56" t="s">
        <v>978</v>
      </c>
      <c r="C27" s="139">
        <v>433799.6</v>
      </c>
      <c r="D27" s="139"/>
      <c r="E27" s="293"/>
    </row>
    <row r="28" spans="1:5" ht="15.75">
      <c r="A28" s="33"/>
      <c r="B28" s="56"/>
      <c r="C28" s="52"/>
      <c r="D28" s="52"/>
      <c r="E28" s="293">
        <f t="shared" si="0"/>
        <v>0</v>
      </c>
    </row>
    <row r="29" spans="1:5" ht="16.5" thickBot="1">
      <c r="A29" s="34">
        <v>5</v>
      </c>
      <c r="B29" s="57" t="s">
        <v>216</v>
      </c>
      <c r="C29" s="143">
        <f>C5+C10+C14+C18</f>
        <v>713962.84</v>
      </c>
      <c r="D29" s="143">
        <f>D5+D10+D14+D18</f>
        <v>12700</v>
      </c>
      <c r="E29" s="294">
        <f t="shared" si="0"/>
        <v>726662.84</v>
      </c>
    </row>
    <row r="31" spans="1:5" s="322" customFormat="1" ht="15.75">
      <c r="A31" s="320"/>
      <c r="B31" s="321" t="s">
        <v>748</v>
      </c>
      <c r="E31" s="19"/>
    </row>
  </sheetData>
  <sheetProtection/>
  <mergeCells count="2">
    <mergeCell ref="A1:E1"/>
    <mergeCell ref="A2:E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sheetPr>
    <tabColor indexed="42"/>
    <pageSetUpPr fitToPage="1"/>
  </sheetPr>
  <dimension ref="A1:M1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M12" sqref="M12"/>
    </sheetView>
  </sheetViews>
  <sheetFormatPr defaultColWidth="9.140625" defaultRowHeight="12.75"/>
  <cols>
    <col min="1" max="1" width="8.8515625" style="74" customWidth="1"/>
    <col min="2" max="2" width="20.57421875" style="74" customWidth="1"/>
    <col min="3" max="3" width="18.28125" style="74" customWidth="1"/>
    <col min="4" max="4" width="15.8515625" style="74" customWidth="1"/>
    <col min="5" max="5" width="15.7109375" style="74" customWidth="1"/>
    <col min="6" max="6" width="14.57421875" style="74" customWidth="1"/>
    <col min="7" max="7" width="19.00390625" style="74" customWidth="1"/>
    <col min="8" max="8" width="20.28125" style="74" customWidth="1"/>
    <col min="9" max="9" width="18.00390625" style="74" customWidth="1"/>
    <col min="10" max="10" width="14.28125" style="74" customWidth="1"/>
    <col min="11" max="11" width="18.140625" style="74" customWidth="1"/>
    <col min="12" max="12" width="16.7109375" style="74" customWidth="1"/>
    <col min="13" max="13" width="17.140625" style="74" customWidth="1"/>
    <col min="14" max="16384" width="9.140625" style="74" customWidth="1"/>
  </cols>
  <sheetData>
    <row r="1" spans="1:13" s="72" customFormat="1" ht="34.5" customHeight="1">
      <c r="A1" s="822" t="s">
        <v>888</v>
      </c>
      <c r="B1" s="823"/>
      <c r="C1" s="823"/>
      <c r="D1" s="823"/>
      <c r="E1" s="823"/>
      <c r="F1" s="823"/>
      <c r="G1" s="823"/>
      <c r="H1" s="823"/>
      <c r="I1" s="823"/>
      <c r="J1" s="823"/>
      <c r="K1" s="823"/>
      <c r="L1" s="823"/>
      <c r="M1" s="824"/>
    </row>
    <row r="2" spans="1:13" s="72" customFormat="1" ht="34.5" customHeight="1">
      <c r="A2" s="825" t="s">
        <v>956</v>
      </c>
      <c r="B2" s="826"/>
      <c r="C2" s="826"/>
      <c r="D2" s="826"/>
      <c r="E2" s="826"/>
      <c r="F2" s="826"/>
      <c r="G2" s="826"/>
      <c r="H2" s="826"/>
      <c r="I2" s="826"/>
      <c r="J2" s="826"/>
      <c r="K2" s="826"/>
      <c r="L2" s="826"/>
      <c r="M2" s="827"/>
    </row>
    <row r="3" spans="1:13" s="72" customFormat="1" ht="29.25" customHeight="1">
      <c r="A3" s="819" t="s">
        <v>149</v>
      </c>
      <c r="B3" s="820" t="s">
        <v>797</v>
      </c>
      <c r="C3" s="820"/>
      <c r="D3" s="820"/>
      <c r="E3" s="820"/>
      <c r="F3" s="820"/>
      <c r="G3" s="820"/>
      <c r="H3" s="820" t="s">
        <v>889</v>
      </c>
      <c r="I3" s="820"/>
      <c r="J3" s="820"/>
      <c r="K3" s="820"/>
      <c r="L3" s="820"/>
      <c r="M3" s="821"/>
    </row>
    <row r="4" spans="1:13" s="73" customFormat="1" ht="171.75" customHeight="1">
      <c r="A4" s="819"/>
      <c r="B4" s="416" t="s">
        <v>786</v>
      </c>
      <c r="C4" s="416" t="s">
        <v>787</v>
      </c>
      <c r="D4" s="416" t="s">
        <v>154</v>
      </c>
      <c r="E4" s="416" t="s">
        <v>39</v>
      </c>
      <c r="F4" s="416" t="s">
        <v>40</v>
      </c>
      <c r="G4" s="416" t="s">
        <v>147</v>
      </c>
      <c r="H4" s="416" t="s">
        <v>786</v>
      </c>
      <c r="I4" s="416" t="s">
        <v>787</v>
      </c>
      <c r="J4" s="416" t="s">
        <v>154</v>
      </c>
      <c r="K4" s="416" t="s">
        <v>39</v>
      </c>
      <c r="L4" s="96" t="s">
        <v>40</v>
      </c>
      <c r="M4" s="98" t="s">
        <v>147</v>
      </c>
    </row>
    <row r="5" spans="1:13" ht="31.5">
      <c r="A5" s="99"/>
      <c r="B5" s="97" t="s">
        <v>199</v>
      </c>
      <c r="C5" s="97" t="s">
        <v>200</v>
      </c>
      <c r="D5" s="97" t="s">
        <v>201</v>
      </c>
      <c r="E5" s="97" t="s">
        <v>207</v>
      </c>
      <c r="F5" s="97" t="s">
        <v>202</v>
      </c>
      <c r="G5" s="97" t="s">
        <v>714</v>
      </c>
      <c r="H5" s="97" t="s">
        <v>204</v>
      </c>
      <c r="I5" s="97" t="s">
        <v>205</v>
      </c>
      <c r="J5" s="97" t="s">
        <v>206</v>
      </c>
      <c r="K5" s="97" t="s">
        <v>715</v>
      </c>
      <c r="L5" s="307" t="s">
        <v>716</v>
      </c>
      <c r="M5" s="100" t="s">
        <v>717</v>
      </c>
    </row>
    <row r="6" spans="1:13" ht="36" customHeight="1" thickBot="1">
      <c r="A6" s="101">
        <v>1</v>
      </c>
      <c r="B6" s="557">
        <v>15471186.27</v>
      </c>
      <c r="C6" s="557">
        <v>19842634.06</v>
      </c>
      <c r="D6" s="557">
        <v>2032149.84</v>
      </c>
      <c r="E6" s="557">
        <v>1909350.51</v>
      </c>
      <c r="F6" s="557">
        <v>2518084.46</v>
      </c>
      <c r="G6" s="558">
        <f>SUM(B6:F6)</f>
        <v>41773405.14</v>
      </c>
      <c r="H6" s="557">
        <v>16855972.64</v>
      </c>
      <c r="I6" s="557">
        <v>19596741.32</v>
      </c>
      <c r="J6" s="557">
        <v>568756.75</v>
      </c>
      <c r="K6" s="557">
        <v>1172981.22</v>
      </c>
      <c r="L6" s="557">
        <f>173247.35+1787341.66+1291.02</f>
        <v>1961880.03</v>
      </c>
      <c r="M6" s="559">
        <f>SUM(H6:L6)</f>
        <v>40156331.96</v>
      </c>
    </row>
    <row r="7" spans="7:13" ht="15.75">
      <c r="G7" s="609"/>
      <c r="H7" s="532"/>
      <c r="I7" s="532"/>
      <c r="M7" s="609"/>
    </row>
    <row r="8" spans="2:9" ht="15.75">
      <c r="B8" s="329" t="s">
        <v>728</v>
      </c>
      <c r="H8" s="608"/>
      <c r="I8" s="532"/>
    </row>
    <row r="9" spans="2:9" ht="15.75">
      <c r="B9" s="329" t="s">
        <v>729</v>
      </c>
      <c r="H9" s="609"/>
      <c r="I9" s="609"/>
    </row>
    <row r="11" spans="2:13" ht="15.75">
      <c r="B11" s="818"/>
      <c r="C11" s="818"/>
      <c r="D11" s="818"/>
      <c r="E11" s="818"/>
      <c r="F11" s="818"/>
      <c r="G11" s="818"/>
      <c r="H11" s="818"/>
      <c r="I11" s="818"/>
      <c r="J11" s="818"/>
      <c r="K11" s="818"/>
      <c r="L11" s="818"/>
      <c r="M11" s="818"/>
    </row>
    <row r="12" spans="2:13" ht="15.75">
      <c r="B12" s="818" t="s">
        <v>1010</v>
      </c>
      <c r="C12" s="818"/>
      <c r="D12" s="818"/>
      <c r="E12" s="818"/>
      <c r="F12" s="818"/>
      <c r="G12" s="818"/>
      <c r="H12" s="818"/>
      <c r="I12" s="503"/>
      <c r="J12" s="503"/>
      <c r="K12" s="503"/>
      <c r="L12" s="503"/>
      <c r="M12" s="503"/>
    </row>
  </sheetData>
  <sheetProtection/>
  <mergeCells count="7">
    <mergeCell ref="B12:H12"/>
    <mergeCell ref="A3:A4"/>
    <mergeCell ref="B3:G3"/>
    <mergeCell ref="H3:M3"/>
    <mergeCell ref="A1:M1"/>
    <mergeCell ref="A2:M2"/>
    <mergeCell ref="B11:M11"/>
  </mergeCells>
  <printOptions/>
  <pageMargins left="0.4" right="0.47" top="0.984251968503937" bottom="0.984251968503937" header="0.5118110236220472" footer="0.5118110236220472"/>
  <pageSetup fitToHeight="1" fitToWidth="1" horizontalDpi="600" verticalDpi="600" orientation="landscape" paperSize="9" scale="64"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I43"/>
  <sheetViews>
    <sheetView zoomScalePageLayoutView="0" workbookViewId="0" topLeftCell="A1">
      <pane xSplit="3" ySplit="3" topLeftCell="D22" activePane="bottomRight" state="frozen"/>
      <selection pane="topLeft" activeCell="A1" sqref="A1"/>
      <selection pane="topRight" activeCell="D1" sqref="D1"/>
      <selection pane="bottomLeft" activeCell="A4" sqref="A4"/>
      <selection pane="bottomRight" activeCell="M40" sqref="M40"/>
    </sheetView>
  </sheetViews>
  <sheetFormatPr defaultColWidth="9.140625" defaultRowHeight="12.75"/>
  <cols>
    <col min="1" max="1" width="7.28125" style="179" customWidth="1"/>
    <col min="2" max="2" width="39.8515625" style="179" customWidth="1"/>
    <col min="3" max="3" width="9.421875" style="179" customWidth="1"/>
    <col min="4" max="4" width="18.421875" style="179" customWidth="1"/>
    <col min="5" max="5" width="16.7109375" style="179" customWidth="1"/>
    <col min="6" max="6" width="15.421875" style="179" customWidth="1"/>
    <col min="7" max="7" width="5.140625" style="179" customWidth="1"/>
    <col min="8" max="16384" width="9.140625" style="179" customWidth="1"/>
  </cols>
  <sheetData>
    <row r="1" spans="1:6" ht="66.75" customHeight="1" thickBot="1">
      <c r="A1" s="832" t="s">
        <v>890</v>
      </c>
      <c r="B1" s="833"/>
      <c r="C1" s="833"/>
      <c r="D1" s="833"/>
      <c r="E1" s="833"/>
      <c r="F1" s="834"/>
    </row>
    <row r="2" spans="1:6" ht="36.75" customHeight="1" thickBot="1">
      <c r="A2" s="835" t="s">
        <v>951</v>
      </c>
      <c r="B2" s="836"/>
      <c r="C2" s="392"/>
      <c r="D2" s="392"/>
      <c r="E2" s="392"/>
      <c r="F2" s="393"/>
    </row>
    <row r="3" spans="1:7" s="182" customFormat="1" ht="69" customHeight="1" thickBot="1">
      <c r="A3" s="180" t="s">
        <v>544</v>
      </c>
      <c r="B3" s="180" t="s">
        <v>301</v>
      </c>
      <c r="C3" s="181" t="s">
        <v>149</v>
      </c>
      <c r="D3" s="181" t="s">
        <v>891</v>
      </c>
      <c r="E3" s="181" t="s">
        <v>892</v>
      </c>
      <c r="F3" s="262" t="s">
        <v>893</v>
      </c>
      <c r="G3" s="179"/>
    </row>
    <row r="4" spans="1:7" ht="15.75">
      <c r="A4" s="278">
        <v>601</v>
      </c>
      <c r="B4" s="271" t="s">
        <v>618</v>
      </c>
      <c r="C4" s="272" t="s">
        <v>619</v>
      </c>
      <c r="D4" s="232">
        <v>130965.32</v>
      </c>
      <c r="E4" s="265">
        <v>162428.17</v>
      </c>
      <c r="F4" s="269">
        <f>E4-D4</f>
        <v>31462.850000000006</v>
      </c>
      <c r="G4" s="179"/>
    </row>
    <row r="5" spans="1:7" ht="15.75">
      <c r="A5" s="279">
        <v>602</v>
      </c>
      <c r="B5" s="273" t="s">
        <v>620</v>
      </c>
      <c r="C5" s="274" t="s">
        <v>621</v>
      </c>
      <c r="D5" s="233">
        <v>766593.58</v>
      </c>
      <c r="E5" s="266">
        <v>771045.44</v>
      </c>
      <c r="F5" s="270">
        <f aca="true" t="shared" si="0" ref="F5:F38">E5-D5</f>
        <v>4451.859999999986</v>
      </c>
      <c r="G5" s="179"/>
    </row>
    <row r="6" spans="1:7" ht="15.75">
      <c r="A6" s="279">
        <v>604</v>
      </c>
      <c r="B6" s="275" t="s">
        <v>622</v>
      </c>
      <c r="C6" s="274" t="s">
        <v>623</v>
      </c>
      <c r="D6" s="233"/>
      <c r="E6" s="266"/>
      <c r="F6" s="270">
        <f t="shared" si="0"/>
        <v>0</v>
      </c>
      <c r="G6" s="179"/>
    </row>
    <row r="7" spans="1:7" ht="15.75">
      <c r="A7" s="279">
        <v>611</v>
      </c>
      <c r="B7" s="273" t="s">
        <v>624</v>
      </c>
      <c r="C7" s="274" t="s">
        <v>625</v>
      </c>
      <c r="D7" s="233"/>
      <c r="E7" s="266"/>
      <c r="F7" s="270">
        <f t="shared" si="0"/>
        <v>0</v>
      </c>
      <c r="G7" s="179"/>
    </row>
    <row r="8" spans="1:7" ht="15.75">
      <c r="A8" s="279">
        <v>612</v>
      </c>
      <c r="B8" s="273" t="s">
        <v>626</v>
      </c>
      <c r="C8" s="274" t="s">
        <v>627</v>
      </c>
      <c r="D8" s="233"/>
      <c r="E8" s="266"/>
      <c r="F8" s="270">
        <f t="shared" si="0"/>
        <v>0</v>
      </c>
      <c r="G8" s="179"/>
    </row>
    <row r="9" spans="1:7" ht="15.75">
      <c r="A9" s="279">
        <v>613</v>
      </c>
      <c r="B9" s="273" t="s">
        <v>628</v>
      </c>
      <c r="C9" s="274" t="s">
        <v>629</v>
      </c>
      <c r="D9" s="233"/>
      <c r="E9" s="266"/>
      <c r="F9" s="270">
        <f t="shared" si="0"/>
        <v>0</v>
      </c>
      <c r="G9" s="179"/>
    </row>
    <row r="10" spans="1:7" ht="15.75">
      <c r="A10" s="279">
        <v>614</v>
      </c>
      <c r="B10" s="273" t="s">
        <v>630</v>
      </c>
      <c r="C10" s="274" t="s">
        <v>631</v>
      </c>
      <c r="D10" s="233"/>
      <c r="E10" s="266"/>
      <c r="F10" s="270">
        <f t="shared" si="0"/>
        <v>0</v>
      </c>
      <c r="G10" s="179"/>
    </row>
    <row r="11" spans="1:7" ht="15.75">
      <c r="A11" s="279">
        <v>621</v>
      </c>
      <c r="B11" s="273" t="s">
        <v>632</v>
      </c>
      <c r="C11" s="274" t="s">
        <v>633</v>
      </c>
      <c r="D11" s="233"/>
      <c r="E11" s="266"/>
      <c r="F11" s="270">
        <f t="shared" si="0"/>
        <v>0</v>
      </c>
      <c r="G11" s="179"/>
    </row>
    <row r="12" spans="1:7" ht="15.75">
      <c r="A12" s="279">
        <v>622</v>
      </c>
      <c r="B12" s="273" t="s">
        <v>634</v>
      </c>
      <c r="C12" s="274" t="s">
        <v>635</v>
      </c>
      <c r="D12" s="233"/>
      <c r="E12" s="266"/>
      <c r="F12" s="270">
        <f t="shared" si="0"/>
        <v>0</v>
      </c>
      <c r="G12" s="179"/>
    </row>
    <row r="13" spans="1:6" ht="15.75">
      <c r="A13" s="279">
        <v>623</v>
      </c>
      <c r="B13" s="273" t="s">
        <v>636</v>
      </c>
      <c r="C13" s="274" t="s">
        <v>637</v>
      </c>
      <c r="D13" s="233"/>
      <c r="E13" s="266"/>
      <c r="F13" s="270">
        <f t="shared" si="0"/>
        <v>0</v>
      </c>
    </row>
    <row r="14" spans="1:6" ht="15.75">
      <c r="A14" s="279">
        <v>624</v>
      </c>
      <c r="B14" s="273" t="s">
        <v>638</v>
      </c>
      <c r="C14" s="274" t="s">
        <v>639</v>
      </c>
      <c r="D14" s="233"/>
      <c r="E14" s="266"/>
      <c r="F14" s="270">
        <f t="shared" si="0"/>
        <v>0</v>
      </c>
    </row>
    <row r="15" spans="1:6" ht="15.75">
      <c r="A15" s="279">
        <v>641</v>
      </c>
      <c r="B15" s="273" t="s">
        <v>575</v>
      </c>
      <c r="C15" s="274" t="s">
        <v>640</v>
      </c>
      <c r="D15" s="233"/>
      <c r="E15" s="266"/>
      <c r="F15" s="270">
        <f t="shared" si="0"/>
        <v>0</v>
      </c>
    </row>
    <row r="16" spans="1:6" ht="15.75">
      <c r="A16" s="279">
        <v>642</v>
      </c>
      <c r="B16" s="273" t="s">
        <v>577</v>
      </c>
      <c r="C16" s="274" t="s">
        <v>641</v>
      </c>
      <c r="D16" s="233"/>
      <c r="E16" s="266"/>
      <c r="F16" s="270">
        <f t="shared" si="0"/>
        <v>0</v>
      </c>
    </row>
    <row r="17" spans="1:6" ht="15.75">
      <c r="A17" s="279">
        <v>643</v>
      </c>
      <c r="B17" s="273" t="s">
        <v>642</v>
      </c>
      <c r="C17" s="274" t="s">
        <v>643</v>
      </c>
      <c r="D17" s="233"/>
      <c r="E17" s="266"/>
      <c r="F17" s="270">
        <f t="shared" si="0"/>
        <v>0</v>
      </c>
    </row>
    <row r="18" spans="1:6" ht="15.75">
      <c r="A18" s="279">
        <v>644</v>
      </c>
      <c r="B18" s="273" t="s">
        <v>581</v>
      </c>
      <c r="C18" s="274" t="s">
        <v>644</v>
      </c>
      <c r="D18" s="233"/>
      <c r="E18" s="266"/>
      <c r="F18" s="270">
        <f t="shared" si="0"/>
        <v>0</v>
      </c>
    </row>
    <row r="19" spans="1:6" ht="15.75">
      <c r="A19" s="279">
        <v>645</v>
      </c>
      <c r="B19" s="273" t="s">
        <v>645</v>
      </c>
      <c r="C19" s="274" t="s">
        <v>646</v>
      </c>
      <c r="D19" s="233"/>
      <c r="E19" s="266"/>
      <c r="F19" s="270">
        <f t="shared" si="0"/>
        <v>0</v>
      </c>
    </row>
    <row r="20" spans="1:6" ht="15.75">
      <c r="A20" s="279">
        <v>646</v>
      </c>
      <c r="B20" s="273" t="s">
        <v>647</v>
      </c>
      <c r="C20" s="274" t="s">
        <v>648</v>
      </c>
      <c r="D20" s="233"/>
      <c r="E20" s="266"/>
      <c r="F20" s="270">
        <f t="shared" si="0"/>
        <v>0</v>
      </c>
    </row>
    <row r="21" spans="1:6" ht="15.75">
      <c r="A21" s="279">
        <v>647</v>
      </c>
      <c r="B21" s="273" t="s">
        <v>649</v>
      </c>
      <c r="C21" s="274" t="s">
        <v>650</v>
      </c>
      <c r="D21" s="233"/>
      <c r="E21" s="266"/>
      <c r="F21" s="270">
        <f t="shared" si="0"/>
        <v>0</v>
      </c>
    </row>
    <row r="22" spans="1:6" ht="15.75">
      <c r="A22" s="279">
        <v>648</v>
      </c>
      <c r="B22" s="273" t="s">
        <v>651</v>
      </c>
      <c r="C22" s="274" t="s">
        <v>652</v>
      </c>
      <c r="D22" s="233"/>
      <c r="E22" s="266"/>
      <c r="F22" s="270">
        <f t="shared" si="0"/>
        <v>0</v>
      </c>
    </row>
    <row r="23" spans="1:6" ht="15.75">
      <c r="A23" s="279">
        <v>649</v>
      </c>
      <c r="B23" s="273" t="s">
        <v>653</v>
      </c>
      <c r="C23" s="274" t="s">
        <v>654</v>
      </c>
      <c r="D23" s="233">
        <f>20671.77+9975.29</f>
        <v>30647.06</v>
      </c>
      <c r="E23" s="266">
        <v>9442.28</v>
      </c>
      <c r="F23" s="270">
        <f t="shared" si="0"/>
        <v>-21204.78</v>
      </c>
    </row>
    <row r="24" spans="1:6" ht="15.75">
      <c r="A24" s="279">
        <v>651</v>
      </c>
      <c r="B24" s="273" t="s">
        <v>655</v>
      </c>
      <c r="C24" s="274" t="s">
        <v>656</v>
      </c>
      <c r="D24" s="233"/>
      <c r="E24" s="266">
        <v>10.4</v>
      </c>
      <c r="F24" s="270">
        <f t="shared" si="0"/>
        <v>10.4</v>
      </c>
    </row>
    <row r="25" spans="1:6" ht="15.75">
      <c r="A25" s="279">
        <v>652</v>
      </c>
      <c r="B25" s="273" t="s">
        <v>657</v>
      </c>
      <c r="C25" s="274" t="s">
        <v>658</v>
      </c>
      <c r="D25" s="233"/>
      <c r="E25" s="266"/>
      <c r="F25" s="270">
        <f t="shared" si="0"/>
        <v>0</v>
      </c>
    </row>
    <row r="26" spans="1:6" ht="15.75">
      <c r="A26" s="279">
        <v>653</v>
      </c>
      <c r="B26" s="273" t="s">
        <v>659</v>
      </c>
      <c r="C26" s="274" t="s">
        <v>660</v>
      </c>
      <c r="D26" s="233"/>
      <c r="E26" s="266"/>
      <c r="F26" s="270">
        <f t="shared" si="0"/>
        <v>0</v>
      </c>
    </row>
    <row r="27" spans="1:6" ht="15.75">
      <c r="A27" s="279">
        <v>654</v>
      </c>
      <c r="B27" s="273" t="s">
        <v>661</v>
      </c>
      <c r="C27" s="274" t="s">
        <v>662</v>
      </c>
      <c r="D27" s="233"/>
      <c r="E27" s="266"/>
      <c r="F27" s="270">
        <f t="shared" si="0"/>
        <v>0</v>
      </c>
    </row>
    <row r="28" spans="1:6" ht="15.75">
      <c r="A28" s="279">
        <v>655</v>
      </c>
      <c r="B28" s="273" t="s">
        <v>663</v>
      </c>
      <c r="C28" s="274" t="s">
        <v>664</v>
      </c>
      <c r="D28" s="233"/>
      <c r="E28" s="266"/>
      <c r="F28" s="270">
        <f t="shared" si="0"/>
        <v>0</v>
      </c>
    </row>
    <row r="29" spans="1:9" ht="15.75">
      <c r="A29" s="280">
        <v>656</v>
      </c>
      <c r="B29" s="273" t="s">
        <v>665</v>
      </c>
      <c r="C29" s="274" t="s">
        <v>666</v>
      </c>
      <c r="D29" s="233">
        <v>78847</v>
      </c>
      <c r="E29" s="266">
        <v>59000</v>
      </c>
      <c r="F29" s="270">
        <f t="shared" si="0"/>
        <v>-19847</v>
      </c>
      <c r="I29" s="491"/>
    </row>
    <row r="30" spans="1:6" ht="15.75">
      <c r="A30" s="280">
        <v>657</v>
      </c>
      <c r="B30" s="273" t="s">
        <v>667</v>
      </c>
      <c r="C30" s="274" t="s">
        <v>668</v>
      </c>
      <c r="D30" s="233"/>
      <c r="E30" s="266"/>
      <c r="F30" s="270">
        <f t="shared" si="0"/>
        <v>0</v>
      </c>
    </row>
    <row r="31" spans="1:6" ht="15.75">
      <c r="A31" s="280">
        <v>658</v>
      </c>
      <c r="B31" s="273" t="s">
        <v>669</v>
      </c>
      <c r="C31" s="274" t="s">
        <v>670</v>
      </c>
      <c r="D31" s="233"/>
      <c r="E31" s="266"/>
      <c r="F31" s="270">
        <f t="shared" si="0"/>
        <v>0</v>
      </c>
    </row>
    <row r="32" spans="1:6" ht="15.75">
      <c r="A32" s="280">
        <v>661</v>
      </c>
      <c r="B32" s="273" t="s">
        <v>671</v>
      </c>
      <c r="C32" s="274" t="s">
        <v>672</v>
      </c>
      <c r="D32" s="233"/>
      <c r="E32" s="266"/>
      <c r="F32" s="270">
        <f t="shared" si="0"/>
        <v>0</v>
      </c>
    </row>
    <row r="33" spans="1:6" ht="15.75">
      <c r="A33" s="280">
        <v>662</v>
      </c>
      <c r="B33" s="273" t="s">
        <v>673</v>
      </c>
      <c r="C33" s="274" t="s">
        <v>674</v>
      </c>
      <c r="D33" s="233"/>
      <c r="E33" s="266"/>
      <c r="F33" s="270">
        <f t="shared" si="0"/>
        <v>0</v>
      </c>
    </row>
    <row r="34" spans="1:6" ht="15.75">
      <c r="A34" s="280">
        <v>663</v>
      </c>
      <c r="B34" s="273" t="s">
        <v>675</v>
      </c>
      <c r="C34" s="274" t="s">
        <v>676</v>
      </c>
      <c r="D34" s="233"/>
      <c r="E34" s="266"/>
      <c r="F34" s="270">
        <f t="shared" si="0"/>
        <v>0</v>
      </c>
    </row>
    <row r="35" spans="1:7" ht="15.75">
      <c r="A35" s="280">
        <v>664</v>
      </c>
      <c r="B35" s="273" t="s">
        <v>677</v>
      </c>
      <c r="C35" s="274" t="s">
        <v>678</v>
      </c>
      <c r="D35" s="233"/>
      <c r="E35" s="267"/>
      <c r="F35" s="270">
        <f t="shared" si="0"/>
        <v>0</v>
      </c>
      <c r="G35" s="179"/>
    </row>
    <row r="36" spans="1:7" ht="15.75">
      <c r="A36" s="280">
        <v>665</v>
      </c>
      <c r="B36" s="273" t="s">
        <v>679</v>
      </c>
      <c r="C36" s="274" t="s">
        <v>680</v>
      </c>
      <c r="D36" s="233"/>
      <c r="E36" s="267"/>
      <c r="F36" s="270">
        <f t="shared" si="0"/>
        <v>0</v>
      </c>
      <c r="G36" s="179"/>
    </row>
    <row r="37" spans="1:6" ht="15.75">
      <c r="A37" s="280">
        <v>667</v>
      </c>
      <c r="B37" s="273" t="s">
        <v>681</v>
      </c>
      <c r="C37" s="274" t="s">
        <v>682</v>
      </c>
      <c r="D37" s="233"/>
      <c r="E37" s="267"/>
      <c r="F37" s="270">
        <f t="shared" si="0"/>
        <v>0</v>
      </c>
    </row>
    <row r="38" spans="1:6" ht="15.75">
      <c r="A38" s="280">
        <v>691</v>
      </c>
      <c r="B38" s="273" t="s">
        <v>683</v>
      </c>
      <c r="C38" s="274" t="s">
        <v>684</v>
      </c>
      <c r="D38" s="233">
        <v>836589</v>
      </c>
      <c r="E38" s="267">
        <v>823254</v>
      </c>
      <c r="F38" s="270">
        <f t="shared" si="0"/>
        <v>-13335</v>
      </c>
    </row>
    <row r="39" spans="1:6" ht="15.75">
      <c r="A39" s="828" t="s">
        <v>685</v>
      </c>
      <c r="B39" s="829"/>
      <c r="C39" s="276" t="s">
        <v>686</v>
      </c>
      <c r="D39" s="264">
        <f>SUM(D4:D38)</f>
        <v>1843641.96</v>
      </c>
      <c r="E39" s="268">
        <f>SUM(E4:E38)</f>
        <v>1825180.29</v>
      </c>
      <c r="F39" s="270">
        <f>SUM(F4:F38)</f>
        <v>-18461.670000000006</v>
      </c>
    </row>
    <row r="40" spans="1:6" ht="15.75">
      <c r="A40" s="830" t="s">
        <v>687</v>
      </c>
      <c r="B40" s="831"/>
      <c r="C40" s="277" t="s">
        <v>688</v>
      </c>
      <c r="D40" s="50">
        <f>D39-'T23_Náklady_soc_oblasť'!D41</f>
        <v>213221.25999999978</v>
      </c>
      <c r="E40" s="331">
        <f>E39-'T23_Náklady_soc_oblasť'!E41</f>
        <v>58253.04000000004</v>
      </c>
      <c r="F40" s="270">
        <f>F39-'T23_Náklady_soc_oblasť'!F41</f>
        <v>-154968.22000000006</v>
      </c>
    </row>
    <row r="41" spans="1:6" ht="15.75">
      <c r="A41" s="280">
        <v>591</v>
      </c>
      <c r="B41" s="273" t="s">
        <v>689</v>
      </c>
      <c r="C41" s="274" t="s">
        <v>690</v>
      </c>
      <c r="D41" s="233"/>
      <c r="E41" s="266"/>
      <c r="F41" s="270">
        <f>E41-D41</f>
        <v>0</v>
      </c>
    </row>
    <row r="42" spans="1:6" ht="15.75">
      <c r="A42" s="280">
        <v>595</v>
      </c>
      <c r="B42" s="273" t="s">
        <v>691</v>
      </c>
      <c r="C42" s="274" t="s">
        <v>692</v>
      </c>
      <c r="D42" s="233"/>
      <c r="E42" s="266"/>
      <c r="F42" s="270">
        <f>E42-D42</f>
        <v>0</v>
      </c>
    </row>
    <row r="43" spans="1:6" ht="15.75">
      <c r="A43" s="828" t="s">
        <v>693</v>
      </c>
      <c r="B43" s="829"/>
      <c r="C43" s="276" t="s">
        <v>694</v>
      </c>
      <c r="D43" s="264">
        <f>D40-D41-D42</f>
        <v>213221.25999999978</v>
      </c>
      <c r="E43" s="264">
        <f>E40-E41-E42</f>
        <v>58253.04000000004</v>
      </c>
      <c r="F43" s="270">
        <f>E43-D43</f>
        <v>-154968.21999999974</v>
      </c>
    </row>
  </sheetData>
  <sheetProtection/>
  <mergeCells count="6">
    <mergeCell ref="A39:B39"/>
    <mergeCell ref="A40:B40"/>
    <mergeCell ref="A43:B43"/>
    <mergeCell ref="A1:F1"/>
    <mergeCell ref="A2:B2"/>
  </mergeCells>
  <printOptions/>
  <pageMargins left="0.5511811023622047" right="0.4724409448818898" top="0.5905511811023623" bottom="0.4724409448818898" header="0.15748031496062992" footer="0.15748031496062992"/>
  <pageSetup fitToHeight="1" fitToWidth="1" horizontalDpi="600" verticalDpi="600" orientation="portrait" paperSize="9" scale="88"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1">
      <pane xSplit="3" ySplit="3" topLeftCell="D25" activePane="bottomRight" state="frozen"/>
      <selection pane="topLeft" activeCell="A1" sqref="A1"/>
      <selection pane="topRight" activeCell="D1" sqref="D1"/>
      <selection pane="bottomLeft" activeCell="A4" sqref="A4"/>
      <selection pane="bottomRight" activeCell="I45" sqref="I45"/>
    </sheetView>
  </sheetViews>
  <sheetFormatPr defaultColWidth="9.140625" defaultRowHeight="12.75"/>
  <cols>
    <col min="1" max="1" width="8.28125" style="0" customWidth="1"/>
    <col min="2" max="2" width="42.140625" style="0" customWidth="1"/>
    <col min="3" max="3" width="10.140625" style="0" customWidth="1"/>
    <col min="4" max="4" width="17.421875" style="0" customWidth="1"/>
    <col min="5" max="5" width="17.140625" style="0" customWidth="1"/>
    <col min="6" max="6" width="16.57421875" style="0" customWidth="1"/>
  </cols>
  <sheetData>
    <row r="1" spans="1:6" ht="61.5" customHeight="1" thickBot="1">
      <c r="A1" s="840" t="s">
        <v>894</v>
      </c>
      <c r="B1" s="841"/>
      <c r="C1" s="841"/>
      <c r="D1" s="841"/>
      <c r="E1" s="841"/>
      <c r="F1" s="842"/>
    </row>
    <row r="2" spans="1:6" ht="30.75" customHeight="1" thickBot="1">
      <c r="A2" s="837" t="s">
        <v>951</v>
      </c>
      <c r="B2" s="838"/>
      <c r="C2" s="838"/>
      <c r="D2" s="838"/>
      <c r="E2" s="838"/>
      <c r="F2" s="839"/>
    </row>
    <row r="3" spans="1:6" ht="64.5" customHeight="1" thickBot="1">
      <c r="A3" s="180" t="s">
        <v>544</v>
      </c>
      <c r="B3" s="183" t="s">
        <v>301</v>
      </c>
      <c r="C3" s="263" t="s">
        <v>149</v>
      </c>
      <c r="D3" s="181" t="s">
        <v>895</v>
      </c>
      <c r="E3" s="181" t="s">
        <v>896</v>
      </c>
      <c r="F3" s="262" t="s">
        <v>893</v>
      </c>
    </row>
    <row r="4" spans="1:6" ht="15.75">
      <c r="A4" s="403">
        <v>501</v>
      </c>
      <c r="B4" s="254" t="s">
        <v>545</v>
      </c>
      <c r="C4" s="238" t="s">
        <v>546</v>
      </c>
      <c r="D4" s="232">
        <v>220657.97</v>
      </c>
      <c r="E4" s="232">
        <v>331894.44</v>
      </c>
      <c r="F4" s="261">
        <f>E4-D4</f>
        <v>111236.47</v>
      </c>
    </row>
    <row r="5" spans="1:6" ht="15.75">
      <c r="A5" s="402">
        <v>502</v>
      </c>
      <c r="B5" s="255" t="s">
        <v>547</v>
      </c>
      <c r="C5" s="234" t="s">
        <v>548</v>
      </c>
      <c r="D5" s="233">
        <v>422265.41</v>
      </c>
      <c r="E5" s="233">
        <v>385965.16</v>
      </c>
      <c r="F5" s="51">
        <f aca="true" t="shared" si="0" ref="F5:F40">E5-D5</f>
        <v>-36300.25</v>
      </c>
    </row>
    <row r="6" spans="1:6" ht="15.75">
      <c r="A6" s="402">
        <v>504</v>
      </c>
      <c r="B6" s="255" t="s">
        <v>549</v>
      </c>
      <c r="C6" s="234" t="s">
        <v>550</v>
      </c>
      <c r="D6" s="233">
        <v>0</v>
      </c>
      <c r="E6" s="233"/>
      <c r="F6" s="51">
        <f t="shared" si="0"/>
        <v>0</v>
      </c>
    </row>
    <row r="7" spans="1:6" ht="15.75">
      <c r="A7" s="402">
        <v>511</v>
      </c>
      <c r="B7" s="255" t="s">
        <v>551</v>
      </c>
      <c r="C7" s="234" t="s">
        <v>552</v>
      </c>
      <c r="D7" s="233">
        <v>110660.47</v>
      </c>
      <c r="E7" s="233">
        <v>124530.61</v>
      </c>
      <c r="F7" s="51">
        <f t="shared" si="0"/>
        <v>13870.14</v>
      </c>
    </row>
    <row r="8" spans="1:6" ht="15.75">
      <c r="A8" s="402">
        <v>512</v>
      </c>
      <c r="B8" s="255" t="s">
        <v>553</v>
      </c>
      <c r="C8" s="234" t="s">
        <v>554</v>
      </c>
      <c r="D8" s="233">
        <v>59.76</v>
      </c>
      <c r="E8" s="233">
        <v>152.6</v>
      </c>
      <c r="F8" s="51">
        <f t="shared" si="0"/>
        <v>92.84</v>
      </c>
    </row>
    <row r="9" spans="1:6" ht="15.75">
      <c r="A9" s="402">
        <v>513</v>
      </c>
      <c r="B9" s="255" t="s">
        <v>555</v>
      </c>
      <c r="C9" s="234" t="s">
        <v>556</v>
      </c>
      <c r="D9" s="233">
        <v>24.48</v>
      </c>
      <c r="E9" s="233">
        <v>0</v>
      </c>
      <c r="F9" s="51">
        <f t="shared" si="0"/>
        <v>-24.48</v>
      </c>
    </row>
    <row r="10" spans="1:6" ht="15.75">
      <c r="A10" s="402">
        <v>518</v>
      </c>
      <c r="B10" s="255" t="s">
        <v>557</v>
      </c>
      <c r="C10" s="234" t="s">
        <v>558</v>
      </c>
      <c r="D10" s="233">
        <v>112018.04</v>
      </c>
      <c r="E10" s="233">
        <v>84546.25</v>
      </c>
      <c r="F10" s="51">
        <f t="shared" si="0"/>
        <v>-27471.789999999994</v>
      </c>
    </row>
    <row r="11" spans="1:6" ht="15.75">
      <c r="A11" s="402">
        <v>521</v>
      </c>
      <c r="B11" s="255" t="s">
        <v>559</v>
      </c>
      <c r="C11" s="234" t="s">
        <v>560</v>
      </c>
      <c r="D11" s="233">
        <v>388834.11</v>
      </c>
      <c r="E11" s="233">
        <v>438173.07</v>
      </c>
      <c r="F11" s="51">
        <f t="shared" si="0"/>
        <v>49338.96000000002</v>
      </c>
    </row>
    <row r="12" spans="1:6" ht="15.75">
      <c r="A12" s="402">
        <v>524</v>
      </c>
      <c r="B12" s="255" t="s">
        <v>561</v>
      </c>
      <c r="C12" s="234" t="s">
        <v>562</v>
      </c>
      <c r="D12" s="233">
        <v>137120.69</v>
      </c>
      <c r="E12" s="233">
        <v>153897.26</v>
      </c>
      <c r="F12" s="51">
        <f t="shared" si="0"/>
        <v>16776.570000000007</v>
      </c>
    </row>
    <row r="13" spans="1:6" ht="15.75">
      <c r="A13" s="402">
        <v>525</v>
      </c>
      <c r="B13" s="255" t="s">
        <v>563</v>
      </c>
      <c r="C13" s="234" t="s">
        <v>564</v>
      </c>
      <c r="D13" s="233">
        <v>5746.25</v>
      </c>
      <c r="E13" s="233">
        <v>6075.53</v>
      </c>
      <c r="F13" s="51">
        <f t="shared" si="0"/>
        <v>329.27999999999975</v>
      </c>
    </row>
    <row r="14" spans="1:6" ht="15.75">
      <c r="A14" s="402">
        <v>527</v>
      </c>
      <c r="B14" s="255" t="s">
        <v>565</v>
      </c>
      <c r="C14" s="234" t="s">
        <v>566</v>
      </c>
      <c r="D14" s="233">
        <v>24542.72</v>
      </c>
      <c r="E14" s="233">
        <v>28628.47</v>
      </c>
      <c r="F14" s="51">
        <f t="shared" si="0"/>
        <v>4085.75</v>
      </c>
    </row>
    <row r="15" spans="1:6" ht="15.75">
      <c r="A15" s="402">
        <v>528</v>
      </c>
      <c r="B15" s="255" t="s">
        <v>567</v>
      </c>
      <c r="C15" s="234" t="s">
        <v>568</v>
      </c>
      <c r="D15" s="233">
        <v>0</v>
      </c>
      <c r="E15" s="233"/>
      <c r="F15" s="51">
        <f t="shared" si="0"/>
        <v>0</v>
      </c>
    </row>
    <row r="16" spans="1:6" ht="15.75">
      <c r="A16" s="402">
        <v>531</v>
      </c>
      <c r="B16" s="255" t="s">
        <v>569</v>
      </c>
      <c r="C16" s="234" t="s">
        <v>570</v>
      </c>
      <c r="D16" s="233">
        <v>0</v>
      </c>
      <c r="E16" s="233"/>
      <c r="F16" s="51">
        <f t="shared" si="0"/>
        <v>0</v>
      </c>
    </row>
    <row r="17" spans="1:6" ht="15.75">
      <c r="A17" s="402">
        <v>532</v>
      </c>
      <c r="B17" s="255" t="s">
        <v>571</v>
      </c>
      <c r="C17" s="234" t="s">
        <v>572</v>
      </c>
      <c r="D17" s="233">
        <v>20269.1</v>
      </c>
      <c r="E17" s="233">
        <v>20269.1</v>
      </c>
      <c r="F17" s="51">
        <f t="shared" si="0"/>
        <v>0</v>
      </c>
    </row>
    <row r="18" spans="1:6" ht="15.75">
      <c r="A18" s="402">
        <v>538</v>
      </c>
      <c r="B18" s="255" t="s">
        <v>573</v>
      </c>
      <c r="C18" s="234" t="s">
        <v>574</v>
      </c>
      <c r="D18" s="233"/>
      <c r="E18" s="233">
        <v>830</v>
      </c>
      <c r="F18" s="51">
        <f t="shared" si="0"/>
        <v>830</v>
      </c>
    </row>
    <row r="19" spans="1:6" ht="15.75">
      <c r="A19" s="402">
        <v>541</v>
      </c>
      <c r="B19" s="255" t="s">
        <v>575</v>
      </c>
      <c r="C19" s="234" t="s">
        <v>576</v>
      </c>
      <c r="D19" s="233"/>
      <c r="E19" s="233"/>
      <c r="F19" s="51">
        <f t="shared" si="0"/>
        <v>0</v>
      </c>
    </row>
    <row r="20" spans="1:6" ht="15.75">
      <c r="A20" s="402">
        <v>542</v>
      </c>
      <c r="B20" s="255" t="s">
        <v>577</v>
      </c>
      <c r="C20" s="234" t="s">
        <v>578</v>
      </c>
      <c r="D20" s="233"/>
      <c r="E20" s="233"/>
      <c r="F20" s="51">
        <f t="shared" si="0"/>
        <v>0</v>
      </c>
    </row>
    <row r="21" spans="1:6" ht="15.75">
      <c r="A21" s="402">
        <v>543</v>
      </c>
      <c r="B21" s="255" t="s">
        <v>579</v>
      </c>
      <c r="C21" s="234" t="s">
        <v>580</v>
      </c>
      <c r="D21" s="233"/>
      <c r="E21" s="233"/>
      <c r="F21" s="51">
        <f t="shared" si="0"/>
        <v>0</v>
      </c>
    </row>
    <row r="22" spans="1:6" ht="15.75">
      <c r="A22" s="402">
        <v>544</v>
      </c>
      <c r="B22" s="255" t="s">
        <v>581</v>
      </c>
      <c r="C22" s="234" t="s">
        <v>582</v>
      </c>
      <c r="D22" s="233"/>
      <c r="E22" s="233"/>
      <c r="F22" s="51">
        <f t="shared" si="0"/>
        <v>0</v>
      </c>
    </row>
    <row r="23" spans="1:6" ht="15.75">
      <c r="A23" s="402">
        <v>545</v>
      </c>
      <c r="B23" s="255" t="s">
        <v>583</v>
      </c>
      <c r="C23" s="234" t="s">
        <v>584</v>
      </c>
      <c r="D23" s="233"/>
      <c r="E23" s="233"/>
      <c r="F23" s="51">
        <f t="shared" si="0"/>
        <v>0</v>
      </c>
    </row>
    <row r="24" spans="1:6" ht="15.75">
      <c r="A24" s="402">
        <v>546</v>
      </c>
      <c r="B24" s="255" t="s">
        <v>585</v>
      </c>
      <c r="C24" s="234" t="s">
        <v>586</v>
      </c>
      <c r="D24" s="233"/>
      <c r="E24" s="233"/>
      <c r="F24" s="51">
        <f t="shared" si="0"/>
        <v>0</v>
      </c>
    </row>
    <row r="25" spans="1:6" ht="15.75">
      <c r="A25" s="402">
        <v>547</v>
      </c>
      <c r="B25" s="255" t="s">
        <v>587</v>
      </c>
      <c r="C25" s="234" t="s">
        <v>588</v>
      </c>
      <c r="D25" s="233"/>
      <c r="E25" s="233"/>
      <c r="F25" s="51">
        <f t="shared" si="0"/>
        <v>0</v>
      </c>
    </row>
    <row r="26" spans="1:6" ht="15.75">
      <c r="A26" s="402">
        <v>548</v>
      </c>
      <c r="B26" s="255" t="s">
        <v>589</v>
      </c>
      <c r="C26" s="234" t="s">
        <v>590</v>
      </c>
      <c r="D26" s="233"/>
      <c r="E26" s="233"/>
      <c r="F26" s="51">
        <f t="shared" si="0"/>
        <v>0</v>
      </c>
    </row>
    <row r="27" spans="1:6" ht="15.75">
      <c r="A27" s="402">
        <v>549</v>
      </c>
      <c r="B27" s="255" t="s">
        <v>591</v>
      </c>
      <c r="C27" s="234" t="s">
        <v>592</v>
      </c>
      <c r="D27" s="233">
        <f>77.35+86316</f>
        <v>86393.35</v>
      </c>
      <c r="E27" s="233">
        <f>77.2+78255.39</f>
        <v>78332.59</v>
      </c>
      <c r="F27" s="51">
        <f t="shared" si="0"/>
        <v>-8060.760000000009</v>
      </c>
    </row>
    <row r="28" spans="1:6" ht="15.75">
      <c r="A28" s="402">
        <v>551</v>
      </c>
      <c r="B28" s="255" t="s">
        <v>593</v>
      </c>
      <c r="C28" s="234" t="s">
        <v>594</v>
      </c>
      <c r="D28" s="233">
        <v>17661.55</v>
      </c>
      <c r="E28" s="233">
        <v>30428.17</v>
      </c>
      <c r="F28" s="51">
        <f t="shared" si="0"/>
        <v>12766.619999999999</v>
      </c>
    </row>
    <row r="29" spans="1:6" ht="15.75">
      <c r="A29" s="404">
        <v>552</v>
      </c>
      <c r="B29" s="255" t="s">
        <v>721</v>
      </c>
      <c r="C29" s="234" t="s">
        <v>595</v>
      </c>
      <c r="D29" s="233"/>
      <c r="E29" s="233"/>
      <c r="F29" s="51">
        <f t="shared" si="0"/>
        <v>0</v>
      </c>
    </row>
    <row r="30" spans="1:6" ht="15.75">
      <c r="A30" s="404">
        <v>553</v>
      </c>
      <c r="B30" s="255" t="s">
        <v>596</v>
      </c>
      <c r="C30" s="234" t="s">
        <v>597</v>
      </c>
      <c r="D30" s="233"/>
      <c r="E30" s="233"/>
      <c r="F30" s="51">
        <f t="shared" si="0"/>
        <v>0</v>
      </c>
    </row>
    <row r="31" spans="1:6" ht="15.75">
      <c r="A31" s="404">
        <v>554</v>
      </c>
      <c r="B31" s="255" t="s">
        <v>598</v>
      </c>
      <c r="C31" s="234" t="s">
        <v>599</v>
      </c>
      <c r="D31" s="233"/>
      <c r="E31" s="233"/>
      <c r="F31" s="51">
        <f t="shared" si="0"/>
        <v>0</v>
      </c>
    </row>
    <row r="32" spans="1:6" ht="15.75">
      <c r="A32" s="404">
        <v>555</v>
      </c>
      <c r="B32" s="255" t="s">
        <v>600</v>
      </c>
      <c r="C32" s="234" t="s">
        <v>601</v>
      </c>
      <c r="D32" s="233"/>
      <c r="E32" s="233"/>
      <c r="F32" s="51">
        <f t="shared" si="0"/>
        <v>0</v>
      </c>
    </row>
    <row r="33" spans="1:6" ht="15.75">
      <c r="A33" s="404">
        <v>556</v>
      </c>
      <c r="B33" s="255" t="s">
        <v>602</v>
      </c>
      <c r="C33" s="234" t="s">
        <v>603</v>
      </c>
      <c r="D33" s="233">
        <v>65276.8</v>
      </c>
      <c r="E33" s="233">
        <v>56608</v>
      </c>
      <c r="F33" s="51">
        <f t="shared" si="0"/>
        <v>-8668.800000000003</v>
      </c>
    </row>
    <row r="34" spans="1:6" ht="15.75">
      <c r="A34" s="404">
        <v>557</v>
      </c>
      <c r="B34" s="255" t="s">
        <v>604</v>
      </c>
      <c r="C34" s="234" t="s">
        <v>605</v>
      </c>
      <c r="D34" s="233"/>
      <c r="E34" s="233"/>
      <c r="F34" s="51">
        <f t="shared" si="0"/>
        <v>0</v>
      </c>
    </row>
    <row r="35" spans="1:6" ht="15.75">
      <c r="A35" s="404">
        <v>558</v>
      </c>
      <c r="B35" s="255" t="s">
        <v>606</v>
      </c>
      <c r="C35" s="234" t="s">
        <v>607</v>
      </c>
      <c r="D35" s="233"/>
      <c r="E35" s="233"/>
      <c r="F35" s="51">
        <f t="shared" si="0"/>
        <v>0</v>
      </c>
    </row>
    <row r="36" spans="1:6" ht="20.25" customHeight="1">
      <c r="A36" s="404">
        <v>561</v>
      </c>
      <c r="B36" s="255" t="s">
        <v>609</v>
      </c>
      <c r="C36" s="234" t="s">
        <v>608</v>
      </c>
      <c r="D36" s="233"/>
      <c r="E36" s="233"/>
      <c r="F36" s="51">
        <f t="shared" si="0"/>
        <v>0</v>
      </c>
    </row>
    <row r="37" spans="1:6" ht="15.75">
      <c r="A37" s="404">
        <v>562</v>
      </c>
      <c r="B37" s="255" t="s">
        <v>611</v>
      </c>
      <c r="C37" s="234" t="s">
        <v>610</v>
      </c>
      <c r="D37" s="233">
        <v>18890</v>
      </c>
      <c r="E37" s="233">
        <v>26596</v>
      </c>
      <c r="F37" s="51">
        <f t="shared" si="0"/>
        <v>7706</v>
      </c>
    </row>
    <row r="38" spans="1:6" ht="15.75">
      <c r="A38" s="404">
        <v>563</v>
      </c>
      <c r="B38" s="255" t="s">
        <v>613</v>
      </c>
      <c r="C38" s="234" t="s">
        <v>612</v>
      </c>
      <c r="D38" s="233"/>
      <c r="E38" s="233"/>
      <c r="F38" s="51">
        <f t="shared" si="0"/>
        <v>0</v>
      </c>
    </row>
    <row r="39" spans="1:6" ht="15.75">
      <c r="A39" s="405">
        <v>565</v>
      </c>
      <c r="B39" s="417" t="s">
        <v>720</v>
      </c>
      <c r="C39" s="234" t="s">
        <v>614</v>
      </c>
      <c r="D39" s="259"/>
      <c r="E39" s="259"/>
      <c r="F39" s="51">
        <f t="shared" si="0"/>
        <v>0</v>
      </c>
    </row>
    <row r="40" spans="1:6" ht="16.5" thickBot="1">
      <c r="A40" s="405">
        <v>567</v>
      </c>
      <c r="B40" s="256" t="s">
        <v>615</v>
      </c>
      <c r="C40" s="235" t="s">
        <v>616</v>
      </c>
      <c r="D40" s="259"/>
      <c r="E40" s="259"/>
      <c r="F40" s="260">
        <f t="shared" si="0"/>
        <v>0</v>
      </c>
    </row>
    <row r="41" spans="1:6" ht="24.75" customHeight="1" thickBot="1">
      <c r="A41" s="843" t="s">
        <v>754</v>
      </c>
      <c r="B41" s="844"/>
      <c r="C41" s="401" t="s">
        <v>617</v>
      </c>
      <c r="D41" s="236">
        <f>SUM(D4:D40)</f>
        <v>1630420.7000000002</v>
      </c>
      <c r="E41" s="236">
        <f>SUM(E4:E40)</f>
        <v>1766927.25</v>
      </c>
      <c r="F41" s="237">
        <f>SUM(F4:F40)</f>
        <v>136506.55000000005</v>
      </c>
    </row>
    <row r="42" spans="2:5" ht="12.75">
      <c r="B42" s="184"/>
      <c r="C42" s="184"/>
      <c r="D42" s="184"/>
      <c r="E42" s="184"/>
    </row>
    <row r="45" ht="12.75">
      <c r="F45" s="491"/>
    </row>
  </sheetData>
  <sheetProtection/>
  <mergeCells count="3">
    <mergeCell ref="A2:F2"/>
    <mergeCell ref="A1:F1"/>
    <mergeCell ref="A41:B41"/>
  </mergeCells>
  <printOptions/>
  <pageMargins left="0.3937007874015748" right="0.2362204724409449" top="0.5905511811023623" bottom="0.7480314960629921" header="0.31496062992125984" footer="0.31496062992125984"/>
  <pageSetup fitToHeight="1" fitToWidth="1" horizontalDpi="600" verticalDpi="600" orientation="portrait" paperSize="9" scale="88"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G48"/>
  <sheetViews>
    <sheetView zoomScale="90" zoomScaleNormal="90" zoomScalePageLayoutView="0" workbookViewId="0" topLeftCell="A1">
      <pane xSplit="3" ySplit="5" topLeftCell="D33" activePane="bottomRight" state="frozen"/>
      <selection pane="topLeft" activeCell="A1" sqref="A1"/>
      <selection pane="topRight" activeCell="D1" sqref="D1"/>
      <selection pane="bottomLeft" activeCell="A6" sqref="A6"/>
      <selection pane="bottomRight" activeCell="J39" sqref="J39"/>
    </sheetView>
  </sheetViews>
  <sheetFormatPr defaultColWidth="9.140625" defaultRowHeight="12.75"/>
  <cols>
    <col min="1" max="1" width="3.57421875" style="194" customWidth="1"/>
    <col min="2" max="2" width="59.421875" style="194" customWidth="1"/>
    <col min="3" max="3" width="7.421875" style="196" customWidth="1"/>
    <col min="4" max="5" width="17.57421875" style="197" customWidth="1"/>
    <col min="6" max="6" width="18.8515625" style="197" customWidth="1"/>
    <col min="7" max="7" width="17.421875" style="197" customWidth="1"/>
    <col min="8" max="16384" width="9.140625" style="194" customWidth="1"/>
  </cols>
  <sheetData>
    <row r="1" spans="1:7" ht="35.25" customHeight="1">
      <c r="A1" s="760" t="s">
        <v>897</v>
      </c>
      <c r="B1" s="761"/>
      <c r="C1" s="761"/>
      <c r="D1" s="761"/>
      <c r="E1" s="761"/>
      <c r="F1" s="761"/>
      <c r="G1" s="762"/>
    </row>
    <row r="2" spans="1:7" ht="30" customHeight="1" thickBot="1">
      <c r="A2" s="849" t="s">
        <v>955</v>
      </c>
      <c r="B2" s="850"/>
      <c r="C2" s="850"/>
      <c r="D2" s="850"/>
      <c r="E2" s="850"/>
      <c r="F2" s="850"/>
      <c r="G2" s="851"/>
    </row>
    <row r="3" spans="1:7" ht="57.75" customHeight="1">
      <c r="A3" s="852" t="s">
        <v>425</v>
      </c>
      <c r="B3" s="853"/>
      <c r="C3" s="853" t="s">
        <v>473</v>
      </c>
      <c r="D3" s="856" t="s">
        <v>474</v>
      </c>
      <c r="E3" s="856"/>
      <c r="F3" s="856"/>
      <c r="G3" s="332" t="s">
        <v>475</v>
      </c>
    </row>
    <row r="4" spans="1:7" ht="16.5" thickBot="1">
      <c r="A4" s="854"/>
      <c r="B4" s="855"/>
      <c r="C4" s="855"/>
      <c r="D4" s="289" t="s">
        <v>421</v>
      </c>
      <c r="E4" s="289" t="s">
        <v>422</v>
      </c>
      <c r="F4" s="289" t="s">
        <v>423</v>
      </c>
      <c r="G4" s="290" t="s">
        <v>423</v>
      </c>
    </row>
    <row r="5" spans="1:7" ht="26.25" customHeight="1" thickBot="1">
      <c r="A5" s="857" t="s">
        <v>476</v>
      </c>
      <c r="B5" s="858"/>
      <c r="C5" s="334" t="s">
        <v>477</v>
      </c>
      <c r="D5" s="335">
        <v>1</v>
      </c>
      <c r="E5" s="291">
        <v>2</v>
      </c>
      <c r="F5" s="291">
        <v>3</v>
      </c>
      <c r="G5" s="292">
        <v>4</v>
      </c>
    </row>
    <row r="6" spans="1:7" ht="15.75" customHeight="1">
      <c r="A6" s="845" t="s">
        <v>543</v>
      </c>
      <c r="B6" s="846"/>
      <c r="C6" s="333" t="s">
        <v>305</v>
      </c>
      <c r="D6" s="537">
        <f>D7+D14+D26</f>
        <v>106784260.07999998</v>
      </c>
      <c r="E6" s="537">
        <f>E7+E14+E26</f>
        <v>40008242.53</v>
      </c>
      <c r="F6" s="537">
        <f>F7+F14+F26</f>
        <v>66776017.55</v>
      </c>
      <c r="G6" s="261">
        <f>G7+G14+G26</f>
        <v>63925743.949999996</v>
      </c>
    </row>
    <row r="7" spans="1:7" ht="15.75" customHeight="1">
      <c r="A7" s="228" t="s">
        <v>478</v>
      </c>
      <c r="B7" s="222" t="s">
        <v>766</v>
      </c>
      <c r="C7" s="223" t="s">
        <v>307</v>
      </c>
      <c r="D7" s="50">
        <f>D8+D9+D10+D11+D12+D13</f>
        <v>1231044.24</v>
      </c>
      <c r="E7" s="50">
        <f>E8+E9+E10+E11+E12+E13</f>
        <v>829775.64</v>
      </c>
      <c r="F7" s="50">
        <f>F8+F9+F10+F11+F12+F13</f>
        <v>401268.6</v>
      </c>
      <c r="G7" s="51">
        <f>G8+G9+G10+G11+G12+G13</f>
        <v>546756.64</v>
      </c>
    </row>
    <row r="8" spans="1:7" ht="31.5">
      <c r="A8" s="847"/>
      <c r="B8" s="224" t="s">
        <v>479</v>
      </c>
      <c r="C8" s="225" t="s">
        <v>309</v>
      </c>
      <c r="D8" s="538"/>
      <c r="E8" s="538"/>
      <c r="F8" s="538"/>
      <c r="G8" s="539"/>
    </row>
    <row r="9" spans="1:7" ht="15.75" customHeight="1">
      <c r="A9" s="848"/>
      <c r="B9" s="224" t="s">
        <v>480</v>
      </c>
      <c r="C9" s="225" t="s">
        <v>311</v>
      </c>
      <c r="D9" s="538">
        <v>1230828.24</v>
      </c>
      <c r="E9" s="538">
        <v>829775.64</v>
      </c>
      <c r="F9" s="538">
        <f>D9-E9</f>
        <v>401052.6</v>
      </c>
      <c r="G9" s="539">
        <v>439106.42</v>
      </c>
    </row>
    <row r="10" spans="1:7" ht="15.75" customHeight="1">
      <c r="A10" s="848"/>
      <c r="B10" s="224" t="s">
        <v>481</v>
      </c>
      <c r="C10" s="225" t="s">
        <v>312</v>
      </c>
      <c r="D10" s="538"/>
      <c r="E10" s="538"/>
      <c r="F10" s="538"/>
      <c r="G10" s="539"/>
    </row>
    <row r="11" spans="1:7" ht="31.5">
      <c r="A11" s="848"/>
      <c r="B11" s="224" t="s">
        <v>482</v>
      </c>
      <c r="C11" s="225" t="s">
        <v>314</v>
      </c>
      <c r="D11" s="538"/>
      <c r="E11" s="538"/>
      <c r="F11" s="538"/>
      <c r="G11" s="539"/>
    </row>
    <row r="12" spans="1:7" ht="15.75">
      <c r="A12" s="848"/>
      <c r="B12" s="224" t="s">
        <v>542</v>
      </c>
      <c r="C12" s="225" t="s">
        <v>316</v>
      </c>
      <c r="D12" s="538">
        <v>216</v>
      </c>
      <c r="E12" s="538">
        <v>0</v>
      </c>
      <c r="F12" s="538">
        <f>D12-E12</f>
        <v>216</v>
      </c>
      <c r="G12" s="539">
        <v>107650.22</v>
      </c>
    </row>
    <row r="13" spans="1:7" ht="31.5">
      <c r="A13" s="848"/>
      <c r="B13" s="224" t="s">
        <v>483</v>
      </c>
      <c r="C13" s="225" t="s">
        <v>318</v>
      </c>
      <c r="D13" s="538"/>
      <c r="E13" s="538"/>
      <c r="F13" s="538"/>
      <c r="G13" s="539"/>
    </row>
    <row r="14" spans="1:7" ht="15.75" customHeight="1">
      <c r="A14" s="228" t="s">
        <v>484</v>
      </c>
      <c r="B14" s="226" t="s">
        <v>767</v>
      </c>
      <c r="C14" s="223" t="s">
        <v>320</v>
      </c>
      <c r="D14" s="50">
        <f>SUM(D15:D25)</f>
        <v>105548215.83999999</v>
      </c>
      <c r="E14" s="50">
        <f>SUM(E15:E25)</f>
        <v>39178466.89</v>
      </c>
      <c r="F14" s="50">
        <f>SUM(F15:F25)</f>
        <v>66369748.949999996</v>
      </c>
      <c r="G14" s="51">
        <f>SUM(G15:G25)</f>
        <v>63378987.309999995</v>
      </c>
    </row>
    <row r="15" spans="1:7" ht="15.75" customHeight="1">
      <c r="A15" s="229"/>
      <c r="B15" s="227" t="s">
        <v>485</v>
      </c>
      <c r="C15" s="225" t="s">
        <v>322</v>
      </c>
      <c r="D15" s="538">
        <v>12691731.71</v>
      </c>
      <c r="E15" s="538">
        <v>0</v>
      </c>
      <c r="F15" s="538">
        <f aca="true" t="shared" si="0" ref="F15:F25">D15-E15</f>
        <v>12691731.71</v>
      </c>
      <c r="G15" s="539">
        <v>9722998.28</v>
      </c>
    </row>
    <row r="16" spans="1:7" ht="15.75" customHeight="1">
      <c r="A16" s="229"/>
      <c r="B16" s="227" t="s">
        <v>486</v>
      </c>
      <c r="C16" s="225" t="s">
        <v>324</v>
      </c>
      <c r="D16" s="538">
        <v>49626.88</v>
      </c>
      <c r="E16" s="538">
        <v>0</v>
      </c>
      <c r="F16" s="538">
        <f t="shared" si="0"/>
        <v>49626.88</v>
      </c>
      <c r="G16" s="539">
        <v>49626.88</v>
      </c>
    </row>
    <row r="17" spans="1:7" ht="15.75" customHeight="1">
      <c r="A17" s="229"/>
      <c r="B17" s="227" t="s">
        <v>487</v>
      </c>
      <c r="C17" s="225" t="s">
        <v>326</v>
      </c>
      <c r="D17" s="538">
        <v>52247017.78</v>
      </c>
      <c r="E17" s="538">
        <v>14861424.99</v>
      </c>
      <c r="F17" s="538">
        <f t="shared" si="0"/>
        <v>37385592.79</v>
      </c>
      <c r="G17" s="539">
        <v>36001515.3</v>
      </c>
    </row>
    <row r="18" spans="1:7" ht="31.5">
      <c r="A18" s="229"/>
      <c r="B18" s="227" t="s">
        <v>699</v>
      </c>
      <c r="C18" s="225" t="s">
        <v>328</v>
      </c>
      <c r="D18" s="538">
        <v>38305926.57</v>
      </c>
      <c r="E18" s="538">
        <v>23976813.26</v>
      </c>
      <c r="F18" s="538">
        <f t="shared" si="0"/>
        <v>14329113.309999999</v>
      </c>
      <c r="G18" s="539">
        <v>16185343.88</v>
      </c>
    </row>
    <row r="19" spans="1:7" ht="15.75" customHeight="1">
      <c r="A19" s="229"/>
      <c r="B19" s="227" t="s">
        <v>488</v>
      </c>
      <c r="C19" s="225" t="s">
        <v>330</v>
      </c>
      <c r="D19" s="538">
        <v>392516.1</v>
      </c>
      <c r="E19" s="538">
        <v>340228.64</v>
      </c>
      <c r="F19" s="538">
        <f t="shared" si="0"/>
        <v>52287.45999999996</v>
      </c>
      <c r="G19" s="539">
        <v>49992.46</v>
      </c>
    </row>
    <row r="20" spans="1:7" ht="15.75">
      <c r="A20" s="229"/>
      <c r="B20" s="227" t="s">
        <v>489</v>
      </c>
      <c r="C20" s="225" t="s">
        <v>332</v>
      </c>
      <c r="D20" s="538"/>
      <c r="E20" s="538"/>
      <c r="F20" s="538">
        <f t="shared" si="0"/>
        <v>0</v>
      </c>
      <c r="G20" s="539">
        <v>0</v>
      </c>
    </row>
    <row r="21" spans="1:7" ht="15.75" customHeight="1">
      <c r="A21" s="229"/>
      <c r="B21" s="227" t="s">
        <v>490</v>
      </c>
      <c r="C21" s="225" t="s">
        <v>334</v>
      </c>
      <c r="D21" s="538"/>
      <c r="E21" s="538"/>
      <c r="F21" s="538">
        <f t="shared" si="0"/>
        <v>0</v>
      </c>
      <c r="G21" s="539"/>
    </row>
    <row r="22" spans="1:7" ht="15.75">
      <c r="A22" s="229"/>
      <c r="B22" s="227" t="s">
        <v>491</v>
      </c>
      <c r="C22" s="225" t="s">
        <v>336</v>
      </c>
      <c r="D22" s="538"/>
      <c r="E22" s="538"/>
      <c r="F22" s="538">
        <f t="shared" si="0"/>
        <v>0</v>
      </c>
      <c r="G22" s="539">
        <v>0</v>
      </c>
    </row>
    <row r="23" spans="1:7" ht="15.75">
      <c r="A23" s="229"/>
      <c r="B23" s="227" t="s">
        <v>492</v>
      </c>
      <c r="C23" s="225" t="s">
        <v>338</v>
      </c>
      <c r="D23" s="538"/>
      <c r="E23" s="538"/>
      <c r="F23" s="538">
        <f t="shared" si="0"/>
        <v>0</v>
      </c>
      <c r="G23" s="539">
        <v>0</v>
      </c>
    </row>
    <row r="24" spans="1:7" ht="15.75">
      <c r="A24" s="229"/>
      <c r="B24" s="445" t="s">
        <v>493</v>
      </c>
      <c r="C24" s="225" t="s">
        <v>340</v>
      </c>
      <c r="D24" s="538">
        <v>1861396.8</v>
      </c>
      <c r="E24" s="538">
        <v>0</v>
      </c>
      <c r="F24" s="538">
        <f t="shared" si="0"/>
        <v>1861396.8</v>
      </c>
      <c r="G24" s="539">
        <v>1369510.51</v>
      </c>
    </row>
    <row r="25" spans="1:7" ht="31.5">
      <c r="A25" s="230"/>
      <c r="B25" s="445" t="s">
        <v>494</v>
      </c>
      <c r="C25" s="225" t="s">
        <v>342</v>
      </c>
      <c r="D25" s="538"/>
      <c r="E25" s="538"/>
      <c r="F25" s="538">
        <f t="shared" si="0"/>
        <v>0</v>
      </c>
      <c r="G25" s="539">
        <v>0</v>
      </c>
    </row>
    <row r="26" spans="1:7" ht="15.75" customHeight="1">
      <c r="A26" s="228" t="s">
        <v>495</v>
      </c>
      <c r="B26" s="446" t="s">
        <v>768</v>
      </c>
      <c r="C26" s="223" t="s">
        <v>344</v>
      </c>
      <c r="D26" s="50">
        <f>SUM(D27:D33)</f>
        <v>5000</v>
      </c>
      <c r="E26" s="50">
        <f>SUM(E27:E33)</f>
        <v>0</v>
      </c>
      <c r="F26" s="50">
        <f>SUM(F27:F33)</f>
        <v>5000</v>
      </c>
      <c r="G26" s="51">
        <f>SUM(G27:G33)</f>
        <v>0</v>
      </c>
    </row>
    <row r="27" spans="1:7" ht="31.5">
      <c r="A27" s="229"/>
      <c r="B27" s="445" t="s">
        <v>841</v>
      </c>
      <c r="C27" s="225" t="s">
        <v>346</v>
      </c>
      <c r="D27" s="538">
        <v>5000</v>
      </c>
      <c r="E27" s="538">
        <v>0</v>
      </c>
      <c r="F27" s="538">
        <f aca="true" t="shared" si="1" ref="F27:F33">D27-E27</f>
        <v>5000</v>
      </c>
      <c r="G27" s="539"/>
    </row>
    <row r="28" spans="1:7" ht="31.5">
      <c r="A28" s="229"/>
      <c r="B28" s="445" t="s">
        <v>842</v>
      </c>
      <c r="C28" s="225" t="s">
        <v>348</v>
      </c>
      <c r="D28" s="538"/>
      <c r="E28" s="538"/>
      <c r="F28" s="538">
        <f t="shared" si="1"/>
        <v>0</v>
      </c>
      <c r="G28" s="539"/>
    </row>
    <row r="29" spans="1:7" ht="15.75">
      <c r="A29" s="229"/>
      <c r="B29" s="445" t="s">
        <v>843</v>
      </c>
      <c r="C29" s="225" t="s">
        <v>350</v>
      </c>
      <c r="D29" s="538"/>
      <c r="E29" s="538"/>
      <c r="F29" s="538">
        <f t="shared" si="1"/>
        <v>0</v>
      </c>
      <c r="G29" s="539"/>
    </row>
    <row r="30" spans="1:7" ht="31.5">
      <c r="A30" s="229"/>
      <c r="B30" s="445" t="s">
        <v>496</v>
      </c>
      <c r="C30" s="225" t="s">
        <v>352</v>
      </c>
      <c r="D30" s="538"/>
      <c r="E30" s="538"/>
      <c r="F30" s="538">
        <f t="shared" si="1"/>
        <v>0</v>
      </c>
      <c r="G30" s="539"/>
    </row>
    <row r="31" spans="1:7" ht="20.25" customHeight="1">
      <c r="A31" s="229"/>
      <c r="B31" s="447" t="s">
        <v>844</v>
      </c>
      <c r="C31" s="225" t="s">
        <v>354</v>
      </c>
      <c r="D31" s="538"/>
      <c r="E31" s="538"/>
      <c r="F31" s="538">
        <f t="shared" si="1"/>
        <v>0</v>
      </c>
      <c r="G31" s="539"/>
    </row>
    <row r="32" spans="1:7" ht="15.75">
      <c r="A32" s="230"/>
      <c r="B32" s="445" t="s">
        <v>497</v>
      </c>
      <c r="C32" s="225" t="s">
        <v>356</v>
      </c>
      <c r="D32" s="538"/>
      <c r="E32" s="538"/>
      <c r="F32" s="538">
        <f t="shared" si="1"/>
        <v>0</v>
      </c>
      <c r="G32" s="539"/>
    </row>
    <row r="33" spans="1:7" ht="19.5" customHeight="1" thickBot="1">
      <c r="A33" s="395"/>
      <c r="B33" s="448" t="s">
        <v>845</v>
      </c>
      <c r="C33" s="396" t="s">
        <v>358</v>
      </c>
      <c r="D33" s="540"/>
      <c r="E33" s="540"/>
      <c r="F33" s="538">
        <f t="shared" si="1"/>
        <v>0</v>
      </c>
      <c r="G33" s="541"/>
    </row>
    <row r="34" spans="1:7" s="196" customFormat="1" ht="18" customHeight="1">
      <c r="A34" s="195"/>
      <c r="B34" s="195"/>
      <c r="D34" s="197"/>
      <c r="E34" s="197"/>
      <c r="F34" s="197"/>
      <c r="G34" s="197"/>
    </row>
    <row r="35" spans="1:7" s="196" customFormat="1" ht="18" customHeight="1">
      <c r="A35" s="195"/>
      <c r="B35" s="195"/>
      <c r="D35" s="197"/>
      <c r="E35" s="197"/>
      <c r="F35" s="197"/>
      <c r="G35" s="19"/>
    </row>
    <row r="36" spans="1:7" s="196" customFormat="1" ht="18" customHeight="1">
      <c r="A36" s="195"/>
      <c r="B36" s="195"/>
      <c r="D36" s="197"/>
      <c r="E36" s="197"/>
      <c r="F36" s="197"/>
      <c r="G36" s="197"/>
    </row>
    <row r="37" spans="1:7" s="196" customFormat="1" ht="18" customHeight="1">
      <c r="A37" s="195"/>
      <c r="B37" s="195"/>
      <c r="D37" s="197"/>
      <c r="E37" s="197"/>
      <c r="F37" s="197"/>
      <c r="G37" s="197"/>
    </row>
    <row r="38" spans="1:7" s="196" customFormat="1" ht="18" customHeight="1">
      <c r="A38" s="195"/>
      <c r="B38" s="195"/>
      <c r="D38" s="197"/>
      <c r="E38" s="197"/>
      <c r="F38" s="197"/>
      <c r="G38" s="197"/>
    </row>
    <row r="39" spans="1:7" s="196" customFormat="1" ht="18" customHeight="1">
      <c r="A39" s="195"/>
      <c r="B39" s="195"/>
      <c r="D39" s="197"/>
      <c r="E39" s="197"/>
      <c r="F39" s="197"/>
      <c r="G39" s="197"/>
    </row>
    <row r="40" spans="1:7" s="196" customFormat="1" ht="18" customHeight="1">
      <c r="A40" s="195"/>
      <c r="B40" s="195"/>
      <c r="D40" s="197"/>
      <c r="E40" s="197"/>
      <c r="F40" s="197"/>
      <c r="G40" s="197"/>
    </row>
    <row r="41" spans="1:7" s="196" customFormat="1" ht="18" customHeight="1">
      <c r="A41" s="195"/>
      <c r="B41" s="195"/>
      <c r="D41" s="197"/>
      <c r="E41" s="197"/>
      <c r="F41" s="197"/>
      <c r="G41" s="197"/>
    </row>
    <row r="42" spans="1:7" s="196" customFormat="1" ht="18" customHeight="1">
      <c r="A42" s="194"/>
      <c r="B42" s="194"/>
      <c r="D42" s="197"/>
      <c r="E42" s="197"/>
      <c r="F42" s="197"/>
      <c r="G42" s="197"/>
    </row>
    <row r="43" spans="1:7" s="196" customFormat="1" ht="18" customHeight="1">
      <c r="A43" s="194"/>
      <c r="B43" s="194"/>
      <c r="D43" s="197"/>
      <c r="E43" s="197"/>
      <c r="F43" s="197"/>
      <c r="G43" s="197"/>
    </row>
    <row r="44" spans="1:7" s="196" customFormat="1" ht="18" customHeight="1">
      <c r="A44" s="194"/>
      <c r="B44" s="194"/>
      <c r="D44" s="197"/>
      <c r="E44" s="197"/>
      <c r="F44" s="197"/>
      <c r="G44" s="197"/>
    </row>
    <row r="45" spans="1:7" s="196" customFormat="1" ht="18" customHeight="1">
      <c r="A45" s="194"/>
      <c r="B45" s="194"/>
      <c r="D45" s="197"/>
      <c r="E45" s="197"/>
      <c r="F45" s="197"/>
      <c r="G45" s="197"/>
    </row>
    <row r="46" spans="1:7" s="196" customFormat="1" ht="18" customHeight="1">
      <c r="A46" s="194"/>
      <c r="B46" s="194"/>
      <c r="D46" s="197"/>
      <c r="E46" s="197"/>
      <c r="F46" s="197"/>
      <c r="G46" s="197"/>
    </row>
    <row r="47" spans="1:7" s="196" customFormat="1" ht="18" customHeight="1">
      <c r="A47" s="194"/>
      <c r="B47" s="194"/>
      <c r="D47" s="197"/>
      <c r="E47" s="197"/>
      <c r="F47" s="197"/>
      <c r="G47" s="197"/>
    </row>
    <row r="48" spans="1:7" s="196" customFormat="1" ht="18" customHeight="1">
      <c r="A48" s="194"/>
      <c r="B48" s="194"/>
      <c r="D48" s="197"/>
      <c r="E48" s="197"/>
      <c r="F48" s="197"/>
      <c r="G48" s="197"/>
    </row>
  </sheetData>
  <sheetProtection/>
  <mergeCells count="8">
    <mergeCell ref="A6:B6"/>
    <mergeCell ref="A8:A13"/>
    <mergeCell ref="A2:G2"/>
    <mergeCell ref="A1:G1"/>
    <mergeCell ref="A3:B4"/>
    <mergeCell ref="C3:C4"/>
    <mergeCell ref="D3:F3"/>
    <mergeCell ref="A5:B5"/>
  </mergeCells>
  <printOptions/>
  <pageMargins left="0.35433070866141736" right="0.35433070866141736" top="0.984251968503937" bottom="0.984251968503937" header="0.5118110236220472" footer="0.5118110236220472"/>
  <pageSetup fitToHeight="1" fitToWidth="1" horizontalDpi="600" verticalDpi="600" orientation="portrait" paperSize="9" scale="69"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G39"/>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K39" sqref="K39"/>
    </sheetView>
  </sheetViews>
  <sheetFormatPr defaultColWidth="9.140625" defaultRowHeight="12.75"/>
  <cols>
    <col min="1" max="1" width="2.421875" style="198" customWidth="1"/>
    <col min="2" max="2" width="54.28125" style="198" customWidth="1"/>
    <col min="3" max="3" width="7.421875" style="198" customWidth="1"/>
    <col min="4" max="4" width="17.421875" style="201" customWidth="1"/>
    <col min="5" max="5" width="18.140625" style="201" customWidth="1"/>
    <col min="6" max="6" width="17.00390625" style="201" customWidth="1"/>
    <col min="7" max="7" width="17.7109375" style="201" customWidth="1"/>
    <col min="8" max="16384" width="9.140625" style="198" customWidth="1"/>
  </cols>
  <sheetData>
    <row r="1" spans="1:7" ht="24.75" customHeight="1" thickBot="1">
      <c r="A1" s="870" t="s">
        <v>899</v>
      </c>
      <c r="B1" s="871"/>
      <c r="C1" s="871"/>
      <c r="D1" s="871"/>
      <c r="E1" s="871"/>
      <c r="F1" s="871"/>
      <c r="G1" s="872"/>
    </row>
    <row r="2" spans="1:7" ht="33" customHeight="1">
      <c r="A2" s="867" t="s">
        <v>955</v>
      </c>
      <c r="B2" s="868"/>
      <c r="C2" s="868"/>
      <c r="D2" s="868"/>
      <c r="E2" s="868"/>
      <c r="F2" s="868"/>
      <c r="G2" s="869"/>
    </row>
    <row r="3" spans="1:7" ht="61.5" customHeight="1">
      <c r="A3" s="876" t="s">
        <v>425</v>
      </c>
      <c r="B3" s="877"/>
      <c r="C3" s="877"/>
      <c r="D3" s="880" t="s">
        <v>498</v>
      </c>
      <c r="E3" s="880"/>
      <c r="F3" s="880"/>
      <c r="G3" s="231" t="s">
        <v>475</v>
      </c>
    </row>
    <row r="4" spans="1:7" ht="16.5" thickBot="1">
      <c r="A4" s="878"/>
      <c r="B4" s="879"/>
      <c r="C4" s="879"/>
      <c r="D4" s="284" t="s">
        <v>421</v>
      </c>
      <c r="E4" s="284" t="s">
        <v>422</v>
      </c>
      <c r="F4" s="284" t="s">
        <v>423</v>
      </c>
      <c r="G4" s="285" t="s">
        <v>423</v>
      </c>
    </row>
    <row r="5" spans="1:7" ht="21.75" customHeight="1" thickBot="1">
      <c r="A5" s="881" t="s">
        <v>476</v>
      </c>
      <c r="B5" s="882"/>
      <c r="C5" s="286" t="s">
        <v>477</v>
      </c>
      <c r="D5" s="287">
        <v>1</v>
      </c>
      <c r="E5" s="287">
        <v>2</v>
      </c>
      <c r="F5" s="287">
        <v>3</v>
      </c>
      <c r="G5" s="288">
        <v>4</v>
      </c>
    </row>
    <row r="6" spans="1:7" ht="15.75" customHeight="1">
      <c r="A6" s="859" t="s">
        <v>765</v>
      </c>
      <c r="B6" s="860"/>
      <c r="C6" s="406" t="s">
        <v>360</v>
      </c>
      <c r="D6" s="537">
        <f>D7+D14+D19+D28</f>
        <v>16233754.230000002</v>
      </c>
      <c r="E6" s="537">
        <f>E7+E14+E19+E28</f>
        <v>28428.1</v>
      </c>
      <c r="F6" s="537">
        <f>F7+F14+F19+F28</f>
        <v>16205326.13</v>
      </c>
      <c r="G6" s="261">
        <f>G7+G14+G19+G28</f>
        <v>19877665.229999997</v>
      </c>
    </row>
    <row r="7" spans="1:7" ht="15.75" customHeight="1">
      <c r="A7" s="240" t="s">
        <v>478</v>
      </c>
      <c r="B7" s="449" t="s">
        <v>499</v>
      </c>
      <c r="C7" s="407" t="s">
        <v>362</v>
      </c>
      <c r="D7" s="50">
        <f>SUM(D8:D13)</f>
        <v>159816.78999999998</v>
      </c>
      <c r="E7" s="50">
        <f>SUM(E8:E13)</f>
        <v>0</v>
      </c>
      <c r="F7" s="50">
        <f>SUM(F8:F13)</f>
        <v>159816.78999999998</v>
      </c>
      <c r="G7" s="51">
        <f>SUM(G8:G13)</f>
        <v>156729.86</v>
      </c>
    </row>
    <row r="8" spans="1:7" ht="15.75" customHeight="1">
      <c r="A8" s="861"/>
      <c r="B8" s="450" t="s">
        <v>500</v>
      </c>
      <c r="C8" s="408" t="s">
        <v>364</v>
      </c>
      <c r="D8" s="542">
        <v>83783.93</v>
      </c>
      <c r="E8" s="543"/>
      <c r="F8" s="542">
        <f aca="true" t="shared" si="0" ref="F8:F13">D8-E8</f>
        <v>83783.93</v>
      </c>
      <c r="G8" s="544">
        <v>82306.3</v>
      </c>
    </row>
    <row r="9" spans="1:7" ht="31.5">
      <c r="A9" s="862"/>
      <c r="B9" s="450" t="s">
        <v>501</v>
      </c>
      <c r="C9" s="408" t="s">
        <v>366</v>
      </c>
      <c r="D9" s="542"/>
      <c r="E9" s="543"/>
      <c r="F9" s="542">
        <f t="shared" si="0"/>
        <v>0</v>
      </c>
      <c r="G9" s="544">
        <v>0</v>
      </c>
    </row>
    <row r="10" spans="1:7" ht="15.75" customHeight="1">
      <c r="A10" s="862"/>
      <c r="B10" s="450" t="s">
        <v>502</v>
      </c>
      <c r="C10" s="408" t="s">
        <v>368</v>
      </c>
      <c r="D10" s="542">
        <v>16834.22</v>
      </c>
      <c r="E10" s="543"/>
      <c r="F10" s="542">
        <f t="shared" si="0"/>
        <v>16834.22</v>
      </c>
      <c r="G10" s="544">
        <v>27733.79</v>
      </c>
    </row>
    <row r="11" spans="1:7" ht="15.75" customHeight="1">
      <c r="A11" s="862"/>
      <c r="B11" s="450" t="s">
        <v>503</v>
      </c>
      <c r="C11" s="408" t="s">
        <v>370</v>
      </c>
      <c r="D11" s="542"/>
      <c r="E11" s="543"/>
      <c r="F11" s="542">
        <f t="shared" si="0"/>
        <v>0</v>
      </c>
      <c r="G11" s="544">
        <v>0</v>
      </c>
    </row>
    <row r="12" spans="1:7" ht="15.75" customHeight="1">
      <c r="A12" s="862"/>
      <c r="B12" s="450" t="s">
        <v>504</v>
      </c>
      <c r="C12" s="408" t="s">
        <v>372</v>
      </c>
      <c r="D12" s="542">
        <v>59198.64</v>
      </c>
      <c r="E12" s="543"/>
      <c r="F12" s="542">
        <f t="shared" si="0"/>
        <v>59198.64</v>
      </c>
      <c r="G12" s="544">
        <v>46689.77</v>
      </c>
    </row>
    <row r="13" spans="1:7" ht="15.75" customHeight="1">
      <c r="A13" s="862"/>
      <c r="B13" s="450" t="s">
        <v>898</v>
      </c>
      <c r="C13" s="408" t="s">
        <v>374</v>
      </c>
      <c r="D13" s="542"/>
      <c r="E13" s="543"/>
      <c r="F13" s="542">
        <f t="shared" si="0"/>
        <v>0</v>
      </c>
      <c r="G13" s="544">
        <v>0</v>
      </c>
    </row>
    <row r="14" spans="1:7" ht="15.75" customHeight="1">
      <c r="A14" s="244" t="s">
        <v>484</v>
      </c>
      <c r="B14" s="449" t="s">
        <v>764</v>
      </c>
      <c r="C14" s="409" t="s">
        <v>376</v>
      </c>
      <c r="D14" s="50">
        <f>SUM(D15:D18)</f>
        <v>42.73</v>
      </c>
      <c r="E14" s="50">
        <f>SUM(E15:E18)</f>
        <v>0</v>
      </c>
      <c r="F14" s="50">
        <f>SUM(F15:F18)</f>
        <v>42.73</v>
      </c>
      <c r="G14" s="51">
        <f>SUM(G15:G18)</f>
        <v>42.73</v>
      </c>
    </row>
    <row r="15" spans="1:7" ht="31.5">
      <c r="A15" s="873"/>
      <c r="B15" s="418" t="s">
        <v>908</v>
      </c>
      <c r="C15" s="408" t="s">
        <v>378</v>
      </c>
      <c r="D15" s="542">
        <v>42.73</v>
      </c>
      <c r="E15" s="543"/>
      <c r="F15" s="542">
        <f>D15-E15</f>
        <v>42.73</v>
      </c>
      <c r="G15" s="544">
        <v>42.73</v>
      </c>
    </row>
    <row r="16" spans="1:7" ht="15.75">
      <c r="A16" s="873"/>
      <c r="B16" s="450" t="s">
        <v>505</v>
      </c>
      <c r="C16" s="408" t="s">
        <v>380</v>
      </c>
      <c r="D16" s="542"/>
      <c r="E16" s="543"/>
      <c r="F16" s="542">
        <f>D16-E16</f>
        <v>0</v>
      </c>
      <c r="G16" s="544"/>
    </row>
    <row r="17" spans="1:7" ht="18" customHeight="1">
      <c r="A17" s="873"/>
      <c r="B17" s="450" t="s">
        <v>755</v>
      </c>
      <c r="C17" s="408" t="s">
        <v>382</v>
      </c>
      <c r="D17" s="542"/>
      <c r="E17" s="543"/>
      <c r="F17" s="542">
        <f>D17-E17</f>
        <v>0</v>
      </c>
      <c r="G17" s="544"/>
    </row>
    <row r="18" spans="1:7" ht="31.5">
      <c r="A18" s="861"/>
      <c r="B18" s="450" t="s">
        <v>722</v>
      </c>
      <c r="C18" s="408" t="s">
        <v>384</v>
      </c>
      <c r="D18" s="542"/>
      <c r="E18" s="543"/>
      <c r="F18" s="542">
        <f>D18-E18</f>
        <v>0</v>
      </c>
      <c r="G18" s="544"/>
    </row>
    <row r="19" spans="1:7" ht="15.75" customHeight="1">
      <c r="A19" s="247" t="s">
        <v>495</v>
      </c>
      <c r="B19" s="449" t="s">
        <v>763</v>
      </c>
      <c r="C19" s="409" t="s">
        <v>386</v>
      </c>
      <c r="D19" s="50">
        <f>SUM(D20:D27)</f>
        <v>1523902.0200000003</v>
      </c>
      <c r="E19" s="50">
        <f>SUM(E20:E27)</f>
        <v>28428.1</v>
      </c>
      <c r="F19" s="50">
        <f>SUM(F20:F27)</f>
        <v>1495473.9200000002</v>
      </c>
      <c r="G19" s="239">
        <f>SUM(G20:G27)</f>
        <v>1247180.2200000002</v>
      </c>
    </row>
    <row r="20" spans="1:7" ht="31.5">
      <c r="A20" s="873"/>
      <c r="B20" s="418" t="s">
        <v>506</v>
      </c>
      <c r="C20" s="408" t="s">
        <v>388</v>
      </c>
      <c r="D20" s="542">
        <v>625779.61</v>
      </c>
      <c r="E20" s="543">
        <v>28428.1</v>
      </c>
      <c r="F20" s="542">
        <f aca="true" t="shared" si="1" ref="F20:F27">D20-E20</f>
        <v>597351.51</v>
      </c>
      <c r="G20" s="544">
        <v>617885.18</v>
      </c>
    </row>
    <row r="21" spans="1:7" ht="15.75" customHeight="1">
      <c r="A21" s="873"/>
      <c r="B21" s="450" t="s">
        <v>505</v>
      </c>
      <c r="C21" s="408" t="s">
        <v>389</v>
      </c>
      <c r="D21" s="542">
        <v>37149.3</v>
      </c>
      <c r="E21" s="543"/>
      <c r="F21" s="542">
        <f t="shared" si="1"/>
        <v>37149.3</v>
      </c>
      <c r="G21" s="544">
        <v>31444.54</v>
      </c>
    </row>
    <row r="22" spans="1:7" ht="15.75" customHeight="1">
      <c r="A22" s="873"/>
      <c r="B22" s="450" t="s">
        <v>507</v>
      </c>
      <c r="C22" s="408" t="s">
        <v>391</v>
      </c>
      <c r="D22" s="542">
        <v>0</v>
      </c>
      <c r="E22" s="543"/>
      <c r="F22" s="542">
        <f t="shared" si="1"/>
        <v>0</v>
      </c>
      <c r="G22" s="544">
        <v>0</v>
      </c>
    </row>
    <row r="23" spans="1:7" ht="15.75">
      <c r="A23" s="873"/>
      <c r="B23" s="450" t="s">
        <v>508</v>
      </c>
      <c r="C23" s="408" t="s">
        <v>393</v>
      </c>
      <c r="D23" s="542">
        <v>210099.28</v>
      </c>
      <c r="E23" s="543"/>
      <c r="F23" s="542">
        <f t="shared" si="1"/>
        <v>210099.28</v>
      </c>
      <c r="G23" s="544">
        <v>99413.17</v>
      </c>
    </row>
    <row r="24" spans="1:7" ht="31.5">
      <c r="A24" s="873"/>
      <c r="B24" s="450" t="s">
        <v>846</v>
      </c>
      <c r="C24" s="408" t="s">
        <v>395</v>
      </c>
      <c r="D24" s="542">
        <v>650163.3</v>
      </c>
      <c r="E24" s="543"/>
      <c r="F24" s="542">
        <f t="shared" si="1"/>
        <v>650163.3</v>
      </c>
      <c r="G24" s="544">
        <v>496488.87</v>
      </c>
    </row>
    <row r="25" spans="1:7" ht="15.75" customHeight="1">
      <c r="A25" s="873"/>
      <c r="B25" s="450" t="s">
        <v>756</v>
      </c>
      <c r="C25" s="408" t="s">
        <v>396</v>
      </c>
      <c r="D25" s="542">
        <v>0</v>
      </c>
      <c r="E25" s="543"/>
      <c r="F25" s="542">
        <f t="shared" si="1"/>
        <v>0</v>
      </c>
      <c r="G25" s="544">
        <v>0</v>
      </c>
    </row>
    <row r="26" spans="1:7" ht="15.75" customHeight="1">
      <c r="A26" s="861"/>
      <c r="B26" s="450" t="s">
        <v>757</v>
      </c>
      <c r="C26" s="408" t="s">
        <v>398</v>
      </c>
      <c r="D26" s="542">
        <v>0</v>
      </c>
      <c r="E26" s="543"/>
      <c r="F26" s="542">
        <f t="shared" si="1"/>
        <v>0</v>
      </c>
      <c r="G26" s="544">
        <v>0</v>
      </c>
    </row>
    <row r="27" spans="1:7" ht="31.5">
      <c r="A27" s="242"/>
      <c r="B27" s="450" t="s">
        <v>722</v>
      </c>
      <c r="C27" s="408" t="s">
        <v>399</v>
      </c>
      <c r="D27" s="542">
        <v>710.53</v>
      </c>
      <c r="E27" s="543"/>
      <c r="F27" s="542">
        <f t="shared" si="1"/>
        <v>710.53</v>
      </c>
      <c r="G27" s="544">
        <v>1948.46</v>
      </c>
    </row>
    <row r="28" spans="1:7" ht="15.75" customHeight="1">
      <c r="A28" s="247" t="s">
        <v>509</v>
      </c>
      <c r="B28" s="449" t="s">
        <v>762</v>
      </c>
      <c r="C28" s="409" t="s">
        <v>401</v>
      </c>
      <c r="D28" s="50">
        <f>SUM(D29:D33)</f>
        <v>14549992.690000001</v>
      </c>
      <c r="E28" s="50">
        <f>SUM(E29:E33)</f>
        <v>0</v>
      </c>
      <c r="F28" s="50">
        <f>SUM(F29:F33)</f>
        <v>14549992.690000001</v>
      </c>
      <c r="G28" s="51">
        <f>SUM(G29:G33)</f>
        <v>18473712.419999998</v>
      </c>
    </row>
    <row r="29" spans="1:7" ht="15.75" customHeight="1">
      <c r="A29" s="873"/>
      <c r="B29" s="418" t="s">
        <v>510</v>
      </c>
      <c r="C29" s="408" t="s">
        <v>403</v>
      </c>
      <c r="D29" s="542">
        <v>21590.88</v>
      </c>
      <c r="E29" s="543"/>
      <c r="F29" s="542">
        <f>D29-E29</f>
        <v>21590.88</v>
      </c>
      <c r="G29" s="544">
        <v>14756.86</v>
      </c>
    </row>
    <row r="30" spans="1:7" ht="15.75" customHeight="1">
      <c r="A30" s="873"/>
      <c r="B30" s="243" t="s">
        <v>758</v>
      </c>
      <c r="C30" s="408" t="s">
        <v>405</v>
      </c>
      <c r="D30" s="542">
        <v>14528401.81</v>
      </c>
      <c r="E30" s="543"/>
      <c r="F30" s="542">
        <f>D30-E30</f>
        <v>14528401.81</v>
      </c>
      <c r="G30" s="544">
        <v>18458955.56</v>
      </c>
    </row>
    <row r="31" spans="1:7" ht="18.75" customHeight="1">
      <c r="A31" s="873"/>
      <c r="B31" s="243" t="s">
        <v>511</v>
      </c>
      <c r="C31" s="408" t="s">
        <v>407</v>
      </c>
      <c r="D31" s="542"/>
      <c r="E31" s="543"/>
      <c r="F31" s="542">
        <f>D31-E31</f>
        <v>0</v>
      </c>
      <c r="G31" s="544">
        <v>0</v>
      </c>
    </row>
    <row r="32" spans="1:7" ht="31.5">
      <c r="A32" s="873"/>
      <c r="B32" s="243" t="s">
        <v>408</v>
      </c>
      <c r="C32" s="408" t="s">
        <v>409</v>
      </c>
      <c r="D32" s="542"/>
      <c r="E32" s="543"/>
      <c r="F32" s="542">
        <f>D32-E32</f>
        <v>0</v>
      </c>
      <c r="G32" s="544">
        <v>0</v>
      </c>
    </row>
    <row r="33" spans="1:7" ht="17.25" customHeight="1" thickBot="1">
      <c r="A33" s="873"/>
      <c r="B33" s="475" t="s">
        <v>759</v>
      </c>
      <c r="C33" s="410" t="s">
        <v>411</v>
      </c>
      <c r="D33" s="545"/>
      <c r="E33" s="546"/>
      <c r="F33" s="542">
        <f>D33-E33</f>
        <v>0</v>
      </c>
      <c r="G33" s="547">
        <v>0</v>
      </c>
    </row>
    <row r="34" spans="1:7" ht="33" customHeight="1" thickBot="1">
      <c r="A34" s="874" t="s">
        <v>760</v>
      </c>
      <c r="B34" s="875"/>
      <c r="C34" s="411" t="s">
        <v>413</v>
      </c>
      <c r="D34" s="236">
        <f>D35+D36</f>
        <v>298618.72</v>
      </c>
      <c r="E34" s="236">
        <f>E35+E36</f>
        <v>0</v>
      </c>
      <c r="F34" s="236">
        <f>F35+F36</f>
        <v>298618.72</v>
      </c>
      <c r="G34" s="237">
        <f>G35+G36</f>
        <v>163253.44</v>
      </c>
    </row>
    <row r="35" spans="1:7" ht="18" customHeight="1">
      <c r="A35" s="863" t="s">
        <v>478</v>
      </c>
      <c r="B35" s="246" t="s">
        <v>512</v>
      </c>
      <c r="C35" s="412" t="s">
        <v>415</v>
      </c>
      <c r="D35" s="548">
        <v>298618.72</v>
      </c>
      <c r="E35" s="549"/>
      <c r="F35" s="542">
        <f>D35-E35</f>
        <v>298618.72</v>
      </c>
      <c r="G35" s="550">
        <v>163253.44</v>
      </c>
    </row>
    <row r="36" spans="1:7" ht="18" customHeight="1" thickBot="1">
      <c r="A36" s="864"/>
      <c r="B36" s="248" t="s">
        <v>513</v>
      </c>
      <c r="C36" s="410" t="s">
        <v>417</v>
      </c>
      <c r="D36" s="545">
        <v>0</v>
      </c>
      <c r="E36" s="546"/>
      <c r="F36" s="542">
        <f>D36-E36</f>
        <v>0</v>
      </c>
      <c r="G36" s="547"/>
    </row>
    <row r="37" spans="1:7" ht="27" customHeight="1" thickBot="1">
      <c r="A37" s="865" t="s">
        <v>761</v>
      </c>
      <c r="B37" s="866"/>
      <c r="C37" s="413" t="s">
        <v>419</v>
      </c>
      <c r="D37" s="236">
        <v>123316633.02999999</v>
      </c>
      <c r="E37" s="236">
        <v>40036670.63</v>
      </c>
      <c r="F37" s="236">
        <v>83279962.39999999</v>
      </c>
      <c r="G37" s="237">
        <v>83966662.61999999</v>
      </c>
    </row>
    <row r="38" spans="1:3" ht="18" customHeight="1">
      <c r="A38" s="199"/>
      <c r="B38" s="199"/>
      <c r="C38" s="200"/>
    </row>
    <row r="39" spans="1:7" ht="18" customHeight="1">
      <c r="A39" s="199"/>
      <c r="B39" s="199"/>
      <c r="C39" s="200"/>
      <c r="G39" s="19"/>
    </row>
    <row r="40" ht="18" customHeight="1"/>
    <row r="41" ht="18" customHeight="1"/>
    <row r="42" ht="18" customHeight="1"/>
    <row r="43" ht="18" customHeight="1"/>
    <row r="44" ht="18" customHeight="1"/>
    <row r="45" ht="18" customHeight="1"/>
    <row r="46" ht="18" customHeight="1"/>
  </sheetData>
  <sheetProtection/>
  <mergeCells count="14">
    <mergeCell ref="A3:B4"/>
    <mergeCell ref="C3:C4"/>
    <mergeCell ref="D3:F3"/>
    <mergeCell ref="A5:B5"/>
    <mergeCell ref="A6:B6"/>
    <mergeCell ref="A8:A13"/>
    <mergeCell ref="A35:A36"/>
    <mergeCell ref="A37:B37"/>
    <mergeCell ref="A2:G2"/>
    <mergeCell ref="A1:G1"/>
    <mergeCell ref="A15:A18"/>
    <mergeCell ref="A20:A26"/>
    <mergeCell ref="A29:A33"/>
    <mergeCell ref="A34:B34"/>
  </mergeCells>
  <printOptions/>
  <pageMargins left="0.3937007874015748" right="0.35433070866141736" top="0.52" bottom="0.984251968503937" header="0.5118110236220472" footer="0.5118110236220472"/>
  <pageSetup fitToHeight="1" fitToWidth="1" horizontalDpi="600" verticalDpi="600" orientation="portrait" paperSize="9" scale="72"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J53"/>
  <sheetViews>
    <sheetView zoomScalePageLayoutView="0" workbookViewId="0" topLeftCell="A1">
      <pane xSplit="5" ySplit="5" topLeftCell="F27" activePane="bottomRight" state="frozen"/>
      <selection pane="topLeft" activeCell="A1" sqref="A1"/>
      <selection pane="topRight" activeCell="F1" sqref="F1"/>
      <selection pane="bottomLeft" activeCell="A6" sqref="A6"/>
      <selection pane="bottomRight" activeCell="K17" sqref="K17"/>
    </sheetView>
  </sheetViews>
  <sheetFormatPr defaultColWidth="9.140625" defaultRowHeight="12.75"/>
  <cols>
    <col min="1" max="1" width="4.00390625" style="198" customWidth="1"/>
    <col min="2" max="2" width="60.140625" style="198" customWidth="1"/>
    <col min="3" max="3" width="6.57421875" style="198" customWidth="1"/>
    <col min="4" max="5" width="11.7109375" style="198" hidden="1" customWidth="1"/>
    <col min="6" max="6" width="18.00390625" style="202" customWidth="1"/>
    <col min="7" max="7" width="16.57421875" style="203" customWidth="1"/>
    <col min="8" max="16384" width="9.140625" style="198" customWidth="1"/>
  </cols>
  <sheetData>
    <row r="1" spans="1:7" ht="38.25" customHeight="1" thickBot="1">
      <c r="A1" s="870" t="s">
        <v>900</v>
      </c>
      <c r="B1" s="871"/>
      <c r="C1" s="871"/>
      <c r="D1" s="871"/>
      <c r="E1" s="871"/>
      <c r="F1" s="871"/>
      <c r="G1" s="872"/>
    </row>
    <row r="2" spans="1:7" ht="33" customHeight="1" thickBot="1">
      <c r="A2" s="903" t="s">
        <v>112</v>
      </c>
      <c r="B2" s="904"/>
      <c r="C2" s="904"/>
      <c r="D2" s="904"/>
      <c r="E2" s="904"/>
      <c r="F2" s="904"/>
      <c r="G2" s="905"/>
    </row>
    <row r="3" spans="1:7" ht="35.25" customHeight="1">
      <c r="A3" s="883" t="s">
        <v>514</v>
      </c>
      <c r="B3" s="884"/>
      <c r="C3" s="884"/>
      <c r="D3" s="887" t="s">
        <v>498</v>
      </c>
      <c r="E3" s="888"/>
      <c r="F3" s="889"/>
      <c r="G3" s="893" t="s">
        <v>475</v>
      </c>
    </row>
    <row r="4" spans="1:7" ht="42.75" customHeight="1" thickBot="1">
      <c r="A4" s="885"/>
      <c r="B4" s="886"/>
      <c r="C4" s="886"/>
      <c r="D4" s="890"/>
      <c r="E4" s="891"/>
      <c r="F4" s="892"/>
      <c r="G4" s="894"/>
    </row>
    <row r="5" spans="1:7" ht="19.5" customHeight="1" thickBot="1">
      <c r="A5" s="895" t="s">
        <v>476</v>
      </c>
      <c r="B5" s="896"/>
      <c r="C5" s="281" t="s">
        <v>477</v>
      </c>
      <c r="D5" s="281">
        <v>1</v>
      </c>
      <c r="E5" s="281">
        <v>2</v>
      </c>
      <c r="F5" s="282">
        <v>5</v>
      </c>
      <c r="G5" s="283">
        <v>6</v>
      </c>
    </row>
    <row r="6" spans="1:10" ht="30.75" customHeight="1">
      <c r="A6" s="897" t="s">
        <v>769</v>
      </c>
      <c r="B6" s="898"/>
      <c r="C6" s="324" t="s">
        <v>428</v>
      </c>
      <c r="D6" s="325">
        <f>D7+D13</f>
        <v>207980</v>
      </c>
      <c r="E6" s="325">
        <f>E7+E13</f>
        <v>0</v>
      </c>
      <c r="F6" s="551">
        <f>F7+F13+F17+F18</f>
        <v>37981513.13</v>
      </c>
      <c r="G6" s="552">
        <f>G7+G13+G17+G18</f>
        <v>37324914.77</v>
      </c>
      <c r="H6" s="323"/>
      <c r="I6" s="295"/>
      <c r="J6" s="295"/>
    </row>
    <row r="7" spans="1:7" ht="15.75">
      <c r="A7" s="249" t="s">
        <v>478</v>
      </c>
      <c r="B7" s="241" t="s">
        <v>770</v>
      </c>
      <c r="C7" s="209" t="s">
        <v>429</v>
      </c>
      <c r="D7" s="205">
        <f>SUM(D8:D10)</f>
        <v>193386</v>
      </c>
      <c r="E7" s="205">
        <f>SUM(E8:E10)</f>
        <v>0</v>
      </c>
      <c r="F7" s="50">
        <f>SUM(F8:F12)</f>
        <v>34187637.67</v>
      </c>
      <c r="G7" s="51">
        <f>SUM(G8:G12)</f>
        <v>34381748.09</v>
      </c>
    </row>
    <row r="8" spans="1:7" ht="18" customHeight="1">
      <c r="A8" s="873"/>
      <c r="B8" s="243" t="s">
        <v>696</v>
      </c>
      <c r="C8" s="206" t="s">
        <v>430</v>
      </c>
      <c r="D8" s="207">
        <v>169934</v>
      </c>
      <c r="E8" s="207"/>
      <c r="F8" s="553">
        <v>29451052.98</v>
      </c>
      <c r="G8" s="554">
        <v>28440710.74</v>
      </c>
    </row>
    <row r="9" spans="1:7" ht="15.75" customHeight="1">
      <c r="A9" s="873"/>
      <c r="B9" s="243" t="s">
        <v>520</v>
      </c>
      <c r="C9" s="206" t="s">
        <v>431</v>
      </c>
      <c r="D9" s="207"/>
      <c r="E9" s="207"/>
      <c r="F9" s="553">
        <v>338376.94</v>
      </c>
      <c r="G9" s="554">
        <v>627425.03</v>
      </c>
    </row>
    <row r="10" spans="1:7" ht="15.75">
      <c r="A10" s="861"/>
      <c r="B10" s="243" t="s">
        <v>697</v>
      </c>
      <c r="C10" s="206" t="s">
        <v>432</v>
      </c>
      <c r="D10" s="207">
        <v>23452</v>
      </c>
      <c r="E10" s="207"/>
      <c r="F10" s="553">
        <v>4398207.75</v>
      </c>
      <c r="G10" s="554">
        <v>5313612.32</v>
      </c>
    </row>
    <row r="11" spans="1:7" ht="18" customHeight="1">
      <c r="A11" s="245"/>
      <c r="B11" s="243" t="s">
        <v>515</v>
      </c>
      <c r="C11" s="206" t="s">
        <v>433</v>
      </c>
      <c r="D11" s="207"/>
      <c r="E11" s="207"/>
      <c r="F11" s="553">
        <v>0</v>
      </c>
      <c r="G11" s="554">
        <v>0</v>
      </c>
    </row>
    <row r="12" spans="1:7" ht="15.75">
      <c r="A12" s="245"/>
      <c r="B12" s="243" t="s">
        <v>516</v>
      </c>
      <c r="C12" s="206" t="s">
        <v>434</v>
      </c>
      <c r="D12" s="207"/>
      <c r="E12" s="207"/>
      <c r="F12" s="553">
        <v>0</v>
      </c>
      <c r="G12" s="554">
        <v>0</v>
      </c>
    </row>
    <row r="13" spans="1:7" ht="18" customHeight="1">
      <c r="A13" s="250" t="s">
        <v>484</v>
      </c>
      <c r="B13" s="251" t="s">
        <v>771</v>
      </c>
      <c r="C13" s="209" t="s">
        <v>435</v>
      </c>
      <c r="D13" s="205">
        <f>SUM(D14:D16)</f>
        <v>14594</v>
      </c>
      <c r="E13" s="205">
        <f>SUM(E14:E16)</f>
        <v>0</v>
      </c>
      <c r="F13" s="50">
        <f>SUM(F14:F17)</f>
        <v>2931290.29</v>
      </c>
      <c r="G13" s="51">
        <f>SUM(G14:G17)</f>
        <v>2355283.81</v>
      </c>
    </row>
    <row r="14" spans="1:7" ht="14.25" customHeight="1">
      <c r="A14" s="862"/>
      <c r="B14" s="243" t="s">
        <v>521</v>
      </c>
      <c r="C14" s="206" t="s">
        <v>436</v>
      </c>
      <c r="D14" s="207">
        <v>3949</v>
      </c>
      <c r="E14" s="207"/>
      <c r="F14" s="553">
        <v>2931290.29</v>
      </c>
      <c r="G14" s="554">
        <v>2355283.81</v>
      </c>
    </row>
    <row r="15" spans="1:7" ht="15.75">
      <c r="A15" s="862"/>
      <c r="B15" s="243" t="s">
        <v>523</v>
      </c>
      <c r="C15" s="206" t="s">
        <v>437</v>
      </c>
      <c r="D15" s="207">
        <v>-5033</v>
      </c>
      <c r="E15" s="207"/>
      <c r="F15" s="553"/>
      <c r="G15" s="554">
        <v>0</v>
      </c>
    </row>
    <row r="16" spans="1:7" ht="15.75">
      <c r="A16" s="862"/>
      <c r="B16" s="243" t="s">
        <v>522</v>
      </c>
      <c r="C16" s="206" t="s">
        <v>438</v>
      </c>
      <c r="D16" s="208">
        <v>15678</v>
      </c>
      <c r="E16" s="208"/>
      <c r="F16" s="553"/>
      <c r="G16" s="554">
        <v>0</v>
      </c>
    </row>
    <row r="17" spans="1:7" ht="36" customHeight="1">
      <c r="A17" s="244" t="s">
        <v>495</v>
      </c>
      <c r="B17" s="252" t="s">
        <v>772</v>
      </c>
      <c r="C17" s="209" t="s">
        <v>439</v>
      </c>
      <c r="D17" s="210"/>
      <c r="E17" s="210"/>
      <c r="F17" s="553"/>
      <c r="G17" s="554">
        <v>0</v>
      </c>
    </row>
    <row r="18" spans="1:7" ht="31.5">
      <c r="A18" s="244" t="s">
        <v>509</v>
      </c>
      <c r="B18" s="251" t="s">
        <v>773</v>
      </c>
      <c r="C18" s="209" t="s">
        <v>440</v>
      </c>
      <c r="D18" s="211"/>
      <c r="E18" s="211"/>
      <c r="F18" s="555">
        <v>862585.17</v>
      </c>
      <c r="G18" s="556">
        <v>587882.87</v>
      </c>
    </row>
    <row r="19" spans="1:7" ht="15" customHeight="1">
      <c r="A19" s="906" t="s">
        <v>774</v>
      </c>
      <c r="B19" s="907"/>
      <c r="C19" s="204" t="s">
        <v>441</v>
      </c>
      <c r="D19" s="208">
        <v>77905</v>
      </c>
      <c r="E19" s="208"/>
      <c r="F19" s="50">
        <f>F20+F24+F32+F42</f>
        <v>5142117.31</v>
      </c>
      <c r="G19" s="50">
        <f>G20+G24+G32+G42</f>
        <v>4868342.71</v>
      </c>
    </row>
    <row r="20" spans="1:7" ht="15.75">
      <c r="A20" s="247" t="s">
        <v>478</v>
      </c>
      <c r="B20" s="253" t="s">
        <v>775</v>
      </c>
      <c r="C20" s="209" t="s">
        <v>442</v>
      </c>
      <c r="D20" s="212"/>
      <c r="E20" s="212"/>
      <c r="F20" s="50">
        <f>SUM(F21:F23)</f>
        <v>450128.9</v>
      </c>
      <c r="G20" s="51">
        <f>SUM(G21:G23)</f>
        <v>680495.84</v>
      </c>
    </row>
    <row r="21" spans="1:7" ht="13.5" customHeight="1">
      <c r="A21" s="247"/>
      <c r="B21" s="246" t="s">
        <v>524</v>
      </c>
      <c r="C21" s="206" t="s">
        <v>443</v>
      </c>
      <c r="D21" s="207"/>
      <c r="E21" s="207"/>
      <c r="F21" s="553"/>
      <c r="G21" s="554">
        <v>0</v>
      </c>
    </row>
    <row r="22" spans="1:7" ht="15.75">
      <c r="A22" s="247"/>
      <c r="B22" s="246" t="s">
        <v>525</v>
      </c>
      <c r="C22" s="213" t="s">
        <v>444</v>
      </c>
      <c r="D22" s="207"/>
      <c r="E22" s="207"/>
      <c r="F22" s="553"/>
      <c r="G22" s="554">
        <v>0</v>
      </c>
    </row>
    <row r="23" spans="1:7" ht="15.75">
      <c r="A23" s="247"/>
      <c r="B23" s="246" t="s">
        <v>526</v>
      </c>
      <c r="C23" s="213" t="s">
        <v>445</v>
      </c>
      <c r="D23" s="207"/>
      <c r="E23" s="207"/>
      <c r="F23" s="553">
        <v>450128.9</v>
      </c>
      <c r="G23" s="554">
        <v>680495.84</v>
      </c>
    </row>
    <row r="24" spans="1:7" ht="14.25" customHeight="1">
      <c r="A24" s="247" t="s">
        <v>484</v>
      </c>
      <c r="B24" s="241" t="s">
        <v>776</v>
      </c>
      <c r="C24" s="209" t="s">
        <v>446</v>
      </c>
      <c r="D24" s="214">
        <f>SUM(D25:D31)</f>
        <v>327</v>
      </c>
      <c r="E24" s="214">
        <f>SUM(E25:E31)</f>
        <v>0</v>
      </c>
      <c r="F24" s="50">
        <f>SUM(F25:F31)</f>
        <v>111869.3</v>
      </c>
      <c r="G24" s="51">
        <f>SUM(G25:G31)</f>
        <v>105730.21</v>
      </c>
    </row>
    <row r="25" spans="1:7" ht="15.75">
      <c r="A25" s="873"/>
      <c r="B25" s="246" t="s">
        <v>527</v>
      </c>
      <c r="C25" s="213" t="s">
        <v>447</v>
      </c>
      <c r="D25" s="207"/>
      <c r="E25" s="207"/>
      <c r="F25" s="553">
        <v>111869.3</v>
      </c>
      <c r="G25" s="554">
        <v>105730.21</v>
      </c>
    </row>
    <row r="26" spans="1:7" ht="15.75">
      <c r="A26" s="873"/>
      <c r="B26" s="246" t="s">
        <v>528</v>
      </c>
      <c r="C26" s="213" t="s">
        <v>448</v>
      </c>
      <c r="D26" s="207"/>
      <c r="E26" s="207"/>
      <c r="F26" s="553"/>
      <c r="G26" s="554"/>
    </row>
    <row r="27" spans="1:7" ht="15.75">
      <c r="A27" s="873"/>
      <c r="B27" s="243" t="s">
        <v>529</v>
      </c>
      <c r="C27" s="213" t="s">
        <v>449</v>
      </c>
      <c r="D27" s="207"/>
      <c r="E27" s="207"/>
      <c r="F27" s="553"/>
      <c r="G27" s="554"/>
    </row>
    <row r="28" spans="1:7" ht="15.75">
      <c r="A28" s="873"/>
      <c r="B28" s="243" t="s">
        <v>530</v>
      </c>
      <c r="C28" s="213" t="s">
        <v>450</v>
      </c>
      <c r="D28" s="207"/>
      <c r="E28" s="207"/>
      <c r="F28" s="553"/>
      <c r="G28" s="554"/>
    </row>
    <row r="29" spans="1:7" ht="15.75">
      <c r="A29" s="873"/>
      <c r="B29" s="243" t="s">
        <v>531</v>
      </c>
      <c r="C29" s="213" t="s">
        <v>451</v>
      </c>
      <c r="D29" s="207">
        <v>327</v>
      </c>
      <c r="E29" s="207"/>
      <c r="F29" s="553"/>
      <c r="G29" s="554"/>
    </row>
    <row r="30" spans="1:7" ht="15.75">
      <c r="A30" s="873"/>
      <c r="B30" s="243" t="s">
        <v>532</v>
      </c>
      <c r="C30" s="213" t="s">
        <v>452</v>
      </c>
      <c r="D30" s="207"/>
      <c r="E30" s="207"/>
      <c r="F30" s="553"/>
      <c r="G30" s="554"/>
    </row>
    <row r="31" spans="1:7" ht="15.75">
      <c r="A31" s="873"/>
      <c r="B31" s="243" t="s">
        <v>519</v>
      </c>
      <c r="C31" s="213" t="s">
        <v>453</v>
      </c>
      <c r="D31" s="207"/>
      <c r="E31" s="207"/>
      <c r="F31" s="553"/>
      <c r="G31" s="554"/>
    </row>
    <row r="32" spans="1:7" ht="15.75">
      <c r="A32" s="247" t="s">
        <v>495</v>
      </c>
      <c r="B32" s="241" t="s">
        <v>777</v>
      </c>
      <c r="C32" s="209" t="s">
        <v>454</v>
      </c>
      <c r="D32" s="214">
        <f>SUM(D33:D41)</f>
        <v>306</v>
      </c>
      <c r="E32" s="214">
        <f>SUM(E33:E41)</f>
        <v>0</v>
      </c>
      <c r="F32" s="50">
        <f>SUM(F33:F41)</f>
        <v>4580119.109999999</v>
      </c>
      <c r="G32" s="51">
        <f>SUM(G33:G41)</f>
        <v>4082116.6599999997</v>
      </c>
    </row>
    <row r="33" spans="1:7" ht="15.75">
      <c r="A33" s="873"/>
      <c r="B33" s="243" t="s">
        <v>517</v>
      </c>
      <c r="C33" s="213" t="s">
        <v>455</v>
      </c>
      <c r="D33" s="207">
        <v>133</v>
      </c>
      <c r="E33" s="207"/>
      <c r="F33" s="553">
        <v>1476909.82</v>
      </c>
      <c r="G33" s="554">
        <v>1476046.42</v>
      </c>
    </row>
    <row r="34" spans="1:7" ht="15.75">
      <c r="A34" s="873"/>
      <c r="B34" s="243" t="s">
        <v>533</v>
      </c>
      <c r="C34" s="213" t="s">
        <v>456</v>
      </c>
      <c r="D34" s="208">
        <v>25</v>
      </c>
      <c r="E34" s="208"/>
      <c r="F34" s="553">
        <v>1489154.89</v>
      </c>
      <c r="G34" s="554">
        <v>1190017.08</v>
      </c>
    </row>
    <row r="35" spans="1:7" ht="15.75">
      <c r="A35" s="873"/>
      <c r="B35" s="243" t="s">
        <v>534</v>
      </c>
      <c r="C35" s="213" t="s">
        <v>457</v>
      </c>
      <c r="D35" s="207"/>
      <c r="E35" s="207"/>
      <c r="F35" s="553">
        <v>883571.97</v>
      </c>
      <c r="G35" s="554">
        <v>763164.19</v>
      </c>
    </row>
    <row r="36" spans="1:7" ht="15.75">
      <c r="A36" s="873"/>
      <c r="B36" s="243" t="s">
        <v>535</v>
      </c>
      <c r="C36" s="213" t="s">
        <v>458</v>
      </c>
      <c r="D36" s="207"/>
      <c r="E36" s="207"/>
      <c r="F36" s="553">
        <v>304814.31</v>
      </c>
      <c r="G36" s="554">
        <v>346709.15</v>
      </c>
    </row>
    <row r="37" spans="1:7" ht="31.5">
      <c r="A37" s="873"/>
      <c r="B37" s="243" t="s">
        <v>536</v>
      </c>
      <c r="C37" s="213" t="s">
        <v>459</v>
      </c>
      <c r="D37" s="207"/>
      <c r="E37" s="207"/>
      <c r="F37" s="553"/>
      <c r="G37" s="554"/>
    </row>
    <row r="38" spans="1:7" ht="13.5" customHeight="1">
      <c r="A38" s="873"/>
      <c r="B38" s="243" t="s">
        <v>541</v>
      </c>
      <c r="C38" s="213" t="s">
        <v>460</v>
      </c>
      <c r="D38" s="207"/>
      <c r="E38" s="207"/>
      <c r="F38" s="553"/>
      <c r="G38" s="554"/>
    </row>
    <row r="39" spans="1:7" ht="15.75">
      <c r="A39" s="873"/>
      <c r="B39" s="243" t="s">
        <v>537</v>
      </c>
      <c r="C39" s="213" t="s">
        <v>461</v>
      </c>
      <c r="D39" s="207"/>
      <c r="E39" s="207"/>
      <c r="F39" s="553"/>
      <c r="G39" s="554"/>
    </row>
    <row r="40" spans="1:7" ht="15.75">
      <c r="A40" s="873"/>
      <c r="B40" s="243" t="s">
        <v>538</v>
      </c>
      <c r="C40" s="213" t="s">
        <v>462</v>
      </c>
      <c r="D40" s="207"/>
      <c r="E40" s="207"/>
      <c r="F40" s="553"/>
      <c r="G40" s="554"/>
    </row>
    <row r="41" spans="1:7" ht="15.75">
      <c r="A41" s="861"/>
      <c r="B41" s="243" t="s">
        <v>778</v>
      </c>
      <c r="C41" s="213" t="s">
        <v>463</v>
      </c>
      <c r="D41" s="207">
        <v>148</v>
      </c>
      <c r="E41" s="207"/>
      <c r="F41" s="553">
        <v>425668.12</v>
      </c>
      <c r="G41" s="554">
        <v>306179.82</v>
      </c>
    </row>
    <row r="42" spans="1:7" ht="15" customHeight="1">
      <c r="A42" s="249" t="s">
        <v>509</v>
      </c>
      <c r="B42" s="241" t="s">
        <v>779</v>
      </c>
      <c r="C42" s="209" t="s">
        <v>464</v>
      </c>
      <c r="D42" s="214">
        <f>SUM(D43:D45)</f>
        <v>0</v>
      </c>
      <c r="E42" s="214">
        <f>SUM(E43:E45)</f>
        <v>0</v>
      </c>
      <c r="F42" s="50">
        <f>SUM(F43:F45)</f>
        <v>0</v>
      </c>
      <c r="G42" s="51">
        <f>SUM(G43:G45)</f>
        <v>0</v>
      </c>
    </row>
    <row r="43" spans="1:7" ht="15.75">
      <c r="A43" s="873"/>
      <c r="B43" s="243" t="s">
        <v>539</v>
      </c>
      <c r="C43" s="213" t="s">
        <v>465</v>
      </c>
      <c r="D43" s="207"/>
      <c r="E43" s="207"/>
      <c r="F43" s="553"/>
      <c r="G43" s="554"/>
    </row>
    <row r="44" spans="1:7" ht="15.75">
      <c r="A44" s="873"/>
      <c r="B44" s="243" t="s">
        <v>518</v>
      </c>
      <c r="C44" s="213" t="s">
        <v>466</v>
      </c>
      <c r="D44" s="207"/>
      <c r="E44" s="207"/>
      <c r="F44" s="553"/>
      <c r="G44" s="554"/>
    </row>
    <row r="45" spans="1:7" ht="15.75">
      <c r="A45" s="861"/>
      <c r="B45" s="243" t="s">
        <v>780</v>
      </c>
      <c r="C45" s="213" t="s">
        <v>467</v>
      </c>
      <c r="D45" s="207"/>
      <c r="E45" s="207"/>
      <c r="F45" s="553"/>
      <c r="G45" s="554"/>
    </row>
    <row r="46" spans="1:7" ht="14.25" customHeight="1">
      <c r="A46" s="899" t="s">
        <v>781</v>
      </c>
      <c r="B46" s="900"/>
      <c r="C46" s="204" t="s">
        <v>468</v>
      </c>
      <c r="D46" s="215">
        <f>SUM(D47:D48)</f>
        <v>77272</v>
      </c>
      <c r="E46" s="215">
        <f>SUM(E47:E48)</f>
        <v>0</v>
      </c>
      <c r="F46" s="50">
        <f>SUM(F47:F48)</f>
        <v>40156331.96</v>
      </c>
      <c r="G46" s="51">
        <f>SUM(G47:G48)</f>
        <v>41773405.14</v>
      </c>
    </row>
    <row r="47" spans="1:7" ht="14.25" customHeight="1">
      <c r="A47" s="873"/>
      <c r="B47" s="243" t="s">
        <v>540</v>
      </c>
      <c r="C47" s="213" t="s">
        <v>469</v>
      </c>
      <c r="D47" s="207"/>
      <c r="E47" s="207"/>
      <c r="F47" s="553"/>
      <c r="G47" s="554"/>
    </row>
    <row r="48" spans="1:7" ht="15.75">
      <c r="A48" s="873"/>
      <c r="B48" s="243" t="s">
        <v>782</v>
      </c>
      <c r="C48" s="213" t="s">
        <v>470</v>
      </c>
      <c r="D48" s="207">
        <v>77272</v>
      </c>
      <c r="E48" s="207"/>
      <c r="F48" s="553">
        <v>40156331.96</v>
      </c>
      <c r="G48" s="554">
        <v>41773405.14</v>
      </c>
    </row>
    <row r="49" spans="1:7" ht="17.25" customHeight="1">
      <c r="A49" s="901" t="s">
        <v>783</v>
      </c>
      <c r="B49" s="902"/>
      <c r="C49" s="216" t="s">
        <v>471</v>
      </c>
      <c r="D49" s="217">
        <f>D6+D19</f>
        <v>285885</v>
      </c>
      <c r="E49" s="217">
        <f>E6+E19</f>
        <v>0</v>
      </c>
      <c r="F49" s="50">
        <f>F6+F19+F46</f>
        <v>83279962.4</v>
      </c>
      <c r="G49" s="51">
        <f>G6+G19+G46</f>
        <v>83966662.62</v>
      </c>
    </row>
    <row r="50" spans="1:7" ht="18" customHeight="1">
      <c r="A50" s="218"/>
      <c r="B50" s="218"/>
      <c r="C50" s="219"/>
      <c r="D50" s="218"/>
      <c r="E50" s="218"/>
      <c r="F50" s="220"/>
      <c r="G50" s="221"/>
    </row>
    <row r="51" spans="1:7" ht="18" customHeight="1">
      <c r="A51" s="218"/>
      <c r="B51" s="218"/>
      <c r="C51" s="219"/>
      <c r="D51" s="218"/>
      <c r="E51" s="218"/>
      <c r="F51" s="220"/>
      <c r="G51" s="19"/>
    </row>
    <row r="52" spans="1:7" ht="18" customHeight="1">
      <c r="A52" s="218"/>
      <c r="B52" s="218"/>
      <c r="C52" s="218"/>
      <c r="D52" s="218"/>
      <c r="E52" s="218"/>
      <c r="F52" s="220"/>
      <c r="G52" s="221"/>
    </row>
    <row r="53" spans="1:7" ht="18" customHeight="1">
      <c r="A53" s="218"/>
      <c r="B53" s="218"/>
      <c r="C53" s="218"/>
      <c r="D53" s="218"/>
      <c r="E53" s="218"/>
      <c r="F53" s="220"/>
      <c r="G53" s="221"/>
    </row>
    <row r="54" ht="18" customHeight="1"/>
  </sheetData>
  <sheetProtection/>
  <mergeCells count="17">
    <mergeCell ref="A46:B46"/>
    <mergeCell ref="A47:A48"/>
    <mergeCell ref="A49:B49"/>
    <mergeCell ref="A2:G2"/>
    <mergeCell ref="A1:G1"/>
    <mergeCell ref="A8:A10"/>
    <mergeCell ref="A14:A16"/>
    <mergeCell ref="A19:B19"/>
    <mergeCell ref="A25:A31"/>
    <mergeCell ref="A33:A41"/>
    <mergeCell ref="A43:A45"/>
    <mergeCell ref="A3:B4"/>
    <mergeCell ref="C3:C4"/>
    <mergeCell ref="D3:F4"/>
    <mergeCell ref="G3:G4"/>
    <mergeCell ref="A5:B5"/>
    <mergeCell ref="A6:B6"/>
  </mergeCells>
  <printOptions horizontalCentered="1" verticalCentered="1"/>
  <pageMargins left="0.35433070866141736" right="0.31496062992125984" top="0.5118110236220472" bottom="0.35" header="0.5118110236220472" footer="0.35433070866141736"/>
  <pageSetup fitToHeight="1" fitToWidth="1" horizontalDpi="600" verticalDpi="600" orientation="landscape" paperSize="9" scale="59" r:id="rId1"/>
</worksheet>
</file>

<file path=xl/worksheets/sheet26.xml><?xml version="1.0" encoding="utf-8"?>
<worksheet xmlns="http://schemas.openxmlformats.org/spreadsheetml/2006/main" xmlns:r="http://schemas.openxmlformats.org/officeDocument/2006/relationships">
  <dimension ref="A1:F67"/>
  <sheetViews>
    <sheetView zoomScalePageLayoutView="0" workbookViewId="0" topLeftCell="A1">
      <selection activeCell="A1" sqref="A1:F1"/>
    </sheetView>
  </sheetViews>
  <sheetFormatPr defaultColWidth="9.140625" defaultRowHeight="12.75"/>
  <cols>
    <col min="1" max="1" width="60.8515625" style="0" customWidth="1"/>
    <col min="2" max="2" width="8.8515625" style="0" customWidth="1"/>
    <col min="3" max="3" width="13.140625" style="0" customWidth="1"/>
    <col min="4" max="4" width="14.7109375" style="0" customWidth="1"/>
    <col min="5" max="5" width="14.28125" style="0" customWidth="1"/>
    <col min="6" max="6" width="13.7109375" style="0" customWidth="1"/>
  </cols>
  <sheetData>
    <row r="1" spans="1:6" ht="45.75" customHeight="1">
      <c r="A1" s="760" t="s">
        <v>426</v>
      </c>
      <c r="B1" s="761"/>
      <c r="C1" s="761"/>
      <c r="D1" s="761"/>
      <c r="E1" s="761"/>
      <c r="F1" s="909"/>
    </row>
    <row r="2" spans="1:6" ht="19.5" customHeight="1">
      <c r="A2" s="908" t="s">
        <v>294</v>
      </c>
      <c r="B2" s="908"/>
      <c r="C2" s="908"/>
      <c r="D2" s="908"/>
      <c r="E2" s="908"/>
      <c r="F2" s="908"/>
    </row>
    <row r="3" spans="1:6" ht="42" customHeight="1">
      <c r="A3" s="185" t="s">
        <v>302</v>
      </c>
      <c r="B3" s="186" t="s">
        <v>303</v>
      </c>
      <c r="C3" s="193" t="s">
        <v>472</v>
      </c>
      <c r="D3" s="186" t="s">
        <v>422</v>
      </c>
      <c r="E3" s="186" t="s">
        <v>423</v>
      </c>
      <c r="F3" s="186" t="s">
        <v>424</v>
      </c>
    </row>
    <row r="4" spans="1:6" ht="15.75">
      <c r="A4" s="187" t="s">
        <v>304</v>
      </c>
      <c r="B4" s="187" t="s">
        <v>305</v>
      </c>
      <c r="C4" s="188"/>
      <c r="D4" s="188"/>
      <c r="E4" s="188"/>
      <c r="F4" s="188"/>
    </row>
    <row r="5" spans="1:6" ht="15.75">
      <c r="A5" s="192" t="s">
        <v>306</v>
      </c>
      <c r="B5" s="187" t="s">
        <v>307</v>
      </c>
      <c r="C5" s="188"/>
      <c r="D5" s="188"/>
      <c r="E5" s="188"/>
      <c r="F5" s="188"/>
    </row>
    <row r="6" spans="1:6" ht="15.75">
      <c r="A6" s="187" t="s">
        <v>308</v>
      </c>
      <c r="B6" s="187" t="s">
        <v>309</v>
      </c>
      <c r="C6" s="188"/>
      <c r="D6" s="188"/>
      <c r="E6" s="188"/>
      <c r="F6" s="188"/>
    </row>
    <row r="7" spans="1:6" ht="15.75">
      <c r="A7" s="187" t="s">
        <v>310</v>
      </c>
      <c r="B7" s="187" t="s">
        <v>311</v>
      </c>
      <c r="C7" s="188"/>
      <c r="D7" s="188"/>
      <c r="E7" s="188"/>
      <c r="F7" s="188"/>
    </row>
    <row r="8" spans="1:6" ht="15.75">
      <c r="A8" s="191" t="s">
        <v>427</v>
      </c>
      <c r="B8" s="187" t="s">
        <v>312</v>
      </c>
      <c r="C8" s="188"/>
      <c r="D8" s="188"/>
      <c r="E8" s="188"/>
      <c r="F8" s="188"/>
    </row>
    <row r="9" spans="1:6" ht="15.75">
      <c r="A9" s="187" t="s">
        <v>313</v>
      </c>
      <c r="B9" s="187" t="s">
        <v>314</v>
      </c>
      <c r="C9" s="188"/>
      <c r="D9" s="188"/>
      <c r="E9" s="188"/>
      <c r="F9" s="188"/>
    </row>
    <row r="10" spans="1:6" ht="15.75">
      <c r="A10" s="187" t="s">
        <v>315</v>
      </c>
      <c r="B10" s="187" t="s">
        <v>316</v>
      </c>
      <c r="C10" s="188"/>
      <c r="D10" s="188"/>
      <c r="E10" s="188"/>
      <c r="F10" s="188"/>
    </row>
    <row r="11" spans="1:6" ht="15.75">
      <c r="A11" s="187" t="s">
        <v>317</v>
      </c>
      <c r="B11" s="187" t="s">
        <v>318</v>
      </c>
      <c r="C11" s="188"/>
      <c r="D11" s="188"/>
      <c r="E11" s="188"/>
      <c r="F11" s="188"/>
    </row>
    <row r="12" spans="1:6" ht="15.75">
      <c r="A12" s="192" t="s">
        <v>319</v>
      </c>
      <c r="B12" s="187" t="s">
        <v>320</v>
      </c>
      <c r="C12" s="188"/>
      <c r="D12" s="188"/>
      <c r="E12" s="188"/>
      <c r="F12" s="188"/>
    </row>
    <row r="13" spans="1:6" ht="15.75">
      <c r="A13" s="187" t="s">
        <v>321</v>
      </c>
      <c r="B13" s="187" t="s">
        <v>322</v>
      </c>
      <c r="C13" s="188"/>
      <c r="D13" s="188"/>
      <c r="E13" s="188"/>
      <c r="F13" s="188"/>
    </row>
    <row r="14" spans="1:6" ht="15.75">
      <c r="A14" s="187" t="s">
        <v>323</v>
      </c>
      <c r="B14" s="187" t="s">
        <v>324</v>
      </c>
      <c r="C14" s="188"/>
      <c r="D14" s="188"/>
      <c r="E14" s="188"/>
      <c r="F14" s="188"/>
    </row>
    <row r="15" spans="1:6" ht="15.75">
      <c r="A15" s="187" t="s">
        <v>325</v>
      </c>
      <c r="B15" s="187" t="s">
        <v>326</v>
      </c>
      <c r="C15" s="188"/>
      <c r="D15" s="188"/>
      <c r="E15" s="188"/>
      <c r="F15" s="188"/>
    </row>
    <row r="16" spans="1:6" ht="15.75">
      <c r="A16" s="187" t="s">
        <v>327</v>
      </c>
      <c r="B16" s="187" t="s">
        <v>328</v>
      </c>
      <c r="C16" s="188"/>
      <c r="D16" s="188"/>
      <c r="E16" s="188"/>
      <c r="F16" s="188"/>
    </row>
    <row r="17" spans="1:6" ht="15.75">
      <c r="A17" s="187" t="s">
        <v>329</v>
      </c>
      <c r="B17" s="187" t="s">
        <v>330</v>
      </c>
      <c r="C17" s="188"/>
      <c r="D17" s="188"/>
      <c r="E17" s="188"/>
      <c r="F17" s="188"/>
    </row>
    <row r="18" spans="1:6" ht="15.75">
      <c r="A18" s="187" t="s">
        <v>331</v>
      </c>
      <c r="B18" s="187" t="s">
        <v>332</v>
      </c>
      <c r="C18" s="188"/>
      <c r="D18" s="188"/>
      <c r="E18" s="188"/>
      <c r="F18" s="188"/>
    </row>
    <row r="19" spans="1:6" ht="15.75">
      <c r="A19" s="187" t="s">
        <v>333</v>
      </c>
      <c r="B19" s="187" t="s">
        <v>334</v>
      </c>
      <c r="C19" s="188"/>
      <c r="D19" s="188"/>
      <c r="E19" s="188"/>
      <c r="F19" s="188"/>
    </row>
    <row r="20" spans="1:6" ht="15.75">
      <c r="A20" s="187" t="s">
        <v>335</v>
      </c>
      <c r="B20" s="187" t="s">
        <v>336</v>
      </c>
      <c r="C20" s="188"/>
      <c r="D20" s="188"/>
      <c r="E20" s="188"/>
      <c r="F20" s="188"/>
    </row>
    <row r="21" spans="1:6" ht="15.75">
      <c r="A21" s="187" t="s">
        <v>337</v>
      </c>
      <c r="B21" s="187" t="s">
        <v>338</v>
      </c>
      <c r="C21" s="188"/>
      <c r="D21" s="188"/>
      <c r="E21" s="188"/>
      <c r="F21" s="188"/>
    </row>
    <row r="22" spans="1:6" ht="15.75">
      <c r="A22" s="187" t="s">
        <v>339</v>
      </c>
      <c r="B22" s="187" t="s">
        <v>340</v>
      </c>
      <c r="C22" s="188"/>
      <c r="D22" s="188"/>
      <c r="E22" s="188"/>
      <c r="F22" s="188"/>
    </row>
    <row r="23" spans="1:6" ht="15.75">
      <c r="A23" s="187" t="s">
        <v>341</v>
      </c>
      <c r="B23" s="187" t="s">
        <v>342</v>
      </c>
      <c r="C23" s="188"/>
      <c r="D23" s="188"/>
      <c r="E23" s="188"/>
      <c r="F23" s="188"/>
    </row>
    <row r="24" spans="1:6" ht="15.75">
      <c r="A24" s="192" t="s">
        <v>343</v>
      </c>
      <c r="B24" s="187" t="s">
        <v>344</v>
      </c>
      <c r="C24" s="188"/>
      <c r="D24" s="188"/>
      <c r="E24" s="188"/>
      <c r="F24" s="188"/>
    </row>
    <row r="25" spans="1:6" ht="15.75">
      <c r="A25" s="187" t="s">
        <v>345</v>
      </c>
      <c r="B25" s="187" t="s">
        <v>346</v>
      </c>
      <c r="C25" s="188"/>
      <c r="D25" s="188"/>
      <c r="E25" s="188"/>
      <c r="F25" s="188"/>
    </row>
    <row r="26" spans="1:6" ht="15.75">
      <c r="A26" s="187" t="s">
        <v>347</v>
      </c>
      <c r="B26" s="187" t="s">
        <v>348</v>
      </c>
      <c r="C26" s="188"/>
      <c r="D26" s="188"/>
      <c r="E26" s="188"/>
      <c r="F26" s="188"/>
    </row>
    <row r="27" spans="1:6" ht="15.75">
      <c r="A27" s="187" t="s">
        <v>349</v>
      </c>
      <c r="B27" s="187" t="s">
        <v>350</v>
      </c>
      <c r="C27" s="188"/>
      <c r="D27" s="188"/>
      <c r="E27" s="188"/>
      <c r="F27" s="188"/>
    </row>
    <row r="28" spans="1:6" ht="15.75">
      <c r="A28" s="187" t="s">
        <v>351</v>
      </c>
      <c r="B28" s="187" t="s">
        <v>352</v>
      </c>
      <c r="C28" s="188"/>
      <c r="D28" s="188"/>
      <c r="E28" s="188"/>
      <c r="F28" s="188"/>
    </row>
    <row r="29" spans="1:6" ht="15.75">
      <c r="A29" s="187" t="s">
        <v>353</v>
      </c>
      <c r="B29" s="187" t="s">
        <v>354</v>
      </c>
      <c r="C29" s="188"/>
      <c r="D29" s="188"/>
      <c r="E29" s="188"/>
      <c r="F29" s="188"/>
    </row>
    <row r="30" spans="1:6" ht="15.75">
      <c r="A30" s="187" t="s">
        <v>355</v>
      </c>
      <c r="B30" s="187" t="s">
        <v>356</v>
      </c>
      <c r="C30" s="188"/>
      <c r="D30" s="188"/>
      <c r="E30" s="188"/>
      <c r="F30" s="188"/>
    </row>
    <row r="31" spans="1:6" ht="15.75">
      <c r="A31" s="187" t="s">
        <v>357</v>
      </c>
      <c r="B31" s="187" t="s">
        <v>358</v>
      </c>
      <c r="C31" s="188"/>
      <c r="D31" s="188"/>
      <c r="E31" s="188"/>
      <c r="F31" s="188"/>
    </row>
    <row r="32" spans="1:6" ht="15.75">
      <c r="A32" s="187" t="s">
        <v>359</v>
      </c>
      <c r="B32" s="187" t="s">
        <v>360</v>
      </c>
      <c r="C32" s="188"/>
      <c r="D32" s="188"/>
      <c r="E32" s="188"/>
      <c r="F32" s="188"/>
    </row>
    <row r="33" spans="1:6" ht="15.75">
      <c r="A33" s="192" t="s">
        <v>361</v>
      </c>
      <c r="B33" s="187" t="s">
        <v>362</v>
      </c>
      <c r="C33" s="188"/>
      <c r="D33" s="188"/>
      <c r="E33" s="188"/>
      <c r="F33" s="188"/>
    </row>
    <row r="34" spans="1:6" ht="15.75">
      <c r="A34" s="187" t="s">
        <v>363</v>
      </c>
      <c r="B34" s="187" t="s">
        <v>364</v>
      </c>
      <c r="C34" s="188"/>
      <c r="D34" s="188"/>
      <c r="E34" s="188"/>
      <c r="F34" s="188"/>
    </row>
    <row r="35" spans="1:6" ht="15.75">
      <c r="A35" s="187" t="s">
        <v>365</v>
      </c>
      <c r="B35" s="187" t="s">
        <v>366</v>
      </c>
      <c r="C35" s="188"/>
      <c r="D35" s="188"/>
      <c r="E35" s="188"/>
      <c r="F35" s="188"/>
    </row>
    <row r="36" spans="1:6" ht="15.75">
      <c r="A36" s="187" t="s">
        <v>367</v>
      </c>
      <c r="B36" s="187" t="s">
        <v>368</v>
      </c>
      <c r="C36" s="188"/>
      <c r="D36" s="188"/>
      <c r="E36" s="188"/>
      <c r="F36" s="188"/>
    </row>
    <row r="37" spans="1:6" ht="15.75">
      <c r="A37" s="187" t="s">
        <v>369</v>
      </c>
      <c r="B37" s="187" t="s">
        <v>370</v>
      </c>
      <c r="C37" s="188"/>
      <c r="D37" s="188"/>
      <c r="E37" s="188"/>
      <c r="F37" s="188"/>
    </row>
    <row r="38" spans="1:6" ht="15.75">
      <c r="A38" s="187" t="s">
        <v>371</v>
      </c>
      <c r="B38" s="187" t="s">
        <v>372</v>
      </c>
      <c r="C38" s="188"/>
      <c r="D38" s="188"/>
      <c r="E38" s="188"/>
      <c r="F38" s="188"/>
    </row>
    <row r="39" spans="1:6" ht="15.75">
      <c r="A39" s="187" t="s">
        <v>373</v>
      </c>
      <c r="B39" s="187" t="s">
        <v>374</v>
      </c>
      <c r="C39" s="188"/>
      <c r="D39" s="188"/>
      <c r="E39" s="188"/>
      <c r="F39" s="188"/>
    </row>
    <row r="40" spans="1:6" ht="15.75">
      <c r="A40" s="192" t="s">
        <v>375</v>
      </c>
      <c r="B40" s="187" t="s">
        <v>376</v>
      </c>
      <c r="C40" s="188"/>
      <c r="D40" s="188"/>
      <c r="E40" s="188"/>
      <c r="F40" s="188"/>
    </row>
    <row r="41" spans="1:6" ht="15.75">
      <c r="A41" s="187" t="s">
        <v>377</v>
      </c>
      <c r="B41" s="187" t="s">
        <v>378</v>
      </c>
      <c r="C41" s="188"/>
      <c r="D41" s="188"/>
      <c r="E41" s="188"/>
      <c r="F41" s="188"/>
    </row>
    <row r="42" spans="1:6" ht="15.75">
      <c r="A42" s="187" t="s">
        <v>379</v>
      </c>
      <c r="B42" s="187" t="s">
        <v>380</v>
      </c>
      <c r="C42" s="188"/>
      <c r="D42" s="188"/>
      <c r="E42" s="188"/>
      <c r="F42" s="188"/>
    </row>
    <row r="43" spans="1:6" ht="15.75">
      <c r="A43" s="187" t="s">
        <v>381</v>
      </c>
      <c r="B43" s="187" t="s">
        <v>382</v>
      </c>
      <c r="C43" s="188"/>
      <c r="D43" s="188"/>
      <c r="E43" s="188"/>
      <c r="F43" s="188"/>
    </row>
    <row r="44" spans="1:6" ht="15.75">
      <c r="A44" s="187" t="s">
        <v>383</v>
      </c>
      <c r="B44" s="187" t="s">
        <v>384</v>
      </c>
      <c r="C44" s="188"/>
      <c r="D44" s="188"/>
      <c r="E44" s="188"/>
      <c r="F44" s="188"/>
    </row>
    <row r="45" spans="1:6" ht="15.75">
      <c r="A45" s="192" t="s">
        <v>385</v>
      </c>
      <c r="B45" s="187" t="s">
        <v>386</v>
      </c>
      <c r="C45" s="188"/>
      <c r="D45" s="188"/>
      <c r="E45" s="188"/>
      <c r="F45" s="188"/>
    </row>
    <row r="46" spans="1:6" ht="15.75">
      <c r="A46" s="187" t="s">
        <v>387</v>
      </c>
      <c r="B46" s="187" t="s">
        <v>388</v>
      </c>
      <c r="C46" s="188"/>
      <c r="D46" s="188"/>
      <c r="E46" s="188"/>
      <c r="F46" s="188"/>
    </row>
    <row r="47" spans="1:6" ht="15.75">
      <c r="A47" s="187" t="s">
        <v>379</v>
      </c>
      <c r="B47" s="187" t="s">
        <v>389</v>
      </c>
      <c r="C47" s="188"/>
      <c r="D47" s="188"/>
      <c r="E47" s="188"/>
      <c r="F47" s="188"/>
    </row>
    <row r="48" spans="1:6" ht="15.75">
      <c r="A48" s="187" t="s">
        <v>390</v>
      </c>
      <c r="B48" s="187" t="s">
        <v>391</v>
      </c>
      <c r="C48" s="188"/>
      <c r="D48" s="188"/>
      <c r="E48" s="188"/>
      <c r="F48" s="188"/>
    </row>
    <row r="49" spans="1:6" ht="15.75">
      <c r="A49" s="187" t="s">
        <v>392</v>
      </c>
      <c r="B49" s="187" t="s">
        <v>393</v>
      </c>
      <c r="C49" s="188"/>
      <c r="D49" s="188"/>
      <c r="E49" s="188"/>
      <c r="F49" s="188"/>
    </row>
    <row r="50" spans="1:6" ht="15.75">
      <c r="A50" s="187" t="s">
        <v>394</v>
      </c>
      <c r="B50" s="187" t="s">
        <v>395</v>
      </c>
      <c r="C50" s="188"/>
      <c r="D50" s="188"/>
      <c r="E50" s="188"/>
      <c r="F50" s="188"/>
    </row>
    <row r="51" spans="1:6" ht="15.75">
      <c r="A51" s="187" t="s">
        <v>381</v>
      </c>
      <c r="B51" s="187" t="s">
        <v>396</v>
      </c>
      <c r="C51" s="188"/>
      <c r="D51" s="188"/>
      <c r="E51" s="188"/>
      <c r="F51" s="188"/>
    </row>
    <row r="52" spans="1:6" ht="15.75">
      <c r="A52" s="187" t="s">
        <v>397</v>
      </c>
      <c r="B52" s="187" t="s">
        <v>398</v>
      </c>
      <c r="C52" s="188"/>
      <c r="D52" s="188"/>
      <c r="E52" s="188"/>
      <c r="F52" s="188"/>
    </row>
    <row r="53" spans="1:6" ht="15.75">
      <c r="A53" s="187" t="s">
        <v>383</v>
      </c>
      <c r="B53" s="187" t="s">
        <v>399</v>
      </c>
      <c r="C53" s="188"/>
      <c r="D53" s="188"/>
      <c r="E53" s="188"/>
      <c r="F53" s="188"/>
    </row>
    <row r="54" spans="1:6" ht="15.75">
      <c r="A54" s="192" t="s">
        <v>400</v>
      </c>
      <c r="B54" s="187" t="s">
        <v>401</v>
      </c>
      <c r="C54" s="188"/>
      <c r="D54" s="188"/>
      <c r="E54" s="188"/>
      <c r="F54" s="188"/>
    </row>
    <row r="55" spans="1:6" ht="15.75">
      <c r="A55" s="187" t="s">
        <v>402</v>
      </c>
      <c r="B55" s="187" t="s">
        <v>403</v>
      </c>
      <c r="C55" s="188"/>
      <c r="D55" s="188"/>
      <c r="E55" s="188"/>
      <c r="F55" s="188"/>
    </row>
    <row r="56" spans="1:6" ht="15.75">
      <c r="A56" s="187" t="s">
        <v>404</v>
      </c>
      <c r="B56" s="187" t="s">
        <v>405</v>
      </c>
      <c r="C56" s="188"/>
      <c r="D56" s="188"/>
      <c r="E56" s="188"/>
      <c r="F56" s="188"/>
    </row>
    <row r="57" spans="1:6" ht="15.75">
      <c r="A57" s="187" t="s">
        <v>406</v>
      </c>
      <c r="B57" s="187" t="s">
        <v>407</v>
      </c>
      <c r="C57" s="188"/>
      <c r="D57" s="188"/>
      <c r="E57" s="188"/>
      <c r="F57" s="188"/>
    </row>
    <row r="58" spans="1:6" ht="15.75">
      <c r="A58" s="187" t="s">
        <v>408</v>
      </c>
      <c r="B58" s="187" t="s">
        <v>409</v>
      </c>
      <c r="C58" s="188"/>
      <c r="D58" s="188"/>
      <c r="E58" s="188"/>
      <c r="F58" s="188"/>
    </row>
    <row r="59" spans="1:6" ht="15.75">
      <c r="A59" s="187" t="s">
        <v>410</v>
      </c>
      <c r="B59" s="187" t="s">
        <v>411</v>
      </c>
      <c r="C59" s="188"/>
      <c r="D59" s="188"/>
      <c r="E59" s="188"/>
      <c r="F59" s="188"/>
    </row>
    <row r="60" spans="1:6" ht="15.75">
      <c r="A60" s="187" t="s">
        <v>412</v>
      </c>
      <c r="B60" s="187" t="s">
        <v>413</v>
      </c>
      <c r="C60" s="188"/>
      <c r="D60" s="188"/>
      <c r="E60" s="188"/>
      <c r="F60" s="188"/>
    </row>
    <row r="61" spans="1:6" ht="15.75">
      <c r="A61" s="192" t="s">
        <v>414</v>
      </c>
      <c r="B61" s="187" t="s">
        <v>415</v>
      </c>
      <c r="C61" s="188"/>
      <c r="D61" s="188"/>
      <c r="E61" s="188"/>
      <c r="F61" s="188"/>
    </row>
    <row r="62" spans="1:6" ht="15.75">
      <c r="A62" s="187" t="s">
        <v>416</v>
      </c>
      <c r="B62" s="187" t="s">
        <v>417</v>
      </c>
      <c r="C62" s="188"/>
      <c r="D62" s="188"/>
      <c r="E62" s="188"/>
      <c r="F62" s="188"/>
    </row>
    <row r="63" spans="1:6" ht="15.75">
      <c r="A63" s="187" t="s">
        <v>418</v>
      </c>
      <c r="B63" s="187" t="s">
        <v>419</v>
      </c>
      <c r="C63" s="188"/>
      <c r="D63" s="188"/>
      <c r="E63" s="188"/>
      <c r="F63" s="188"/>
    </row>
    <row r="64" spans="1:6" ht="15.75">
      <c r="A64" s="189" t="s">
        <v>420</v>
      </c>
      <c r="B64" s="190"/>
      <c r="C64" s="188"/>
      <c r="D64" s="188"/>
      <c r="E64" s="188"/>
      <c r="F64" s="188"/>
    </row>
    <row r="65" spans="1:6" ht="15.75">
      <c r="A65" s="90"/>
      <c r="B65" s="90"/>
      <c r="C65" s="90"/>
      <c r="D65" s="90"/>
      <c r="E65" s="90"/>
      <c r="F65" s="90"/>
    </row>
    <row r="66" spans="1:6" ht="15.75">
      <c r="A66" s="90"/>
      <c r="B66" s="90"/>
      <c r="C66" s="90"/>
      <c r="D66" s="90"/>
      <c r="E66" s="90"/>
      <c r="F66" s="90"/>
    </row>
    <row r="67" spans="1:6" ht="15.75">
      <c r="A67" s="90"/>
      <c r="B67" s="90"/>
      <c r="C67" s="90"/>
      <c r="D67" s="90"/>
      <c r="E67" s="90"/>
      <c r="F67" s="90"/>
    </row>
  </sheetData>
  <sheetProtection/>
  <mergeCells count="2">
    <mergeCell ref="A2:F2"/>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2"/>
  </sheetPr>
  <dimension ref="A1:I62"/>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G68" sqref="G68"/>
    </sheetView>
  </sheetViews>
  <sheetFormatPr defaultColWidth="9.140625" defaultRowHeight="12.75"/>
  <cols>
    <col min="1" max="1" width="7.8515625" style="3" customWidth="1"/>
    <col min="2" max="2" width="71.140625" style="131" customWidth="1"/>
    <col min="3" max="3" width="16.421875" style="132" customWidth="1"/>
    <col min="4" max="4" width="16.57421875" style="132" customWidth="1"/>
    <col min="5" max="5" width="16.421875" style="132" customWidth="1"/>
    <col min="6" max="6" width="19.140625" style="528" customWidth="1"/>
    <col min="7" max="7" width="16.8515625" style="132" customWidth="1"/>
    <col min="8" max="8" width="17.28125" style="132" customWidth="1"/>
    <col min="9" max="9" width="16.57421875" style="1" customWidth="1"/>
    <col min="10" max="16384" width="9.140625" style="1" customWidth="1"/>
  </cols>
  <sheetData>
    <row r="1" spans="1:8" ht="34.5" customHeight="1">
      <c r="A1" s="640" t="s">
        <v>850</v>
      </c>
      <c r="B1" s="641"/>
      <c r="C1" s="641"/>
      <c r="D1" s="641"/>
      <c r="E1" s="641"/>
      <c r="F1" s="641"/>
      <c r="G1" s="641"/>
      <c r="H1" s="642"/>
    </row>
    <row r="2" spans="1:8" ht="31.5" customHeight="1">
      <c r="A2" s="624" t="s">
        <v>953</v>
      </c>
      <c r="B2" s="625"/>
      <c r="C2" s="625"/>
      <c r="D2" s="625"/>
      <c r="E2" s="625"/>
      <c r="F2" s="625"/>
      <c r="G2" s="625"/>
      <c r="H2" s="626"/>
    </row>
    <row r="3" spans="1:8" ht="24" customHeight="1">
      <c r="A3" s="643" t="s">
        <v>149</v>
      </c>
      <c r="B3" s="644" t="s">
        <v>234</v>
      </c>
      <c r="C3" s="645">
        <v>2013</v>
      </c>
      <c r="D3" s="646"/>
      <c r="E3" s="645">
        <v>2014</v>
      </c>
      <c r="F3" s="646"/>
      <c r="G3" s="645" t="s">
        <v>851</v>
      </c>
      <c r="H3" s="647"/>
    </row>
    <row r="4" spans="1:8" s="10" customFormat="1" ht="31.5">
      <c r="A4" s="643"/>
      <c r="B4" s="644"/>
      <c r="C4" s="14" t="s">
        <v>235</v>
      </c>
      <c r="D4" s="14" t="s">
        <v>236</v>
      </c>
      <c r="E4" s="14" t="s">
        <v>235</v>
      </c>
      <c r="F4" s="526" t="s">
        <v>236</v>
      </c>
      <c r="G4" s="14" t="s">
        <v>235</v>
      </c>
      <c r="H4" s="29" t="s">
        <v>236</v>
      </c>
    </row>
    <row r="5" spans="1:8" s="10" customFormat="1" ht="15.75">
      <c r="A5" s="30"/>
      <c r="B5" s="45"/>
      <c r="C5" s="14" t="s">
        <v>199</v>
      </c>
      <c r="D5" s="14" t="s">
        <v>200</v>
      </c>
      <c r="E5" s="14" t="s">
        <v>201</v>
      </c>
      <c r="F5" s="526" t="s">
        <v>207</v>
      </c>
      <c r="G5" s="14" t="s">
        <v>15</v>
      </c>
      <c r="H5" s="29" t="s">
        <v>16</v>
      </c>
    </row>
    <row r="6" spans="1:8" ht="15.75">
      <c r="A6" s="33">
        <v>1</v>
      </c>
      <c r="B6" s="64" t="s">
        <v>175</v>
      </c>
      <c r="C6" s="61">
        <f>SUM(C7:C10)</f>
        <v>133880.94</v>
      </c>
      <c r="D6" s="61">
        <f>SUM(D7:D10)</f>
        <v>329522.19</v>
      </c>
      <c r="E6" s="61">
        <f>SUM(E7:E10)</f>
        <v>164469.81000000003</v>
      </c>
      <c r="F6" s="61">
        <f>SUM(F7:F10)</f>
        <v>363769.76</v>
      </c>
      <c r="G6" s="166">
        <f>E6-C6</f>
        <v>30588.870000000024</v>
      </c>
      <c r="H6" s="167">
        <f>F6-D6/30.126</f>
        <v>352831.6271579367</v>
      </c>
    </row>
    <row r="7" spans="1:8" ht="15.75">
      <c r="A7" s="33">
        <f>A6+1</f>
        <v>2</v>
      </c>
      <c r="B7" s="440" t="s">
        <v>191</v>
      </c>
      <c r="C7" s="147"/>
      <c r="D7" s="147"/>
      <c r="E7" s="147"/>
      <c r="F7" s="147"/>
      <c r="G7" s="166">
        <f aca="true" t="shared" si="0" ref="G7:H59">E7-C7</f>
        <v>0</v>
      </c>
      <c r="H7" s="167">
        <f>F7-D7/30.126</f>
        <v>0</v>
      </c>
    </row>
    <row r="8" spans="1:8" ht="15.75">
      <c r="A8" s="33">
        <f aca="true" t="shared" si="1" ref="A8:A59">A7+1</f>
        <v>3</v>
      </c>
      <c r="B8" s="440" t="s">
        <v>212</v>
      </c>
      <c r="C8" s="147"/>
      <c r="D8" s="147"/>
      <c r="E8" s="147"/>
      <c r="F8" s="147"/>
      <c r="G8" s="166">
        <f t="shared" si="0"/>
        <v>0</v>
      </c>
      <c r="H8" s="167">
        <f>F8-D8/30.126</f>
        <v>0</v>
      </c>
    </row>
    <row r="9" spans="1:8" ht="15.75">
      <c r="A9" s="33">
        <f t="shared" si="1"/>
        <v>4</v>
      </c>
      <c r="B9" s="440" t="s">
        <v>28</v>
      </c>
      <c r="C9" s="147">
        <v>130965.32</v>
      </c>
      <c r="D9" s="147">
        <v>325351.28</v>
      </c>
      <c r="E9" s="147">
        <v>162428.17</v>
      </c>
      <c r="F9" s="147">
        <v>361125.7</v>
      </c>
      <c r="G9" s="166">
        <f t="shared" si="0"/>
        <v>31462.850000000006</v>
      </c>
      <c r="H9" s="167">
        <f t="shared" si="0"/>
        <v>35774.419999999984</v>
      </c>
    </row>
    <row r="10" spans="1:8" ht="15.75">
      <c r="A10" s="33">
        <f t="shared" si="1"/>
        <v>5</v>
      </c>
      <c r="B10" s="440" t="s">
        <v>211</v>
      </c>
      <c r="C10" s="147">
        <v>2915.62</v>
      </c>
      <c r="D10" s="147">
        <v>4170.91</v>
      </c>
      <c r="E10" s="147">
        <v>2041.64</v>
      </c>
      <c r="F10" s="147">
        <v>2644.06</v>
      </c>
      <c r="G10" s="166">
        <f t="shared" si="0"/>
        <v>-873.9799999999998</v>
      </c>
      <c r="H10" s="167">
        <f t="shared" si="0"/>
        <v>-1526.85</v>
      </c>
    </row>
    <row r="11" spans="1:8" ht="15.75">
      <c r="A11" s="33">
        <f t="shared" si="1"/>
        <v>6</v>
      </c>
      <c r="B11" s="485" t="s">
        <v>855</v>
      </c>
      <c r="C11" s="61">
        <f>SUM(C12:C15)</f>
        <v>1324055.0699999998</v>
      </c>
      <c r="D11" s="61">
        <f>SUM(D12:D15)</f>
        <v>807162.54</v>
      </c>
      <c r="E11" s="61">
        <f>SUM(E12:E15)</f>
        <v>894632.82</v>
      </c>
      <c r="F11" s="61">
        <f>SUM(F12:F15)</f>
        <v>877827.45</v>
      </c>
      <c r="G11" s="166">
        <f t="shared" si="0"/>
        <v>-429422.2499999999</v>
      </c>
      <c r="H11" s="167">
        <f t="shared" si="0"/>
        <v>70664.90999999992</v>
      </c>
    </row>
    <row r="12" spans="1:8" ht="15.75">
      <c r="A12" s="33">
        <f t="shared" si="1"/>
        <v>7</v>
      </c>
      <c r="B12" s="440" t="s">
        <v>51</v>
      </c>
      <c r="C12" s="147">
        <v>766593.58</v>
      </c>
      <c r="D12" s="147"/>
      <c r="E12" s="147">
        <v>771045.44</v>
      </c>
      <c r="F12" s="147"/>
      <c r="G12" s="166">
        <f t="shared" si="0"/>
        <v>4451.859999999986</v>
      </c>
      <c r="H12" s="167">
        <f t="shared" si="0"/>
        <v>0</v>
      </c>
    </row>
    <row r="13" spans="1:8" ht="15.75">
      <c r="A13" s="33">
        <f t="shared" si="1"/>
        <v>8</v>
      </c>
      <c r="B13" s="440" t="s">
        <v>52</v>
      </c>
      <c r="C13" s="147"/>
      <c r="D13" s="147"/>
      <c r="E13" s="147"/>
      <c r="F13" s="147"/>
      <c r="G13" s="166">
        <f t="shared" si="0"/>
        <v>0</v>
      </c>
      <c r="H13" s="167">
        <f t="shared" si="0"/>
        <v>0</v>
      </c>
    </row>
    <row r="14" spans="1:8" ht="15.75">
      <c r="A14" s="33">
        <f>A13+1</f>
        <v>9</v>
      </c>
      <c r="B14" s="440" t="s">
        <v>53</v>
      </c>
      <c r="C14" s="147"/>
      <c r="D14" s="147">
        <v>90874.86</v>
      </c>
      <c r="E14" s="147">
        <v>123587.38</v>
      </c>
      <c r="F14" s="147">
        <v>104651.99</v>
      </c>
      <c r="G14" s="166">
        <f t="shared" si="0"/>
        <v>123587.38</v>
      </c>
      <c r="H14" s="167">
        <f t="shared" si="0"/>
        <v>13777.130000000005</v>
      </c>
    </row>
    <row r="15" spans="1:8" ht="31.5">
      <c r="A15" s="394">
        <f t="shared" si="1"/>
        <v>10</v>
      </c>
      <c r="B15" s="440" t="s">
        <v>849</v>
      </c>
      <c r="C15" s="147">
        <v>557461.49</v>
      </c>
      <c r="D15" s="147">
        <v>716287.68</v>
      </c>
      <c r="E15" s="147"/>
      <c r="F15" s="147">
        <v>773175.46</v>
      </c>
      <c r="G15" s="166">
        <f t="shared" si="0"/>
        <v>-557461.49</v>
      </c>
      <c r="H15" s="167">
        <f t="shared" si="0"/>
        <v>56887.77999999991</v>
      </c>
    </row>
    <row r="16" spans="1:8" ht="15.75">
      <c r="A16" s="33">
        <f t="shared" si="1"/>
        <v>11</v>
      </c>
      <c r="B16" s="485" t="s">
        <v>12</v>
      </c>
      <c r="C16" s="147"/>
      <c r="D16" s="147">
        <v>32286.9</v>
      </c>
      <c r="E16" s="147"/>
      <c r="F16" s="147">
        <v>61344.14</v>
      </c>
      <c r="G16" s="166">
        <f t="shared" si="0"/>
        <v>0</v>
      </c>
      <c r="H16" s="167">
        <f t="shared" si="0"/>
        <v>29057.239999999998</v>
      </c>
    </row>
    <row r="17" spans="1:8" ht="15.75">
      <c r="A17" s="33">
        <f t="shared" si="1"/>
        <v>12</v>
      </c>
      <c r="B17" s="485" t="s">
        <v>241</v>
      </c>
      <c r="C17" s="147"/>
      <c r="D17" s="147"/>
      <c r="E17" s="147"/>
      <c r="F17" s="147"/>
      <c r="G17" s="166">
        <f t="shared" si="0"/>
        <v>0</v>
      </c>
      <c r="H17" s="167">
        <f t="shared" si="0"/>
        <v>0</v>
      </c>
    </row>
    <row r="18" spans="1:8" ht="15.75">
      <c r="A18" s="33">
        <f t="shared" si="1"/>
        <v>13</v>
      </c>
      <c r="B18" s="485" t="s">
        <v>242</v>
      </c>
      <c r="C18" s="147"/>
      <c r="D18" s="147"/>
      <c r="E18" s="147"/>
      <c r="F18" s="147"/>
      <c r="G18" s="166">
        <f t="shared" si="0"/>
        <v>0</v>
      </c>
      <c r="H18" s="167">
        <f t="shared" si="0"/>
        <v>0</v>
      </c>
    </row>
    <row r="19" spans="1:8" ht="15.75">
      <c r="A19" s="33">
        <f t="shared" si="1"/>
        <v>14</v>
      </c>
      <c r="B19" s="485" t="s">
        <v>243</v>
      </c>
      <c r="C19" s="147">
        <v>1146.13</v>
      </c>
      <c r="D19" s="147">
        <v>477.02</v>
      </c>
      <c r="E19" s="147">
        <v>3355.43</v>
      </c>
      <c r="F19" s="147">
        <v>138.54</v>
      </c>
      <c r="G19" s="166">
        <f t="shared" si="0"/>
        <v>2209.2999999999997</v>
      </c>
      <c r="H19" s="167">
        <f t="shared" si="0"/>
        <v>-338.48</v>
      </c>
    </row>
    <row r="20" spans="1:8" ht="15.75">
      <c r="A20" s="33">
        <f t="shared" si="1"/>
        <v>15</v>
      </c>
      <c r="B20" s="485" t="s">
        <v>244</v>
      </c>
      <c r="C20" s="147"/>
      <c r="D20" s="147"/>
      <c r="E20" s="147"/>
      <c r="F20" s="147"/>
      <c r="G20" s="166">
        <f t="shared" si="0"/>
        <v>0</v>
      </c>
      <c r="H20" s="167">
        <f t="shared" si="0"/>
        <v>0</v>
      </c>
    </row>
    <row r="21" spans="1:8" ht="15.75">
      <c r="A21" s="33">
        <f t="shared" si="1"/>
        <v>16</v>
      </c>
      <c r="B21" s="485" t="s">
        <v>856</v>
      </c>
      <c r="C21" s="61">
        <f>SUM(C22:C23)</f>
        <v>74.62</v>
      </c>
      <c r="D21" s="61">
        <f>SUM(D22:D23)</f>
        <v>73.71</v>
      </c>
      <c r="E21" s="61">
        <f>SUM(E22:E23)</f>
        <v>57.32</v>
      </c>
      <c r="F21" s="61">
        <f>SUM(F22:F23)</f>
        <v>79.8</v>
      </c>
      <c r="G21" s="166">
        <f t="shared" si="0"/>
        <v>-17.300000000000004</v>
      </c>
      <c r="H21" s="167">
        <f t="shared" si="0"/>
        <v>6.090000000000003</v>
      </c>
    </row>
    <row r="22" spans="1:8" ht="15.75">
      <c r="A22" s="33">
        <f t="shared" si="1"/>
        <v>17</v>
      </c>
      <c r="B22" s="440" t="s">
        <v>56</v>
      </c>
      <c r="C22" s="147"/>
      <c r="D22" s="147"/>
      <c r="E22" s="147"/>
      <c r="F22" s="147"/>
      <c r="G22" s="166">
        <f t="shared" si="0"/>
        <v>0</v>
      </c>
      <c r="H22" s="167">
        <f t="shared" si="0"/>
        <v>0</v>
      </c>
    </row>
    <row r="23" spans="1:8" ht="15.75">
      <c r="A23" s="33">
        <f t="shared" si="1"/>
        <v>18</v>
      </c>
      <c r="B23" s="440" t="s">
        <v>57</v>
      </c>
      <c r="C23" s="147">
        <v>74.62</v>
      </c>
      <c r="D23" s="147">
        <v>73.71</v>
      </c>
      <c r="E23" s="147">
        <v>57.32</v>
      </c>
      <c r="F23" s="597">
        <v>79.8</v>
      </c>
      <c r="G23" s="166">
        <f t="shared" si="0"/>
        <v>-17.300000000000004</v>
      </c>
      <c r="H23" s="167">
        <f t="shared" si="0"/>
        <v>6.090000000000003</v>
      </c>
    </row>
    <row r="24" spans="1:8" ht="15.75">
      <c r="A24" s="33">
        <f t="shared" si="1"/>
        <v>19</v>
      </c>
      <c r="B24" s="485" t="s">
        <v>245</v>
      </c>
      <c r="C24" s="147">
        <v>22572.85</v>
      </c>
      <c r="D24" s="147"/>
      <c r="E24" s="147">
        <v>69980.54</v>
      </c>
      <c r="F24" s="147"/>
      <c r="G24" s="166">
        <f t="shared" si="0"/>
        <v>47407.689999999995</v>
      </c>
      <c r="H24" s="167">
        <f t="shared" si="0"/>
        <v>0</v>
      </c>
    </row>
    <row r="25" spans="1:8" ht="15.75" customHeight="1">
      <c r="A25" s="33">
        <f t="shared" si="1"/>
        <v>20</v>
      </c>
      <c r="B25" s="485" t="s">
        <v>857</v>
      </c>
      <c r="C25" s="61">
        <f>SUM(C26:C38)</f>
        <v>8339093.139999999</v>
      </c>
      <c r="D25" s="61">
        <f>SUM(D26:D38)</f>
        <v>4874.88</v>
      </c>
      <c r="E25" s="61">
        <f>SUM(E26:E38)</f>
        <v>10913062.779999997</v>
      </c>
      <c r="F25" s="61">
        <f>SUM(F26:F38)</f>
        <v>1524.01</v>
      </c>
      <c r="G25" s="166">
        <f t="shared" si="0"/>
        <v>2573969.6399999987</v>
      </c>
      <c r="H25" s="167">
        <f t="shared" si="0"/>
        <v>-3350.87</v>
      </c>
    </row>
    <row r="26" spans="1:9" ht="15.75" customHeight="1">
      <c r="A26" s="33">
        <f t="shared" si="1"/>
        <v>21</v>
      </c>
      <c r="B26" s="486" t="s">
        <v>913</v>
      </c>
      <c r="C26" s="147">
        <v>6505782.5</v>
      </c>
      <c r="D26" s="147"/>
      <c r="E26" s="147">
        <v>8367771.88</v>
      </c>
      <c r="F26" s="147"/>
      <c r="G26" s="166">
        <f t="shared" si="0"/>
        <v>1861989.38</v>
      </c>
      <c r="H26" s="167">
        <f t="shared" si="0"/>
        <v>0</v>
      </c>
      <c r="I26" s="1" t="s">
        <v>1025</v>
      </c>
    </row>
    <row r="27" spans="1:9" ht="15.75">
      <c r="A27" s="33">
        <f t="shared" si="1"/>
        <v>22</v>
      </c>
      <c r="B27" s="440" t="s">
        <v>847</v>
      </c>
      <c r="C27" s="147">
        <v>502879.47</v>
      </c>
      <c r="D27" s="147"/>
      <c r="E27" s="147">
        <v>451597.91</v>
      </c>
      <c r="F27" s="147"/>
      <c r="G27" s="166">
        <f t="shared" si="0"/>
        <v>-51281.56</v>
      </c>
      <c r="H27" s="167">
        <f t="shared" si="0"/>
        <v>0</v>
      </c>
      <c r="I27" s="1" t="s">
        <v>1025</v>
      </c>
    </row>
    <row r="28" spans="1:8" ht="15.75">
      <c r="A28" s="33">
        <f t="shared" si="1"/>
        <v>23</v>
      </c>
      <c r="B28" s="440" t="s">
        <v>58</v>
      </c>
      <c r="C28" s="147">
        <v>183372.35</v>
      </c>
      <c r="D28" s="147"/>
      <c r="E28" s="147">
        <v>257352.7</v>
      </c>
      <c r="F28" s="147"/>
      <c r="G28" s="166">
        <f t="shared" si="0"/>
        <v>73980.35</v>
      </c>
      <c r="H28" s="167">
        <f t="shared" si="0"/>
        <v>0</v>
      </c>
    </row>
    <row r="29" spans="1:8" ht="15.75">
      <c r="A29" s="33">
        <f t="shared" si="1"/>
        <v>24</v>
      </c>
      <c r="B29" s="440" t="s">
        <v>59</v>
      </c>
      <c r="C29" s="147">
        <v>140</v>
      </c>
      <c r="D29" s="147"/>
      <c r="E29" s="147">
        <v>280</v>
      </c>
      <c r="F29" s="147"/>
      <c r="G29" s="166">
        <f t="shared" si="0"/>
        <v>140</v>
      </c>
      <c r="H29" s="167">
        <f t="shared" si="0"/>
        <v>0</v>
      </c>
    </row>
    <row r="30" spans="1:8" ht="15.75">
      <c r="A30" s="33">
        <f t="shared" si="1"/>
        <v>25</v>
      </c>
      <c r="B30" s="440" t="s">
        <v>750</v>
      </c>
      <c r="C30" s="147">
        <v>96849.09</v>
      </c>
      <c r="D30" s="147"/>
      <c r="E30" s="147">
        <v>78989.26</v>
      </c>
      <c r="F30" s="147"/>
      <c r="G30" s="166">
        <f t="shared" si="0"/>
        <v>-17859.83</v>
      </c>
      <c r="H30" s="167">
        <f t="shared" si="0"/>
        <v>0</v>
      </c>
    </row>
    <row r="31" spans="1:8" ht="15.75">
      <c r="A31" s="33">
        <f t="shared" si="1"/>
        <v>26</v>
      </c>
      <c r="B31" s="440" t="s">
        <v>60</v>
      </c>
      <c r="C31" s="147"/>
      <c r="D31" s="147"/>
      <c r="E31" s="147"/>
      <c r="F31" s="147"/>
      <c r="G31" s="166">
        <f t="shared" si="0"/>
        <v>0</v>
      </c>
      <c r="H31" s="167">
        <f t="shared" si="0"/>
        <v>0</v>
      </c>
    </row>
    <row r="32" spans="1:8" ht="15.75">
      <c r="A32" s="33">
        <f t="shared" si="1"/>
        <v>27</v>
      </c>
      <c r="B32" s="440" t="s">
        <v>61</v>
      </c>
      <c r="C32" s="147"/>
      <c r="D32" s="147"/>
      <c r="E32" s="147"/>
      <c r="F32" s="147"/>
      <c r="G32" s="166">
        <f t="shared" si="0"/>
        <v>0</v>
      </c>
      <c r="H32" s="167">
        <f t="shared" si="0"/>
        <v>0</v>
      </c>
    </row>
    <row r="33" spans="1:8" ht="15.75">
      <c r="A33" s="33">
        <f t="shared" si="1"/>
        <v>28</v>
      </c>
      <c r="B33" s="440" t="s">
        <v>62</v>
      </c>
      <c r="C33" s="147"/>
      <c r="D33" s="147"/>
      <c r="E33" s="147">
        <v>2691.92</v>
      </c>
      <c r="F33" s="147"/>
      <c r="G33" s="166">
        <f t="shared" si="0"/>
        <v>2691.92</v>
      </c>
      <c r="H33" s="167">
        <f t="shared" si="0"/>
        <v>0</v>
      </c>
    </row>
    <row r="34" spans="1:8" ht="15.75">
      <c r="A34" s="33">
        <f t="shared" si="1"/>
        <v>29</v>
      </c>
      <c r="B34" s="440" t="s">
        <v>63</v>
      </c>
      <c r="C34" s="147">
        <v>623</v>
      </c>
      <c r="D34" s="147">
        <v>2711.6</v>
      </c>
      <c r="E34" s="147">
        <v>-381.66</v>
      </c>
      <c r="F34" s="147">
        <v>286</v>
      </c>
      <c r="G34" s="166">
        <f t="shared" si="0"/>
        <v>-1004.6600000000001</v>
      </c>
      <c r="H34" s="167">
        <f t="shared" si="0"/>
        <v>-2425.6</v>
      </c>
    </row>
    <row r="35" spans="1:8" ht="15.75">
      <c r="A35" s="33">
        <f t="shared" si="1"/>
        <v>30</v>
      </c>
      <c r="B35" s="440" t="s">
        <v>64</v>
      </c>
      <c r="C35" s="147">
        <v>858709.98</v>
      </c>
      <c r="D35" s="147"/>
      <c r="E35" s="147">
        <v>1540803.38</v>
      </c>
      <c r="F35" s="147"/>
      <c r="G35" s="166">
        <f t="shared" si="0"/>
        <v>682093.3999999999</v>
      </c>
      <c r="H35" s="167">
        <f t="shared" si="0"/>
        <v>0</v>
      </c>
    </row>
    <row r="36" spans="1:9" ht="31.5">
      <c r="A36" s="326">
        <f t="shared" si="1"/>
        <v>31</v>
      </c>
      <c r="B36" s="487" t="s">
        <v>817</v>
      </c>
      <c r="C36" s="147">
        <v>6</v>
      </c>
      <c r="D36" s="147"/>
      <c r="E36" s="147"/>
      <c r="F36" s="147"/>
      <c r="G36" s="166">
        <f t="shared" si="0"/>
        <v>-6</v>
      </c>
      <c r="H36" s="167">
        <f t="shared" si="0"/>
        <v>0</v>
      </c>
      <c r="I36" s="301"/>
    </row>
    <row r="37" spans="1:8" ht="15.75">
      <c r="A37" s="33">
        <f t="shared" si="1"/>
        <v>32</v>
      </c>
      <c r="B37" s="440" t="s">
        <v>65</v>
      </c>
      <c r="C37" s="147"/>
      <c r="D37" s="147"/>
      <c r="E37" s="147"/>
      <c r="F37" s="147"/>
      <c r="G37" s="166">
        <f t="shared" si="0"/>
        <v>0</v>
      </c>
      <c r="H37" s="167">
        <f t="shared" si="0"/>
        <v>0</v>
      </c>
    </row>
    <row r="38" spans="1:8" ht="22.5" customHeight="1">
      <c r="A38" s="33">
        <f t="shared" si="1"/>
        <v>33</v>
      </c>
      <c r="B38" s="440" t="s">
        <v>848</v>
      </c>
      <c r="C38" s="147">
        <v>190730.75</v>
      </c>
      <c r="D38" s="147">
        <v>2163.28</v>
      </c>
      <c r="E38" s="147">
        <v>213957.39</v>
      </c>
      <c r="F38" s="147">
        <v>1238.01</v>
      </c>
      <c r="G38" s="166">
        <f t="shared" si="0"/>
        <v>23226.640000000014</v>
      </c>
      <c r="H38" s="167">
        <f t="shared" si="0"/>
        <v>-925.2700000000002</v>
      </c>
    </row>
    <row r="39" spans="1:8" ht="15.75">
      <c r="A39" s="33">
        <f t="shared" si="1"/>
        <v>34</v>
      </c>
      <c r="B39" s="485" t="s">
        <v>249</v>
      </c>
      <c r="C39" s="147">
        <v>775000</v>
      </c>
      <c r="D39" s="147"/>
      <c r="E39" s="147">
        <v>161662.4</v>
      </c>
      <c r="F39" s="147"/>
      <c r="G39" s="166">
        <f t="shared" si="0"/>
        <v>-613337.6</v>
      </c>
      <c r="H39" s="167">
        <f t="shared" si="0"/>
        <v>0</v>
      </c>
    </row>
    <row r="40" spans="1:8" ht="15.75">
      <c r="A40" s="33">
        <f t="shared" si="1"/>
        <v>35</v>
      </c>
      <c r="B40" s="485" t="s">
        <v>103</v>
      </c>
      <c r="C40" s="147"/>
      <c r="D40" s="147"/>
      <c r="E40" s="147"/>
      <c r="F40" s="147"/>
      <c r="G40" s="166">
        <f t="shared" si="0"/>
        <v>0</v>
      </c>
      <c r="H40" s="167">
        <f t="shared" si="0"/>
        <v>0</v>
      </c>
    </row>
    <row r="41" spans="1:8" ht="15.75">
      <c r="A41" s="33">
        <f t="shared" si="1"/>
        <v>36</v>
      </c>
      <c r="B41" s="485" t="s">
        <v>100</v>
      </c>
      <c r="C41" s="147"/>
      <c r="D41" s="147"/>
      <c r="E41" s="147"/>
      <c r="F41" s="147"/>
      <c r="G41" s="166">
        <f t="shared" si="0"/>
        <v>0</v>
      </c>
      <c r="H41" s="167">
        <f t="shared" si="0"/>
        <v>0</v>
      </c>
    </row>
    <row r="42" spans="1:8" ht="23.25" customHeight="1">
      <c r="A42" s="33">
        <f t="shared" si="1"/>
        <v>37</v>
      </c>
      <c r="B42" s="485" t="s">
        <v>230</v>
      </c>
      <c r="C42" s="147"/>
      <c r="D42" s="147"/>
      <c r="E42" s="147">
        <v>22</v>
      </c>
      <c r="F42" s="147"/>
      <c r="G42" s="166">
        <f t="shared" si="0"/>
        <v>22</v>
      </c>
      <c r="H42" s="167">
        <f t="shared" si="0"/>
        <v>0</v>
      </c>
    </row>
    <row r="43" spans="1:8" ht="15.75">
      <c r="A43" s="33">
        <f t="shared" si="1"/>
        <v>38</v>
      </c>
      <c r="B43" s="485" t="s">
        <v>176</v>
      </c>
      <c r="C43" s="147"/>
      <c r="D43" s="147"/>
      <c r="E43" s="147"/>
      <c r="F43" s="147"/>
      <c r="G43" s="166">
        <f t="shared" si="0"/>
        <v>0</v>
      </c>
      <c r="H43" s="167">
        <f t="shared" si="0"/>
        <v>0</v>
      </c>
    </row>
    <row r="44" spans="1:8" ht="18.75">
      <c r="A44" s="33">
        <f t="shared" si="1"/>
        <v>39</v>
      </c>
      <c r="B44" s="485" t="s">
        <v>943</v>
      </c>
      <c r="C44" s="146">
        <f>SUM(C45:C49)</f>
        <v>79947</v>
      </c>
      <c r="D44" s="146">
        <f>SUM(D45:D49)</f>
        <v>23031.62</v>
      </c>
      <c r="E44" s="146">
        <f>SUM(E45:E49)</f>
        <v>69772.95999999999</v>
      </c>
      <c r="F44" s="146">
        <f>SUM(F45:F49)</f>
        <v>1876.39</v>
      </c>
      <c r="G44" s="166">
        <f t="shared" si="0"/>
        <v>-10174.040000000008</v>
      </c>
      <c r="H44" s="167">
        <f t="shared" si="0"/>
        <v>-21155.23</v>
      </c>
    </row>
    <row r="45" spans="1:8" ht="15.75">
      <c r="A45" s="33">
        <f>A44+1</f>
        <v>40</v>
      </c>
      <c r="B45" s="440" t="s">
        <v>165</v>
      </c>
      <c r="C45" s="147">
        <v>1100</v>
      </c>
      <c r="D45" s="147">
        <v>23031.62</v>
      </c>
      <c r="E45" s="147">
        <v>733</v>
      </c>
      <c r="F45" s="147">
        <v>1876.39</v>
      </c>
      <c r="G45" s="166">
        <f t="shared" si="0"/>
        <v>-367</v>
      </c>
      <c r="H45" s="166" t="s">
        <v>221</v>
      </c>
    </row>
    <row r="46" spans="1:8" ht="15.75">
      <c r="A46" s="33">
        <f t="shared" si="1"/>
        <v>41</v>
      </c>
      <c r="B46" s="440" t="s">
        <v>66</v>
      </c>
      <c r="C46" s="147">
        <v>78847</v>
      </c>
      <c r="D46" s="496" t="s">
        <v>221</v>
      </c>
      <c r="E46" s="147">
        <v>59000</v>
      </c>
      <c r="F46" s="496" t="s">
        <v>221</v>
      </c>
      <c r="G46" s="166">
        <f t="shared" si="0"/>
        <v>-19847</v>
      </c>
      <c r="H46" s="166" t="s">
        <v>221</v>
      </c>
    </row>
    <row r="47" spans="1:8" ht="18.75">
      <c r="A47" s="33">
        <f t="shared" si="1"/>
        <v>42</v>
      </c>
      <c r="B47" s="440" t="s">
        <v>858</v>
      </c>
      <c r="C47" s="147"/>
      <c r="D47" s="496" t="s">
        <v>221</v>
      </c>
      <c r="E47" s="147"/>
      <c r="F47" s="496" t="s">
        <v>221</v>
      </c>
      <c r="G47" s="166">
        <f t="shared" si="0"/>
        <v>0</v>
      </c>
      <c r="H47" s="166" t="s">
        <v>221</v>
      </c>
    </row>
    <row r="48" spans="1:8" ht="31.5">
      <c r="A48" s="304">
        <f t="shared" si="1"/>
        <v>43</v>
      </c>
      <c r="B48" s="486" t="s">
        <v>938</v>
      </c>
      <c r="C48" s="147"/>
      <c r="D48" s="496" t="s">
        <v>221</v>
      </c>
      <c r="E48" s="147">
        <v>10039.96</v>
      </c>
      <c r="F48" s="496" t="s">
        <v>221</v>
      </c>
      <c r="G48" s="166">
        <f t="shared" si="0"/>
        <v>10039.96</v>
      </c>
      <c r="H48" s="166" t="s">
        <v>221</v>
      </c>
    </row>
    <row r="49" spans="1:8" ht="15.75">
      <c r="A49" s="33">
        <f t="shared" si="1"/>
        <v>44</v>
      </c>
      <c r="B49" s="440" t="s">
        <v>927</v>
      </c>
      <c r="C49" s="147"/>
      <c r="D49" s="496" t="s">
        <v>221</v>
      </c>
      <c r="E49" s="147"/>
      <c r="F49" s="496" t="s">
        <v>221</v>
      </c>
      <c r="G49" s="166">
        <f t="shared" si="0"/>
        <v>0</v>
      </c>
      <c r="H49" s="166" t="s">
        <v>221</v>
      </c>
    </row>
    <row r="50" spans="1:8" ht="15.75">
      <c r="A50" s="33">
        <f t="shared" si="1"/>
        <v>45</v>
      </c>
      <c r="B50" s="485" t="s">
        <v>250</v>
      </c>
      <c r="C50" s="147"/>
      <c r="D50" s="147"/>
      <c r="E50" s="147"/>
      <c r="F50" s="147"/>
      <c r="G50" s="166">
        <f t="shared" si="0"/>
        <v>0</v>
      </c>
      <c r="H50" s="167">
        <f t="shared" si="0"/>
        <v>0</v>
      </c>
    </row>
    <row r="51" spans="1:8" ht="15.75">
      <c r="A51" s="33">
        <f t="shared" si="1"/>
        <v>46</v>
      </c>
      <c r="B51" s="485" t="s">
        <v>101</v>
      </c>
      <c r="C51" s="147">
        <v>10231.01</v>
      </c>
      <c r="D51" s="147">
        <v>168874.75</v>
      </c>
      <c r="E51" s="147">
        <v>1245.64</v>
      </c>
      <c r="F51" s="147">
        <v>129007.37</v>
      </c>
      <c r="G51" s="166">
        <f t="shared" si="0"/>
        <v>-8985.37</v>
      </c>
      <c r="H51" s="167">
        <f t="shared" si="0"/>
        <v>-39867.380000000005</v>
      </c>
    </row>
    <row r="52" spans="1:8" ht="15.75">
      <c r="A52" s="33">
        <f t="shared" si="1"/>
        <v>47</v>
      </c>
      <c r="B52" s="485" t="s">
        <v>128</v>
      </c>
      <c r="C52" s="43" t="s">
        <v>221</v>
      </c>
      <c r="D52" s="43" t="s">
        <v>221</v>
      </c>
      <c r="E52" s="43" t="s">
        <v>221</v>
      </c>
      <c r="F52" s="43" t="s">
        <v>221</v>
      </c>
      <c r="G52" s="302" t="s">
        <v>112</v>
      </c>
      <c r="H52" s="303" t="s">
        <v>112</v>
      </c>
    </row>
    <row r="53" spans="1:8" ht="15.75">
      <c r="A53" s="33">
        <f t="shared" si="1"/>
        <v>48</v>
      </c>
      <c r="B53" s="488" t="s">
        <v>104</v>
      </c>
      <c r="C53" s="147">
        <v>3048.33</v>
      </c>
      <c r="D53" s="147"/>
      <c r="E53" s="147">
        <v>5777</v>
      </c>
      <c r="F53" s="147"/>
      <c r="G53" s="166">
        <f t="shared" si="0"/>
        <v>2728.67</v>
      </c>
      <c r="H53" s="167">
        <f t="shared" si="0"/>
        <v>0</v>
      </c>
    </row>
    <row r="54" spans="1:8" ht="15.75">
      <c r="A54" s="33">
        <f t="shared" si="1"/>
        <v>49</v>
      </c>
      <c r="B54" s="489" t="s">
        <v>706</v>
      </c>
      <c r="C54" s="147"/>
      <c r="D54" s="147"/>
      <c r="E54" s="147"/>
      <c r="F54" s="147"/>
      <c r="G54" s="166">
        <f>E54-C54</f>
        <v>0</v>
      </c>
      <c r="H54" s="167">
        <f t="shared" si="0"/>
        <v>0</v>
      </c>
    </row>
    <row r="55" spans="1:8" ht="15.75">
      <c r="A55" s="33">
        <f t="shared" si="1"/>
        <v>50</v>
      </c>
      <c r="B55" s="485" t="s">
        <v>105</v>
      </c>
      <c r="C55" s="147">
        <v>2183618.34</v>
      </c>
      <c r="D55" s="147">
        <v>38536.72</v>
      </c>
      <c r="E55" s="147">
        <v>3812077.28</v>
      </c>
      <c r="F55" s="147">
        <v>27416.15</v>
      </c>
      <c r="G55" s="166">
        <f t="shared" si="0"/>
        <v>1628458.94</v>
      </c>
      <c r="H55" s="167">
        <f t="shared" si="0"/>
        <v>-11120.57</v>
      </c>
    </row>
    <row r="56" spans="1:8" ht="15.75">
      <c r="A56" s="33">
        <f t="shared" si="1"/>
        <v>51</v>
      </c>
      <c r="B56" s="485" t="s">
        <v>106</v>
      </c>
      <c r="C56" s="147">
        <v>34630240.75</v>
      </c>
      <c r="D56" s="147"/>
      <c r="E56" s="147">
        <v>37820063.29</v>
      </c>
      <c r="F56" s="147"/>
      <c r="G56" s="166">
        <f t="shared" si="0"/>
        <v>3189822.539999999</v>
      </c>
      <c r="H56" s="167">
        <f t="shared" si="0"/>
        <v>0</v>
      </c>
    </row>
    <row r="57" spans="1:8" ht="15.75">
      <c r="A57" s="33">
        <f t="shared" si="1"/>
        <v>52</v>
      </c>
      <c r="B57" s="490" t="s">
        <v>213</v>
      </c>
      <c r="C57" s="148"/>
      <c r="D57" s="148"/>
      <c r="E57" s="148"/>
      <c r="F57" s="148"/>
      <c r="G57" s="166">
        <f t="shared" si="0"/>
        <v>0</v>
      </c>
      <c r="H57" s="167">
        <f t="shared" si="0"/>
        <v>0</v>
      </c>
    </row>
    <row r="58" spans="1:8" ht="15.75">
      <c r="A58" s="33">
        <f t="shared" si="1"/>
        <v>53</v>
      </c>
      <c r="B58" s="490" t="s">
        <v>1024</v>
      </c>
      <c r="C58" s="149">
        <v>808402.36</v>
      </c>
      <c r="D58" s="149"/>
      <c r="E58" s="149">
        <v>747669.74</v>
      </c>
      <c r="F58" s="149"/>
      <c r="G58" s="166">
        <f t="shared" si="0"/>
        <v>-60732.619999999995</v>
      </c>
      <c r="H58" s="167">
        <f t="shared" si="0"/>
        <v>0</v>
      </c>
    </row>
    <row r="59" spans="1:8" s="128" customFormat="1" ht="32.25" thickBot="1">
      <c r="A59" s="304">
        <f t="shared" si="1"/>
        <v>54</v>
      </c>
      <c r="B59" s="65" t="s">
        <v>940</v>
      </c>
      <c r="C59" s="62">
        <f>C6+C11+SUM(C16:C21)+C24+C25+SUM(C39:C44)+SUM(C50:C56)</f>
        <v>47502908.18</v>
      </c>
      <c r="D59" s="62">
        <f>D6+D11+SUM(D16:D21)+D24+D25+SUM(D39:D44)+SUM(D50:D56)</f>
        <v>1404840.3299999998</v>
      </c>
      <c r="E59" s="62">
        <f>E6+E11+SUM(E16:E21)+E24+E25+SUM(E39:E44)+SUM(E50:E56)</f>
        <v>53916179.269999996</v>
      </c>
      <c r="F59" s="62">
        <f>F6+F11+SUM(F16:F21)+F24+F25+SUM(F39:F44)+SUM(F50:F56)</f>
        <v>1462983.6099999999</v>
      </c>
      <c r="G59" s="177">
        <f t="shared" si="0"/>
        <v>6413271.089999996</v>
      </c>
      <c r="H59" s="178">
        <f t="shared" si="0"/>
        <v>58143.28000000003</v>
      </c>
    </row>
    <row r="60" spans="2:9" ht="21" customHeight="1">
      <c r="B60" s="3"/>
      <c r="C60" s="3"/>
      <c r="D60"/>
      <c r="E60"/>
      <c r="F60"/>
      <c r="G60"/>
      <c r="H60"/>
      <c r="I60"/>
    </row>
    <row r="61" spans="1:8" ht="15.75">
      <c r="A61" s="634" t="s">
        <v>947</v>
      </c>
      <c r="B61" s="635"/>
      <c r="C61" s="635"/>
      <c r="D61" s="635"/>
      <c r="E61" s="635"/>
      <c r="F61" s="635"/>
      <c r="G61" s="635"/>
      <c r="H61" s="636"/>
    </row>
    <row r="62" spans="1:8" ht="30.75" customHeight="1">
      <c r="A62" s="637" t="s">
        <v>166</v>
      </c>
      <c r="B62" s="638"/>
      <c r="C62" s="638"/>
      <c r="D62" s="638"/>
      <c r="E62" s="638"/>
      <c r="F62" s="638"/>
      <c r="G62" s="638"/>
      <c r="H62" s="639"/>
    </row>
    <row r="65" ht="42" customHeight="1"/>
  </sheetData>
  <sheetProtection/>
  <mergeCells count="9">
    <mergeCell ref="A61:H61"/>
    <mergeCell ref="A62:H62"/>
    <mergeCell ref="A1:H1"/>
    <mergeCell ref="A2:H2"/>
    <mergeCell ref="A3:A4"/>
    <mergeCell ref="B3:B4"/>
    <mergeCell ref="C3:D3"/>
    <mergeCell ref="E3:F3"/>
    <mergeCell ref="G3:H3"/>
  </mergeCells>
  <printOptions gridLines="1"/>
  <pageMargins left="0.5118110236220472" right="0.31496062992125984" top="0.4330708661417323" bottom="0.48" header="0.3937007874015748" footer="0.2362204724409449"/>
  <pageSetup fitToHeight="2" fitToWidth="2" horizontalDpi="600" verticalDpi="600" orientation="landscape" paperSize="9" scale="71" r:id="rId1"/>
  <rowBreaks count="1" manualBreakCount="1">
    <brk id="3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0">
      <selection activeCell="D32" sqref="D32"/>
    </sheetView>
  </sheetViews>
  <sheetFormatPr defaultColWidth="9.140625" defaultRowHeight="12.75"/>
  <cols>
    <col min="1" max="1" width="7.8515625" style="3" customWidth="1"/>
    <col min="2" max="2" width="89.57421875" style="6" customWidth="1"/>
    <col min="3" max="3" width="16.8515625" style="1" customWidth="1"/>
    <col min="4" max="4" width="17.28125" style="1" customWidth="1"/>
    <col min="5" max="5" width="10.00390625" style="1" customWidth="1"/>
    <col min="6" max="16384" width="9.140625" style="1" customWidth="1"/>
  </cols>
  <sheetData>
    <row r="1" spans="1:4" ht="49.5" customHeight="1">
      <c r="A1" s="628" t="s">
        <v>854</v>
      </c>
      <c r="B1" s="629"/>
      <c r="C1" s="629"/>
      <c r="D1" s="630"/>
    </row>
    <row r="2" spans="1:4" ht="34.5" customHeight="1">
      <c r="A2" s="624" t="s">
        <v>954</v>
      </c>
      <c r="B2" s="625"/>
      <c r="C2" s="625"/>
      <c r="D2" s="626"/>
    </row>
    <row r="3" spans="1:4" s="10" customFormat="1" ht="31.5">
      <c r="A3" s="30" t="s">
        <v>149</v>
      </c>
      <c r="B3" s="17" t="s">
        <v>234</v>
      </c>
      <c r="C3" s="14">
        <v>2013</v>
      </c>
      <c r="D3" s="479">
        <v>2014</v>
      </c>
    </row>
    <row r="4" spans="1:4" s="10" customFormat="1" ht="15.75">
      <c r="A4" s="30"/>
      <c r="B4" s="17"/>
      <c r="C4" s="14" t="s">
        <v>199</v>
      </c>
      <c r="D4" s="479" t="s">
        <v>200</v>
      </c>
    </row>
    <row r="5" spans="1:8" ht="15.75">
      <c r="A5" s="33">
        <v>1</v>
      </c>
      <c r="B5" s="368" t="s">
        <v>917</v>
      </c>
      <c r="C5" s="50">
        <f>+SUM(C6:C10)</f>
        <v>6505782.5</v>
      </c>
      <c r="D5" s="239">
        <f>+SUM(D6:D10)</f>
        <v>8367771.88</v>
      </c>
      <c r="E5" s="10"/>
      <c r="F5" s="10"/>
      <c r="G5" s="328"/>
      <c r="H5" s="328"/>
    </row>
    <row r="6" spans="1:7" ht="15.75">
      <c r="A6" s="33">
        <v>2</v>
      </c>
      <c r="B6" s="483" t="s">
        <v>948</v>
      </c>
      <c r="C6" s="52">
        <v>0</v>
      </c>
      <c r="D6" s="480">
        <v>0</v>
      </c>
      <c r="E6" s="10"/>
      <c r="F6" s="10"/>
      <c r="G6" s="328"/>
    </row>
    <row r="7" spans="1:7" ht="15.75">
      <c r="A7" s="33">
        <v>3</v>
      </c>
      <c r="B7" s="483" t="s">
        <v>923</v>
      </c>
      <c r="C7" s="139">
        <v>275955.92</v>
      </c>
      <c r="D7" s="481">
        <v>247119.99</v>
      </c>
      <c r="G7" s="328"/>
    </row>
    <row r="8" spans="1:7" ht="15.75">
      <c r="A8" s="33">
        <v>4</v>
      </c>
      <c r="B8" s="483" t="s">
        <v>924</v>
      </c>
      <c r="C8" s="139">
        <v>5737246.82</v>
      </c>
      <c r="D8" s="481">
        <f>7670323.42</f>
        <v>7670323.42</v>
      </c>
      <c r="G8" s="328"/>
    </row>
    <row r="9" spans="1:7" ht="15.75">
      <c r="A9" s="326">
        <v>5</v>
      </c>
      <c r="B9" s="369" t="s">
        <v>925</v>
      </c>
      <c r="C9" s="139">
        <v>492579.76</v>
      </c>
      <c r="D9" s="481">
        <v>450328.47</v>
      </c>
      <c r="G9" s="328"/>
    </row>
    <row r="10" spans="1:7" ht="18.75">
      <c r="A10" s="326">
        <v>6</v>
      </c>
      <c r="B10" s="486" t="s">
        <v>929</v>
      </c>
      <c r="C10" s="139"/>
      <c r="D10" s="481"/>
      <c r="G10" s="328"/>
    </row>
    <row r="11" spans="1:4" ht="15.75">
      <c r="A11" s="33">
        <v>7</v>
      </c>
      <c r="B11" s="45" t="s">
        <v>918</v>
      </c>
      <c r="C11" s="61">
        <f>SUM(C12:C17)</f>
        <v>502879.47</v>
      </c>
      <c r="D11" s="383">
        <f>SUM(D12:D17)</f>
        <v>451597.91</v>
      </c>
    </row>
    <row r="12" spans="1:4" ht="15.75">
      <c r="A12" s="33">
        <v>8</v>
      </c>
      <c r="B12" s="27" t="s">
        <v>798</v>
      </c>
      <c r="C12" s="52">
        <v>314328.24</v>
      </c>
      <c r="D12" s="480">
        <v>271967.1</v>
      </c>
    </row>
    <row r="13" spans="1:4" ht="15.75">
      <c r="A13" s="33">
        <v>9</v>
      </c>
      <c r="B13" s="27" t="s">
        <v>799</v>
      </c>
      <c r="C13" s="52">
        <v>109473.19</v>
      </c>
      <c r="D13" s="480">
        <v>123272.45</v>
      </c>
    </row>
    <row r="14" spans="1:5" ht="15.75">
      <c r="A14" s="33">
        <v>10</v>
      </c>
      <c r="B14" s="27" t="s">
        <v>800</v>
      </c>
      <c r="C14" s="52">
        <v>56382.19</v>
      </c>
      <c r="D14" s="480">
        <v>35398.36</v>
      </c>
      <c r="E14" s="305" t="s">
        <v>933</v>
      </c>
    </row>
    <row r="15" spans="1:5" ht="15.75">
      <c r="A15" s="33">
        <v>11</v>
      </c>
      <c r="B15" s="46" t="s">
        <v>931</v>
      </c>
      <c r="C15" s="52">
        <v>22695.85</v>
      </c>
      <c r="D15" s="480">
        <v>20960</v>
      </c>
      <c r="E15" s="305" t="s">
        <v>934</v>
      </c>
    </row>
    <row r="16" spans="1:8" ht="31.5">
      <c r="A16" s="33">
        <v>12</v>
      </c>
      <c r="B16" s="492" t="s">
        <v>930</v>
      </c>
      <c r="C16" s="156" t="s">
        <v>221</v>
      </c>
      <c r="D16" s="157" t="s">
        <v>221</v>
      </c>
      <c r="F16" s="322" t="s">
        <v>949</v>
      </c>
      <c r="G16" s="322"/>
      <c r="H16" s="322"/>
    </row>
    <row r="17" spans="1:8" ht="15.75">
      <c r="A17" s="33">
        <v>13</v>
      </c>
      <c r="B17" s="492" t="s">
        <v>932</v>
      </c>
      <c r="C17" s="156" t="s">
        <v>221</v>
      </c>
      <c r="D17" s="157" t="s">
        <v>221</v>
      </c>
      <c r="F17" s="322" t="s">
        <v>949</v>
      </c>
      <c r="G17" s="322"/>
      <c r="H17" s="322"/>
    </row>
    <row r="18" spans="1:4" ht="15.75">
      <c r="A18" s="33">
        <v>14</v>
      </c>
      <c r="B18" s="64" t="s">
        <v>170</v>
      </c>
      <c r="C18" s="61">
        <f>(C6+C7)*0.2</f>
        <v>55191.184</v>
      </c>
      <c r="D18" s="383">
        <f>(D6+D7)*0.2</f>
        <v>49423.998</v>
      </c>
    </row>
    <row r="19" spans="1:8" ht="16.5" thickBot="1">
      <c r="A19" s="34">
        <v>15</v>
      </c>
      <c r="B19" s="65" t="s">
        <v>240</v>
      </c>
      <c r="C19" s="598">
        <f>'T13-Fondy'!G14</f>
        <v>65276.8</v>
      </c>
      <c r="D19" s="482">
        <f>'T13-Fondy'!H14</f>
        <v>56608</v>
      </c>
      <c r="F19" s="305"/>
      <c r="G19" s="305"/>
      <c r="H19" s="305"/>
    </row>
    <row r="20" ht="15.75">
      <c r="B20" s="9"/>
    </row>
    <row r="21" spans="1:2" ht="18.75">
      <c r="A21" s="397"/>
      <c r="B21" s="493" t="s">
        <v>928</v>
      </c>
    </row>
    <row r="22" ht="15.75">
      <c r="B22" s="493" t="s">
        <v>935</v>
      </c>
    </row>
    <row r="23" ht="31.5">
      <c r="B23" s="495" t="s">
        <v>945</v>
      </c>
    </row>
    <row r="24" ht="15.75">
      <c r="B24" s="9"/>
    </row>
    <row r="25" spans="1:4" ht="46.5" customHeight="1">
      <c r="A25" s="648" t="s">
        <v>992</v>
      </c>
      <c r="B25" s="648"/>
      <c r="C25" s="648"/>
      <c r="D25" s="648"/>
    </row>
    <row r="26" spans="1:4" ht="36.75" customHeight="1">
      <c r="A26" s="648" t="s">
        <v>1032</v>
      </c>
      <c r="B26" s="648"/>
      <c r="C26" s="648"/>
      <c r="D26" s="648"/>
    </row>
    <row r="27" ht="15.75">
      <c r="B27" s="9"/>
    </row>
    <row r="28" ht="15.75">
      <c r="B28" s="9"/>
    </row>
  </sheetData>
  <sheetProtection/>
  <mergeCells count="4">
    <mergeCell ref="A1:D1"/>
    <mergeCell ref="A2:D2"/>
    <mergeCell ref="A25:D25"/>
    <mergeCell ref="A26:D26"/>
  </mergeCells>
  <printOptions/>
  <pageMargins left="0.7086614173228347" right="0.2" top="0.7480314960629921" bottom="0.7480314960629921" header="0.31496062992125984" footer="0.31496062992125984"/>
  <pageSetup fitToHeight="1"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tabColor indexed="42"/>
  </sheetPr>
  <dimension ref="A1:M993"/>
  <sheetViews>
    <sheetView zoomScalePageLayoutView="0" workbookViewId="0" topLeftCell="A1">
      <pane xSplit="2" ySplit="5" topLeftCell="C95" activePane="bottomRight" state="frozen"/>
      <selection pane="topLeft" activeCell="A1" sqref="A1"/>
      <selection pane="topRight" activeCell="C1" sqref="C1"/>
      <selection pane="bottomLeft" activeCell="A6" sqref="A6"/>
      <selection pane="bottomRight" activeCell="I112" sqref="I112"/>
    </sheetView>
  </sheetViews>
  <sheetFormatPr defaultColWidth="9.140625" defaultRowHeight="12.75"/>
  <cols>
    <col min="1" max="1" width="8.421875" style="3" customWidth="1"/>
    <col min="2" max="2" width="74.140625" style="127" customWidth="1"/>
    <col min="3" max="8" width="17.00390625" style="1" customWidth="1"/>
    <col min="9" max="9" width="15.7109375" style="1" customWidth="1"/>
    <col min="10" max="10" width="13.8515625" style="1" customWidth="1"/>
    <col min="11" max="16384" width="9.140625" style="1" customWidth="1"/>
  </cols>
  <sheetData>
    <row r="1" spans="1:8" ht="34.5" customHeight="1" thickBot="1">
      <c r="A1" s="651" t="s">
        <v>946</v>
      </c>
      <c r="B1" s="652"/>
      <c r="C1" s="652"/>
      <c r="D1" s="652"/>
      <c r="E1" s="652"/>
      <c r="F1" s="652"/>
      <c r="G1" s="652"/>
      <c r="H1" s="653"/>
    </row>
    <row r="2" spans="1:8" ht="32.25" customHeight="1">
      <c r="A2" s="654" t="s">
        <v>955</v>
      </c>
      <c r="B2" s="655"/>
      <c r="C2" s="655"/>
      <c r="D2" s="655"/>
      <c r="E2" s="655"/>
      <c r="F2" s="655"/>
      <c r="G2" s="655"/>
      <c r="H2" s="656"/>
    </row>
    <row r="3" spans="1:8" s="10" customFormat="1" ht="31.5" customHeight="1">
      <c r="A3" s="643" t="s">
        <v>149</v>
      </c>
      <c r="B3" s="657" t="s">
        <v>234</v>
      </c>
      <c r="C3" s="659">
        <v>2013</v>
      </c>
      <c r="D3" s="659"/>
      <c r="E3" s="659">
        <v>2014</v>
      </c>
      <c r="F3" s="659"/>
      <c r="G3" s="645" t="s">
        <v>851</v>
      </c>
      <c r="H3" s="647"/>
    </row>
    <row r="4" spans="1:8" ht="31.5" customHeight="1">
      <c r="A4" s="643"/>
      <c r="B4" s="658"/>
      <c r="C4" s="14" t="s">
        <v>235</v>
      </c>
      <c r="D4" s="14" t="s">
        <v>236</v>
      </c>
      <c r="E4" s="14" t="s">
        <v>235</v>
      </c>
      <c r="F4" s="14" t="s">
        <v>236</v>
      </c>
      <c r="G4" s="14" t="s">
        <v>235</v>
      </c>
      <c r="H4" s="29" t="s">
        <v>236</v>
      </c>
    </row>
    <row r="5" spans="1:8" ht="15.75">
      <c r="A5" s="33"/>
      <c r="B5" s="439"/>
      <c r="C5" s="39" t="s">
        <v>199</v>
      </c>
      <c r="D5" s="39" t="s">
        <v>200</v>
      </c>
      <c r="E5" s="39" t="s">
        <v>201</v>
      </c>
      <c r="F5" s="39" t="s">
        <v>207</v>
      </c>
      <c r="G5" s="39" t="s">
        <v>15</v>
      </c>
      <c r="H5" s="79" t="s">
        <v>16</v>
      </c>
    </row>
    <row r="6" spans="1:8" ht="15.75">
      <c r="A6" s="33">
        <v>1</v>
      </c>
      <c r="B6" s="437" t="s">
        <v>859</v>
      </c>
      <c r="C6" s="61">
        <f>SUM(C7:C18)</f>
        <v>3614064.49</v>
      </c>
      <c r="D6" s="61">
        <f>SUM(D7:D18)</f>
        <v>313460.1</v>
      </c>
      <c r="E6" s="61">
        <f>SUM(E7:E18)</f>
        <v>4930949.97</v>
      </c>
      <c r="F6" s="61">
        <f>SUM(F7:F18)</f>
        <v>328217.67000000004</v>
      </c>
      <c r="G6" s="61">
        <f>E6-C6</f>
        <v>1316885.4799999995</v>
      </c>
      <c r="H6" s="137">
        <f>F6-D6</f>
        <v>14757.570000000065</v>
      </c>
    </row>
    <row r="7" spans="1:8" ht="17.25" customHeight="1">
      <c r="A7" s="33">
        <f>A6+1</f>
        <v>2</v>
      </c>
      <c r="B7" s="434" t="s">
        <v>818</v>
      </c>
      <c r="C7" s="595">
        <v>250789.74</v>
      </c>
      <c r="D7" s="595">
        <v>6915.19</v>
      </c>
      <c r="E7" s="52">
        <f>278477.75-273.17</f>
        <v>278204.58</v>
      </c>
      <c r="F7" s="52">
        <v>5262.33</v>
      </c>
      <c r="G7" s="150">
        <f>E7-C7</f>
        <v>27414.840000000026</v>
      </c>
      <c r="H7" s="151">
        <f>F7-D7</f>
        <v>-1652.8599999999997</v>
      </c>
    </row>
    <row r="8" spans="1:8" ht="30" customHeight="1">
      <c r="A8" s="33">
        <f aca="true" t="shared" si="0" ref="A8:A71">A7+1</f>
        <v>3</v>
      </c>
      <c r="B8" s="438" t="s">
        <v>67</v>
      </c>
      <c r="C8" s="596">
        <v>1160251.42</v>
      </c>
      <c r="D8" s="596">
        <v>2142.09</v>
      </c>
      <c r="E8" s="52">
        <v>2738964.01</v>
      </c>
      <c r="F8" s="52">
        <v>50.75</v>
      </c>
      <c r="G8" s="150">
        <f aca="true" t="shared" si="1" ref="G8:H71">E8-C8</f>
        <v>1578712.5899999999</v>
      </c>
      <c r="H8" s="151">
        <f t="shared" si="1"/>
        <v>-2091.34</v>
      </c>
    </row>
    <row r="9" spans="1:8" ht="15.75">
      <c r="A9" s="33">
        <f t="shared" si="0"/>
        <v>4</v>
      </c>
      <c r="B9" s="434" t="s">
        <v>819</v>
      </c>
      <c r="C9" s="595">
        <v>135119.36</v>
      </c>
      <c r="D9" s="595">
        <v>7214.64</v>
      </c>
      <c r="E9" s="52">
        <v>151247.29</v>
      </c>
      <c r="F9" s="52">
        <v>3436.53</v>
      </c>
      <c r="G9" s="150">
        <f t="shared" si="1"/>
        <v>16127.930000000022</v>
      </c>
      <c r="H9" s="151">
        <f t="shared" si="1"/>
        <v>-3778.11</v>
      </c>
    </row>
    <row r="10" spans="1:8" ht="15.75">
      <c r="A10" s="33">
        <f t="shared" si="0"/>
        <v>5</v>
      </c>
      <c r="B10" s="434" t="s">
        <v>820</v>
      </c>
      <c r="C10" s="595">
        <v>16310.73</v>
      </c>
      <c r="D10" s="595">
        <v>227.5</v>
      </c>
      <c r="E10" s="52">
        <v>17764.63</v>
      </c>
      <c r="F10" s="52">
        <v>513.5</v>
      </c>
      <c r="G10" s="150">
        <f t="shared" si="1"/>
        <v>1453.9000000000015</v>
      </c>
      <c r="H10" s="151">
        <f t="shared" si="1"/>
        <v>286</v>
      </c>
    </row>
    <row r="11" spans="1:8" ht="15.75">
      <c r="A11" s="33">
        <f t="shared" si="0"/>
        <v>6</v>
      </c>
      <c r="B11" s="434" t="s">
        <v>821</v>
      </c>
      <c r="C11" s="595">
        <v>40821.97</v>
      </c>
      <c r="D11" s="595" t="s">
        <v>993</v>
      </c>
      <c r="E11" s="52">
        <v>42038.13</v>
      </c>
      <c r="F11" s="52">
        <v>1162.55</v>
      </c>
      <c r="G11" s="150">
        <f t="shared" si="1"/>
        <v>1216.1599999999962</v>
      </c>
      <c r="H11" s="151">
        <f t="shared" si="1"/>
        <v>1162.55</v>
      </c>
    </row>
    <row r="12" spans="1:8" ht="15.75">
      <c r="A12" s="33">
        <f t="shared" si="0"/>
        <v>7</v>
      </c>
      <c r="B12" s="434" t="s">
        <v>822</v>
      </c>
      <c r="C12" s="595">
        <v>42874.56</v>
      </c>
      <c r="D12" s="595">
        <v>25907.48</v>
      </c>
      <c r="E12" s="52">
        <f>43815.09</f>
        <v>43815.09</v>
      </c>
      <c r="F12" s="52">
        <v>21645.53</v>
      </c>
      <c r="G12" s="150">
        <f t="shared" si="1"/>
        <v>940.5299999999988</v>
      </c>
      <c r="H12" s="151">
        <f t="shared" si="1"/>
        <v>-4261.950000000001</v>
      </c>
    </row>
    <row r="13" spans="1:8" ht="31.5">
      <c r="A13" s="33">
        <f t="shared" si="0"/>
        <v>8</v>
      </c>
      <c r="B13" s="434" t="s">
        <v>68</v>
      </c>
      <c r="C13" s="596">
        <v>69131.76</v>
      </c>
      <c r="D13" s="596">
        <v>3857.52</v>
      </c>
      <c r="E13" s="52">
        <v>68294.45</v>
      </c>
      <c r="F13" s="52">
        <v>4124.87</v>
      </c>
      <c r="G13" s="150">
        <f t="shared" si="1"/>
        <v>-837.3099999999977</v>
      </c>
      <c r="H13" s="151">
        <f t="shared" si="1"/>
        <v>267.3499999999999</v>
      </c>
    </row>
    <row r="14" spans="1:8" ht="15.75">
      <c r="A14" s="33">
        <f t="shared" si="0"/>
        <v>9</v>
      </c>
      <c r="B14" s="434" t="s">
        <v>69</v>
      </c>
      <c r="C14" s="595">
        <v>108832.6</v>
      </c>
      <c r="D14" s="595">
        <v>200450.9</v>
      </c>
      <c r="E14" s="52">
        <v>135576.08</v>
      </c>
      <c r="F14" s="52">
        <v>209484.53</v>
      </c>
      <c r="G14" s="150">
        <f t="shared" si="1"/>
        <v>26743.47999999998</v>
      </c>
      <c r="H14" s="151">
        <f t="shared" si="1"/>
        <v>9033.630000000005</v>
      </c>
    </row>
    <row r="15" spans="1:8" ht="15.75">
      <c r="A15" s="33">
        <f t="shared" si="0"/>
        <v>10</v>
      </c>
      <c r="B15" s="440" t="s">
        <v>70</v>
      </c>
      <c r="C15" s="595">
        <v>1017204.27</v>
      </c>
      <c r="D15" s="595">
        <v>11513.38</v>
      </c>
      <c r="E15" s="52">
        <v>630412.62</v>
      </c>
      <c r="F15" s="52">
        <v>16255.04</v>
      </c>
      <c r="G15" s="150">
        <f t="shared" si="1"/>
        <v>-386791.65</v>
      </c>
      <c r="H15" s="151">
        <f t="shared" si="1"/>
        <v>4741.660000000002</v>
      </c>
    </row>
    <row r="16" spans="1:8" ht="15.75" customHeight="1">
      <c r="A16" s="33">
        <f t="shared" si="0"/>
        <v>11</v>
      </c>
      <c r="B16" s="434" t="s">
        <v>71</v>
      </c>
      <c r="C16" s="595">
        <v>252138.41</v>
      </c>
      <c r="D16" s="595">
        <v>11498.94</v>
      </c>
      <c r="E16" s="52">
        <v>282561.55</v>
      </c>
      <c r="F16" s="52">
        <v>24273.65</v>
      </c>
      <c r="G16" s="150">
        <f t="shared" si="1"/>
        <v>30423.139999999985</v>
      </c>
      <c r="H16" s="151">
        <f t="shared" si="1"/>
        <v>12774.710000000001</v>
      </c>
    </row>
    <row r="17" spans="1:8" ht="15.75">
      <c r="A17" s="33">
        <f t="shared" si="0"/>
        <v>12</v>
      </c>
      <c r="B17" s="440" t="s">
        <v>707</v>
      </c>
      <c r="C17" s="595">
        <v>315259.31</v>
      </c>
      <c r="D17" s="595">
        <v>27276.44</v>
      </c>
      <c r="E17" s="52">
        <v>298641.7</v>
      </c>
      <c r="F17" s="52">
        <v>25563.68</v>
      </c>
      <c r="G17" s="150">
        <f t="shared" si="1"/>
        <v>-16617.609999999986</v>
      </c>
      <c r="H17" s="151">
        <f t="shared" si="1"/>
        <v>-1712.7599999999984</v>
      </c>
    </row>
    <row r="18" spans="1:8" ht="15.75">
      <c r="A18" s="33">
        <f t="shared" si="0"/>
        <v>13</v>
      </c>
      <c r="B18" s="434" t="s">
        <v>823</v>
      </c>
      <c r="C18" s="595">
        <v>205330.36</v>
      </c>
      <c r="D18" s="595">
        <v>16456.02</v>
      </c>
      <c r="E18" s="52">
        <f>135227.37+108202.47</f>
        <v>243429.84</v>
      </c>
      <c r="F18" s="52">
        <v>16444.71</v>
      </c>
      <c r="G18" s="150">
        <f t="shared" si="1"/>
        <v>38099.48000000001</v>
      </c>
      <c r="H18" s="151">
        <f t="shared" si="1"/>
        <v>-11.31000000000131</v>
      </c>
    </row>
    <row r="19" spans="1:8" ht="15.75">
      <c r="A19" s="33">
        <f t="shared" si="0"/>
        <v>14</v>
      </c>
      <c r="B19" s="437" t="s">
        <v>860</v>
      </c>
      <c r="C19" s="61">
        <f>SUM(C20:C25)</f>
        <v>1844316.4699999997</v>
      </c>
      <c r="D19" s="61">
        <f>SUM(D20:D25)</f>
        <v>49734.43000000001</v>
      </c>
      <c r="E19" s="61">
        <f>SUM(E20:E25)</f>
        <v>1797576.8099999996</v>
      </c>
      <c r="F19" s="61">
        <f>SUM(F20:F25)</f>
        <v>58983.88</v>
      </c>
      <c r="G19" s="61">
        <f t="shared" si="1"/>
        <v>-46739.66000000015</v>
      </c>
      <c r="H19" s="137">
        <f t="shared" si="1"/>
        <v>9249.44999999999</v>
      </c>
    </row>
    <row r="20" spans="1:8" ht="15.75">
      <c r="A20" s="33">
        <f t="shared" si="0"/>
        <v>15</v>
      </c>
      <c r="B20" s="434" t="s">
        <v>824</v>
      </c>
      <c r="C20" s="595">
        <v>589596.48</v>
      </c>
      <c r="D20" s="595">
        <v>11158.13</v>
      </c>
      <c r="E20" s="52">
        <f>638556.71-55380.98</f>
        <v>583175.73</v>
      </c>
      <c r="F20" s="52">
        <v>21075.99</v>
      </c>
      <c r="G20" s="150">
        <f t="shared" si="1"/>
        <v>-6420.75</v>
      </c>
      <c r="H20" s="151">
        <f t="shared" si="1"/>
        <v>9917.860000000002</v>
      </c>
    </row>
    <row r="21" spans="1:8" ht="15.75">
      <c r="A21" s="33">
        <f t="shared" si="0"/>
        <v>16</v>
      </c>
      <c r="B21" s="434" t="s">
        <v>825</v>
      </c>
      <c r="C21" s="595">
        <v>905724.49</v>
      </c>
      <c r="D21" s="595">
        <v>10622.95</v>
      </c>
      <c r="E21" s="52">
        <f>894750.12-26219.53</f>
        <v>868530.59</v>
      </c>
      <c r="F21" s="52">
        <v>13382.16</v>
      </c>
      <c r="G21" s="150">
        <f t="shared" si="1"/>
        <v>-37193.90000000002</v>
      </c>
      <c r="H21" s="151">
        <f t="shared" si="1"/>
        <v>2759.209999999999</v>
      </c>
    </row>
    <row r="22" spans="1:8" ht="15.75">
      <c r="A22" s="33">
        <f t="shared" si="0"/>
        <v>17</v>
      </c>
      <c r="B22" s="434" t="s">
        <v>826</v>
      </c>
      <c r="C22" s="595">
        <v>199204.18</v>
      </c>
      <c r="D22" s="595">
        <v>13033.16</v>
      </c>
      <c r="E22" s="52">
        <f>184054.95-6873.99</f>
        <v>177180.96000000002</v>
      </c>
      <c r="F22" s="52">
        <v>17437.13</v>
      </c>
      <c r="G22" s="150">
        <f t="shared" si="1"/>
        <v>-22023.219999999972</v>
      </c>
      <c r="H22" s="151">
        <f t="shared" si="1"/>
        <v>4403.970000000001</v>
      </c>
    </row>
    <row r="23" spans="1:8" ht="15.75">
      <c r="A23" s="33">
        <f t="shared" si="0"/>
        <v>18</v>
      </c>
      <c r="B23" s="434" t="s">
        <v>827</v>
      </c>
      <c r="C23" s="595">
        <v>147318.36</v>
      </c>
      <c r="D23" s="595">
        <v>14906.8</v>
      </c>
      <c r="E23" s="52">
        <f>155183.49</f>
        <v>155183.49</v>
      </c>
      <c r="F23" s="52">
        <v>7088.6</v>
      </c>
      <c r="G23" s="150">
        <f t="shared" si="1"/>
        <v>7865.130000000005</v>
      </c>
      <c r="H23" s="151">
        <f t="shared" si="1"/>
        <v>-7818.199999999999</v>
      </c>
    </row>
    <row r="24" spans="1:8" ht="15.75">
      <c r="A24" s="33">
        <f t="shared" si="0"/>
        <v>19</v>
      </c>
      <c r="B24" s="434" t="s">
        <v>828</v>
      </c>
      <c r="C24" s="595">
        <v>2072.96</v>
      </c>
      <c r="D24" s="595">
        <v>13.39</v>
      </c>
      <c r="E24" s="52">
        <v>1938.91</v>
      </c>
      <c r="F24" s="52"/>
      <c r="G24" s="150">
        <f t="shared" si="1"/>
        <v>-134.04999999999995</v>
      </c>
      <c r="H24" s="151">
        <f t="shared" si="1"/>
        <v>-13.39</v>
      </c>
    </row>
    <row r="25" spans="1:8" ht="15.75">
      <c r="A25" s="33">
        <f t="shared" si="0"/>
        <v>20</v>
      </c>
      <c r="B25" s="434" t="s">
        <v>698</v>
      </c>
      <c r="C25" s="595">
        <v>400</v>
      </c>
      <c r="D25" s="595" t="s">
        <v>993</v>
      </c>
      <c r="E25" s="52">
        <v>11567.13</v>
      </c>
      <c r="F25" s="52"/>
      <c r="G25" s="150">
        <f t="shared" si="1"/>
        <v>11167.13</v>
      </c>
      <c r="H25" s="151">
        <f t="shared" si="1"/>
        <v>0</v>
      </c>
    </row>
    <row r="26" spans="1:8" ht="15.75">
      <c r="A26" s="33">
        <f t="shared" si="0"/>
        <v>21</v>
      </c>
      <c r="B26" s="437" t="s">
        <v>231</v>
      </c>
      <c r="C26" s="37" t="s">
        <v>221</v>
      </c>
      <c r="D26" s="37" t="s">
        <v>221</v>
      </c>
      <c r="E26" s="37" t="s">
        <v>221</v>
      </c>
      <c r="F26" s="37" t="s">
        <v>221</v>
      </c>
      <c r="G26" s="66" t="s">
        <v>112</v>
      </c>
      <c r="H26" s="138" t="s">
        <v>112</v>
      </c>
    </row>
    <row r="27" spans="1:8" ht="15.75">
      <c r="A27" s="33">
        <f t="shared" si="0"/>
        <v>22</v>
      </c>
      <c r="B27" s="437" t="s">
        <v>861</v>
      </c>
      <c r="C27" s="61">
        <f>SUM(C28:C31)</f>
        <v>0</v>
      </c>
      <c r="D27" s="61">
        <f>SUM(D28:D31)</f>
        <v>15240.96</v>
      </c>
      <c r="E27" s="61">
        <f>SUM(E28:E31)</f>
        <v>0</v>
      </c>
      <c r="F27" s="61">
        <f>SUM(F28:F31)</f>
        <v>30711.6</v>
      </c>
      <c r="G27" s="61">
        <f t="shared" si="1"/>
        <v>0</v>
      </c>
      <c r="H27" s="137">
        <f t="shared" si="1"/>
        <v>15470.64</v>
      </c>
    </row>
    <row r="28" spans="1:8" ht="15.75">
      <c r="A28" s="33">
        <f t="shared" si="0"/>
        <v>23</v>
      </c>
      <c r="B28" s="434" t="s">
        <v>191</v>
      </c>
      <c r="C28" s="52"/>
      <c r="D28" s="52"/>
      <c r="E28" s="52"/>
      <c r="F28" s="52"/>
      <c r="G28" s="150">
        <f t="shared" si="1"/>
        <v>0</v>
      </c>
      <c r="H28" s="151">
        <f t="shared" si="1"/>
        <v>0</v>
      </c>
    </row>
    <row r="29" spans="1:8" ht="15.75">
      <c r="A29" s="33">
        <f t="shared" si="0"/>
        <v>24</v>
      </c>
      <c r="B29" s="438" t="s">
        <v>212</v>
      </c>
      <c r="C29" s="52"/>
      <c r="D29" s="52"/>
      <c r="E29" s="52"/>
      <c r="F29" s="52"/>
      <c r="G29" s="150">
        <f t="shared" si="1"/>
        <v>0</v>
      </c>
      <c r="H29" s="151">
        <f t="shared" si="1"/>
        <v>0</v>
      </c>
    </row>
    <row r="30" spans="1:8" ht="15.75">
      <c r="A30" s="33">
        <f t="shared" si="0"/>
        <v>25</v>
      </c>
      <c r="B30" s="438" t="s">
        <v>28</v>
      </c>
      <c r="C30" s="52"/>
      <c r="D30" s="52"/>
      <c r="E30" s="52"/>
      <c r="F30" s="52"/>
      <c r="G30" s="150">
        <f t="shared" si="1"/>
        <v>0</v>
      </c>
      <c r="H30" s="151">
        <f t="shared" si="1"/>
        <v>0</v>
      </c>
    </row>
    <row r="31" spans="1:8" ht="15.75">
      <c r="A31" s="33">
        <f t="shared" si="0"/>
        <v>26</v>
      </c>
      <c r="B31" s="434" t="s">
        <v>29</v>
      </c>
      <c r="C31" s="52"/>
      <c r="D31" s="595">
        <v>15240.96</v>
      </c>
      <c r="E31" s="52"/>
      <c r="F31" s="52">
        <v>30711.6</v>
      </c>
      <c r="G31" s="150">
        <f t="shared" si="1"/>
        <v>0</v>
      </c>
      <c r="H31" s="151">
        <f t="shared" si="1"/>
        <v>15470.64</v>
      </c>
    </row>
    <row r="32" spans="1:8" ht="15.75">
      <c r="A32" s="33">
        <f t="shared" si="0"/>
        <v>27</v>
      </c>
      <c r="B32" s="437" t="s">
        <v>862</v>
      </c>
      <c r="C32" s="61">
        <f>SUM(C33:C39)</f>
        <v>672701.48</v>
      </c>
      <c r="D32" s="61">
        <f>SUM(D33:D39)</f>
        <v>24927.07</v>
      </c>
      <c r="E32" s="61">
        <f>SUM(E33:E39)</f>
        <v>973915.1799999999</v>
      </c>
      <c r="F32" s="61">
        <f>SUM(F33:F39)</f>
        <v>28826.379999999997</v>
      </c>
      <c r="G32" s="61">
        <f t="shared" si="1"/>
        <v>301213.69999999995</v>
      </c>
      <c r="H32" s="137">
        <f t="shared" si="1"/>
        <v>3899.3099999999977</v>
      </c>
    </row>
    <row r="33" spans="1:8" ht="15.75">
      <c r="A33" s="33">
        <f t="shared" si="0"/>
        <v>28</v>
      </c>
      <c r="B33" s="434" t="s">
        <v>72</v>
      </c>
      <c r="C33" s="595">
        <v>460291</v>
      </c>
      <c r="D33" s="595">
        <v>9177.57</v>
      </c>
      <c r="E33" s="52">
        <v>776099.44</v>
      </c>
      <c r="F33" s="52">
        <v>10880.7</v>
      </c>
      <c r="G33" s="150">
        <f t="shared" si="1"/>
        <v>315808.43999999994</v>
      </c>
      <c r="H33" s="151">
        <f t="shared" si="1"/>
        <v>1703.130000000001</v>
      </c>
    </row>
    <row r="34" spans="1:8" ht="15.75">
      <c r="A34" s="33">
        <f t="shared" si="0"/>
        <v>29</v>
      </c>
      <c r="B34" s="434" t="s">
        <v>73</v>
      </c>
      <c r="C34" s="595">
        <v>71874.16</v>
      </c>
      <c r="D34" s="595">
        <v>7100.8</v>
      </c>
      <c r="E34" s="52">
        <v>77212.08</v>
      </c>
      <c r="F34" s="52">
        <v>9344.98</v>
      </c>
      <c r="G34" s="150">
        <f t="shared" si="1"/>
        <v>5337.919999999998</v>
      </c>
      <c r="H34" s="151">
        <f t="shared" si="1"/>
        <v>2244.1799999999994</v>
      </c>
    </row>
    <row r="35" spans="1:8" ht="15.75">
      <c r="A35" s="33">
        <f t="shared" si="0"/>
        <v>30</v>
      </c>
      <c r="B35" s="434" t="s">
        <v>74</v>
      </c>
      <c r="C35" s="595">
        <v>22988.67</v>
      </c>
      <c r="D35" s="595">
        <v>384.2</v>
      </c>
      <c r="E35" s="52">
        <v>22494.75</v>
      </c>
      <c r="F35" s="52">
        <v>992</v>
      </c>
      <c r="G35" s="150">
        <f t="shared" si="1"/>
        <v>-493.91999999999825</v>
      </c>
      <c r="H35" s="151">
        <f t="shared" si="1"/>
        <v>607.8</v>
      </c>
    </row>
    <row r="36" spans="1:8" ht="15.75">
      <c r="A36" s="33">
        <f t="shared" si="0"/>
        <v>31</v>
      </c>
      <c r="B36" s="434" t="s">
        <v>75</v>
      </c>
      <c r="C36" s="595">
        <v>32922.47</v>
      </c>
      <c r="D36" s="595">
        <v>7912.1</v>
      </c>
      <c r="E36" s="52">
        <v>17878.59</v>
      </c>
      <c r="F36" s="52">
        <v>4746.69</v>
      </c>
      <c r="G36" s="150">
        <f t="shared" si="1"/>
        <v>-15043.880000000001</v>
      </c>
      <c r="H36" s="151">
        <f t="shared" si="1"/>
        <v>-3165.4100000000008</v>
      </c>
    </row>
    <row r="37" spans="1:8" ht="15.75">
      <c r="A37" s="33">
        <f t="shared" si="0"/>
        <v>32</v>
      </c>
      <c r="B37" s="440" t="s">
        <v>79</v>
      </c>
      <c r="C37" s="595">
        <v>1066.32</v>
      </c>
      <c r="D37" s="595">
        <v>29</v>
      </c>
      <c r="E37" s="52">
        <v>2794.51</v>
      </c>
      <c r="F37" s="52">
        <v>1840.2</v>
      </c>
      <c r="G37" s="150">
        <f t="shared" si="1"/>
        <v>1728.1900000000003</v>
      </c>
      <c r="H37" s="151">
        <f t="shared" si="1"/>
        <v>1811.2</v>
      </c>
    </row>
    <row r="38" spans="1:8" ht="15.75">
      <c r="A38" s="33">
        <f t="shared" si="0"/>
        <v>33</v>
      </c>
      <c r="B38" s="477" t="s">
        <v>914</v>
      </c>
      <c r="C38" s="595">
        <v>64066.95</v>
      </c>
      <c r="D38" s="595">
        <v>96.52</v>
      </c>
      <c r="E38" s="52">
        <v>34290.01</v>
      </c>
      <c r="F38" s="52">
        <v>634.44</v>
      </c>
      <c r="G38" s="150">
        <f t="shared" si="1"/>
        <v>-29776.939999999995</v>
      </c>
      <c r="H38" s="151">
        <f t="shared" si="1"/>
        <v>537.9200000000001</v>
      </c>
    </row>
    <row r="39" spans="1:8" ht="15.75">
      <c r="A39" s="33">
        <f t="shared" si="0"/>
        <v>34</v>
      </c>
      <c r="B39" s="434" t="s">
        <v>80</v>
      </c>
      <c r="C39" s="595">
        <v>19491.91</v>
      </c>
      <c r="D39" s="595">
        <v>226.88</v>
      </c>
      <c r="E39" s="52">
        <v>43145.8</v>
      </c>
      <c r="F39" s="52">
        <v>387.37</v>
      </c>
      <c r="G39" s="150">
        <f t="shared" si="1"/>
        <v>23653.890000000003</v>
      </c>
      <c r="H39" s="151">
        <f t="shared" si="1"/>
        <v>160.49</v>
      </c>
    </row>
    <row r="40" spans="1:8" ht="15.75">
      <c r="A40" s="33">
        <f t="shared" si="0"/>
        <v>35</v>
      </c>
      <c r="B40" s="437" t="s">
        <v>863</v>
      </c>
      <c r="C40" s="61">
        <f>C41+C42</f>
        <v>923470.52</v>
      </c>
      <c r="D40" s="61">
        <f>D41+D42</f>
        <v>6417.09</v>
      </c>
      <c r="E40" s="61">
        <f>E41+E42</f>
        <v>1415518.3399999999</v>
      </c>
      <c r="F40" s="61">
        <f>F41+F42</f>
        <v>6314.43</v>
      </c>
      <c r="G40" s="61">
        <f t="shared" si="1"/>
        <v>492047.81999999983</v>
      </c>
      <c r="H40" s="137">
        <f t="shared" si="1"/>
        <v>-102.65999999999985</v>
      </c>
    </row>
    <row r="41" spans="1:8" ht="15.75">
      <c r="A41" s="33">
        <f t="shared" si="0"/>
        <v>36</v>
      </c>
      <c r="B41" s="434" t="s">
        <v>829</v>
      </c>
      <c r="C41" s="595">
        <v>111732.47</v>
      </c>
      <c r="D41" s="595">
        <v>1524.6</v>
      </c>
      <c r="E41" s="52">
        <f>186721.12-17156.95</f>
        <v>169564.16999999998</v>
      </c>
      <c r="F41" s="52">
        <v>6090.01</v>
      </c>
      <c r="G41" s="150">
        <f t="shared" si="1"/>
        <v>57831.69999999998</v>
      </c>
      <c r="H41" s="151">
        <f t="shared" si="1"/>
        <v>4565.41</v>
      </c>
    </row>
    <row r="42" spans="1:8" ht="15.75">
      <c r="A42" s="33">
        <f t="shared" si="0"/>
        <v>37</v>
      </c>
      <c r="B42" s="434" t="s">
        <v>830</v>
      </c>
      <c r="C42" s="595">
        <f>475898.17+335839.88</f>
        <v>811738.05</v>
      </c>
      <c r="D42" s="595">
        <v>4892.49</v>
      </c>
      <c r="E42" s="52">
        <f>871037.74-7486.88+2397.64+380005.67</f>
        <v>1245954.17</v>
      </c>
      <c r="F42" s="52">
        <v>224.42</v>
      </c>
      <c r="G42" s="150">
        <f t="shared" si="1"/>
        <v>434216.1199999999</v>
      </c>
      <c r="H42" s="151">
        <f t="shared" si="1"/>
        <v>-4668.07</v>
      </c>
    </row>
    <row r="43" spans="1:8" ht="15.75">
      <c r="A43" s="33">
        <f t="shared" si="0"/>
        <v>38</v>
      </c>
      <c r="B43" s="437" t="s">
        <v>232</v>
      </c>
      <c r="C43" s="595">
        <v>37988.06</v>
      </c>
      <c r="D43" s="595">
        <v>7011.46</v>
      </c>
      <c r="E43" s="52">
        <v>42038.26</v>
      </c>
      <c r="F43" s="78">
        <v>2493.62</v>
      </c>
      <c r="G43" s="150">
        <f t="shared" si="1"/>
        <v>4050.2000000000044</v>
      </c>
      <c r="H43" s="151">
        <f t="shared" si="1"/>
        <v>-4517.84</v>
      </c>
    </row>
    <row r="44" spans="1:8" ht="15.75">
      <c r="A44" s="33">
        <f t="shared" si="0"/>
        <v>39</v>
      </c>
      <c r="B44" s="437" t="s">
        <v>864</v>
      </c>
      <c r="C44" s="61">
        <f>SUM(C45:C59)</f>
        <v>4039192.01</v>
      </c>
      <c r="D44" s="61">
        <f>SUM(D45:D59)</f>
        <v>241510.69</v>
      </c>
      <c r="E44" s="61">
        <f>SUM(E45:E59)</f>
        <v>3822702.4</v>
      </c>
      <c r="F44" s="61">
        <f>SUM(F45:F59)</f>
        <v>278453.24000000005</v>
      </c>
      <c r="G44" s="61">
        <f t="shared" si="1"/>
        <v>-216489.60999999987</v>
      </c>
      <c r="H44" s="137">
        <f t="shared" si="1"/>
        <v>36942.55000000005</v>
      </c>
    </row>
    <row r="45" spans="1:8" ht="15.75">
      <c r="A45" s="33">
        <f t="shared" si="0"/>
        <v>40</v>
      </c>
      <c r="B45" s="434" t="s">
        <v>82</v>
      </c>
      <c r="C45" s="595">
        <v>79410.98</v>
      </c>
      <c r="D45" s="595">
        <v>360.32</v>
      </c>
      <c r="E45" s="52">
        <v>87951.25</v>
      </c>
      <c r="F45" s="52"/>
      <c r="G45" s="150">
        <f t="shared" si="1"/>
        <v>8540.270000000004</v>
      </c>
      <c r="H45" s="151">
        <f t="shared" si="1"/>
        <v>-360.32</v>
      </c>
    </row>
    <row r="46" spans="1:8" ht="15.75">
      <c r="A46" s="33">
        <f t="shared" si="0"/>
        <v>41</v>
      </c>
      <c r="B46" s="434" t="s">
        <v>81</v>
      </c>
      <c r="C46" s="595">
        <v>537.72</v>
      </c>
      <c r="D46" s="595">
        <v>1101.98</v>
      </c>
      <c r="E46" s="52">
        <v>2727.63</v>
      </c>
      <c r="F46" s="52">
        <v>278.88</v>
      </c>
      <c r="G46" s="150">
        <f t="shared" si="1"/>
        <v>2189.91</v>
      </c>
      <c r="H46" s="151">
        <f t="shared" si="1"/>
        <v>-823.1</v>
      </c>
    </row>
    <row r="47" spans="1:8" ht="15.75">
      <c r="A47" s="33">
        <f t="shared" si="0"/>
        <v>42</v>
      </c>
      <c r="B47" s="434" t="s">
        <v>83</v>
      </c>
      <c r="C47" s="595">
        <v>114889.54</v>
      </c>
      <c r="D47" s="595">
        <v>286</v>
      </c>
      <c r="E47" s="52">
        <v>136497.73</v>
      </c>
      <c r="F47" s="52">
        <v>178.4</v>
      </c>
      <c r="G47" s="150">
        <f t="shared" si="1"/>
        <v>21608.190000000017</v>
      </c>
      <c r="H47" s="151">
        <f t="shared" si="1"/>
        <v>-107.6</v>
      </c>
    </row>
    <row r="48" spans="1:8" ht="15.75">
      <c r="A48" s="33">
        <f t="shared" si="0"/>
        <v>43</v>
      </c>
      <c r="B48" s="434" t="s">
        <v>84</v>
      </c>
      <c r="C48" s="595">
        <v>5130.1</v>
      </c>
      <c r="D48" s="595">
        <v>186505.47</v>
      </c>
      <c r="E48" s="52">
        <v>288899.77</v>
      </c>
      <c r="F48" s="52">
        <v>223163.07</v>
      </c>
      <c r="G48" s="150">
        <f t="shared" si="1"/>
        <v>283769.67000000004</v>
      </c>
      <c r="H48" s="151">
        <f t="shared" si="1"/>
        <v>36657.600000000006</v>
      </c>
    </row>
    <row r="49" spans="1:8" ht="15.75">
      <c r="A49" s="33">
        <f t="shared" si="0"/>
        <v>44</v>
      </c>
      <c r="B49" s="434" t="s">
        <v>831</v>
      </c>
      <c r="C49" s="595">
        <v>68796.47</v>
      </c>
      <c r="D49" s="595">
        <v>5760.04</v>
      </c>
      <c r="E49" s="52">
        <f>67922.09-2710.89</f>
        <v>65211.2</v>
      </c>
      <c r="F49" s="52">
        <f>5764.74-30.43</f>
        <v>5734.3099999999995</v>
      </c>
      <c r="G49" s="150">
        <f t="shared" si="1"/>
        <v>-3585.270000000004</v>
      </c>
      <c r="H49" s="151">
        <f t="shared" si="1"/>
        <v>-25.730000000000473</v>
      </c>
    </row>
    <row r="50" spans="1:8" ht="15.75">
      <c r="A50" s="33">
        <f t="shared" si="0"/>
        <v>45</v>
      </c>
      <c r="B50" s="434" t="s">
        <v>85</v>
      </c>
      <c r="C50" s="595">
        <v>36.87</v>
      </c>
      <c r="D50" s="595">
        <v>102.3</v>
      </c>
      <c r="E50" s="52">
        <v>1420.83</v>
      </c>
      <c r="F50" s="52">
        <v>600.88</v>
      </c>
      <c r="G50" s="150">
        <f t="shared" si="1"/>
        <v>1383.96</v>
      </c>
      <c r="H50" s="151">
        <f t="shared" si="1"/>
        <v>498.58</v>
      </c>
    </row>
    <row r="51" spans="1:8" ht="15.75">
      <c r="A51" s="33">
        <f t="shared" si="0"/>
        <v>46</v>
      </c>
      <c r="B51" s="434" t="s">
        <v>832</v>
      </c>
      <c r="C51" s="595">
        <v>52049.82</v>
      </c>
      <c r="D51" s="595">
        <v>945.32</v>
      </c>
      <c r="E51" s="52">
        <f>49957.26</f>
        <v>49957.26</v>
      </c>
      <c r="F51" s="52">
        <v>1640.42</v>
      </c>
      <c r="G51" s="150">
        <f t="shared" si="1"/>
        <v>-2092.5599999999977</v>
      </c>
      <c r="H51" s="151">
        <f t="shared" si="1"/>
        <v>695.1</v>
      </c>
    </row>
    <row r="52" spans="1:8" ht="15.75">
      <c r="A52" s="33">
        <f t="shared" si="0"/>
        <v>47</v>
      </c>
      <c r="B52" s="434" t="s">
        <v>833</v>
      </c>
      <c r="C52" s="595">
        <v>5945.55</v>
      </c>
      <c r="D52" s="595" t="s">
        <v>993</v>
      </c>
      <c r="E52" s="52">
        <f>12120.7-1149.1</f>
        <v>10971.6</v>
      </c>
      <c r="F52" s="52"/>
      <c r="G52" s="150">
        <f t="shared" si="1"/>
        <v>5026.05</v>
      </c>
      <c r="H52" s="151">
        <f t="shared" si="1"/>
        <v>0</v>
      </c>
    </row>
    <row r="53" spans="1:8" ht="15.75">
      <c r="A53" s="33">
        <f t="shared" si="0"/>
        <v>48</v>
      </c>
      <c r="B53" s="434" t="s">
        <v>86</v>
      </c>
      <c r="C53" s="595">
        <v>39573.2</v>
      </c>
      <c r="D53" s="595">
        <v>363.14</v>
      </c>
      <c r="E53" s="52">
        <v>33599.1</v>
      </c>
      <c r="F53" s="52">
        <v>1517.93</v>
      </c>
      <c r="G53" s="150">
        <f t="shared" si="1"/>
        <v>-5974.0999999999985</v>
      </c>
      <c r="H53" s="151">
        <f t="shared" si="1"/>
        <v>1154.79</v>
      </c>
    </row>
    <row r="54" spans="1:8" ht="15.75">
      <c r="A54" s="33">
        <f t="shared" si="0"/>
        <v>49</v>
      </c>
      <c r="B54" s="434" t="s">
        <v>87</v>
      </c>
      <c r="C54" s="595" t="s">
        <v>993</v>
      </c>
      <c r="D54" s="595" t="s">
        <v>993</v>
      </c>
      <c r="E54" s="52">
        <v>0</v>
      </c>
      <c r="F54" s="52"/>
      <c r="G54" s="150">
        <f t="shared" si="1"/>
        <v>0</v>
      </c>
      <c r="H54" s="151">
        <f t="shared" si="1"/>
        <v>0</v>
      </c>
    </row>
    <row r="55" spans="1:8" ht="15.75">
      <c r="A55" s="33">
        <f t="shared" si="0"/>
        <v>50</v>
      </c>
      <c r="B55" s="434" t="s">
        <v>88</v>
      </c>
      <c r="C55" s="595">
        <v>43599</v>
      </c>
      <c r="D55" s="595" t="s">
        <v>993</v>
      </c>
      <c r="E55" s="52">
        <v>12109.82</v>
      </c>
      <c r="F55" s="52">
        <v>0.7</v>
      </c>
      <c r="G55" s="150">
        <f t="shared" si="1"/>
        <v>-31489.18</v>
      </c>
      <c r="H55" s="151">
        <f t="shared" si="1"/>
        <v>0.7</v>
      </c>
    </row>
    <row r="56" spans="1:8" ht="15.75">
      <c r="A56" s="33">
        <f t="shared" si="0"/>
        <v>51</v>
      </c>
      <c r="B56" s="434" t="s">
        <v>54</v>
      </c>
      <c r="C56" s="595">
        <v>109446.26</v>
      </c>
      <c r="D56" s="595">
        <v>2143</v>
      </c>
      <c r="E56" s="52">
        <v>50428.22</v>
      </c>
      <c r="F56" s="52">
        <v>6468.84</v>
      </c>
      <c r="G56" s="150">
        <f t="shared" si="1"/>
        <v>-59018.03999999999</v>
      </c>
      <c r="H56" s="151">
        <f t="shared" si="1"/>
        <v>4325.84</v>
      </c>
    </row>
    <row r="57" spans="1:8" ht="15.75">
      <c r="A57" s="33">
        <f t="shared" si="0"/>
        <v>52</v>
      </c>
      <c r="B57" s="434" t="s">
        <v>55</v>
      </c>
      <c r="C57" s="595" t="s">
        <v>993</v>
      </c>
      <c r="D57" s="595" t="s">
        <v>993</v>
      </c>
      <c r="E57" s="52">
        <v>0</v>
      </c>
      <c r="F57" s="52"/>
      <c r="G57" s="150">
        <f t="shared" si="1"/>
        <v>0</v>
      </c>
      <c r="H57" s="151">
        <f t="shared" si="1"/>
        <v>0</v>
      </c>
    </row>
    <row r="58" spans="1:9" ht="31.5">
      <c r="A58" s="33">
        <f t="shared" si="0"/>
        <v>53</v>
      </c>
      <c r="B58" s="434" t="s">
        <v>834</v>
      </c>
      <c r="C58" s="596">
        <f>1350638.16+1443.28</f>
        <v>1352081.44</v>
      </c>
      <c r="D58" s="596">
        <v>14424.66</v>
      </c>
      <c r="E58" s="52">
        <v>2189657.95</v>
      </c>
      <c r="F58" s="52">
        <v>22044.04</v>
      </c>
      <c r="G58" s="150">
        <f t="shared" si="1"/>
        <v>837576.5100000002</v>
      </c>
      <c r="H58" s="151">
        <f t="shared" si="1"/>
        <v>7619.380000000001</v>
      </c>
      <c r="I58" s="305"/>
    </row>
    <row r="59" spans="1:8" ht="15.75">
      <c r="A59" s="33">
        <f t="shared" si="0"/>
        <v>54</v>
      </c>
      <c r="B59" s="434" t="s">
        <v>89</v>
      </c>
      <c r="C59" s="595">
        <v>2167695.06</v>
      </c>
      <c r="D59" s="595">
        <v>29518.46</v>
      </c>
      <c r="E59" s="52">
        <v>893270.04</v>
      </c>
      <c r="F59" s="52">
        <v>16825.77</v>
      </c>
      <c r="G59" s="150">
        <f t="shared" si="1"/>
        <v>-1274425.02</v>
      </c>
      <c r="H59" s="151">
        <f t="shared" si="1"/>
        <v>-12692.689999999999</v>
      </c>
    </row>
    <row r="60" spans="1:8" ht="15.75">
      <c r="A60" s="33">
        <f t="shared" si="0"/>
        <v>55</v>
      </c>
      <c r="B60" s="437" t="s">
        <v>865</v>
      </c>
      <c r="C60" s="61">
        <f>C61+C62</f>
        <v>17368299.32</v>
      </c>
      <c r="D60" s="61">
        <f>D61+D62</f>
        <v>378944.89</v>
      </c>
      <c r="E60" s="61">
        <f>E61+E62</f>
        <v>19555741.75</v>
      </c>
      <c r="F60" s="61">
        <f>F61+F62</f>
        <v>413391.21</v>
      </c>
      <c r="G60" s="61">
        <f t="shared" si="1"/>
        <v>2187442.4299999997</v>
      </c>
      <c r="H60" s="137">
        <f t="shared" si="1"/>
        <v>34446.32000000001</v>
      </c>
    </row>
    <row r="61" spans="1:8" ht="15.75">
      <c r="A61" s="33">
        <f t="shared" si="0"/>
        <v>56</v>
      </c>
      <c r="B61" s="434" t="s">
        <v>835</v>
      </c>
      <c r="C61" s="595">
        <v>16830813.78</v>
      </c>
      <c r="D61" s="595">
        <v>346679.09</v>
      </c>
      <c r="E61" s="52">
        <v>19075448.28</v>
      </c>
      <c r="F61" s="52">
        <v>380663.63</v>
      </c>
      <c r="G61" s="150">
        <f t="shared" si="1"/>
        <v>2244634.5</v>
      </c>
      <c r="H61" s="151">
        <f t="shared" si="1"/>
        <v>33984.53999999998</v>
      </c>
    </row>
    <row r="62" spans="1:8" ht="15.75">
      <c r="A62" s="33">
        <f t="shared" si="0"/>
        <v>57</v>
      </c>
      <c r="B62" s="437" t="s">
        <v>3</v>
      </c>
      <c r="C62" s="61">
        <f>SUM(C63:C65)</f>
        <v>537485.54</v>
      </c>
      <c r="D62" s="61">
        <f>SUM(D63:D65)</f>
        <v>32265.8</v>
      </c>
      <c r="E62" s="61">
        <f>SUM(E63:E65)</f>
        <v>480293.47</v>
      </c>
      <c r="F62" s="61">
        <f>SUM(F63:F65)</f>
        <v>32727.58</v>
      </c>
      <c r="G62" s="61">
        <f t="shared" si="1"/>
        <v>-57192.070000000065</v>
      </c>
      <c r="H62" s="137">
        <f t="shared" si="1"/>
        <v>461.7800000000025</v>
      </c>
    </row>
    <row r="63" spans="1:8" s="132" customFormat="1" ht="16.5" customHeight="1">
      <c r="A63" s="33">
        <f t="shared" si="0"/>
        <v>58</v>
      </c>
      <c r="B63" s="441" t="s">
        <v>1</v>
      </c>
      <c r="C63" s="595">
        <v>120</v>
      </c>
      <c r="D63" s="595" t="s">
        <v>993</v>
      </c>
      <c r="E63" s="83">
        <v>0</v>
      </c>
      <c r="F63" s="83"/>
      <c r="G63" s="150">
        <f t="shared" si="1"/>
        <v>-120</v>
      </c>
      <c r="H63" s="151">
        <f t="shared" si="1"/>
        <v>0</v>
      </c>
    </row>
    <row r="64" spans="1:8" ht="31.5">
      <c r="A64" s="33">
        <f t="shared" si="0"/>
        <v>59</v>
      </c>
      <c r="B64" s="441" t="s">
        <v>2</v>
      </c>
      <c r="C64" s="596">
        <v>522119.94</v>
      </c>
      <c r="D64" s="596">
        <v>26965.8</v>
      </c>
      <c r="E64" s="52">
        <v>451281.1</v>
      </c>
      <c r="F64" s="52">
        <v>24492.06</v>
      </c>
      <c r="G64" s="150">
        <f t="shared" si="1"/>
        <v>-70838.84000000003</v>
      </c>
      <c r="H64" s="151">
        <f t="shared" si="1"/>
        <v>-2473.739999999998</v>
      </c>
    </row>
    <row r="65" spans="1:8" ht="15.75">
      <c r="A65" s="33">
        <f t="shared" si="0"/>
        <v>60</v>
      </c>
      <c r="B65" s="434" t="s">
        <v>167</v>
      </c>
      <c r="C65" s="595">
        <v>15245.6</v>
      </c>
      <c r="D65" s="595">
        <v>5300</v>
      </c>
      <c r="E65" s="52">
        <v>29012.37</v>
      </c>
      <c r="F65" s="52">
        <v>8235.52</v>
      </c>
      <c r="G65" s="150">
        <f t="shared" si="1"/>
        <v>13766.769999999999</v>
      </c>
      <c r="H65" s="151">
        <f t="shared" si="1"/>
        <v>2935.5200000000004</v>
      </c>
    </row>
    <row r="66" spans="1:8" ht="15.75">
      <c r="A66" s="33">
        <f t="shared" si="0"/>
        <v>61</v>
      </c>
      <c r="B66" s="437" t="s">
        <v>127</v>
      </c>
      <c r="C66" s="595">
        <v>5911791.05</v>
      </c>
      <c r="D66" s="595">
        <v>128833.65</v>
      </c>
      <c r="E66" s="52">
        <v>6619362.52</v>
      </c>
      <c r="F66" s="52">
        <v>139786.38</v>
      </c>
      <c r="G66" s="150">
        <f t="shared" si="1"/>
        <v>707571.4699999997</v>
      </c>
      <c r="H66" s="151">
        <f t="shared" si="1"/>
        <v>10952.73000000001</v>
      </c>
    </row>
    <row r="67" spans="1:8" ht="15.75">
      <c r="A67" s="33">
        <f t="shared" si="0"/>
        <v>62</v>
      </c>
      <c r="B67" s="437" t="s">
        <v>13</v>
      </c>
      <c r="C67" s="595">
        <v>97046.62</v>
      </c>
      <c r="D67" s="595">
        <v>2850.38</v>
      </c>
      <c r="E67" s="52">
        <v>105344.48</v>
      </c>
      <c r="F67" s="52">
        <v>3677.7</v>
      </c>
      <c r="G67" s="150">
        <f t="shared" si="1"/>
        <v>8297.86</v>
      </c>
      <c r="H67" s="151">
        <f t="shared" si="1"/>
        <v>827.3199999999997</v>
      </c>
    </row>
    <row r="68" spans="1:8" ht="15.75">
      <c r="A68" s="33">
        <f t="shared" si="0"/>
        <v>63</v>
      </c>
      <c r="B68" s="437" t="s">
        <v>4</v>
      </c>
      <c r="C68" s="61">
        <f>SUM(C69:C74)</f>
        <v>506105.35000000003</v>
      </c>
      <c r="D68" s="61">
        <f>SUM(D69:D74)</f>
        <v>4790.17</v>
      </c>
      <c r="E68" s="61">
        <f>SUM(E69:E74)</f>
        <v>577138.6799999999</v>
      </c>
      <c r="F68" s="61">
        <f>SUM(F69:F74)</f>
        <v>7368.58</v>
      </c>
      <c r="G68" s="61">
        <f t="shared" si="1"/>
        <v>71033.3299999999</v>
      </c>
      <c r="H68" s="137">
        <f t="shared" si="1"/>
        <v>2578.41</v>
      </c>
    </row>
    <row r="69" spans="1:8" ht="15.75">
      <c r="A69" s="33">
        <f t="shared" si="0"/>
        <v>64</v>
      </c>
      <c r="B69" s="434" t="s">
        <v>43</v>
      </c>
      <c r="C69" s="595">
        <v>180848.13</v>
      </c>
      <c r="D69" s="595">
        <v>3852.96</v>
      </c>
      <c r="E69" s="52">
        <v>206939.75</v>
      </c>
      <c r="F69" s="52">
        <v>4608.45</v>
      </c>
      <c r="G69" s="150">
        <f t="shared" si="1"/>
        <v>26091.619999999995</v>
      </c>
      <c r="H69" s="151">
        <f t="shared" si="1"/>
        <v>755.4899999999998</v>
      </c>
    </row>
    <row r="70" spans="1:8" ht="15.75">
      <c r="A70" s="33">
        <f t="shared" si="0"/>
        <v>65</v>
      </c>
      <c r="B70" s="434" t="s">
        <v>90</v>
      </c>
      <c r="C70" s="595">
        <v>248095.06</v>
      </c>
      <c r="D70" s="595" t="s">
        <v>993</v>
      </c>
      <c r="E70" s="52">
        <v>285431.39</v>
      </c>
      <c r="F70" s="52"/>
      <c r="G70" s="150">
        <f t="shared" si="1"/>
        <v>37336.330000000016</v>
      </c>
      <c r="H70" s="151">
        <f t="shared" si="1"/>
        <v>0</v>
      </c>
    </row>
    <row r="71" spans="1:8" ht="15.75">
      <c r="A71" s="33">
        <f t="shared" si="0"/>
        <v>66</v>
      </c>
      <c r="B71" s="434" t="s">
        <v>91</v>
      </c>
      <c r="C71" s="595">
        <v>43268.52</v>
      </c>
      <c r="D71" s="595">
        <v>263.56</v>
      </c>
      <c r="E71" s="52">
        <v>51424.48</v>
      </c>
      <c r="F71" s="52">
        <v>1476</v>
      </c>
      <c r="G71" s="150">
        <f t="shared" si="1"/>
        <v>8155.960000000006</v>
      </c>
      <c r="H71" s="151">
        <f t="shared" si="1"/>
        <v>1212.44</v>
      </c>
    </row>
    <row r="72" spans="1:8" ht="15.75">
      <c r="A72" s="33">
        <f aca="true" t="shared" si="2" ref="A72:A102">A71+1</f>
        <v>67</v>
      </c>
      <c r="B72" s="434" t="s">
        <v>92</v>
      </c>
      <c r="C72" s="595">
        <v>33878.14</v>
      </c>
      <c r="D72" s="595">
        <v>673.65</v>
      </c>
      <c r="E72" s="52">
        <v>33320.37</v>
      </c>
      <c r="F72" s="52">
        <v>1284.13</v>
      </c>
      <c r="G72" s="150">
        <f aca="true" t="shared" si="3" ref="G72:H96">E72-C72</f>
        <v>-557.7699999999968</v>
      </c>
      <c r="H72" s="151">
        <f t="shared" si="3"/>
        <v>610.4800000000001</v>
      </c>
    </row>
    <row r="73" spans="1:8" ht="15.75">
      <c r="A73" s="33">
        <f t="shared" si="2"/>
        <v>68</v>
      </c>
      <c r="B73" s="434" t="s">
        <v>93</v>
      </c>
      <c r="C73" s="595">
        <v>15.5</v>
      </c>
      <c r="D73" s="595" t="s">
        <v>993</v>
      </c>
      <c r="E73" s="52">
        <v>22.69</v>
      </c>
      <c r="F73" s="52"/>
      <c r="G73" s="150">
        <f t="shared" si="3"/>
        <v>7.190000000000001</v>
      </c>
      <c r="H73" s="151">
        <f t="shared" si="3"/>
        <v>0</v>
      </c>
    </row>
    <row r="74" spans="1:8" ht="15.75">
      <c r="A74" s="33">
        <f t="shared" si="2"/>
        <v>69</v>
      </c>
      <c r="B74" s="434" t="s">
        <v>94</v>
      </c>
      <c r="C74" s="595" t="s">
        <v>993</v>
      </c>
      <c r="D74" s="595" t="s">
        <v>993</v>
      </c>
      <c r="E74" s="52">
        <v>0</v>
      </c>
      <c r="F74" s="52"/>
      <c r="G74" s="150">
        <f t="shared" si="3"/>
        <v>0</v>
      </c>
      <c r="H74" s="151">
        <f t="shared" si="3"/>
        <v>0</v>
      </c>
    </row>
    <row r="75" spans="1:8" ht="15.75">
      <c r="A75" s="33">
        <f t="shared" si="2"/>
        <v>70</v>
      </c>
      <c r="B75" s="437" t="s">
        <v>20</v>
      </c>
      <c r="C75" s="595" t="s">
        <v>993</v>
      </c>
      <c r="D75" s="595" t="s">
        <v>993</v>
      </c>
      <c r="E75" s="52">
        <v>0</v>
      </c>
      <c r="F75" s="52"/>
      <c r="G75" s="150">
        <f t="shared" si="3"/>
        <v>0</v>
      </c>
      <c r="H75" s="151">
        <f t="shared" si="3"/>
        <v>0</v>
      </c>
    </row>
    <row r="76" spans="1:8" ht="15.75">
      <c r="A76" s="33">
        <f t="shared" si="2"/>
        <v>71</v>
      </c>
      <c r="B76" s="437" t="s">
        <v>276</v>
      </c>
      <c r="C76" s="595" t="s">
        <v>993</v>
      </c>
      <c r="D76" s="595">
        <v>47.02</v>
      </c>
      <c r="E76" s="52">
        <v>0</v>
      </c>
      <c r="F76" s="52">
        <v>124.15</v>
      </c>
      <c r="G76" s="150">
        <f t="shared" si="3"/>
        <v>0</v>
      </c>
      <c r="H76" s="151">
        <f t="shared" si="3"/>
        <v>77.13</v>
      </c>
    </row>
    <row r="77" spans="1:8" ht="15.75">
      <c r="A77" s="33">
        <f t="shared" si="2"/>
        <v>72</v>
      </c>
      <c r="B77" s="437" t="s">
        <v>129</v>
      </c>
      <c r="C77" s="595">
        <v>23246.49</v>
      </c>
      <c r="D77" s="595">
        <v>2213.81</v>
      </c>
      <c r="E77" s="52">
        <v>23234.38</v>
      </c>
      <c r="F77" s="52">
        <v>2184.92</v>
      </c>
      <c r="G77" s="150">
        <f t="shared" si="3"/>
        <v>-12.110000000000582</v>
      </c>
      <c r="H77" s="151">
        <f t="shared" si="3"/>
        <v>-28.889999999999873</v>
      </c>
    </row>
    <row r="78" spans="1:8" ht="15.75">
      <c r="A78" s="33">
        <f t="shared" si="2"/>
        <v>73</v>
      </c>
      <c r="B78" s="437" t="s">
        <v>209</v>
      </c>
      <c r="C78" s="595">
        <v>61946.9</v>
      </c>
      <c r="D78" s="595">
        <v>804.55</v>
      </c>
      <c r="E78" s="52">
        <v>139806.21</v>
      </c>
      <c r="F78" s="52">
        <v>3555.78</v>
      </c>
      <c r="G78" s="150">
        <f t="shared" si="3"/>
        <v>77859.31</v>
      </c>
      <c r="H78" s="151">
        <f t="shared" si="3"/>
        <v>2751.2300000000005</v>
      </c>
    </row>
    <row r="79" spans="1:8" ht="15.75">
      <c r="A79" s="33">
        <f t="shared" si="2"/>
        <v>74</v>
      </c>
      <c r="B79" s="437" t="s">
        <v>866</v>
      </c>
      <c r="C79" s="61">
        <f>C80+C81</f>
        <v>2392597.291</v>
      </c>
      <c r="D79" s="61">
        <f>D80+D81</f>
        <v>395.92999999999995</v>
      </c>
      <c r="E79" s="61">
        <f>E80+E81</f>
        <v>2502043.86</v>
      </c>
      <c r="F79" s="61">
        <f>F80+F81</f>
        <v>693.95</v>
      </c>
      <c r="G79" s="61">
        <f t="shared" si="3"/>
        <v>109446.56899999967</v>
      </c>
      <c r="H79" s="137">
        <f t="shared" si="3"/>
        <v>298.0200000000001</v>
      </c>
    </row>
    <row r="80" spans="1:8" ht="31.5">
      <c r="A80" s="33">
        <f t="shared" si="2"/>
        <v>75</v>
      </c>
      <c r="B80" s="437" t="s">
        <v>169</v>
      </c>
      <c r="C80" s="596">
        <v>44460.25</v>
      </c>
      <c r="D80" s="596">
        <v>232.98</v>
      </c>
      <c r="E80" s="78">
        <v>16401.23</v>
      </c>
      <c r="F80" s="78">
        <v>257.84</v>
      </c>
      <c r="G80" s="150">
        <f t="shared" si="3"/>
        <v>-28059.02</v>
      </c>
      <c r="H80" s="151">
        <f t="shared" si="3"/>
        <v>24.859999999999985</v>
      </c>
    </row>
    <row r="81" spans="1:8" ht="15.75">
      <c r="A81" s="33">
        <f t="shared" si="2"/>
        <v>76</v>
      </c>
      <c r="B81" s="437" t="s">
        <v>5</v>
      </c>
      <c r="C81" s="61">
        <f>SUM(C82:C88)</f>
        <v>2348137.041</v>
      </c>
      <c r="D81" s="61">
        <f>SUM(D82:D88)</f>
        <v>162.95</v>
      </c>
      <c r="E81" s="61">
        <f>SUM(E82:E88)</f>
        <v>2485642.63</v>
      </c>
      <c r="F81" s="61">
        <f>SUM(F82:F88)</f>
        <v>436.11</v>
      </c>
      <c r="G81" s="61">
        <f t="shared" si="3"/>
        <v>137505.5889999997</v>
      </c>
      <c r="H81" s="137">
        <f t="shared" si="3"/>
        <v>273.16</v>
      </c>
    </row>
    <row r="82" spans="1:8" ht="15.75">
      <c r="A82" s="33">
        <f t="shared" si="2"/>
        <v>77</v>
      </c>
      <c r="B82" s="434" t="s">
        <v>746</v>
      </c>
      <c r="C82" s="595">
        <v>2182062.47</v>
      </c>
      <c r="D82" s="595" t="s">
        <v>993</v>
      </c>
      <c r="E82" s="52">
        <v>2141898.01</v>
      </c>
      <c r="F82" s="52">
        <v>200</v>
      </c>
      <c r="G82" s="150">
        <f t="shared" si="3"/>
        <v>-40164.46000000043</v>
      </c>
      <c r="H82" s="151">
        <f t="shared" si="3"/>
        <v>200</v>
      </c>
    </row>
    <row r="83" spans="1:8" ht="15.75">
      <c r="A83" s="33">
        <f t="shared" si="2"/>
        <v>78</v>
      </c>
      <c r="B83" s="434" t="s">
        <v>95</v>
      </c>
      <c r="C83" s="595">
        <v>4045.33</v>
      </c>
      <c r="D83" s="595">
        <v>208.35</v>
      </c>
      <c r="E83" s="52">
        <v>4342.44</v>
      </c>
      <c r="F83" s="52">
        <v>209.8</v>
      </c>
      <c r="G83" s="150">
        <f t="shared" si="3"/>
        <v>297.1099999999997</v>
      </c>
      <c r="H83" s="151">
        <f t="shared" si="3"/>
        <v>1.450000000000017</v>
      </c>
    </row>
    <row r="84" spans="1:8" ht="15.75">
      <c r="A84" s="33">
        <f t="shared" si="2"/>
        <v>79</v>
      </c>
      <c r="B84" s="434" t="s">
        <v>96</v>
      </c>
      <c r="C84" s="595">
        <v>103.28</v>
      </c>
      <c r="D84" s="595" t="s">
        <v>993</v>
      </c>
      <c r="E84" s="52">
        <v>0</v>
      </c>
      <c r="F84" s="52"/>
      <c r="G84" s="150">
        <f t="shared" si="3"/>
        <v>-103.28</v>
      </c>
      <c r="H84" s="151">
        <f t="shared" si="3"/>
        <v>0</v>
      </c>
    </row>
    <row r="85" spans="1:8" ht="31.5">
      <c r="A85" s="33">
        <f t="shared" si="2"/>
        <v>80</v>
      </c>
      <c r="B85" s="477" t="s">
        <v>915</v>
      </c>
      <c r="C85" s="595">
        <v>51209.08</v>
      </c>
      <c r="D85" s="595" t="s">
        <v>993</v>
      </c>
      <c r="E85" s="52">
        <v>52908.95</v>
      </c>
      <c r="F85" s="52">
        <v>27.04</v>
      </c>
      <c r="G85" s="150">
        <f t="shared" si="3"/>
        <v>1699.8699999999953</v>
      </c>
      <c r="H85" s="151">
        <f t="shared" si="3"/>
        <v>27.04</v>
      </c>
    </row>
    <row r="86" spans="1:8" ht="15.75">
      <c r="A86" s="33">
        <f t="shared" si="2"/>
        <v>81</v>
      </c>
      <c r="B86" s="434" t="s">
        <v>97</v>
      </c>
      <c r="C86" s="595">
        <v>37473</v>
      </c>
      <c r="D86" s="595" t="s">
        <v>993</v>
      </c>
      <c r="E86" s="52">
        <v>22163</v>
      </c>
      <c r="F86" s="52"/>
      <c r="G86" s="150">
        <f t="shared" si="3"/>
        <v>-15310</v>
      </c>
      <c r="H86" s="151">
        <f t="shared" si="3"/>
        <v>0</v>
      </c>
    </row>
    <row r="87" spans="1:8" ht="15.75">
      <c r="A87" s="33">
        <f t="shared" si="2"/>
        <v>82</v>
      </c>
      <c r="B87" s="434" t="s">
        <v>98</v>
      </c>
      <c r="C87" s="595">
        <v>49384</v>
      </c>
      <c r="D87" s="595">
        <v>-45.74</v>
      </c>
      <c r="E87" s="52">
        <v>46979.9</v>
      </c>
      <c r="F87" s="52">
        <v>0</v>
      </c>
      <c r="G87" s="150">
        <f t="shared" si="3"/>
        <v>-2404.0999999999985</v>
      </c>
      <c r="H87" s="151">
        <f t="shared" si="3"/>
        <v>45.74</v>
      </c>
    </row>
    <row r="88" spans="1:8" ht="15.75">
      <c r="A88" s="33">
        <f t="shared" si="2"/>
        <v>83</v>
      </c>
      <c r="B88" s="477" t="s">
        <v>916</v>
      </c>
      <c r="C88" s="595">
        <v>23859.881</v>
      </c>
      <c r="D88" s="595">
        <v>0.34</v>
      </c>
      <c r="E88" s="52">
        <f>217235.11+115.22</f>
        <v>217350.33</v>
      </c>
      <c r="F88" s="52">
        <v>-0.73</v>
      </c>
      <c r="G88" s="150">
        <f t="shared" si="3"/>
        <v>193490.449</v>
      </c>
      <c r="H88" s="151">
        <f t="shared" si="3"/>
        <v>-1.07</v>
      </c>
    </row>
    <row r="89" spans="1:8" ht="31.5">
      <c r="A89" s="33">
        <f t="shared" si="2"/>
        <v>84</v>
      </c>
      <c r="B89" s="437" t="s">
        <v>944</v>
      </c>
      <c r="C89" s="61">
        <f>SUM(C90:C98)</f>
        <v>7127954.25</v>
      </c>
      <c r="D89" s="61">
        <f>SUM(D90:D98)</f>
        <v>77996.44</v>
      </c>
      <c r="E89" s="61">
        <f>SUM(E90:E98)</f>
        <v>6728850.1</v>
      </c>
      <c r="F89" s="61">
        <f>SUM(F90:F98)</f>
        <v>70285.82</v>
      </c>
      <c r="G89" s="61">
        <f t="shared" si="3"/>
        <v>-399104.1500000004</v>
      </c>
      <c r="H89" s="137">
        <f t="shared" si="3"/>
        <v>-7710.619999999995</v>
      </c>
    </row>
    <row r="90" spans="1:8" ht="31.5" customHeight="1">
      <c r="A90" s="33">
        <f t="shared" si="2"/>
        <v>85</v>
      </c>
      <c r="B90" s="434" t="s">
        <v>836</v>
      </c>
      <c r="C90" s="596">
        <v>808402.36</v>
      </c>
      <c r="D90" s="596">
        <v>0</v>
      </c>
      <c r="E90" s="52">
        <v>747669.74</v>
      </c>
      <c r="F90" s="52"/>
      <c r="G90" s="150">
        <f t="shared" si="3"/>
        <v>-60732.619999999995</v>
      </c>
      <c r="H90" s="151">
        <f t="shared" si="3"/>
        <v>0</v>
      </c>
    </row>
    <row r="91" spans="1:9" ht="15.75">
      <c r="A91" s="33">
        <f t="shared" si="2"/>
        <v>86</v>
      </c>
      <c r="B91" s="442" t="s">
        <v>867</v>
      </c>
      <c r="C91" s="596">
        <v>1157315.81</v>
      </c>
      <c r="D91" s="596">
        <v>77996.44</v>
      </c>
      <c r="E91" s="52">
        <v>1257512.68</v>
      </c>
      <c r="F91" s="52">
        <f>122+10133.05+31705.59+415</f>
        <v>42375.64</v>
      </c>
      <c r="G91" s="150">
        <f t="shared" si="3"/>
        <v>100196.86999999988</v>
      </c>
      <c r="H91" s="151">
        <f t="shared" si="3"/>
        <v>-35620.8</v>
      </c>
      <c r="I91" s="498"/>
    </row>
    <row r="92" spans="1:9" ht="31.5">
      <c r="A92" s="304" t="s">
        <v>708</v>
      </c>
      <c r="B92" s="442" t="s">
        <v>868</v>
      </c>
      <c r="C92" s="596">
        <v>4483236.95</v>
      </c>
      <c r="D92" s="596" t="s">
        <v>993</v>
      </c>
      <c r="E92" s="52">
        <v>4535895.14</v>
      </c>
      <c r="F92" s="52"/>
      <c r="G92" s="150">
        <f>E92-C92</f>
        <v>52658.18999999948</v>
      </c>
      <c r="H92" s="151">
        <f>F92-D92</f>
        <v>0</v>
      </c>
      <c r="I92" s="498"/>
    </row>
    <row r="93" spans="1:10" ht="15.75">
      <c r="A93" s="33">
        <f>A91+1</f>
        <v>87</v>
      </c>
      <c r="B93" s="434" t="s">
        <v>837</v>
      </c>
      <c r="C93" s="595">
        <v>78443.87</v>
      </c>
      <c r="D93" s="595" t="s">
        <v>993</v>
      </c>
      <c r="E93" s="52">
        <f>35422.95+517.92</f>
        <v>35940.869999999995</v>
      </c>
      <c r="F93" s="52">
        <v>27910.18</v>
      </c>
      <c r="G93" s="150">
        <f t="shared" si="3"/>
        <v>-42503</v>
      </c>
      <c r="H93" s="151">
        <f t="shared" si="3"/>
        <v>27910.18</v>
      </c>
      <c r="I93" s="498"/>
      <c r="J93" s="533"/>
    </row>
    <row r="94" spans="1:8" ht="15.75">
      <c r="A94" s="33">
        <f t="shared" si="2"/>
        <v>88</v>
      </c>
      <c r="B94" s="434" t="s">
        <v>113</v>
      </c>
      <c r="C94" s="595" t="s">
        <v>993</v>
      </c>
      <c r="D94" s="595" t="s">
        <v>993</v>
      </c>
      <c r="E94" s="52">
        <v>0</v>
      </c>
      <c r="F94" s="52"/>
      <c r="G94" s="150">
        <f t="shared" si="3"/>
        <v>0</v>
      </c>
      <c r="H94" s="151">
        <f t="shared" si="3"/>
        <v>0</v>
      </c>
    </row>
    <row r="95" spans="1:8" ht="15.75">
      <c r="A95" s="33">
        <f t="shared" si="2"/>
        <v>89</v>
      </c>
      <c r="B95" s="434" t="s">
        <v>114</v>
      </c>
      <c r="C95" s="595">
        <v>65276.8</v>
      </c>
      <c r="D95" s="595" t="s">
        <v>993</v>
      </c>
      <c r="E95" s="52">
        <v>56608</v>
      </c>
      <c r="F95" s="52"/>
      <c r="G95" s="150">
        <f t="shared" si="3"/>
        <v>-8668.800000000003</v>
      </c>
      <c r="H95" s="151">
        <f t="shared" si="3"/>
        <v>0</v>
      </c>
    </row>
    <row r="96" spans="1:8" ht="15.75">
      <c r="A96" s="33">
        <f t="shared" si="2"/>
        <v>90</v>
      </c>
      <c r="B96" s="434" t="s">
        <v>838</v>
      </c>
      <c r="C96" s="595">
        <v>535278.46</v>
      </c>
      <c r="D96" s="595" t="s">
        <v>993</v>
      </c>
      <c r="E96" s="52">
        <v>95223.67</v>
      </c>
      <c r="F96" s="52"/>
      <c r="G96" s="150">
        <f t="shared" si="3"/>
        <v>-440054.79</v>
      </c>
      <c r="H96" s="151">
        <f t="shared" si="3"/>
        <v>0</v>
      </c>
    </row>
    <row r="97" spans="1:8" ht="47.25">
      <c r="A97" s="304">
        <f t="shared" si="2"/>
        <v>91</v>
      </c>
      <c r="B97" s="486" t="s">
        <v>937</v>
      </c>
      <c r="C97" s="596" t="s">
        <v>993</v>
      </c>
      <c r="D97" s="596" t="s">
        <v>993</v>
      </c>
      <c r="E97" s="52">
        <v>0</v>
      </c>
      <c r="F97" s="52"/>
      <c r="G97" s="150"/>
      <c r="H97" s="151"/>
    </row>
    <row r="98" spans="1:8" ht="15.75">
      <c r="A98" s="33">
        <f>A97+1</f>
        <v>92</v>
      </c>
      <c r="B98" s="434" t="s">
        <v>926</v>
      </c>
      <c r="C98" s="595"/>
      <c r="D98" s="595"/>
      <c r="E98" s="52">
        <v>0</v>
      </c>
      <c r="F98" s="52"/>
      <c r="G98" s="150">
        <f aca="true" t="shared" si="4" ref="G98:H101">E98-C99</f>
        <v>-26465</v>
      </c>
      <c r="H98" s="151">
        <f t="shared" si="4"/>
        <v>0</v>
      </c>
    </row>
    <row r="99" spans="1:8" ht="15.75">
      <c r="A99" s="33">
        <f t="shared" si="2"/>
        <v>93</v>
      </c>
      <c r="B99" s="437" t="s">
        <v>869</v>
      </c>
      <c r="C99" s="595">
        <v>26465</v>
      </c>
      <c r="D99" s="595" t="s">
        <v>993</v>
      </c>
      <c r="E99" s="52">
        <v>23167</v>
      </c>
      <c r="F99" s="52"/>
      <c r="G99" s="150">
        <f t="shared" si="4"/>
        <v>-2139747.68</v>
      </c>
      <c r="H99" s="151">
        <f t="shared" si="4"/>
        <v>-59240.38</v>
      </c>
    </row>
    <row r="100" spans="1:8" ht="15.75">
      <c r="A100" s="33" t="s">
        <v>936</v>
      </c>
      <c r="B100" s="437" t="s">
        <v>709</v>
      </c>
      <c r="C100" s="595">
        <v>2162914.68</v>
      </c>
      <c r="D100" s="595">
        <v>59240.38</v>
      </c>
      <c r="E100" s="52">
        <v>3808270.54</v>
      </c>
      <c r="F100" s="52">
        <f>31209.88+13.01</f>
        <v>31222.89</v>
      </c>
      <c r="G100" s="150">
        <f t="shared" si="4"/>
        <v>3645977.21</v>
      </c>
      <c r="H100" s="151">
        <f t="shared" si="4"/>
        <v>-1830.4199999999983</v>
      </c>
    </row>
    <row r="101" spans="1:8" ht="15.75">
      <c r="A101" s="33">
        <f>A99+1</f>
        <v>94</v>
      </c>
      <c r="B101" s="437" t="s">
        <v>190</v>
      </c>
      <c r="C101" s="595">
        <v>162293.33</v>
      </c>
      <c r="D101" s="595">
        <v>33053.31</v>
      </c>
      <c r="E101" s="52">
        <v>29531.13</v>
      </c>
      <c r="F101" s="52">
        <f>15079+14.9</f>
        <v>15093.9</v>
      </c>
      <c r="G101" s="150">
        <f t="shared" si="4"/>
        <v>-44779947.500999995</v>
      </c>
      <c r="H101" s="151">
        <f>F101-D101</f>
        <v>-17959.409999999996</v>
      </c>
    </row>
    <row r="102" spans="1:8" ht="32.25" thickBot="1">
      <c r="A102" s="494">
        <f t="shared" si="2"/>
        <v>95</v>
      </c>
      <c r="B102" s="443" t="s">
        <v>939</v>
      </c>
      <c r="C102" s="62">
        <f>C6+C19+C27+C32+C40+C43+C44+C60+C66+C67+C68+SUM(C75:C79)+C89+C99+C101</f>
        <v>44809478.631</v>
      </c>
      <c r="D102" s="62">
        <f>D6+D19+D27+D32+D40+D43+D44+D60+D66+D67+D68+SUM(D75:D79)+D89+D99+D101</f>
        <v>1288231.95</v>
      </c>
      <c r="E102" s="62">
        <f>E6+E19+E27+E32+E40+E43+E44+E60+E66+E67+E68+SUM(E75:E79)+E89+E99+E101</f>
        <v>49286921.07000001</v>
      </c>
      <c r="F102" s="62">
        <f>F6+F19+F27+F32+F40+F43+F44+F60+F66+F67+F68+SUM(F75:F79)+F89+F99+F101</f>
        <v>1390163.2100000002</v>
      </c>
      <c r="G102" s="62">
        <f>E102-C102</f>
        <v>4477442.4390000105</v>
      </c>
      <c r="H102" s="140">
        <f>F102-D102</f>
        <v>101931.26000000024</v>
      </c>
    </row>
    <row r="103" spans="1:13" ht="15.75">
      <c r="A103" s="4"/>
      <c r="C103" s="498"/>
      <c r="D103"/>
      <c r="E103"/>
      <c r="F103"/>
      <c r="G103"/>
      <c r="H103"/>
      <c r="I103"/>
      <c r="J103"/>
      <c r="K103"/>
      <c r="L103"/>
      <c r="M103"/>
    </row>
    <row r="104" spans="1:13" s="132" customFormat="1" ht="27" customHeight="1">
      <c r="A104" s="649" t="s">
        <v>115</v>
      </c>
      <c r="B104" s="650"/>
      <c r="C104" s="525"/>
      <c r="D104"/>
      <c r="E104"/>
      <c r="F104"/>
      <c r="G104"/>
      <c r="H104"/>
      <c r="I104"/>
      <c r="J104"/>
      <c r="K104"/>
      <c r="L104"/>
      <c r="M104"/>
    </row>
    <row r="105" spans="3:13" ht="15.75">
      <c r="C105" s="610" t="s">
        <v>933</v>
      </c>
      <c r="D105"/>
      <c r="E105"/>
      <c r="F105"/>
      <c r="G105"/>
      <c r="H105"/>
      <c r="I105"/>
      <c r="J105"/>
      <c r="K105"/>
      <c r="L105"/>
      <c r="M105"/>
    </row>
    <row r="106" spans="1:13" ht="15.75">
      <c r="A106" s="435" t="s">
        <v>839</v>
      </c>
      <c r="B106" s="436" t="s">
        <v>840</v>
      </c>
      <c r="D106"/>
      <c r="E106"/>
      <c r="F106"/>
      <c r="G106"/>
      <c r="H106"/>
      <c r="I106"/>
      <c r="J106"/>
      <c r="K106"/>
      <c r="L106"/>
      <c r="M106"/>
    </row>
    <row r="107" spans="3:13" ht="15.75">
      <c r="C107" s="610" t="s">
        <v>933</v>
      </c>
      <c r="D107"/>
      <c r="E107"/>
      <c r="F107"/>
      <c r="G107"/>
      <c r="H107"/>
      <c r="I107"/>
      <c r="J107"/>
      <c r="K107"/>
      <c r="L107"/>
      <c r="M107"/>
    </row>
    <row r="108" spans="4:13" ht="15.75">
      <c r="D108"/>
      <c r="E108"/>
      <c r="F108"/>
      <c r="G108"/>
      <c r="H108"/>
      <c r="I108"/>
      <c r="J108"/>
      <c r="K108"/>
      <c r="L108"/>
      <c r="M108"/>
    </row>
    <row r="109" ht="15.75">
      <c r="C109" s="498"/>
    </row>
    <row r="974" ht="15.75">
      <c r="F974" s="1" t="s">
        <v>280</v>
      </c>
    </row>
    <row r="993" ht="15.75">
      <c r="D993" s="1" t="s">
        <v>279</v>
      </c>
    </row>
  </sheetData>
  <sheetProtection/>
  <mergeCells count="8">
    <mergeCell ref="A104:B104"/>
    <mergeCell ref="A1:H1"/>
    <mergeCell ref="A2:H2"/>
    <mergeCell ref="A3:A4"/>
    <mergeCell ref="B3:B4"/>
    <mergeCell ref="C3:D3"/>
    <mergeCell ref="E3:F3"/>
    <mergeCell ref="G3:H3"/>
  </mergeCells>
  <printOptions gridLines="1"/>
  <pageMargins left="0.7480314960629921" right="0.7480314960629921" top="0.4330708661417323" bottom="0.3937007874015748" header="0.3937007874015748" footer="0.2362204724409449"/>
  <pageSetup fitToHeight="3" fitToWidth="3" horizontalDpi="600" verticalDpi="600" orientation="landscape" paperSize="9" scale="60" r:id="rId1"/>
  <rowBreaks count="2" manualBreakCount="2">
    <brk id="39" max="7" man="1"/>
    <brk id="74" max="7" man="1"/>
  </rowBreaks>
</worksheet>
</file>

<file path=xl/worksheets/sheet6.xml><?xml version="1.0" encoding="utf-8"?>
<worksheet xmlns="http://schemas.openxmlformats.org/spreadsheetml/2006/main" xmlns:r="http://schemas.openxmlformats.org/officeDocument/2006/relationships">
  <sheetPr>
    <tabColor indexed="42"/>
    <pageSetUpPr fitToPage="1"/>
  </sheetPr>
  <dimension ref="A1:K37"/>
  <sheetViews>
    <sheetView zoomScalePageLayoutView="0" workbookViewId="0" topLeftCell="A1">
      <pane xSplit="2" ySplit="6" topLeftCell="C28" activePane="bottomRight" state="frozen"/>
      <selection pane="topLeft" activeCell="A1" sqref="A1"/>
      <selection pane="topRight" activeCell="C1" sqref="C1"/>
      <selection pane="bottomLeft" activeCell="A7" sqref="A7"/>
      <selection pane="bottomRight" activeCell="H43" sqref="H43"/>
    </sheetView>
  </sheetViews>
  <sheetFormatPr defaultColWidth="9.140625" defaultRowHeight="12.75"/>
  <cols>
    <col min="1" max="1" width="5.57421875" style="24" customWidth="1"/>
    <col min="2" max="2" width="65.421875" style="49" customWidth="1"/>
    <col min="3" max="3" width="14.7109375" style="19" customWidth="1"/>
    <col min="4" max="4" width="14.00390625" style="19" customWidth="1"/>
    <col min="5" max="5" width="15.8515625" style="19" customWidth="1"/>
    <col min="6" max="6" width="15.7109375" style="19" customWidth="1"/>
    <col min="7" max="7" width="19.140625" style="19" customWidth="1"/>
    <col min="8" max="8" width="18.7109375" style="19" customWidth="1"/>
    <col min="9" max="10" width="18.8515625" style="19" customWidth="1"/>
    <col min="11" max="11" width="13.28125" style="19" customWidth="1"/>
    <col min="12" max="16384" width="9.140625" style="19" customWidth="1"/>
  </cols>
  <sheetData>
    <row r="1" spans="1:11" ht="34.5" customHeight="1" thickBot="1">
      <c r="A1" s="660" t="s">
        <v>870</v>
      </c>
      <c r="B1" s="661"/>
      <c r="C1" s="661"/>
      <c r="D1" s="661"/>
      <c r="E1" s="661"/>
      <c r="F1" s="661"/>
      <c r="G1" s="661"/>
      <c r="H1" s="661"/>
      <c r="I1" s="661"/>
      <c r="J1" s="661"/>
      <c r="K1" s="661"/>
    </row>
    <row r="2" spans="1:11" ht="35.25" customHeight="1">
      <c r="A2" s="662" t="s">
        <v>996</v>
      </c>
      <c r="B2" s="663"/>
      <c r="C2" s="663"/>
      <c r="D2" s="663"/>
      <c r="E2" s="663"/>
      <c r="F2" s="663"/>
      <c r="G2" s="663"/>
      <c r="H2" s="663"/>
      <c r="I2" s="663"/>
      <c r="J2" s="663"/>
      <c r="K2" s="664"/>
    </row>
    <row r="3" spans="1:11" ht="42.75" customHeight="1">
      <c r="A3" s="675" t="s">
        <v>149</v>
      </c>
      <c r="B3" s="658" t="s">
        <v>159</v>
      </c>
      <c r="C3" s="667" t="s">
        <v>901</v>
      </c>
      <c r="D3" s="667"/>
      <c r="E3" s="667"/>
      <c r="F3" s="667"/>
      <c r="G3" s="667" t="s">
        <v>731</v>
      </c>
      <c r="H3" s="668" t="s">
        <v>213</v>
      </c>
      <c r="I3" s="667" t="s">
        <v>733</v>
      </c>
      <c r="J3" s="665" t="s">
        <v>734</v>
      </c>
      <c r="K3" s="677" t="s">
        <v>919</v>
      </c>
    </row>
    <row r="4" spans="1:11" ht="34.5" customHeight="1">
      <c r="A4" s="676"/>
      <c r="B4" s="674"/>
      <c r="C4" s="673" t="s">
        <v>157</v>
      </c>
      <c r="D4" s="14" t="s">
        <v>213</v>
      </c>
      <c r="E4" s="673" t="s">
        <v>158</v>
      </c>
      <c r="F4" s="673" t="s">
        <v>133</v>
      </c>
      <c r="G4" s="673"/>
      <c r="H4" s="669"/>
      <c r="I4" s="673"/>
      <c r="J4" s="666"/>
      <c r="K4" s="677"/>
    </row>
    <row r="5" spans="1:11" s="75" customFormat="1" ht="63">
      <c r="A5" s="676"/>
      <c r="B5" s="674"/>
      <c r="C5" s="673"/>
      <c r="D5" s="14" t="s">
        <v>702</v>
      </c>
      <c r="E5" s="673"/>
      <c r="F5" s="673"/>
      <c r="G5" s="673"/>
      <c r="H5" s="14" t="s">
        <v>732</v>
      </c>
      <c r="I5" s="673"/>
      <c r="J5" s="666"/>
      <c r="K5" s="678"/>
    </row>
    <row r="6" spans="1:11" s="76" customFormat="1" ht="18" customHeight="1">
      <c r="A6" s="134"/>
      <c r="B6" s="64"/>
      <c r="C6" s="16" t="s">
        <v>199</v>
      </c>
      <c r="D6" s="16" t="s">
        <v>200</v>
      </c>
      <c r="E6" s="16" t="s">
        <v>201</v>
      </c>
      <c r="F6" s="16" t="s">
        <v>134</v>
      </c>
      <c r="G6" s="16" t="s">
        <v>202</v>
      </c>
      <c r="H6" s="16" t="s">
        <v>203</v>
      </c>
      <c r="I6" s="16" t="s">
        <v>204</v>
      </c>
      <c r="J6" s="478" t="s">
        <v>135</v>
      </c>
      <c r="K6" s="484" t="s">
        <v>920</v>
      </c>
    </row>
    <row r="7" spans="1:11" s="22" customFormat="1" ht="15.75">
      <c r="A7" s="31">
        <v>1</v>
      </c>
      <c r="B7" s="45" t="s">
        <v>196</v>
      </c>
      <c r="C7" s="506">
        <f>SUM(C8:C12)</f>
        <v>563.7099999999999</v>
      </c>
      <c r="D7" s="506">
        <f>SUM(D8:D12)</f>
        <v>555.8870000000001</v>
      </c>
      <c r="E7" s="506">
        <f>SUM(E8:E12)</f>
        <v>75.227</v>
      </c>
      <c r="F7" s="506">
        <f aca="true" t="shared" si="0" ref="F7:F13">C7+E7</f>
        <v>638.9369999999999</v>
      </c>
      <c r="G7" s="506">
        <f>SUM(G8:G12)</f>
        <v>8425049.209999999</v>
      </c>
      <c r="H7" s="506">
        <f>SUM(H8:H12)</f>
        <v>7648481.380000001</v>
      </c>
      <c r="I7" s="506">
        <f>SUM(I8:I12)</f>
        <v>3217919.51</v>
      </c>
      <c r="J7" s="507">
        <f aca="true" t="shared" si="1" ref="J7:J13">G7+I7</f>
        <v>11642968.719999999</v>
      </c>
      <c r="K7" s="508">
        <f>IF(F7=0,0,J7/F7/12)</f>
        <v>1518.5337417199714</v>
      </c>
    </row>
    <row r="8" spans="1:11" ht="15.75">
      <c r="A8" s="31">
        <v>2</v>
      </c>
      <c r="B8" s="483" t="s">
        <v>921</v>
      </c>
      <c r="C8" s="509">
        <v>92.42</v>
      </c>
      <c r="D8" s="509">
        <v>91.7</v>
      </c>
      <c r="E8" s="509">
        <v>19.11</v>
      </c>
      <c r="F8" s="510">
        <f t="shared" si="0"/>
        <v>111.53</v>
      </c>
      <c r="G8" s="509">
        <v>2103696.08</v>
      </c>
      <c r="H8" s="509">
        <v>1881900.78</v>
      </c>
      <c r="I8" s="509">
        <v>1044962.44</v>
      </c>
      <c r="J8" s="511">
        <f t="shared" si="1"/>
        <v>3148658.52</v>
      </c>
      <c r="K8" s="512">
        <f aca="true" t="shared" si="2" ref="K8:K30">IF(F8=0,0,J8/F8/12)</f>
        <v>2352.624495651394</v>
      </c>
    </row>
    <row r="9" spans="1:11" ht="15.75">
      <c r="A9" s="31">
        <v>3</v>
      </c>
      <c r="B9" s="27" t="s">
        <v>160</v>
      </c>
      <c r="C9" s="509">
        <v>116.5</v>
      </c>
      <c r="D9" s="509">
        <v>116.4</v>
      </c>
      <c r="E9" s="509">
        <v>13.6</v>
      </c>
      <c r="F9" s="510">
        <f t="shared" si="0"/>
        <v>130.1</v>
      </c>
      <c r="G9" s="509">
        <v>2023340.81</v>
      </c>
      <c r="H9" s="509">
        <v>1849565.6</v>
      </c>
      <c r="I9" s="509">
        <v>571451.2</v>
      </c>
      <c r="J9" s="511">
        <f t="shared" si="1"/>
        <v>2594792.01</v>
      </c>
      <c r="K9" s="512">
        <f t="shared" si="2"/>
        <v>1662.0497117601844</v>
      </c>
    </row>
    <row r="10" spans="1:11" ht="15.75">
      <c r="A10" s="31">
        <v>4</v>
      </c>
      <c r="B10" s="27" t="s">
        <v>161</v>
      </c>
      <c r="C10" s="509">
        <v>302</v>
      </c>
      <c r="D10" s="509">
        <v>297.2</v>
      </c>
      <c r="E10" s="509">
        <v>36.9</v>
      </c>
      <c r="F10" s="510">
        <f t="shared" si="0"/>
        <v>338.9</v>
      </c>
      <c r="G10" s="509">
        <v>3804269.45</v>
      </c>
      <c r="H10" s="509">
        <v>3447193.45</v>
      </c>
      <c r="I10" s="509">
        <v>1413106.43</v>
      </c>
      <c r="J10" s="511">
        <f t="shared" si="1"/>
        <v>5217375.88</v>
      </c>
      <c r="K10" s="512">
        <f t="shared" si="2"/>
        <v>1282.9192190419988</v>
      </c>
    </row>
    <row r="11" spans="1:11" ht="15.75">
      <c r="A11" s="31">
        <v>5</v>
      </c>
      <c r="B11" s="27" t="s">
        <v>162</v>
      </c>
      <c r="C11" s="509">
        <v>42.37</v>
      </c>
      <c r="D11" s="509">
        <v>40.987</v>
      </c>
      <c r="E11" s="509">
        <v>4.2</v>
      </c>
      <c r="F11" s="510">
        <f t="shared" si="0"/>
        <v>46.57</v>
      </c>
      <c r="G11" s="509">
        <v>388352.51</v>
      </c>
      <c r="H11" s="509">
        <v>372514.11</v>
      </c>
      <c r="I11" s="509">
        <v>161627.63</v>
      </c>
      <c r="J11" s="511">
        <f t="shared" si="1"/>
        <v>549980.14</v>
      </c>
      <c r="K11" s="512">
        <f t="shared" si="2"/>
        <v>984.1459809605612</v>
      </c>
    </row>
    <row r="12" spans="1:11" ht="15.75">
      <c r="A12" s="31">
        <v>6</v>
      </c>
      <c r="B12" s="27" t="s">
        <v>163</v>
      </c>
      <c r="C12" s="509">
        <v>10.42</v>
      </c>
      <c r="D12" s="509">
        <v>9.6</v>
      </c>
      <c r="E12" s="509">
        <v>1.417</v>
      </c>
      <c r="F12" s="510">
        <f t="shared" si="0"/>
        <v>11.837</v>
      </c>
      <c r="G12" s="509">
        <v>105390.36</v>
      </c>
      <c r="H12" s="509">
        <v>97307.44</v>
      </c>
      <c r="I12" s="509">
        <v>26771.81</v>
      </c>
      <c r="J12" s="511">
        <f t="shared" si="1"/>
        <v>132162.17</v>
      </c>
      <c r="K12" s="512">
        <f t="shared" si="2"/>
        <v>930.4312044155332</v>
      </c>
    </row>
    <row r="13" spans="1:11" ht="15.75">
      <c r="A13" s="31">
        <v>7</v>
      </c>
      <c r="B13" s="45" t="s">
        <v>30</v>
      </c>
      <c r="C13" s="509">
        <v>183.1</v>
      </c>
      <c r="D13" s="509">
        <v>164.07</v>
      </c>
      <c r="E13" s="509">
        <v>24.32</v>
      </c>
      <c r="F13" s="510">
        <f t="shared" si="0"/>
        <v>207.42</v>
      </c>
      <c r="G13" s="509">
        <v>1726805.45</v>
      </c>
      <c r="H13" s="509">
        <v>1376391.21</v>
      </c>
      <c r="I13" s="509">
        <v>423218.08</v>
      </c>
      <c r="J13" s="511">
        <f t="shared" si="1"/>
        <v>2150023.53</v>
      </c>
      <c r="K13" s="512">
        <f t="shared" si="2"/>
        <v>863.7962949570918</v>
      </c>
    </row>
    <row r="14" spans="1:11" ht="15.75">
      <c r="A14" s="31"/>
      <c r="B14" s="27" t="s">
        <v>213</v>
      </c>
      <c r="C14" s="513"/>
      <c r="D14" s="513"/>
      <c r="E14" s="513"/>
      <c r="F14" s="514"/>
      <c r="G14" s="513"/>
      <c r="H14" s="513"/>
      <c r="I14" s="513"/>
      <c r="J14" s="515"/>
      <c r="K14" s="512"/>
    </row>
    <row r="15" spans="1:11" ht="15.75">
      <c r="A15" s="31">
        <v>8</v>
      </c>
      <c r="B15" s="27" t="s">
        <v>34</v>
      </c>
      <c r="C15" s="509">
        <v>42.32</v>
      </c>
      <c r="D15" s="509">
        <v>39.826</v>
      </c>
      <c r="E15" s="509">
        <v>5.594</v>
      </c>
      <c r="F15" s="510">
        <f aca="true" t="shared" si="3" ref="F15:F21">C15+E15</f>
        <v>47.914</v>
      </c>
      <c r="G15" s="509">
        <v>518456.17</v>
      </c>
      <c r="H15" s="509">
        <v>428066.77</v>
      </c>
      <c r="I15" s="509">
        <v>105546.57</v>
      </c>
      <c r="J15" s="511">
        <f aca="true" t="shared" si="4" ref="J15:J21">G15+I15</f>
        <v>624002.74</v>
      </c>
      <c r="K15" s="512">
        <f t="shared" si="2"/>
        <v>1085.2825548552266</v>
      </c>
    </row>
    <row r="16" spans="1:11" ht="15.75">
      <c r="A16" s="31">
        <v>9</v>
      </c>
      <c r="B16" s="45" t="s">
        <v>197</v>
      </c>
      <c r="C16" s="510">
        <f>SUM(C17:C19)</f>
        <v>192.70000000000002</v>
      </c>
      <c r="D16" s="510">
        <f>SUM(D17:D19)</f>
        <v>188.89999999999998</v>
      </c>
      <c r="E16" s="510">
        <f>SUM(E17:E19)</f>
        <v>18.24</v>
      </c>
      <c r="F16" s="510">
        <f t="shared" si="3"/>
        <v>210.94000000000003</v>
      </c>
      <c r="G16" s="510">
        <f>SUM(G17:G19)</f>
        <v>1768260.4900000002</v>
      </c>
      <c r="H16" s="510">
        <f>SUM(H17:H19)</f>
        <v>1694927</v>
      </c>
      <c r="I16" s="510">
        <f>SUM(I17:I19)</f>
        <v>326442.50999999995</v>
      </c>
      <c r="J16" s="511">
        <f t="shared" si="4"/>
        <v>2094703.0000000002</v>
      </c>
      <c r="K16" s="512">
        <f t="shared" si="2"/>
        <v>827.5271799247812</v>
      </c>
    </row>
    <row r="17" spans="1:11" ht="15.75">
      <c r="A17" s="31">
        <v>10</v>
      </c>
      <c r="B17" s="27" t="s">
        <v>164</v>
      </c>
      <c r="C17" s="509">
        <v>68.84</v>
      </c>
      <c r="D17" s="509">
        <v>68.6</v>
      </c>
      <c r="E17" s="509">
        <v>1.92</v>
      </c>
      <c r="F17" s="510">
        <f t="shared" si="3"/>
        <v>70.76</v>
      </c>
      <c r="G17" s="509">
        <v>681563.04</v>
      </c>
      <c r="H17" s="509">
        <v>668125.5</v>
      </c>
      <c r="I17" s="509">
        <v>43366.64</v>
      </c>
      <c r="J17" s="511">
        <f t="shared" si="4"/>
        <v>724929.68</v>
      </c>
      <c r="K17" s="512">
        <f t="shared" si="2"/>
        <v>853.7423214622198</v>
      </c>
    </row>
    <row r="18" spans="1:11" ht="15.75">
      <c r="A18" s="31">
        <v>11</v>
      </c>
      <c r="B18" s="27" t="s">
        <v>136</v>
      </c>
      <c r="C18" s="509">
        <v>74.2</v>
      </c>
      <c r="D18" s="509">
        <v>70.8</v>
      </c>
      <c r="E18" s="509">
        <v>13.86</v>
      </c>
      <c r="F18" s="510">
        <f t="shared" si="3"/>
        <v>88.06</v>
      </c>
      <c r="G18" s="509">
        <v>755167.06</v>
      </c>
      <c r="H18" s="509">
        <v>705971.4</v>
      </c>
      <c r="I18" s="509">
        <v>219820.83</v>
      </c>
      <c r="J18" s="511">
        <f t="shared" si="4"/>
        <v>974987.89</v>
      </c>
      <c r="K18" s="512">
        <f t="shared" si="2"/>
        <v>922.6549038534332</v>
      </c>
    </row>
    <row r="19" spans="1:11" ht="15.75">
      <c r="A19" s="31">
        <v>12</v>
      </c>
      <c r="B19" s="27" t="s">
        <v>117</v>
      </c>
      <c r="C19" s="509">
        <v>49.66</v>
      </c>
      <c r="D19" s="509">
        <v>49.5</v>
      </c>
      <c r="E19" s="509">
        <v>2.46</v>
      </c>
      <c r="F19" s="510">
        <f t="shared" si="3"/>
        <v>52.12</v>
      </c>
      <c r="G19" s="509">
        <v>331530.39</v>
      </c>
      <c r="H19" s="509">
        <v>320830.1</v>
      </c>
      <c r="I19" s="509">
        <v>63255.04</v>
      </c>
      <c r="J19" s="511">
        <f t="shared" si="4"/>
        <v>394785.43</v>
      </c>
      <c r="K19" s="512">
        <f t="shared" si="2"/>
        <v>631.2123145305706</v>
      </c>
    </row>
    <row r="20" spans="1:11" ht="15.75">
      <c r="A20" s="31">
        <v>13</v>
      </c>
      <c r="B20" s="45" t="s">
        <v>194</v>
      </c>
      <c r="C20" s="509">
        <v>100.5</v>
      </c>
      <c r="D20" s="509">
        <v>71.6</v>
      </c>
      <c r="E20" s="509">
        <v>27</v>
      </c>
      <c r="F20" s="510">
        <f t="shared" si="3"/>
        <v>127.5</v>
      </c>
      <c r="G20" s="509">
        <v>1253548.51</v>
      </c>
      <c r="H20" s="509">
        <v>844795.52</v>
      </c>
      <c r="I20" s="509">
        <v>683696.97</v>
      </c>
      <c r="J20" s="511">
        <f t="shared" si="4"/>
        <v>1937245.48</v>
      </c>
      <c r="K20" s="512">
        <f t="shared" si="2"/>
        <v>1266.1735163398691</v>
      </c>
    </row>
    <row r="21" spans="1:11" ht="31.5">
      <c r="A21" s="31">
        <v>14</v>
      </c>
      <c r="B21" s="45" t="s">
        <v>31</v>
      </c>
      <c r="C21" s="509">
        <v>147.5</v>
      </c>
      <c r="D21" s="509">
        <v>147.5</v>
      </c>
      <c r="E21" s="509">
        <v>6.8</v>
      </c>
      <c r="F21" s="510">
        <f t="shared" si="3"/>
        <v>154.3</v>
      </c>
      <c r="G21" s="509">
        <v>885790.59</v>
      </c>
      <c r="H21" s="509">
        <v>885421.46</v>
      </c>
      <c r="I21" s="509">
        <v>115466.9</v>
      </c>
      <c r="J21" s="511">
        <f t="shared" si="4"/>
        <v>1001257.49</v>
      </c>
      <c r="K21" s="512">
        <f t="shared" si="2"/>
        <v>540.7525869518254</v>
      </c>
    </row>
    <row r="22" spans="1:11" ht="47.25">
      <c r="A22" s="31">
        <v>15</v>
      </c>
      <c r="B22" s="45" t="s">
        <v>228</v>
      </c>
      <c r="C22" s="510">
        <f>SUM(C23:C26)</f>
        <v>47.46</v>
      </c>
      <c r="D22" s="510">
        <f>SUM(D23:D26)</f>
        <v>47.46</v>
      </c>
      <c r="E22" s="510">
        <f>SUM(E23:E26)</f>
        <v>0.96</v>
      </c>
      <c r="F22" s="510">
        <f>SUM(F27:F27)</f>
        <v>0</v>
      </c>
      <c r="G22" s="510">
        <f>SUM(G23:G26)</f>
        <v>364345.19</v>
      </c>
      <c r="H22" s="510">
        <f>SUM(H23:H26)</f>
        <v>359829.82</v>
      </c>
      <c r="I22" s="510">
        <f>SUM(I23:I26)</f>
        <v>31750.85</v>
      </c>
      <c r="J22" s="511">
        <f>SUM(J23:J26)</f>
        <v>396096.04</v>
      </c>
      <c r="K22" s="512">
        <f t="shared" si="2"/>
        <v>0</v>
      </c>
    </row>
    <row r="23" spans="1:11" ht="15.75">
      <c r="A23" s="31" t="s">
        <v>195</v>
      </c>
      <c r="B23" s="46" t="s">
        <v>997</v>
      </c>
      <c r="C23" s="509">
        <v>38.83</v>
      </c>
      <c r="D23" s="509">
        <v>38.83</v>
      </c>
      <c r="E23" s="509">
        <v>0.96</v>
      </c>
      <c r="F23" s="510">
        <f aca="true" t="shared" si="5" ref="F23:F29">C23+E23</f>
        <v>39.79</v>
      </c>
      <c r="G23" s="509">
        <v>245210.93</v>
      </c>
      <c r="H23" s="509">
        <v>245210.93</v>
      </c>
      <c r="I23" s="509">
        <v>18918.18</v>
      </c>
      <c r="J23" s="511">
        <f>G23+I23</f>
        <v>264129.11</v>
      </c>
      <c r="K23" s="512">
        <f t="shared" si="2"/>
        <v>553.1731381419116</v>
      </c>
    </row>
    <row r="24" spans="1:11" ht="15.75">
      <c r="A24" s="31" t="s">
        <v>291</v>
      </c>
      <c r="B24" s="46" t="s">
        <v>998</v>
      </c>
      <c r="C24" s="509">
        <v>8.63</v>
      </c>
      <c r="D24" s="509">
        <v>8.63</v>
      </c>
      <c r="E24" s="509"/>
      <c r="F24" s="510">
        <f t="shared" si="5"/>
        <v>8.63</v>
      </c>
      <c r="G24" s="509">
        <v>119134.26</v>
      </c>
      <c r="H24" s="509">
        <v>114618.89</v>
      </c>
      <c r="I24" s="509">
        <v>12832.67</v>
      </c>
      <c r="J24" s="511">
        <f>G24+I24</f>
        <v>131966.93</v>
      </c>
      <c r="K24" s="512">
        <f t="shared" si="2"/>
        <v>1274.3040749324061</v>
      </c>
    </row>
    <row r="25" spans="1:11" ht="15.75">
      <c r="A25" s="31" t="s">
        <v>292</v>
      </c>
      <c r="B25" s="46"/>
      <c r="C25" s="509"/>
      <c r="D25" s="509"/>
      <c r="E25" s="509"/>
      <c r="F25" s="510">
        <f t="shared" si="5"/>
        <v>0</v>
      </c>
      <c r="G25" s="509"/>
      <c r="H25" s="509"/>
      <c r="I25" s="509"/>
      <c r="J25" s="511">
        <f>G25+I25</f>
        <v>0</v>
      </c>
      <c r="K25" s="512">
        <f t="shared" si="2"/>
        <v>0</v>
      </c>
    </row>
    <row r="26" spans="1:11" ht="16.5" customHeight="1">
      <c r="A26" s="31" t="s">
        <v>293</v>
      </c>
      <c r="B26" s="46"/>
      <c r="C26" s="509"/>
      <c r="D26" s="509"/>
      <c r="E26" s="509"/>
      <c r="F26" s="510">
        <f t="shared" si="5"/>
        <v>0</v>
      </c>
      <c r="G26" s="509"/>
      <c r="H26" s="509"/>
      <c r="I26" s="509"/>
      <c r="J26" s="511">
        <f>G26+I26</f>
        <v>0</v>
      </c>
      <c r="K26" s="512">
        <f t="shared" si="2"/>
        <v>0</v>
      </c>
    </row>
    <row r="27" spans="1:11" ht="15.75">
      <c r="A27" s="31"/>
      <c r="B27" s="27"/>
      <c r="C27" s="513"/>
      <c r="D27" s="513"/>
      <c r="E27" s="513"/>
      <c r="F27" s="514">
        <f t="shared" si="5"/>
        <v>0</v>
      </c>
      <c r="G27" s="513"/>
      <c r="H27" s="513"/>
      <c r="I27" s="513"/>
      <c r="J27" s="515"/>
      <c r="K27" s="512"/>
    </row>
    <row r="28" spans="1:11" ht="15.75">
      <c r="A28" s="31">
        <v>16</v>
      </c>
      <c r="B28" s="45" t="s">
        <v>32</v>
      </c>
      <c r="C28" s="509">
        <v>44.5</v>
      </c>
      <c r="D28" s="509">
        <v>44.51</v>
      </c>
      <c r="E28" s="509">
        <v>15</v>
      </c>
      <c r="F28" s="510">
        <f t="shared" si="5"/>
        <v>59.5</v>
      </c>
      <c r="G28" s="509">
        <v>291710.67</v>
      </c>
      <c r="H28" s="509">
        <v>291710.67</v>
      </c>
      <c r="I28" s="509">
        <v>130712.76</v>
      </c>
      <c r="J28" s="511">
        <f>G28+I28</f>
        <v>422423.43</v>
      </c>
      <c r="K28" s="512">
        <f t="shared" si="2"/>
        <v>591.6294537815126</v>
      </c>
    </row>
    <row r="29" spans="1:11" ht="15.75">
      <c r="A29" s="31">
        <v>17</v>
      </c>
      <c r="B29" s="45" t="s">
        <v>33</v>
      </c>
      <c r="C29" s="509"/>
      <c r="D29" s="509"/>
      <c r="E29" s="509">
        <v>28.92</v>
      </c>
      <c r="F29" s="510">
        <f t="shared" si="5"/>
        <v>28.92</v>
      </c>
      <c r="G29" s="509">
        <v>2957.45</v>
      </c>
      <c r="H29" s="509">
        <v>2957.24</v>
      </c>
      <c r="I29" s="509">
        <v>172462.06</v>
      </c>
      <c r="J29" s="511">
        <f>G29+I29</f>
        <v>175419.51</v>
      </c>
      <c r="K29" s="512">
        <f t="shared" si="2"/>
        <v>505.4734612724758</v>
      </c>
    </row>
    <row r="30" spans="1:11" ht="16.5" thickBot="1">
      <c r="A30" s="32">
        <v>18</v>
      </c>
      <c r="B30" s="47" t="s">
        <v>229</v>
      </c>
      <c r="C30" s="516">
        <f aca="true" t="shared" si="6" ref="C30:J30">C7+C13+C16+C20+C21+C28+C29</f>
        <v>1232.01</v>
      </c>
      <c r="D30" s="516">
        <f t="shared" si="6"/>
        <v>1172.467</v>
      </c>
      <c r="E30" s="516">
        <f t="shared" si="6"/>
        <v>195.507</v>
      </c>
      <c r="F30" s="516">
        <f t="shared" si="6"/>
        <v>1427.5169999999998</v>
      </c>
      <c r="G30" s="516">
        <f t="shared" si="6"/>
        <v>14354122.369999997</v>
      </c>
      <c r="H30" s="516">
        <f t="shared" si="6"/>
        <v>12744684.48</v>
      </c>
      <c r="I30" s="516">
        <f t="shared" si="6"/>
        <v>5069918.789999999</v>
      </c>
      <c r="J30" s="517">
        <f t="shared" si="6"/>
        <v>19424041.159999996</v>
      </c>
      <c r="K30" s="518">
        <f t="shared" si="2"/>
        <v>1133.9060036879887</v>
      </c>
    </row>
    <row r="31" spans="1:10" ht="15.75">
      <c r="A31" s="18"/>
      <c r="B31" s="18"/>
      <c r="C31" s="21"/>
      <c r="D31" s="18"/>
      <c r="E31" s="18"/>
      <c r="F31" s="21"/>
      <c r="G31" s="21"/>
      <c r="H31" s="21"/>
      <c r="I31" s="21"/>
      <c r="J31" s="21"/>
    </row>
    <row r="32" spans="1:11" ht="15.75">
      <c r="A32" s="529" t="s">
        <v>1022</v>
      </c>
      <c r="B32" s="530"/>
      <c r="C32" s="530"/>
      <c r="D32" s="530"/>
      <c r="E32" s="530"/>
      <c r="F32" s="530"/>
      <c r="G32" s="530"/>
      <c r="H32" s="530"/>
      <c r="I32" s="530"/>
      <c r="J32" s="531"/>
      <c r="K32" s="619"/>
    </row>
    <row r="33" spans="1:11" ht="15.75">
      <c r="A33" s="670" t="s">
        <v>922</v>
      </c>
      <c r="B33" s="671"/>
      <c r="C33" s="671"/>
      <c r="D33" s="671"/>
      <c r="E33" s="671"/>
      <c r="F33" s="671"/>
      <c r="G33" s="671"/>
      <c r="H33" s="671"/>
      <c r="I33" s="671"/>
      <c r="J33" s="672"/>
      <c r="K33" s="619"/>
    </row>
    <row r="34" spans="2:10" ht="50.25" customHeight="1">
      <c r="B34" s="679" t="s">
        <v>736</v>
      </c>
      <c r="C34" s="679"/>
      <c r="D34" s="679"/>
      <c r="E34" s="679"/>
      <c r="F34" s="679"/>
      <c r="G34" s="679"/>
      <c r="H34" s="679"/>
      <c r="I34" s="679"/>
      <c r="J34" s="679"/>
    </row>
    <row r="35" ht="15.75">
      <c r="B35" s="327" t="s">
        <v>725</v>
      </c>
    </row>
    <row r="36" ht="15.75">
      <c r="B36" s="327" t="s">
        <v>726</v>
      </c>
    </row>
    <row r="37" ht="15.75">
      <c r="B37" s="327" t="s">
        <v>727</v>
      </c>
    </row>
  </sheetData>
  <sheetProtection/>
  <mergeCells count="15">
    <mergeCell ref="K3:K5"/>
    <mergeCell ref="B34:J34"/>
    <mergeCell ref="G3:G5"/>
    <mergeCell ref="I3:I5"/>
    <mergeCell ref="C4:C5"/>
    <mergeCell ref="A1:K1"/>
    <mergeCell ref="A2:K2"/>
    <mergeCell ref="J3:J5"/>
    <mergeCell ref="C3:F3"/>
    <mergeCell ref="H3:H4"/>
    <mergeCell ref="A33:J33"/>
    <mergeCell ref="E4:E5"/>
    <mergeCell ref="F4:F5"/>
    <mergeCell ref="B3:B5"/>
    <mergeCell ref="A3:A5"/>
  </mergeCells>
  <printOptions gridLines="1"/>
  <pageMargins left="0.4724409448818898" right="0.31496062992125984" top="0.7480314960629921" bottom="0.3937007874015748" header="0.5118110236220472" footer="0.2755905511811024"/>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pane xSplit="2" ySplit="6" topLeftCell="C22" activePane="bottomRight" state="frozen"/>
      <selection pane="topLeft" activeCell="A1" sqref="A1"/>
      <selection pane="topRight" activeCell="C1" sqref="C1"/>
      <selection pane="bottomLeft" activeCell="A7" sqref="A7"/>
      <selection pane="bottomRight" activeCell="J41" sqref="J41"/>
    </sheetView>
  </sheetViews>
  <sheetFormatPr defaultColWidth="9.140625" defaultRowHeight="12.75"/>
  <cols>
    <col min="1" max="1" width="5.57421875" style="24" customWidth="1"/>
    <col min="2" max="2" width="65.421875" style="49" customWidth="1"/>
    <col min="3" max="3" width="14.7109375" style="19" customWidth="1"/>
    <col min="4" max="4" width="14.00390625" style="19" customWidth="1"/>
    <col min="5" max="5" width="15.8515625" style="19" customWidth="1"/>
    <col min="6" max="6" width="15.7109375" style="19" customWidth="1"/>
    <col min="7" max="7" width="19.140625" style="19" customWidth="1"/>
    <col min="8" max="8" width="18.7109375" style="19" customWidth="1"/>
    <col min="9" max="9" width="16.28125" style="19" customWidth="1"/>
    <col min="10" max="10" width="17.7109375" style="19" bestFit="1" customWidth="1"/>
    <col min="11" max="11" width="13.28125" style="19" customWidth="1"/>
    <col min="12" max="12" width="12.28125" style="19" bestFit="1" customWidth="1"/>
    <col min="13" max="16384" width="9.140625" style="19" customWidth="1"/>
  </cols>
  <sheetData>
    <row r="1" spans="1:11" ht="34.5" customHeight="1" thickBot="1">
      <c r="A1" s="660" t="s">
        <v>1028</v>
      </c>
      <c r="B1" s="661"/>
      <c r="C1" s="661"/>
      <c r="D1" s="661"/>
      <c r="E1" s="661"/>
      <c r="F1" s="661"/>
      <c r="G1" s="661"/>
      <c r="H1" s="661"/>
      <c r="I1" s="661"/>
      <c r="J1" s="661"/>
      <c r="K1" s="661"/>
    </row>
    <row r="2" spans="1:12" ht="35.25" customHeight="1">
      <c r="A2" s="662" t="s">
        <v>996</v>
      </c>
      <c r="B2" s="663"/>
      <c r="C2" s="663"/>
      <c r="D2" s="663"/>
      <c r="E2" s="663"/>
      <c r="F2" s="663"/>
      <c r="G2" s="663"/>
      <c r="H2" s="663"/>
      <c r="I2" s="663"/>
      <c r="J2" s="663"/>
      <c r="K2" s="663"/>
      <c r="L2" s="611" t="s">
        <v>1029</v>
      </c>
    </row>
    <row r="3" spans="1:12" ht="42.75" customHeight="1">
      <c r="A3" s="675" t="s">
        <v>149</v>
      </c>
      <c r="B3" s="658" t="s">
        <v>999</v>
      </c>
      <c r="C3" s="667" t="s">
        <v>1000</v>
      </c>
      <c r="D3" s="667"/>
      <c r="E3" s="667"/>
      <c r="F3" s="667"/>
      <c r="G3" s="667" t="s">
        <v>731</v>
      </c>
      <c r="H3" s="668" t="s">
        <v>213</v>
      </c>
      <c r="I3" s="667" t="s">
        <v>733</v>
      </c>
      <c r="J3" s="665" t="s">
        <v>734</v>
      </c>
      <c r="K3" s="680" t="s">
        <v>1031</v>
      </c>
      <c r="L3" s="682" t="s">
        <v>1030</v>
      </c>
    </row>
    <row r="4" spans="1:12" ht="34.5" customHeight="1">
      <c r="A4" s="676"/>
      <c r="B4" s="674"/>
      <c r="C4" s="673" t="s">
        <v>1001</v>
      </c>
      <c r="D4" s="14" t="s">
        <v>213</v>
      </c>
      <c r="E4" s="673" t="s">
        <v>1002</v>
      </c>
      <c r="F4" s="673" t="s">
        <v>1003</v>
      </c>
      <c r="G4" s="673"/>
      <c r="H4" s="669"/>
      <c r="I4" s="673"/>
      <c r="J4" s="666"/>
      <c r="K4" s="680"/>
      <c r="L4" s="682"/>
    </row>
    <row r="5" spans="1:12" s="75" customFormat="1" ht="63">
      <c r="A5" s="676"/>
      <c r="B5" s="674"/>
      <c r="C5" s="673"/>
      <c r="D5" s="94" t="s">
        <v>1004</v>
      </c>
      <c r="E5" s="673"/>
      <c r="F5" s="673"/>
      <c r="G5" s="673"/>
      <c r="H5" s="14" t="s">
        <v>732</v>
      </c>
      <c r="I5" s="673"/>
      <c r="J5" s="666"/>
      <c r="K5" s="681"/>
      <c r="L5" s="683"/>
    </row>
    <row r="6" spans="1:12" s="76" customFormat="1" ht="18" customHeight="1">
      <c r="A6" s="134"/>
      <c r="B6" s="64"/>
      <c r="C6" s="16" t="s">
        <v>199</v>
      </c>
      <c r="D6" s="16" t="s">
        <v>200</v>
      </c>
      <c r="E6" s="16" t="s">
        <v>201</v>
      </c>
      <c r="F6" s="16" t="s">
        <v>134</v>
      </c>
      <c r="G6" s="16" t="s">
        <v>202</v>
      </c>
      <c r="H6" s="16" t="s">
        <v>203</v>
      </c>
      <c r="I6" s="16" t="s">
        <v>204</v>
      </c>
      <c r="J6" s="478" t="s">
        <v>135</v>
      </c>
      <c r="K6" s="613" t="s">
        <v>920</v>
      </c>
      <c r="L6" s="616"/>
    </row>
    <row r="7" spans="1:12" s="22" customFormat="1" ht="15.75">
      <c r="A7" s="31">
        <v>1</v>
      </c>
      <c r="B7" s="45" t="s">
        <v>196</v>
      </c>
      <c r="C7" s="311">
        <f>SUM(C8:C12)</f>
        <v>279.515</v>
      </c>
      <c r="D7" s="311">
        <f>SUM(D8:D12)</f>
        <v>275.154</v>
      </c>
      <c r="E7" s="311">
        <f>SUM(E8:E12)</f>
        <v>37.867</v>
      </c>
      <c r="F7" s="311">
        <f aca="true" t="shared" si="0" ref="F7:F13">C7+E7</f>
        <v>317.382</v>
      </c>
      <c r="G7" s="311">
        <f>SUM(G8:G12)</f>
        <v>3812954.88</v>
      </c>
      <c r="H7" s="311">
        <f>SUM(H8:H12)</f>
        <v>3520500.08</v>
      </c>
      <c r="I7" s="311">
        <f>SUM(I8:I12)</f>
        <v>1522094.1199999999</v>
      </c>
      <c r="J7" s="519">
        <f aca="true" t="shared" si="1" ref="J7:J13">G7+I7</f>
        <v>5335049</v>
      </c>
      <c r="K7" s="614">
        <f>IF(F7=0,0,J7/F7/12)</f>
        <v>1400.7959388581164</v>
      </c>
      <c r="L7" s="612">
        <f>IF('T6-Zamestnanci_a_mzdy'!F7-'T6a-Zamestnanci_a_mzdy (ženy)'!F7=0,0,('T6-Zamestnanci_a_mzdy'!J7-'T6a-Zamestnanci_a_mzdy (ženy)'!J7)/('T6-Zamestnanci_a_mzdy'!F7-'T6a-Zamestnanci_a_mzdy (ženy)'!F7)/12)</f>
        <v>1634.7435949267365</v>
      </c>
    </row>
    <row r="8" spans="1:12" ht="15.75">
      <c r="A8" s="31">
        <v>2</v>
      </c>
      <c r="B8" s="483" t="s">
        <v>921</v>
      </c>
      <c r="C8" s="520">
        <v>22.58</v>
      </c>
      <c r="D8" s="520">
        <v>22.581</v>
      </c>
      <c r="E8" s="520">
        <v>6.947</v>
      </c>
      <c r="F8" s="311">
        <f t="shared" si="0"/>
        <v>29.526999999999997</v>
      </c>
      <c r="G8" s="520">
        <v>496225.68</v>
      </c>
      <c r="H8" s="520">
        <v>456001.12</v>
      </c>
      <c r="I8" s="520">
        <v>390348.35</v>
      </c>
      <c r="J8" s="519">
        <f t="shared" si="1"/>
        <v>886574.03</v>
      </c>
      <c r="K8" s="614">
        <f aca="true" t="shared" si="2" ref="K8:K30">IF(F8=0,0,J8/F8/12)</f>
        <v>2502.1563032704535</v>
      </c>
      <c r="L8" s="612">
        <f>IF('T6-Zamestnanci_a_mzdy'!F8-'T6a-Zamestnanci_a_mzdy (ženy)'!F8=0,0,('T6-Zamestnanci_a_mzdy'!J8-'T6a-Zamestnanci_a_mzdy (ženy)'!J8)/('T6-Zamestnanci_a_mzdy'!F8-'T6a-Zamestnanci_a_mzdy (ženy)'!F8)/12)</f>
        <v>2298.7822498363885</v>
      </c>
    </row>
    <row r="9" spans="1:12" ht="15.75">
      <c r="A9" s="31">
        <v>3</v>
      </c>
      <c r="B9" s="27" t="s">
        <v>160</v>
      </c>
      <c r="C9" s="520">
        <v>54.022</v>
      </c>
      <c r="D9" s="520">
        <v>54.022</v>
      </c>
      <c r="E9" s="520">
        <v>7.512</v>
      </c>
      <c r="F9" s="311">
        <f t="shared" si="0"/>
        <v>61.534</v>
      </c>
      <c r="G9" s="520">
        <v>918052.1</v>
      </c>
      <c r="H9" s="520">
        <v>845329.88</v>
      </c>
      <c r="I9" s="520">
        <v>310994.82</v>
      </c>
      <c r="J9" s="519">
        <f t="shared" si="1"/>
        <v>1229046.92</v>
      </c>
      <c r="K9" s="614">
        <f t="shared" si="2"/>
        <v>1664.4550438240105</v>
      </c>
      <c r="L9" s="612">
        <f>IF('T6-Zamestnanci_a_mzdy'!F9-'T6a-Zamestnanci_a_mzdy (ženy)'!F9=0,0,('T6-Zamestnanci_a_mzdy'!J9-'T6a-Zamestnanci_a_mzdy (ženy)'!J9)/('T6-Zamestnanci_a_mzdy'!F9-'T6a-Zamestnanci_a_mzdy (ženy)'!F9)/12)</f>
        <v>1659.8910660288382</v>
      </c>
    </row>
    <row r="10" spans="1:12" ht="15.75">
      <c r="A10" s="31">
        <v>4</v>
      </c>
      <c r="B10" s="27" t="s">
        <v>161</v>
      </c>
      <c r="C10" s="520">
        <v>167.229</v>
      </c>
      <c r="D10" s="520">
        <v>164.349</v>
      </c>
      <c r="E10" s="520">
        <v>19.047</v>
      </c>
      <c r="F10" s="311">
        <f t="shared" si="0"/>
        <v>186.276</v>
      </c>
      <c r="G10" s="520">
        <v>2070195.7</v>
      </c>
      <c r="H10" s="520">
        <v>1908240.58</v>
      </c>
      <c r="I10" s="520">
        <v>688578.77</v>
      </c>
      <c r="J10" s="519">
        <f t="shared" si="1"/>
        <v>2758774.4699999997</v>
      </c>
      <c r="K10" s="614">
        <f t="shared" si="2"/>
        <v>1234.1787052545683</v>
      </c>
      <c r="L10" s="612">
        <f>IF('T6-Zamestnanci_a_mzdy'!F10-'T6a-Zamestnanci_a_mzdy (ženy)'!F10=0,0,('T6-Zamestnanci_a_mzdy'!J10-'T6a-Zamestnanci_a_mzdy (ženy)'!J10)/('T6-Zamestnanci_a_mzdy'!F10-'T6a-Zamestnanci_a_mzdy (ženy)'!F10)/12)</f>
        <v>1342.4065077139467</v>
      </c>
    </row>
    <row r="11" spans="1:12" ht="15.75">
      <c r="A11" s="31">
        <v>5</v>
      </c>
      <c r="B11" s="27" t="s">
        <v>162</v>
      </c>
      <c r="C11" s="520">
        <v>31.263</v>
      </c>
      <c r="D11" s="520">
        <v>30.202</v>
      </c>
      <c r="E11" s="520">
        <v>3.196</v>
      </c>
      <c r="F11" s="311">
        <f t="shared" si="0"/>
        <v>34.459</v>
      </c>
      <c r="G11" s="520">
        <v>283325.87</v>
      </c>
      <c r="H11" s="520">
        <v>273855.79</v>
      </c>
      <c r="I11" s="520">
        <v>113763.42</v>
      </c>
      <c r="J11" s="519">
        <f t="shared" si="1"/>
        <v>397089.29</v>
      </c>
      <c r="K11" s="614">
        <f t="shared" si="2"/>
        <v>960.2940934637296</v>
      </c>
      <c r="L11" s="612">
        <f>IF('T6-Zamestnanci_a_mzdy'!F11-'T6a-Zamestnanci_a_mzdy (ženy)'!F11=0,0,('T6-Zamestnanci_a_mzdy'!J11-'T6a-Zamestnanci_a_mzdy (ženy)'!J11)/('T6-Zamestnanci_a_mzdy'!F11-'T6a-Zamestnanci_a_mzdy (ženy)'!F11)/12)</f>
        <v>1052.010912944156</v>
      </c>
    </row>
    <row r="12" spans="1:12" ht="15.75">
      <c r="A12" s="31">
        <v>6</v>
      </c>
      <c r="B12" s="27" t="s">
        <v>163</v>
      </c>
      <c r="C12" s="520">
        <v>4.421</v>
      </c>
      <c r="D12" s="520">
        <v>4</v>
      </c>
      <c r="E12" s="520">
        <v>1.165</v>
      </c>
      <c r="F12" s="311">
        <f t="shared" si="0"/>
        <v>5.586</v>
      </c>
      <c r="G12" s="520">
        <v>45155.53</v>
      </c>
      <c r="H12" s="520">
        <v>37072.71</v>
      </c>
      <c r="I12" s="520">
        <v>18408.76</v>
      </c>
      <c r="J12" s="519">
        <f t="shared" si="1"/>
        <v>63564.28999999999</v>
      </c>
      <c r="K12" s="614">
        <f t="shared" si="2"/>
        <v>948.267842224609</v>
      </c>
      <c r="L12" s="612">
        <f>IF('T6-Zamestnanci_a_mzdy'!F12-'T6a-Zamestnanci_a_mzdy (ženy)'!F12=0,0,('T6-Zamestnanci_a_mzdy'!J12-'T6a-Zamestnanci_a_mzdy (ženy)'!J12)/('T6-Zamestnanci_a_mzdy'!F12-'T6a-Zamestnanci_a_mzdy (ženy)'!F12)/12)</f>
        <v>914.4920812669976</v>
      </c>
    </row>
    <row r="13" spans="1:12" ht="15.75">
      <c r="A13" s="31">
        <v>7</v>
      </c>
      <c r="B13" s="45" t="s">
        <v>30</v>
      </c>
      <c r="C13" s="520">
        <v>124.924</v>
      </c>
      <c r="D13" s="520">
        <v>113.229</v>
      </c>
      <c r="E13" s="520">
        <v>11.953</v>
      </c>
      <c r="F13" s="311">
        <f t="shared" si="0"/>
        <v>136.877</v>
      </c>
      <c r="G13" s="520">
        <v>1015539.83</v>
      </c>
      <c r="H13" s="520">
        <v>844960.91</v>
      </c>
      <c r="I13" s="520">
        <v>204279.88</v>
      </c>
      <c r="J13" s="519">
        <f t="shared" si="1"/>
        <v>1219819.71</v>
      </c>
      <c r="K13" s="614">
        <f t="shared" si="2"/>
        <v>742.6495503262053</v>
      </c>
      <c r="L13" s="612">
        <f>IF('T6-Zamestnanci_a_mzdy'!F13-'T6a-Zamestnanci_a_mzdy (ženy)'!F13=0,0,('T6-Zamestnanci_a_mzdy'!J13-'T6a-Zamestnanci_a_mzdy (ženy)'!J13)/('T6-Zamestnanci_a_mzdy'!F13-'T6a-Zamestnanci_a_mzdy (ženy)'!F13)/12)</f>
        <v>1098.861474561615</v>
      </c>
    </row>
    <row r="14" spans="1:12" ht="15.75">
      <c r="A14" s="31"/>
      <c r="B14" s="27" t="s">
        <v>213</v>
      </c>
      <c r="C14" s="521"/>
      <c r="D14" s="521"/>
      <c r="E14" s="521"/>
      <c r="F14" s="522"/>
      <c r="G14" s="521"/>
      <c r="H14" s="521"/>
      <c r="I14" s="521"/>
      <c r="J14" s="523"/>
      <c r="K14" s="523"/>
      <c r="L14" s="617"/>
    </row>
    <row r="15" spans="1:12" ht="15.75">
      <c r="A15" s="31">
        <v>8</v>
      </c>
      <c r="B15" s="27" t="s">
        <v>34</v>
      </c>
      <c r="C15" s="520">
        <v>12.901</v>
      </c>
      <c r="D15" s="520">
        <v>12.901</v>
      </c>
      <c r="E15" s="520">
        <v>2.1</v>
      </c>
      <c r="F15" s="311">
        <f aca="true" t="shared" si="3" ref="F15:F21">C15+E15</f>
        <v>15.001</v>
      </c>
      <c r="G15" s="520">
        <v>115919.94</v>
      </c>
      <c r="H15" s="520">
        <v>106447.11</v>
      </c>
      <c r="I15" s="520">
        <v>28392.28</v>
      </c>
      <c r="J15" s="519">
        <f aca="true" t="shared" si="4" ref="J15:J21">G15+I15</f>
        <v>144312.22</v>
      </c>
      <c r="K15" s="614">
        <f t="shared" si="2"/>
        <v>801.6811101482123</v>
      </c>
      <c r="L15" s="612">
        <f>IF('T6-Zamestnanci_a_mzdy'!F15-'T6a-Zamestnanci_a_mzdy (ženy)'!F15=0,0,('T6-Zamestnanci_a_mzdy'!J15-'T6a-Zamestnanci_a_mzdy (ženy)'!J15)/('T6-Zamestnanci_a_mzdy'!F15-'T6a-Zamestnanci_a_mzdy (ženy)'!F15)/12)</f>
        <v>1214.541670464558</v>
      </c>
    </row>
    <row r="16" spans="1:12" ht="15.75">
      <c r="A16" s="31">
        <v>9</v>
      </c>
      <c r="B16" s="45" t="s">
        <v>197</v>
      </c>
      <c r="C16" s="311">
        <f>SUM(C17:C19)</f>
        <v>183.86700000000002</v>
      </c>
      <c r="D16" s="311">
        <f>SUM(D17:D19)</f>
        <v>180.489</v>
      </c>
      <c r="E16" s="311">
        <f>SUM(E17:E19)</f>
        <v>17.744</v>
      </c>
      <c r="F16" s="311">
        <f t="shared" si="3"/>
        <v>201.61100000000002</v>
      </c>
      <c r="G16" s="311">
        <f>SUM(G17:G19)</f>
        <v>1654961.6400000001</v>
      </c>
      <c r="H16" s="311">
        <f>SUM(H17:H19)</f>
        <v>1590598.39</v>
      </c>
      <c r="I16" s="311">
        <f>SUM(I17:I19)</f>
        <v>314897.85</v>
      </c>
      <c r="J16" s="519">
        <f t="shared" si="4"/>
        <v>1969859.4900000002</v>
      </c>
      <c r="K16" s="614">
        <f t="shared" si="2"/>
        <v>814.2162754016398</v>
      </c>
      <c r="L16" s="612">
        <f>IF('T6-Zamestnanci_a_mzdy'!F16-'T6a-Zamestnanci_a_mzdy (ženy)'!F16=0,0,('T6-Zamestnanci_a_mzdy'!J16-'T6a-Zamestnanci_a_mzdy (ženy)'!J16)/('T6-Zamestnanci_a_mzdy'!F16-'T6a-Zamestnanci_a_mzdy (ženy)'!F16)/12)</f>
        <v>1115.1919641262007</v>
      </c>
    </row>
    <row r="17" spans="1:12" ht="15.75">
      <c r="A17" s="31">
        <v>10</v>
      </c>
      <c r="B17" s="27" t="s">
        <v>164</v>
      </c>
      <c r="C17" s="520">
        <v>62.198</v>
      </c>
      <c r="D17" s="520">
        <v>62.198</v>
      </c>
      <c r="E17" s="520">
        <v>1.422</v>
      </c>
      <c r="F17" s="311">
        <f t="shared" si="3"/>
        <v>63.62</v>
      </c>
      <c r="G17" s="520">
        <v>586183</v>
      </c>
      <c r="H17" s="520">
        <v>575527.51</v>
      </c>
      <c r="I17" s="520">
        <v>31821.91</v>
      </c>
      <c r="J17" s="519">
        <f t="shared" si="4"/>
        <v>618004.91</v>
      </c>
      <c r="K17" s="614">
        <f t="shared" si="2"/>
        <v>809.5003012679452</v>
      </c>
      <c r="L17" s="612">
        <f>IF('T6-Zamestnanci_a_mzdy'!F17-'T6a-Zamestnanci_a_mzdy (ženy)'!F17=0,0,('T6-Zamestnanci_a_mzdy'!J17-'T6a-Zamestnanci_a_mzdy (ženy)'!J17)/('T6-Zamestnanci_a_mzdy'!F17-'T6a-Zamestnanci_a_mzdy (ženy)'!F17)/12)</f>
        <v>1247.954831932772</v>
      </c>
    </row>
    <row r="18" spans="1:12" ht="15.75">
      <c r="A18" s="31">
        <v>11</v>
      </c>
      <c r="B18" s="27" t="s">
        <v>136</v>
      </c>
      <c r="C18" s="520">
        <v>72.196</v>
      </c>
      <c r="D18" s="520">
        <v>68.898</v>
      </c>
      <c r="E18" s="520">
        <v>13.856</v>
      </c>
      <c r="F18" s="311">
        <f t="shared" si="3"/>
        <v>86.05199999999999</v>
      </c>
      <c r="G18" s="520">
        <v>738196.99</v>
      </c>
      <c r="H18" s="520">
        <v>689001.33</v>
      </c>
      <c r="I18" s="520">
        <v>219820.9</v>
      </c>
      <c r="J18" s="519">
        <f t="shared" si="4"/>
        <v>958017.89</v>
      </c>
      <c r="K18" s="614">
        <f t="shared" si="2"/>
        <v>927.7509432281257</v>
      </c>
      <c r="L18" s="612">
        <f>IF('T6-Zamestnanci_a_mzdy'!F18-'T6a-Zamestnanci_a_mzdy (ženy)'!F18=0,0,('T6-Zamestnanci_a_mzdy'!J18-'T6a-Zamestnanci_a_mzdy (ženy)'!J18)/('T6-Zamestnanci_a_mzdy'!F18-'T6a-Zamestnanci_a_mzdy (ženy)'!F18)/12)</f>
        <v>704.2662682602887</v>
      </c>
    </row>
    <row r="19" spans="1:12" ht="15.75">
      <c r="A19" s="31">
        <v>12</v>
      </c>
      <c r="B19" s="27" t="s">
        <v>117</v>
      </c>
      <c r="C19" s="520">
        <v>49.473</v>
      </c>
      <c r="D19" s="520">
        <v>49.393</v>
      </c>
      <c r="E19" s="520">
        <v>2.466</v>
      </c>
      <c r="F19" s="311">
        <f t="shared" si="3"/>
        <v>51.939</v>
      </c>
      <c r="G19" s="520">
        <v>330581.65</v>
      </c>
      <c r="H19" s="520">
        <v>326069.55</v>
      </c>
      <c r="I19" s="520">
        <v>63255.04</v>
      </c>
      <c r="J19" s="519">
        <f t="shared" si="4"/>
        <v>393836.69</v>
      </c>
      <c r="K19" s="614">
        <f t="shared" si="2"/>
        <v>631.8897970054616</v>
      </c>
      <c r="L19" s="612">
        <f>IF('T6-Zamestnanci_a_mzdy'!F19-'T6a-Zamestnanci_a_mzdy (ženy)'!F19=0,0,('T6-Zamestnanci_a_mzdy'!J19-'T6a-Zamestnanci_a_mzdy (ženy)'!J19)/('T6-Zamestnanci_a_mzdy'!F19-'T6a-Zamestnanci_a_mzdy (ženy)'!F19)/12)</f>
        <v>436.80478821363</v>
      </c>
    </row>
    <row r="20" spans="1:12" ht="15.75">
      <c r="A20" s="31">
        <v>13</v>
      </c>
      <c r="B20" s="45" t="s">
        <v>194</v>
      </c>
      <c r="C20" s="520">
        <v>53.332</v>
      </c>
      <c r="D20" s="520">
        <v>47.362</v>
      </c>
      <c r="E20" s="520">
        <v>15.995</v>
      </c>
      <c r="F20" s="311">
        <f t="shared" si="3"/>
        <v>69.327</v>
      </c>
      <c r="G20" s="520">
        <v>618135.13</v>
      </c>
      <c r="H20" s="520">
        <v>520536.79</v>
      </c>
      <c r="I20" s="520">
        <v>377314.71</v>
      </c>
      <c r="J20" s="519">
        <f t="shared" si="4"/>
        <v>995449.8400000001</v>
      </c>
      <c r="K20" s="614">
        <f t="shared" si="2"/>
        <v>1196.5634360831039</v>
      </c>
      <c r="L20" s="612">
        <f>IF('T6-Zamestnanci_a_mzdy'!F20-'T6a-Zamestnanci_a_mzdy (ženy)'!F20=0,0,('T6-Zamestnanci_a_mzdy'!J20-'T6a-Zamestnanci_a_mzdy (ženy)'!J20)/('T6-Zamestnanci_a_mzdy'!F20-'T6a-Zamestnanci_a_mzdy (ženy)'!F20)/12)</f>
        <v>1349.1305244701148</v>
      </c>
    </row>
    <row r="21" spans="1:12" ht="31.5">
      <c r="A21" s="31">
        <v>14</v>
      </c>
      <c r="B21" s="45" t="s">
        <v>31</v>
      </c>
      <c r="C21" s="520">
        <v>83.247</v>
      </c>
      <c r="D21" s="520">
        <v>83.247</v>
      </c>
      <c r="E21" s="520">
        <v>4.7</v>
      </c>
      <c r="F21" s="311">
        <f t="shared" si="3"/>
        <v>87.947</v>
      </c>
      <c r="G21" s="520">
        <v>427747.89</v>
      </c>
      <c r="H21" s="520">
        <v>427747.89</v>
      </c>
      <c r="I21" s="520">
        <v>73764.15</v>
      </c>
      <c r="J21" s="519">
        <f t="shared" si="4"/>
        <v>501512.04000000004</v>
      </c>
      <c r="K21" s="614">
        <f t="shared" si="2"/>
        <v>475.2029062958373</v>
      </c>
      <c r="L21" s="612">
        <f>IF('T6-Zamestnanci_a_mzdy'!F21-'T6a-Zamestnanci_a_mzdy (ženy)'!F21=0,0,('T6-Zamestnanci_a_mzdy'!J21-'T6a-Zamestnanci_a_mzdy (ženy)'!J21)/('T6-Zamestnanci_a_mzdy'!F21-'T6a-Zamestnanci_a_mzdy (ženy)'!F21)/12)</f>
        <v>627.6348343958323</v>
      </c>
    </row>
    <row r="22" spans="1:12" ht="47.25">
      <c r="A22" s="31">
        <v>15</v>
      </c>
      <c r="B22" s="45" t="s">
        <v>228</v>
      </c>
      <c r="C22" s="311">
        <f>SUM(C23:C26)</f>
        <v>24.093</v>
      </c>
      <c r="D22" s="311">
        <f>SUM(D23:D26)</f>
        <v>24.093</v>
      </c>
      <c r="E22" s="311">
        <f>SUM(E23:E26)</f>
        <v>0.34</v>
      </c>
      <c r="F22" s="311">
        <f>SUM(F27:F27)</f>
        <v>0</v>
      </c>
      <c r="G22" s="311">
        <f>SUM(G23:G26)</f>
        <v>154019.28</v>
      </c>
      <c r="H22" s="311">
        <f>SUM(H23:H26)</f>
        <v>151014.23</v>
      </c>
      <c r="I22" s="311">
        <f>SUM(I23:I26)</f>
        <v>11980.29</v>
      </c>
      <c r="J22" s="519">
        <f>SUM(J23:J26)</f>
        <v>165999.57</v>
      </c>
      <c r="K22" s="614">
        <f t="shared" si="2"/>
        <v>0</v>
      </c>
      <c r="L22" s="612">
        <f>IF('T6-Zamestnanci_a_mzdy'!F22-'T6a-Zamestnanci_a_mzdy (ženy)'!F22=0,0,('T6-Zamestnanci_a_mzdy'!J22-'T6a-Zamestnanci_a_mzdy (ženy)'!J22)/('T6-Zamestnanci_a_mzdy'!F22-'T6a-Zamestnanci_a_mzdy (ženy)'!F22)/12)</f>
        <v>0</v>
      </c>
    </row>
    <row r="23" spans="1:12" ht="15.75">
      <c r="A23" s="31" t="s">
        <v>195</v>
      </c>
      <c r="B23" s="46" t="s">
        <v>997</v>
      </c>
      <c r="C23" s="520">
        <v>20.959</v>
      </c>
      <c r="D23" s="520">
        <v>20.959</v>
      </c>
      <c r="E23" s="520">
        <v>0.34</v>
      </c>
      <c r="F23" s="311">
        <f>C23+E23</f>
        <v>21.299</v>
      </c>
      <c r="G23" s="520">
        <v>118624.19</v>
      </c>
      <c r="H23" s="520">
        <v>118624.19</v>
      </c>
      <c r="I23" s="520">
        <v>6297.07</v>
      </c>
      <c r="J23" s="519">
        <f>G23+I23</f>
        <v>124921.26000000001</v>
      </c>
      <c r="K23" s="614">
        <f t="shared" si="2"/>
        <v>488.7602704352318</v>
      </c>
      <c r="L23" s="612">
        <f>IF('T6-Zamestnanci_a_mzdy'!F23-'T6a-Zamestnanci_a_mzdy (ženy)'!F23=0,0,('T6-Zamestnanci_a_mzdy'!J23-'T6a-Zamestnanci_a_mzdy (ženy)'!J23)/('T6-Zamestnanci_a_mzdy'!F23-'T6a-Zamestnanci_a_mzdy (ženy)'!F23)/12)</f>
        <v>627.3675932435598</v>
      </c>
    </row>
    <row r="24" spans="1:12" ht="15.75">
      <c r="A24" s="31" t="s">
        <v>291</v>
      </c>
      <c r="B24" s="46" t="s">
        <v>998</v>
      </c>
      <c r="C24" s="520">
        <v>3.134</v>
      </c>
      <c r="D24" s="520">
        <v>3.134</v>
      </c>
      <c r="E24" s="520"/>
      <c r="F24" s="311">
        <f aca="true" t="shared" si="5" ref="F24:F29">C24+E24</f>
        <v>3.134</v>
      </c>
      <c r="G24" s="520">
        <v>35395.09</v>
      </c>
      <c r="H24" s="520">
        <v>32390.04</v>
      </c>
      <c r="I24" s="520">
        <v>5683.22</v>
      </c>
      <c r="J24" s="519">
        <f>G24+I24</f>
        <v>41078.31</v>
      </c>
      <c r="K24" s="614">
        <f t="shared" si="2"/>
        <v>1092.2758455647734</v>
      </c>
      <c r="L24" s="612">
        <f>IF('T6-Zamestnanci_a_mzdy'!F24-'T6a-Zamestnanci_a_mzdy (ženy)'!F24=0,0,('T6-Zamestnanci_a_mzdy'!J24-'T6a-Zamestnanci_a_mzdy (ženy)'!J24)/('T6-Zamestnanci_a_mzdy'!F24-'T6a-Zamestnanci_a_mzdy (ženy)'!F24)/12)</f>
        <v>1378.102559437166</v>
      </c>
    </row>
    <row r="25" spans="1:12" ht="15.75">
      <c r="A25" s="31" t="s">
        <v>292</v>
      </c>
      <c r="B25" s="46"/>
      <c r="C25" s="520"/>
      <c r="D25" s="520"/>
      <c r="E25" s="520"/>
      <c r="F25" s="311">
        <f t="shared" si="5"/>
        <v>0</v>
      </c>
      <c r="G25" s="520"/>
      <c r="H25" s="520"/>
      <c r="I25" s="520"/>
      <c r="J25" s="519">
        <f>G25+I25</f>
        <v>0</v>
      </c>
      <c r="K25" s="614">
        <f t="shared" si="2"/>
        <v>0</v>
      </c>
      <c r="L25" s="612">
        <f>IF('T6-Zamestnanci_a_mzdy'!F25-'T6a-Zamestnanci_a_mzdy (ženy)'!F25=0,0,('T6-Zamestnanci_a_mzdy'!J25-'T6a-Zamestnanci_a_mzdy (ženy)'!J25)/('T6-Zamestnanci_a_mzdy'!F25-'T6a-Zamestnanci_a_mzdy (ženy)'!F25)/12)</f>
        <v>0</v>
      </c>
    </row>
    <row r="26" spans="1:12" ht="16.5" customHeight="1">
      <c r="A26" s="31" t="s">
        <v>293</v>
      </c>
      <c r="B26" s="46"/>
      <c r="C26" s="520"/>
      <c r="D26" s="520"/>
      <c r="E26" s="520"/>
      <c r="F26" s="311">
        <f t="shared" si="5"/>
        <v>0</v>
      </c>
      <c r="G26" s="520"/>
      <c r="H26" s="520"/>
      <c r="I26" s="520"/>
      <c r="J26" s="519">
        <f>G26+I26</f>
        <v>0</v>
      </c>
      <c r="K26" s="614">
        <f t="shared" si="2"/>
        <v>0</v>
      </c>
      <c r="L26" s="612">
        <f>IF('T6-Zamestnanci_a_mzdy'!F26-'T6a-Zamestnanci_a_mzdy (ženy)'!F26=0,0,('T6-Zamestnanci_a_mzdy'!J26-'T6a-Zamestnanci_a_mzdy (ženy)'!J26)/('T6-Zamestnanci_a_mzdy'!F26-'T6a-Zamestnanci_a_mzdy (ženy)'!F26)/12)</f>
        <v>0</v>
      </c>
    </row>
    <row r="27" spans="1:12" ht="15.75">
      <c r="A27" s="31"/>
      <c r="B27" s="27"/>
      <c r="C27" s="521"/>
      <c r="D27" s="521"/>
      <c r="E27" s="521"/>
      <c r="F27" s="522">
        <f t="shared" si="5"/>
        <v>0</v>
      </c>
      <c r="G27" s="521"/>
      <c r="H27" s="521"/>
      <c r="I27" s="521"/>
      <c r="J27" s="523"/>
      <c r="K27" s="523"/>
      <c r="L27" s="617"/>
    </row>
    <row r="28" spans="1:12" ht="15.75">
      <c r="A28" s="31">
        <v>16</v>
      </c>
      <c r="B28" s="45" t="s">
        <v>32</v>
      </c>
      <c r="C28" s="520">
        <v>27.164</v>
      </c>
      <c r="D28" s="520">
        <v>27.164</v>
      </c>
      <c r="E28" s="520">
        <v>10.034</v>
      </c>
      <c r="F28" s="311">
        <f t="shared" si="5"/>
        <v>37.198</v>
      </c>
      <c r="G28" s="520">
        <v>161119.72</v>
      </c>
      <c r="H28" s="520">
        <v>161119.72</v>
      </c>
      <c r="I28" s="520">
        <v>85651.68</v>
      </c>
      <c r="J28" s="519">
        <f>G28+I28</f>
        <v>246771.4</v>
      </c>
      <c r="K28" s="614">
        <f t="shared" si="2"/>
        <v>552.8330376185099</v>
      </c>
      <c r="L28" s="612">
        <f>IF('T6-Zamestnanci_a_mzdy'!F28-'T6a-Zamestnanci_a_mzdy (ženy)'!F28=0,0,('T6-Zamestnanci_a_mzdy'!J28-'T6a-Zamestnanci_a_mzdy (ženy)'!J28)/('T6-Zamestnanci_a_mzdy'!F28-'T6a-Zamestnanci_a_mzdy (ženy)'!F28)/12)</f>
        <v>656.3388560069351</v>
      </c>
    </row>
    <row r="29" spans="1:12" ht="15.75">
      <c r="A29" s="31">
        <v>17</v>
      </c>
      <c r="B29" s="45" t="s">
        <v>33</v>
      </c>
      <c r="C29" s="520"/>
      <c r="D29" s="520"/>
      <c r="E29" s="520">
        <v>27.403</v>
      </c>
      <c r="F29" s="311">
        <f t="shared" si="5"/>
        <v>27.403</v>
      </c>
      <c r="G29" s="520">
        <v>2411.24</v>
      </c>
      <c r="H29" s="520">
        <v>2411.24</v>
      </c>
      <c r="I29" s="520">
        <v>164153.24</v>
      </c>
      <c r="J29" s="519">
        <f>G29+I29</f>
        <v>166564.47999999998</v>
      </c>
      <c r="K29" s="614">
        <f t="shared" si="2"/>
        <v>506.527509153499</v>
      </c>
      <c r="L29" s="612">
        <f>IF('T6-Zamestnanci_a_mzdy'!F29-'T6a-Zamestnanci_a_mzdy (ženy)'!F29=0,0,('T6-Zamestnanci_a_mzdy'!J29-'T6a-Zamestnanci_a_mzdy (ženy)'!J29)/('T6-Zamestnanci_a_mzdy'!F29-'T6a-Zamestnanci_a_mzdy (ženy)'!F29)/12)</f>
        <v>486.43320149417764</v>
      </c>
    </row>
    <row r="30" spans="1:12" ht="16.5" thickBot="1">
      <c r="A30" s="32">
        <v>18</v>
      </c>
      <c r="B30" s="47" t="s">
        <v>229</v>
      </c>
      <c r="C30" s="312">
        <f aca="true" t="shared" si="6" ref="C30:J30">C7+C13+C16+C20+C21+C28+C29</f>
        <v>752.049</v>
      </c>
      <c r="D30" s="312">
        <f t="shared" si="6"/>
        <v>726.6449999999999</v>
      </c>
      <c r="E30" s="312">
        <f t="shared" si="6"/>
        <v>125.696</v>
      </c>
      <c r="F30" s="312">
        <f t="shared" si="6"/>
        <v>877.745</v>
      </c>
      <c r="G30" s="312">
        <f t="shared" si="6"/>
        <v>7692870.329999999</v>
      </c>
      <c r="H30" s="312">
        <f t="shared" si="6"/>
        <v>7067875.02</v>
      </c>
      <c r="I30" s="312">
        <f t="shared" si="6"/>
        <v>2742155.63</v>
      </c>
      <c r="J30" s="524">
        <f t="shared" si="6"/>
        <v>10435025.959999999</v>
      </c>
      <c r="K30" s="615">
        <f t="shared" si="2"/>
        <v>990.7040161626287</v>
      </c>
      <c r="L30" s="618">
        <f>IF('T6-Zamestnanci_a_mzdy'!F30-'T6a-Zamestnanci_a_mzdy (ženy)'!F30=0,0,('T6-Zamestnanci_a_mzdy'!J30-'T6a-Zamestnanci_a_mzdy (ženy)'!J30)/('T6-Zamestnanci_a_mzdy'!F30-'T6a-Zamestnanci_a_mzdy (ženy)'!F30)/12)</f>
        <v>1362.5368334509578</v>
      </c>
    </row>
    <row r="31" spans="1:10" ht="15.75">
      <c r="A31" s="18"/>
      <c r="B31" s="18"/>
      <c r="C31" s="21"/>
      <c r="D31" s="18"/>
      <c r="E31" s="18"/>
      <c r="F31" s="21"/>
      <c r="G31" s="21"/>
      <c r="H31" s="21"/>
      <c r="I31" s="21"/>
      <c r="J31" s="21"/>
    </row>
  </sheetData>
  <sheetProtection/>
  <mergeCells count="14">
    <mergeCell ref="L3:L5"/>
    <mergeCell ref="C4:C5"/>
    <mergeCell ref="E4:E5"/>
    <mergeCell ref="F4:F5"/>
    <mergeCell ref="A1:K1"/>
    <mergeCell ref="A2:K2"/>
    <mergeCell ref="A3:A5"/>
    <mergeCell ref="B3:B5"/>
    <mergeCell ref="C3:F3"/>
    <mergeCell ref="G3:G5"/>
    <mergeCell ref="H3:H4"/>
    <mergeCell ref="I3:I5"/>
    <mergeCell ref="J3:J5"/>
    <mergeCell ref="K3:K5"/>
  </mergeCells>
  <printOptions gridLines="1"/>
  <pageMargins left="0.4724409448818898" right="0.31496062992125984" top="0.7480314960629921" bottom="0.3937007874015748" header="0.5118110236220472" footer="0.2755905511811024"/>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rgb="FF99FFCC"/>
    <pageSetUpPr fitToPage="1"/>
  </sheetPr>
  <dimension ref="A1:I26"/>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G38" sqref="G38"/>
    </sheetView>
  </sheetViews>
  <sheetFormatPr defaultColWidth="9.140625" defaultRowHeight="12.75"/>
  <cols>
    <col min="1" max="1" width="9.140625" style="168" customWidth="1"/>
    <col min="2" max="2" width="73.00390625" style="168" customWidth="1"/>
    <col min="3" max="3" width="23.140625" style="168" customWidth="1"/>
    <col min="4" max="4" width="23.8515625" style="168" customWidth="1"/>
    <col min="5" max="5" width="24.57421875" style="168" bestFit="1" customWidth="1"/>
    <col min="6" max="6" width="24.421875" style="168" customWidth="1"/>
    <col min="7" max="7" width="24.00390625" style="168" customWidth="1"/>
    <col min="8" max="8" width="21.421875" style="168" customWidth="1"/>
    <col min="9" max="16384" width="9.140625" style="168" customWidth="1"/>
  </cols>
  <sheetData>
    <row r="1" spans="1:6" ht="48" customHeight="1" thickBot="1">
      <c r="A1" s="692" t="s">
        <v>871</v>
      </c>
      <c r="B1" s="692"/>
      <c r="C1" s="692"/>
      <c r="D1" s="692"/>
      <c r="E1" s="692"/>
      <c r="F1" s="692"/>
    </row>
    <row r="2" spans="1:7" ht="44.25" customHeight="1" thickBot="1">
      <c r="A2" s="689" t="s">
        <v>1011</v>
      </c>
      <c r="B2" s="690"/>
      <c r="C2" s="690"/>
      <c r="D2" s="690"/>
      <c r="E2" s="690"/>
      <c r="F2" s="690"/>
      <c r="G2" s="691"/>
    </row>
    <row r="3" spans="1:7" ht="48.75" customHeight="1">
      <c r="A3" s="693" t="s">
        <v>149</v>
      </c>
      <c r="B3" s="696" t="s">
        <v>234</v>
      </c>
      <c r="C3" s="699" t="s">
        <v>950</v>
      </c>
      <c r="D3" s="700"/>
      <c r="E3" s="703" t="s">
        <v>1012</v>
      </c>
      <c r="F3" s="703" t="s">
        <v>1013</v>
      </c>
      <c r="G3" s="686" t="s">
        <v>809</v>
      </c>
    </row>
    <row r="4" spans="1:7" ht="24" customHeight="1">
      <c r="A4" s="694"/>
      <c r="B4" s="697"/>
      <c r="C4" s="701" t="s">
        <v>246</v>
      </c>
      <c r="D4" s="702"/>
      <c r="E4" s="704"/>
      <c r="F4" s="704"/>
      <c r="G4" s="687"/>
    </row>
    <row r="5" spans="1:7" ht="63.75" thickBot="1">
      <c r="A5" s="695"/>
      <c r="B5" s="698"/>
      <c r="C5" s="374" t="s">
        <v>909</v>
      </c>
      <c r="D5" s="476" t="s">
        <v>751</v>
      </c>
      <c r="E5" s="705"/>
      <c r="F5" s="705"/>
      <c r="G5" s="688"/>
    </row>
    <row r="6" spans="1:7" ht="26.25" customHeight="1">
      <c r="A6" s="371"/>
      <c r="B6" s="372"/>
      <c r="C6" s="370" t="s">
        <v>199</v>
      </c>
      <c r="D6" s="370" t="s">
        <v>200</v>
      </c>
      <c r="E6" s="370" t="s">
        <v>201</v>
      </c>
      <c r="F6" s="398" t="s">
        <v>207</v>
      </c>
      <c r="G6" s="373" t="s">
        <v>752</v>
      </c>
    </row>
    <row r="7" spans="1:8" ht="21.75" customHeight="1">
      <c r="A7" s="171">
        <v>1</v>
      </c>
      <c r="B7" s="169" t="s">
        <v>1014</v>
      </c>
      <c r="C7" s="311">
        <f>C8+C11</f>
        <v>760301.78</v>
      </c>
      <c r="D7" s="311">
        <f>D8+D11</f>
        <v>98232.23999999999</v>
      </c>
      <c r="E7" s="311">
        <f>E8+E11</f>
        <v>82431.5</v>
      </c>
      <c r="F7" s="311">
        <f>F8+F11</f>
        <v>1201132.49</v>
      </c>
      <c r="G7" s="311">
        <f>SUM(C7:F7)</f>
        <v>2142098.01</v>
      </c>
      <c r="H7" s="604"/>
    </row>
    <row r="8" spans="1:7" ht="57" customHeight="1">
      <c r="A8" s="171">
        <v>2</v>
      </c>
      <c r="B8" s="172" t="s">
        <v>1015</v>
      </c>
      <c r="C8" s="311">
        <f>C9</f>
        <v>63391</v>
      </c>
      <c r="D8" s="311">
        <f>D10</f>
        <v>34111.4</v>
      </c>
      <c r="E8" s="311">
        <f>SUM(E9:E10)</f>
        <v>36497</v>
      </c>
      <c r="F8" s="311">
        <f>SUM(F9:F10)</f>
        <v>908399.87</v>
      </c>
      <c r="G8" s="310">
        <f aca="true" t="shared" si="0" ref="G8:G17">SUM(C8:F8)</f>
        <v>1042399.27</v>
      </c>
    </row>
    <row r="9" spans="1:7" ht="51.75" customHeight="1">
      <c r="A9" s="171">
        <v>3</v>
      </c>
      <c r="B9" s="620" t="s">
        <v>910</v>
      </c>
      <c r="C9" s="309">
        <v>63391</v>
      </c>
      <c r="D9" s="527" t="s">
        <v>221</v>
      </c>
      <c r="E9" s="309">
        <v>35770</v>
      </c>
      <c r="F9" s="534">
        <v>904935.5</v>
      </c>
      <c r="G9" s="310">
        <f t="shared" si="0"/>
        <v>1004096.5</v>
      </c>
    </row>
    <row r="10" spans="1:7" ht="31.5">
      <c r="A10" s="171">
        <v>4</v>
      </c>
      <c r="B10" s="172" t="s">
        <v>1016</v>
      </c>
      <c r="C10" s="527" t="s">
        <v>221</v>
      </c>
      <c r="D10" s="309">
        <v>34111.4</v>
      </c>
      <c r="E10" s="309">
        <v>727</v>
      </c>
      <c r="F10" s="534">
        <v>3464.37</v>
      </c>
      <c r="G10" s="310">
        <f t="shared" si="0"/>
        <v>38302.770000000004</v>
      </c>
    </row>
    <row r="11" spans="1:7" ht="51" customHeight="1">
      <c r="A11" s="171">
        <v>5</v>
      </c>
      <c r="B11" s="172" t="s">
        <v>1017</v>
      </c>
      <c r="C11" s="311">
        <f>C12</f>
        <v>696910.78</v>
      </c>
      <c r="D11" s="311">
        <f>D13</f>
        <v>64120.84</v>
      </c>
      <c r="E11" s="311">
        <f>SUM(E12:E13)</f>
        <v>45934.5</v>
      </c>
      <c r="F11" s="311">
        <f>SUM(F12:F13)</f>
        <v>292732.62</v>
      </c>
      <c r="G11" s="310">
        <f>SUM(C11:E11)</f>
        <v>806966.12</v>
      </c>
    </row>
    <row r="12" spans="1:7" ht="47.25" customHeight="1">
      <c r="A12" s="171">
        <v>6</v>
      </c>
      <c r="B12" s="620" t="s">
        <v>911</v>
      </c>
      <c r="C12" s="309">
        <v>696910.78</v>
      </c>
      <c r="D12" s="527" t="s">
        <v>221</v>
      </c>
      <c r="E12" s="309">
        <v>44700</v>
      </c>
      <c r="F12" s="309">
        <v>284263.62</v>
      </c>
      <c r="G12" s="310">
        <f t="shared" si="0"/>
        <v>1025874.4</v>
      </c>
    </row>
    <row r="13" spans="1:8" s="19" customFormat="1" ht="31.5">
      <c r="A13" s="171">
        <v>7</v>
      </c>
      <c r="B13" s="172" t="s">
        <v>912</v>
      </c>
      <c r="C13" s="527" t="s">
        <v>221</v>
      </c>
      <c r="D13" s="309">
        <v>64120.84</v>
      </c>
      <c r="E13" s="309">
        <v>1234.5</v>
      </c>
      <c r="F13" s="309">
        <v>8469</v>
      </c>
      <c r="G13" s="310">
        <f t="shared" si="0"/>
        <v>73824.34</v>
      </c>
      <c r="H13" s="168"/>
    </row>
    <row r="14" spans="1:7" ht="49.5" customHeight="1">
      <c r="A14" s="171">
        <v>8</v>
      </c>
      <c r="B14" s="123" t="s">
        <v>872</v>
      </c>
      <c r="C14" s="309">
        <v>348821.45</v>
      </c>
      <c r="D14" s="527" t="s">
        <v>221</v>
      </c>
      <c r="E14" s="527" t="s">
        <v>221</v>
      </c>
      <c r="F14" s="527" t="s">
        <v>221</v>
      </c>
      <c r="G14" s="310">
        <f>SUM(C14:F14)</f>
        <v>348821.45</v>
      </c>
    </row>
    <row r="15" spans="1:7" ht="31.5">
      <c r="A15" s="171">
        <v>9</v>
      </c>
      <c r="B15" s="172" t="s">
        <v>1018</v>
      </c>
      <c r="C15" s="309">
        <v>580014</v>
      </c>
      <c r="D15" s="309">
        <v>0</v>
      </c>
      <c r="E15" s="527" t="s">
        <v>221</v>
      </c>
      <c r="F15" s="527" t="s">
        <v>221</v>
      </c>
      <c r="G15" s="310">
        <f t="shared" si="0"/>
        <v>580014</v>
      </c>
    </row>
    <row r="16" spans="1:7" ht="39" customHeight="1">
      <c r="A16" s="171">
        <v>10</v>
      </c>
      <c r="B16" s="172" t="s">
        <v>1019</v>
      </c>
      <c r="C16" s="535">
        <f>C14+C15-C7</f>
        <v>168533.66999999993</v>
      </c>
      <c r="D16" s="527" t="s">
        <v>221</v>
      </c>
      <c r="E16" s="527" t="s">
        <v>221</v>
      </c>
      <c r="F16" s="527" t="s">
        <v>221</v>
      </c>
      <c r="G16" s="310">
        <f t="shared" si="0"/>
        <v>168533.66999999993</v>
      </c>
    </row>
    <row r="17" spans="1:7" ht="21" customHeight="1">
      <c r="A17" s="171">
        <v>11</v>
      </c>
      <c r="B17" s="173" t="s">
        <v>1020</v>
      </c>
      <c r="C17" s="257">
        <v>1289</v>
      </c>
      <c r="D17" s="154" t="s">
        <v>221</v>
      </c>
      <c r="E17" s="257">
        <v>145</v>
      </c>
      <c r="F17" s="399">
        <v>2273</v>
      </c>
      <c r="G17" s="153">
        <f t="shared" si="0"/>
        <v>3707</v>
      </c>
    </row>
    <row r="18" spans="1:7" ht="21" customHeight="1" thickBot="1">
      <c r="A18" s="390">
        <v>12</v>
      </c>
      <c r="B18" s="174" t="s">
        <v>296</v>
      </c>
      <c r="C18" s="258">
        <f>IF(C17=0,0,+(C7+D7)/C17)</f>
        <v>666.046563227308</v>
      </c>
      <c r="D18" s="155" t="s">
        <v>221</v>
      </c>
      <c r="E18" s="258">
        <f>IF(E17=0,0,+E7/E17)</f>
        <v>568.4931034482759</v>
      </c>
      <c r="F18" s="258">
        <f>IF(F17=0,0,+F7/F17)</f>
        <v>528.4348834139903</v>
      </c>
      <c r="G18" s="391">
        <f>IF(G17=0,0,+G7/G17)</f>
        <v>577.8521742649042</v>
      </c>
    </row>
    <row r="20" ht="15.75">
      <c r="A20" s="300" t="s">
        <v>1021</v>
      </c>
    </row>
    <row r="21" ht="15.75" customHeight="1">
      <c r="A21" s="389"/>
    </row>
    <row r="22" spans="2:9" s="536" customFormat="1" ht="48" customHeight="1">
      <c r="B22" s="684"/>
      <c r="C22" s="685"/>
      <c r="D22" s="685"/>
      <c r="E22" s="685"/>
      <c r="F22" s="685"/>
      <c r="G22" s="685"/>
      <c r="H22"/>
      <c r="I22"/>
    </row>
    <row r="26" spans="2:7" ht="98.25" customHeight="1">
      <c r="B26" s="684" t="s">
        <v>1027</v>
      </c>
      <c r="C26" s="685"/>
      <c r="D26" s="685"/>
      <c r="E26" s="685"/>
      <c r="F26" s="685"/>
      <c r="G26" s="685"/>
    </row>
  </sheetData>
  <sheetProtection/>
  <mergeCells count="11">
    <mergeCell ref="F3:F5"/>
    <mergeCell ref="B26:G26"/>
    <mergeCell ref="B22:G22"/>
    <mergeCell ref="G3:G5"/>
    <mergeCell ref="A2:G2"/>
    <mergeCell ref="A1:F1"/>
    <mergeCell ref="A3:A5"/>
    <mergeCell ref="B3:B5"/>
    <mergeCell ref="C3:D3"/>
    <mergeCell ref="C4:D4"/>
    <mergeCell ref="E3:E5"/>
  </mergeCells>
  <printOptions/>
  <pageMargins left="0.45" right="0.33" top="0.7480314960629921" bottom="0.7480314960629921" header="0.31496062992125984" footer="0.31496062992125984"/>
  <pageSetup fitToHeight="1" fitToWidth="1" horizontalDpi="600" verticalDpi="600" orientation="landscape" paperSize="9" scale="69" r:id="rId3"/>
  <legacyDrawing r:id="rId2"/>
</worksheet>
</file>

<file path=xl/worksheets/sheet9.xml><?xml version="1.0" encoding="utf-8"?>
<worksheet xmlns="http://schemas.openxmlformats.org/spreadsheetml/2006/main" xmlns:r="http://schemas.openxmlformats.org/officeDocument/2006/relationships">
  <sheetPr>
    <tabColor indexed="42"/>
    <pageSetUpPr fitToPage="1"/>
  </sheetPr>
  <dimension ref="A1:H17"/>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E22" sqref="E22"/>
    </sheetView>
  </sheetViews>
  <sheetFormatPr defaultColWidth="9.140625" defaultRowHeight="12.75"/>
  <cols>
    <col min="1" max="1" width="8.140625" style="19" customWidth="1"/>
    <col min="2" max="2" width="93.140625" style="71" customWidth="1"/>
    <col min="3" max="3" width="17.28125" style="19" customWidth="1"/>
    <col min="4" max="4" width="17.140625" style="19" customWidth="1"/>
    <col min="5" max="5" width="15.7109375" style="19" customWidth="1"/>
    <col min="6" max="6" width="18.00390625" style="19" customWidth="1"/>
    <col min="7" max="7" width="7.57421875" style="19" customWidth="1"/>
    <col min="8" max="16384" width="9.140625" style="19" customWidth="1"/>
  </cols>
  <sheetData>
    <row r="1" spans="1:8" ht="49.5" customHeight="1" thickBot="1">
      <c r="A1" s="713" t="s">
        <v>873</v>
      </c>
      <c r="B1" s="714"/>
      <c r="C1" s="714"/>
      <c r="D1" s="714"/>
      <c r="E1" s="714"/>
      <c r="F1" s="715"/>
      <c r="G1" s="175"/>
      <c r="H1" s="24"/>
    </row>
    <row r="2" spans="1:7" ht="36.75" customHeight="1">
      <c r="A2" s="654" t="s">
        <v>1005</v>
      </c>
      <c r="B2" s="655"/>
      <c r="C2" s="724" t="s">
        <v>907</v>
      </c>
      <c r="D2" s="724"/>
      <c r="E2" s="724"/>
      <c r="F2" s="725"/>
      <c r="G2" s="176"/>
    </row>
    <row r="3" spans="1:7" ht="33" customHeight="1">
      <c r="A3" s="722" t="s">
        <v>149</v>
      </c>
      <c r="B3" s="720" t="s">
        <v>234</v>
      </c>
      <c r="C3" s="716">
        <v>2013</v>
      </c>
      <c r="D3" s="717"/>
      <c r="E3" s="718">
        <v>2014</v>
      </c>
      <c r="F3" s="719"/>
      <c r="G3" s="176"/>
    </row>
    <row r="4" spans="1:7" ht="69" customHeight="1">
      <c r="A4" s="723"/>
      <c r="B4" s="721"/>
      <c r="C4" s="109" t="s">
        <v>735</v>
      </c>
      <c r="D4" s="109" t="s">
        <v>137</v>
      </c>
      <c r="E4" s="109" t="s">
        <v>735</v>
      </c>
      <c r="F4" s="29" t="s">
        <v>187</v>
      </c>
      <c r="G4" s="176"/>
    </row>
    <row r="5" spans="1:7" ht="15.75">
      <c r="A5" s="120"/>
      <c r="B5" s="88"/>
      <c r="C5" s="36" t="s">
        <v>199</v>
      </c>
      <c r="D5" s="36" t="s">
        <v>200</v>
      </c>
      <c r="E5" s="85" t="s">
        <v>201</v>
      </c>
      <c r="F5" s="95" t="s">
        <v>207</v>
      </c>
      <c r="G5" s="176"/>
    </row>
    <row r="6" spans="1:7" ht="38.25" customHeight="1">
      <c r="A6" s="31">
        <v>1</v>
      </c>
      <c r="B6" s="89" t="s">
        <v>36</v>
      </c>
      <c r="C6" s="588">
        <v>1524530</v>
      </c>
      <c r="D6" s="156" t="s">
        <v>221</v>
      </c>
      <c r="E6" s="588">
        <v>1417320</v>
      </c>
      <c r="F6" s="157" t="s">
        <v>221</v>
      </c>
      <c r="G6" s="176"/>
    </row>
    <row r="7" spans="1:7" ht="38.25" customHeight="1">
      <c r="A7" s="31">
        <f>A6+1</f>
        <v>2</v>
      </c>
      <c r="B7" s="89" t="s">
        <v>247</v>
      </c>
      <c r="C7" s="156" t="s">
        <v>221</v>
      </c>
      <c r="D7" s="78">
        <v>7911</v>
      </c>
      <c r="E7" s="156" t="s">
        <v>221</v>
      </c>
      <c r="F7" s="82">
        <v>8388</v>
      </c>
      <c r="G7" s="176"/>
    </row>
    <row r="8" spans="1:7" ht="38.25" customHeight="1">
      <c r="A8" s="31">
        <f>A7+1</f>
        <v>3</v>
      </c>
      <c r="B8" s="89" t="s">
        <v>784</v>
      </c>
      <c r="C8" s="156" t="s">
        <v>221</v>
      </c>
      <c r="D8" s="78">
        <v>959</v>
      </c>
      <c r="E8" s="156" t="s">
        <v>221</v>
      </c>
      <c r="F8" s="82">
        <v>1099</v>
      </c>
      <c r="G8" s="176"/>
    </row>
    <row r="9" spans="1:7" ht="35.25" customHeight="1">
      <c r="A9" s="31">
        <f>A8+1</f>
        <v>4</v>
      </c>
      <c r="B9" s="68" t="s">
        <v>705</v>
      </c>
      <c r="C9" s="588">
        <v>229574.81</v>
      </c>
      <c r="D9" s="156" t="s">
        <v>221</v>
      </c>
      <c r="E9" s="589">
        <f>+C11</f>
        <v>516667.81000000006</v>
      </c>
      <c r="F9" s="157" t="s">
        <v>221</v>
      </c>
      <c r="G9" s="176"/>
    </row>
    <row r="10" spans="1:7" ht="37.5" customHeight="1">
      <c r="A10" s="31">
        <f>A9+1</f>
        <v>5</v>
      </c>
      <c r="B10" s="68" t="s">
        <v>749</v>
      </c>
      <c r="C10" s="588">
        <v>1811623</v>
      </c>
      <c r="D10" s="156" t="s">
        <v>221</v>
      </c>
      <c r="E10" s="590">
        <v>1132464</v>
      </c>
      <c r="F10" s="157" t="s">
        <v>221</v>
      </c>
      <c r="G10" s="176"/>
    </row>
    <row r="11" spans="1:7" ht="33" customHeight="1">
      <c r="A11" s="31">
        <v>6</v>
      </c>
      <c r="B11" s="68" t="s">
        <v>172</v>
      </c>
      <c r="C11" s="591">
        <f>+C9+C10-C6</f>
        <v>516667.81000000006</v>
      </c>
      <c r="D11" s="156" t="s">
        <v>221</v>
      </c>
      <c r="E11" s="589">
        <f>+E9+E10-E6</f>
        <v>231811.81000000006</v>
      </c>
      <c r="F11" s="157" t="s">
        <v>221</v>
      </c>
      <c r="G11" s="176"/>
    </row>
    <row r="12" spans="1:7" ht="36" customHeight="1" thickBot="1">
      <c r="A12" s="32">
        <v>7</v>
      </c>
      <c r="B12" s="81" t="s">
        <v>173</v>
      </c>
      <c r="C12" s="592">
        <f>IF(C6=0,0,C6/D7)</f>
        <v>192.71015042346102</v>
      </c>
      <c r="D12" s="593" t="s">
        <v>221</v>
      </c>
      <c r="E12" s="592">
        <f>IF(E6=0,0,E6/F7)</f>
        <v>168.96995708154506</v>
      </c>
      <c r="F12" s="594" t="s">
        <v>221</v>
      </c>
      <c r="G12" s="176"/>
    </row>
    <row r="13" spans="2:7" ht="15.75">
      <c r="B13" s="21"/>
      <c r="G13" s="176"/>
    </row>
    <row r="14" spans="1:7" ht="15.75">
      <c r="A14" s="707" t="s">
        <v>41</v>
      </c>
      <c r="B14" s="708"/>
      <c r="C14" s="708"/>
      <c r="D14" s="708"/>
      <c r="E14" s="708"/>
      <c r="F14" s="709"/>
      <c r="G14" s="176"/>
    </row>
    <row r="15" spans="1:7" ht="15.75">
      <c r="A15" s="710" t="s">
        <v>278</v>
      </c>
      <c r="B15" s="711"/>
      <c r="C15" s="711"/>
      <c r="D15" s="711"/>
      <c r="E15" s="711"/>
      <c r="F15" s="712"/>
      <c r="G15" s="176"/>
    </row>
    <row r="16" ht="15.75" customHeight="1"/>
    <row r="17" spans="2:6" s="13" customFormat="1" ht="40.5" customHeight="1">
      <c r="B17" s="706" t="s">
        <v>1023</v>
      </c>
      <c r="C17" s="706"/>
      <c r="D17" s="706"/>
      <c r="E17" s="706"/>
      <c r="F17" s="706"/>
    </row>
  </sheetData>
  <sheetProtection/>
  <mergeCells count="10">
    <mergeCell ref="B17:F17"/>
    <mergeCell ref="A14:F14"/>
    <mergeCell ref="A15:F15"/>
    <mergeCell ref="A1:F1"/>
    <mergeCell ref="C3:D3"/>
    <mergeCell ref="E3:F3"/>
    <mergeCell ref="B3:B4"/>
    <mergeCell ref="A3:A4"/>
    <mergeCell ref="A2:B2"/>
    <mergeCell ref="C2:F2"/>
  </mergeCells>
  <printOptions/>
  <pageMargins left="0.5" right="0.39" top="0.984251968503937" bottom="0.984251968503937" header="0.5118110236220472" footer="0.5118110236220472"/>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subject/>
  <dc:creator>Viest</dc:creator>
  <cp:keywords/>
  <dc:description/>
  <cp:lastModifiedBy>renata.lucanska</cp:lastModifiedBy>
  <cp:lastPrinted>2015-05-06T12:54:50Z</cp:lastPrinted>
  <dcterms:created xsi:type="dcterms:W3CDTF">2002-06-05T18:53:25Z</dcterms:created>
  <dcterms:modified xsi:type="dcterms:W3CDTF">2015-06-09T13:48:23Z</dcterms:modified>
  <cp:category/>
  <cp:version/>
  <cp:contentType/>
  <cp:contentStatus/>
</cp:coreProperties>
</file>