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Zaloha Lucanska\Moje Dokumenty\Dokumenty\Správy o hosp.a cerp\2016\VS 2016\"/>
    </mc:Choice>
  </mc:AlternateContent>
  <bookViews>
    <workbookView xWindow="0" yWindow="0" windowWidth="21570" windowHeight="7485" tabRatio="896" firstSheet="10" activeTab="16"/>
  </bookViews>
  <sheets>
    <sheet name="Obsah" sheetId="127" r:id="rId1"/>
    <sheet name="T1-Dotácie podľa DZ" sheetId="23" r:id="rId2"/>
    <sheet name="T2-Ostatné dot mimo MŠ SR" sheetId="3" r:id="rId3"/>
    <sheet name="T3-Výnosy" sheetId="142" r:id="rId4"/>
    <sheet name="T4-Výnosy zo školného" sheetId="154" r:id="rId5"/>
    <sheet name="T5 - Analýza nákladov" sheetId="150" r:id="rId6"/>
    <sheet name="T6-Zamestnanci_a_mzdy" sheetId="76" r:id="rId7"/>
    <sheet name="T6a-Zamestnanci_a_mzdy (ženy)" sheetId="155" r:id="rId8"/>
    <sheet name="T7_Doktorandi" sheetId="158" r:id="rId9"/>
    <sheet name="T8-Soc_štipendiá" sheetId="109" r:id="rId10"/>
    <sheet name="T9_ŠD " sheetId="116" r:id="rId11"/>
    <sheet name="T10-ŠJ " sheetId="146" r:id="rId12"/>
    <sheet name="T11-Zdroje KV" sheetId="90" r:id="rId13"/>
    <sheet name="T12-KV" sheetId="91" r:id="rId14"/>
    <sheet name="T13-Fondy" sheetId="145" r:id="rId15"/>
    <sheet name="T16 - Štruktúra hotovosti" sheetId="64" r:id="rId16"/>
    <sheet name="T17-Dotácie zo ŠF EU" sheetId="149" r:id="rId17"/>
    <sheet name="T18-Ostatné dotacie z kap MŠ SR" sheetId="61" r:id="rId18"/>
    <sheet name="T19-Štip_ z vlastných " sheetId="144" r:id="rId19"/>
    <sheet name="T20_motivačné štipendiá_nová" sheetId="157" r:id="rId20"/>
    <sheet name="T21-štruktúra_384" sheetId="97" r:id="rId21"/>
    <sheet name="T22_Výnosy_soc_oblasť" sheetId="133" r:id="rId22"/>
    <sheet name="T23_Náklady_soc_oblasť" sheetId="134" r:id="rId23"/>
    <sheet name="T24__Aktíva" sheetId="135" state="hidden" r:id="rId24"/>
  </sheets>
  <externalReferences>
    <externalReference r:id="rId25"/>
    <externalReference r:id="rId26"/>
    <externalReference r:id="rId27"/>
  </externalReferences>
  <definedNames>
    <definedName name="_kmp1" localSheetId="5">#REF!</definedName>
    <definedName name="_kmp1">#REF!</definedName>
    <definedName name="_kmp2">#REF!</definedName>
    <definedName name="_kmt1" localSheetId="5">#REF!</definedName>
    <definedName name="_kmt1">#REF!</definedName>
    <definedName name="_T1">#REF!</definedName>
    <definedName name="_wd1" localSheetId="19">[1]vahy!$B$1</definedName>
    <definedName name="_wd1">[1]vahy!$B$1</definedName>
    <definedName name="_wd3" localSheetId="19">[1]vahy!$B$3</definedName>
    <definedName name="_wd3">[1]vahy!$B$3</definedName>
    <definedName name="_we1" localSheetId="19">[1]vahy!$B$2</definedName>
    <definedName name="_we1">[1]vahy!$B$2</definedName>
    <definedName name="_we3" localSheetId="19">[1]vahy!$B$4</definedName>
    <definedName name="_we3">[1]vahy!$B$4</definedName>
    <definedName name="aaa" hidden="1">3</definedName>
    <definedName name="denní" localSheetId="5">#REF!</definedName>
    <definedName name="denní">#REF!</definedName>
    <definedName name="dokpo" localSheetId="5">#REF!</definedName>
    <definedName name="dokpo">#REF!</definedName>
    <definedName name="dokpred" localSheetId="5">#REF!</definedName>
    <definedName name="dokpred">#REF!</definedName>
    <definedName name="druhý" localSheetId="5">#REF!</definedName>
    <definedName name="druhý">#REF!</definedName>
    <definedName name="exterdruhý" localSheetId="5">#REF!</definedName>
    <definedName name="exterdruhý">#REF!</definedName>
    <definedName name="externeplat" localSheetId="5">#REF!</definedName>
    <definedName name="externeplat">#REF!</definedName>
    <definedName name="exterplat" localSheetId="5">#REF!</definedName>
    <definedName name="exterplat">#REF!</definedName>
    <definedName name="KKS_doc" localSheetId="5">#REF!</definedName>
    <definedName name="KKS_doc">#REF!</definedName>
    <definedName name="KKS_ost" localSheetId="5">#REF!</definedName>
    <definedName name="KKS_ost">#REF!</definedName>
    <definedName name="KKS_phd" localSheetId="5">#REF!</definedName>
    <definedName name="KKS_phd">#REF!</definedName>
    <definedName name="KKS_prof" localSheetId="5">#REF!</definedName>
    <definedName name="KKS_prof">#REF!</definedName>
    <definedName name="koef_gm_mzdy" localSheetId="5">#REF!</definedName>
    <definedName name="koef_gm_mzdy">#REF!</definedName>
    <definedName name="koef_kpn" localSheetId="5">#REF!</definedName>
    <definedName name="koef_kpn">#REF!</definedName>
    <definedName name="koef_prer_nad_gm_mzdy" localSheetId="5">#REF!</definedName>
    <definedName name="koef_prer_nad_gm_mzdy">#REF!</definedName>
    <definedName name="koef_PV" localSheetId="5">#REF!</definedName>
    <definedName name="koef_PV">#REF!</definedName>
    <definedName name="koef_udr_kat1" localSheetId="16">#REF!</definedName>
    <definedName name="koef_udr_kat1" localSheetId="5">#REF!</definedName>
    <definedName name="koef_udr_kat1" localSheetId="7">#REF!</definedName>
    <definedName name="koef_udr_kat1">#REF!</definedName>
    <definedName name="koef_udr_kat2" localSheetId="16">#REF!</definedName>
    <definedName name="koef_udr_kat2" localSheetId="5">#REF!</definedName>
    <definedName name="koef_udr_kat2" localSheetId="7">#REF!</definedName>
    <definedName name="koef_udr_kat2">#REF!</definedName>
    <definedName name="koef_udr_kat3" localSheetId="16">#REF!</definedName>
    <definedName name="koef_udr_kat3" localSheetId="5">#REF!</definedName>
    <definedName name="koef_udr_kat3" localSheetId="7">#REF!</definedName>
    <definedName name="koef_udr_kat3">#REF!</definedName>
    <definedName name="koef_VV" localSheetId="5">#REF!</definedName>
    <definedName name="koef_VV">#REF!</definedName>
    <definedName name="kpn_ca_do" localSheetId="5">#REF!</definedName>
    <definedName name="kpn_ca_do">#REF!</definedName>
    <definedName name="kpn_ca_nad" localSheetId="5">#REF!</definedName>
    <definedName name="kpn_ca_nad">#REF!</definedName>
    <definedName name="kzk" localSheetId="5">#REF!</definedName>
    <definedName name="kzk">#REF!</definedName>
    <definedName name="kzspp" localSheetId="5">#REF!</definedName>
    <definedName name="kzspp">#REF!</definedName>
    <definedName name="nefinanc">1</definedName>
    <definedName name="_xlnm.Print_Area" localSheetId="0">Obsah!$A$1:$Q$26</definedName>
    <definedName name="_xlnm.Print_Area" localSheetId="11">'T10-ŠJ '!$A$1:$D$22</definedName>
    <definedName name="_xlnm.Print_Area" localSheetId="12">'T11-Zdroje KV'!$A$1:$D$21</definedName>
    <definedName name="_xlnm.Print_Area" localSheetId="13">'T12-KV'!$A$1:$I$22</definedName>
    <definedName name="_xlnm.Print_Area" localSheetId="14">'T13-Fondy'!$A$1:$N$22</definedName>
    <definedName name="_xlnm.Print_Area" localSheetId="15">'T16 - Štruktúra hotovosti'!$A$1:$D$22</definedName>
    <definedName name="_xlnm.Print_Area" localSheetId="16">'T17-Dotácie zo ŠF EU'!$A$1:$H$16</definedName>
    <definedName name="_xlnm.Print_Area" localSheetId="17">'T18-Ostatné dotacie z kap MŠ SR'!$A$1:$E$18</definedName>
    <definedName name="_xlnm.Print_Area" localSheetId="18">'T19-Štip_ z vlastných '!$A$1:$F$26</definedName>
    <definedName name="_xlnm.Print_Area" localSheetId="1">'T1-Dotácie podľa DZ'!$A$1:$E$19</definedName>
    <definedName name="_xlnm.Print_Area" localSheetId="19">'T20_motivačné štipendiá_nová'!$A$1:$F$11</definedName>
    <definedName name="_xlnm.Print_Area" localSheetId="20">'T21-štruktúra_384'!$A$1:$M$9</definedName>
    <definedName name="_xlnm.Print_Area" localSheetId="21">T22_Výnosy_soc_oblasť!$A$1:$F$44</definedName>
    <definedName name="_xlnm.Print_Area" localSheetId="22">T23_Náklady_soc_oblasť!$A$1:$F$42</definedName>
    <definedName name="_xlnm.Print_Area" localSheetId="3">'T3-Výnosy'!$A$1:$H$70</definedName>
    <definedName name="_xlnm.Print_Area" localSheetId="4">'T4-Výnosy zo školného'!$A$1:$E$23</definedName>
    <definedName name="_xlnm.Print_Area" localSheetId="5">'T5 - Analýza nákladov'!$A$1:$H$104</definedName>
    <definedName name="_xlnm.Print_Area" localSheetId="7">'T6a-Zamestnanci_a_mzdy (ženy)'!$A$1:$L$35</definedName>
    <definedName name="_xlnm.Print_Area" localSheetId="6">'T6-Zamestnanci_a_mzdy'!$A$1:$K$31</definedName>
    <definedName name="_xlnm.Print_Area" localSheetId="9">'T8-Soc_štipendiá'!$A$1:$F$13</definedName>
    <definedName name="_xlnm.Print_Area" localSheetId="10">'T9_ŠD '!$A$1:$F$19</definedName>
    <definedName name="pocet_jedal" localSheetId="16">#REF!</definedName>
    <definedName name="pocet_jedal" localSheetId="5">#REF!</definedName>
    <definedName name="pocet_jedal" localSheetId="7">#REF!</definedName>
    <definedName name="pocet_jedal">#REF!</definedName>
    <definedName name="podiel" localSheetId="5">#REF!</definedName>
    <definedName name="podiel">#REF!</definedName>
    <definedName name="poistné" localSheetId="5">#REF!</definedName>
    <definedName name="poistné">#REF!</definedName>
    <definedName name="Pp_DrŠ_exist" localSheetId="16">#REF!</definedName>
    <definedName name="Pp_DrŠ_exist" localSheetId="5">#REF!</definedName>
    <definedName name="Pp_DrŠ_exist" localSheetId="7">#REF!</definedName>
    <definedName name="Pp_DrŠ_exist">#REF!</definedName>
    <definedName name="Pp_DrŠ_noví" localSheetId="16">#REF!</definedName>
    <definedName name="Pp_DrŠ_noví" localSheetId="5">#REF!</definedName>
    <definedName name="Pp_DrŠ_noví" localSheetId="7">#REF!</definedName>
    <definedName name="Pp_DrŠ_noví">#REF!</definedName>
    <definedName name="Pp_DrŠ_spolu" localSheetId="16">#REF!</definedName>
    <definedName name="Pp_DrŠ_spolu" localSheetId="5">#REF!</definedName>
    <definedName name="Pp_DrŠ_spolu" localSheetId="7">#REF!</definedName>
    <definedName name="Pp_DrŠ_spolu">#REF!</definedName>
    <definedName name="Pp_klinické_TaS" localSheetId="16">#REF!</definedName>
    <definedName name="Pp_klinické_TaS" localSheetId="5">#REF!</definedName>
    <definedName name="Pp_klinické_TaS" localSheetId="7">#REF!</definedName>
    <definedName name="Pp_klinické_TaS">#REF!</definedName>
    <definedName name="Pp_klinické_TaS_rozpísaný" localSheetId="16">#REF!</definedName>
    <definedName name="Pp_klinické_TaS_rozpísaný" localSheetId="5">#REF!</definedName>
    <definedName name="Pp_klinické_TaS_rozpísaný" localSheetId="7">#REF!</definedName>
    <definedName name="Pp_klinické_TaS_rozpísaný">#REF!</definedName>
    <definedName name="Pp_Rozvoj_BD" localSheetId="5">#REF!</definedName>
    <definedName name="Pp_Rozvoj_BD">#REF!</definedName>
    <definedName name="Pp_Soc_BD" localSheetId="5">#REF!</definedName>
    <definedName name="Pp_Soc_BD">#REF!</definedName>
    <definedName name="Pp_VaT_BD" localSheetId="5">#REF!</definedName>
    <definedName name="Pp_VaT_BD">#REF!</definedName>
    <definedName name="Pp_VaT_mzdy" localSheetId="5">#REF!</definedName>
    <definedName name="Pp_VaT_mzdy">#REF!</definedName>
    <definedName name="Pp_VaT_mzdy_rezerva" localSheetId="5">#REF!</definedName>
    <definedName name="Pp_VaT_mzdy_rezerva">#REF!</definedName>
    <definedName name="Pp_VaT_mzdy_zac_roka" localSheetId="5">#REF!</definedName>
    <definedName name="Pp_VaT_mzdy_zac_roka">#REF!</definedName>
    <definedName name="Pp_Vzdel_BD" localSheetId="5">#REF!</definedName>
    <definedName name="Pp_Vzdel_BD">#REF!</definedName>
    <definedName name="Pp_Vzdel_mzdy" localSheetId="5">#REF!</definedName>
    <definedName name="Pp_Vzdel_mzdy">#REF!</definedName>
    <definedName name="Pp_Vzdel_mzdy_kontr" localSheetId="5">#REF!</definedName>
    <definedName name="Pp_Vzdel_mzdy_kontr">#REF!</definedName>
    <definedName name="Pp_Vzdel_mzdy_na_prer_modif" localSheetId="16">#REF!</definedName>
    <definedName name="Pp_Vzdel_mzdy_na_prer_modif" localSheetId="5">#REF!</definedName>
    <definedName name="Pp_Vzdel_mzdy_na_prer_modif" localSheetId="7">#REF!</definedName>
    <definedName name="Pp_Vzdel_mzdy_na_prer_modif">#REF!</definedName>
    <definedName name="Pp_Vzdel_mzdy_na_prer_nemodif" localSheetId="16">#REF!</definedName>
    <definedName name="Pp_Vzdel_mzdy_na_prer_nemodif" localSheetId="5">#REF!</definedName>
    <definedName name="Pp_Vzdel_mzdy_na_prer_nemodif" localSheetId="7">#REF!</definedName>
    <definedName name="Pp_Vzdel_mzdy_na_prer_nemodif">#REF!</definedName>
    <definedName name="Pp_Vzdel_mzdy_prevádz" localSheetId="5">#REF!</definedName>
    <definedName name="Pp_Vzdel_mzdy_prevádz">#REF!</definedName>
    <definedName name="Pp_Vzdel_mzdy_rezerva" localSheetId="5">#REF!</definedName>
    <definedName name="Pp_Vzdel_mzdy_rezerva">#REF!</definedName>
    <definedName name="Pp_Vzdel_mzdy_spec" localSheetId="5">#REF!</definedName>
    <definedName name="Pp_Vzdel_mzdy_spec">#REF!</definedName>
    <definedName name="Pp_Vzdel_mzdy_výkon" localSheetId="5">#REF!</definedName>
    <definedName name="Pp_Vzdel_mzdy_výkon">#REF!</definedName>
    <definedName name="Pp_Vzdel_mzdy_výkon_PV" localSheetId="5">#REF!</definedName>
    <definedName name="Pp_Vzdel_mzdy_výkon_PV">#REF!</definedName>
    <definedName name="Pp_Vzdel_mzdy_výkon_PV_bez" localSheetId="5">#REF!</definedName>
    <definedName name="Pp_Vzdel_mzdy_výkon_PV_bez">#REF!</definedName>
    <definedName name="Pp_Vzdel_mzdy_výkon_PV_um" localSheetId="5">#REF!</definedName>
    <definedName name="Pp_Vzdel_mzdy_výkon_PV_um">#REF!</definedName>
    <definedName name="Pp_Vzdel_mzdy_výkon_VV" localSheetId="5">#REF!</definedName>
    <definedName name="Pp_Vzdel_mzdy_výkon_VV">#REF!</definedName>
    <definedName name="Pp_Vzdel_mzdy_výkon_VV_bez" localSheetId="5">#REF!</definedName>
    <definedName name="Pp_Vzdel_mzdy_výkon_VV_bez">#REF!</definedName>
    <definedName name="Pp_Vzdel_mzdy_výkon_VV_um" localSheetId="5">#REF!</definedName>
    <definedName name="Pp_Vzdel_mzdy_výkon_VV_um">#REF!</definedName>
    <definedName name="Pp_Vzdel_spec_prax" localSheetId="16">#REF!</definedName>
    <definedName name="Pp_Vzdel_spec_prax" localSheetId="5">#REF!</definedName>
    <definedName name="Pp_Vzdel_spec_prax" localSheetId="7">#REF!</definedName>
    <definedName name="Pp_Vzdel_spec_prax">#REF!</definedName>
    <definedName name="Pp_Vzdel_TaS" localSheetId="5">#REF!</definedName>
    <definedName name="Pp_Vzdel_TaS">#REF!</definedName>
    <definedName name="Pp_Vzdel_TaS_rezerva" localSheetId="5">#REF!</definedName>
    <definedName name="Pp_Vzdel_TaS_rezerva">#REF!</definedName>
    <definedName name="Pp_Vzdel_TaS_spec" localSheetId="16">#REF!</definedName>
    <definedName name="Pp_Vzdel_TaS_spec" localSheetId="5">#REF!</definedName>
    <definedName name="Pp_Vzdel_TaS_spec" localSheetId="7">#REF!</definedName>
    <definedName name="Pp_Vzdel_TaS_spec">#REF!</definedName>
    <definedName name="Pp_Vzdel_TaS_stav" localSheetId="5">#REF!</definedName>
    <definedName name="Pp_Vzdel_TaS_stav">#REF!</definedName>
    <definedName name="Pp_Vzdel_TaS_výkon" localSheetId="16">#REF!</definedName>
    <definedName name="Pp_Vzdel_TaS_výkon" localSheetId="5">#REF!</definedName>
    <definedName name="Pp_Vzdel_TaS_výkon" localSheetId="7">#REF!</definedName>
    <definedName name="Pp_Vzdel_TaS_výkon">#REF!</definedName>
    <definedName name="Pp_Vzdel_TaS_výkon_PPŠ" localSheetId="16">#REF!</definedName>
    <definedName name="Pp_Vzdel_TaS_výkon_PPŠ" localSheetId="5">#REF!</definedName>
    <definedName name="Pp_Vzdel_TaS_výkon_PPŠ" localSheetId="7">#REF!</definedName>
    <definedName name="Pp_Vzdel_TaS_výkon_PPŠ">#REF!</definedName>
    <definedName name="Pp_Vzdel_TaS_výkon_PPŠ_a_zákl" localSheetId="16">#REF!</definedName>
    <definedName name="Pp_Vzdel_TaS_výkon_PPŠ_a_zákl" localSheetId="5">#REF!</definedName>
    <definedName name="Pp_Vzdel_TaS_výkon_PPŠ_a_zákl" localSheetId="7">#REF!</definedName>
    <definedName name="Pp_Vzdel_TaS_výkon_PPŠ_a_zákl">#REF!</definedName>
    <definedName name="Pp_Vzdel_TaS_výkon_PPŠ_KEN" localSheetId="16">#REF!</definedName>
    <definedName name="Pp_Vzdel_TaS_výkon_PPŠ_KEN" localSheetId="5">#REF!</definedName>
    <definedName name="Pp_Vzdel_TaS_výkon_PPŠ_KEN" localSheetId="7">#REF!</definedName>
    <definedName name="Pp_Vzdel_TaS_výkon_PPŠ_KEN">#REF!</definedName>
    <definedName name="Pp_Vzdel_TaS_zahr_granty" localSheetId="5">#REF!</definedName>
    <definedName name="Pp_Vzdel_TaS_zahr_granty">#REF!</definedName>
    <definedName name="Pp_Vzdel_TaS_zákl" localSheetId="16">#REF!</definedName>
    <definedName name="Pp_Vzdel_TaS_zákl" localSheetId="5">#REF!</definedName>
    <definedName name="Pp_Vzdel_TaS_zákl" localSheetId="7">#REF!</definedName>
    <definedName name="Pp_Vzdel_TaS_zákl">#REF!</definedName>
    <definedName name="Pr_AV_BD" localSheetId="5">#REF!</definedName>
    <definedName name="Pr_AV_BD">#REF!</definedName>
    <definedName name="Pr_IV_BD" localSheetId="5">#REF!</definedName>
    <definedName name="Pr_IV_BD">#REF!</definedName>
    <definedName name="Pr_IV_KV" localSheetId="5">#REF!</definedName>
    <definedName name="Pr_IV_KV">#REF!</definedName>
    <definedName name="Pr_IV_KV_rezerva" localSheetId="5">#REF!</definedName>
    <definedName name="Pr_IV_KV_rezerva">#REF!</definedName>
    <definedName name="Pr_KEGA_BD" localSheetId="5">#REF!</definedName>
    <definedName name="Pr_KEGA_BD">#REF!</definedName>
    <definedName name="Pr_klinické" localSheetId="5">#REF!</definedName>
    <definedName name="Pr_klinické">#REF!</definedName>
    <definedName name="Pr_KŠ" localSheetId="16">#REF!</definedName>
    <definedName name="Pr_KŠ" localSheetId="5">#REF!</definedName>
    <definedName name="Pr_KŠ" localSheetId="7">#REF!</definedName>
    <definedName name="Pr_KŠ">#REF!</definedName>
    <definedName name="Pr_motštip_BD" localSheetId="5">#REF!</definedName>
    <definedName name="Pr_motštip_BD">#REF!</definedName>
    <definedName name="Pr_MVTS_BD" localSheetId="5">#REF!</definedName>
    <definedName name="Pr_MVTS_BD">#REF!</definedName>
    <definedName name="Pr_socštip_BD" localSheetId="5">#REF!</definedName>
    <definedName name="Pr_socštip_BD">#REF!</definedName>
    <definedName name="Pr_ŠD" localSheetId="16">#REF!</definedName>
    <definedName name="Pr_ŠD" localSheetId="5">#REF!</definedName>
    <definedName name="Pr_ŠD" localSheetId="7">#REF!</definedName>
    <definedName name="Pr_ŠD">#REF!</definedName>
    <definedName name="Pr_ŠDaJKŠPC_BD" localSheetId="5">#REF!</definedName>
    <definedName name="Pr_ŠDaJKŠPC_BD">#REF!</definedName>
    <definedName name="Pr_VaT_KV_zac_roka" localSheetId="5">#REF!</definedName>
    <definedName name="Pr_VaT_KV_zac_roka">#REF!</definedName>
    <definedName name="Pr_VaT_TaS" localSheetId="5">#REF!</definedName>
    <definedName name="Pr_VaT_TaS">#REF!</definedName>
    <definedName name="Pr_VaT_TaS_rezerva" localSheetId="5">#REF!</definedName>
    <definedName name="Pr_VaT_TaS_rezerva">#REF!</definedName>
    <definedName name="Pr_VaT_TaS_zac_roka" localSheetId="5">#REF!</definedName>
    <definedName name="Pr_VaT_TaS_zac_roka">#REF!</definedName>
    <definedName name="Pr_VEGA_BD" localSheetId="5">#REF!</definedName>
    <definedName name="Pr_VEGA_BD">#REF!</definedName>
    <definedName name="predmety" localSheetId="5">#REF!</definedName>
    <definedName name="predmety">#REF!</definedName>
    <definedName name="prisp_na_1_jedlo" localSheetId="16">#REF!</definedName>
    <definedName name="prisp_na_1_jedlo" localSheetId="5">#REF!</definedName>
    <definedName name="prisp_na_1_jedlo" localSheetId="7">#REF!</definedName>
    <definedName name="prisp_na_1_jedlo">#REF!</definedName>
    <definedName name="prisp_na_ubyt_stud_SD" localSheetId="16">#REF!</definedName>
    <definedName name="prisp_na_ubyt_stud_SD" localSheetId="5">#REF!</definedName>
    <definedName name="prisp_na_ubyt_stud_SD" localSheetId="7">#REF!</definedName>
    <definedName name="prisp_na_ubyt_stud_SD">#REF!</definedName>
    <definedName name="prisp_na_ubyt_stud_ZZ" localSheetId="16">#REF!</definedName>
    <definedName name="prisp_na_ubyt_stud_ZZ" localSheetId="5">#REF!</definedName>
    <definedName name="prisp_na_ubyt_stud_ZZ" localSheetId="7">#REF!</definedName>
    <definedName name="prisp_na_ubyt_stud_ZZ">#REF!</definedName>
    <definedName name="prísp_zákl_prev" localSheetId="5">#REF!</definedName>
    <definedName name="prísp_zákl_prev">#REF!</definedName>
    <definedName name="R_vvs" localSheetId="5">#REF!</definedName>
    <definedName name="R_vvs">#REF!</definedName>
    <definedName name="R_vvs_BD" localSheetId="5">#REF!</definedName>
    <definedName name="R_vvs_BD">#REF!</definedName>
    <definedName name="R_vvs_VaT_BD" localSheetId="5">#REF!</definedName>
    <definedName name="R_vvs_VaT_BD">#REF!</definedName>
    <definedName name="Sanet" localSheetId="5">#REF!</definedName>
    <definedName name="Sanet">#REF!</definedName>
    <definedName name="SAPBEXrevision" hidden="1">7</definedName>
    <definedName name="SAPBEXsysID" hidden="1">"BS1"</definedName>
    <definedName name="SAPBEXwbID" hidden="1">"3TG3S316PX9BHXMQEBSXSYZZO"</definedName>
    <definedName name="stavba_ucelova" localSheetId="5">#REF!</definedName>
    <definedName name="stavba_ucelova">#REF!</definedName>
    <definedName name="studenti_vstup" localSheetId="5">#REF!</definedName>
    <definedName name="studenti_vstup">#REF!</definedName>
    <definedName name="sustava" localSheetId="5">#REF!</definedName>
    <definedName name="sustava">#REF!</definedName>
    <definedName name="T_1">#REF!</definedName>
    <definedName name="T_25_so_štip_2007">#REF!</definedName>
    <definedName name="T_M">#REF!</definedName>
    <definedName name="váha_absDrš" localSheetId="5">#REF!</definedName>
    <definedName name="váha_absDrš">#REF!</definedName>
    <definedName name="váha_DG" localSheetId="5">#REF!</definedName>
    <definedName name="váha_DG">#REF!</definedName>
    <definedName name="váha_poDs" localSheetId="5">#REF!</definedName>
    <definedName name="váha_poDs">#REF!</definedName>
    <definedName name="váha_Pub" localSheetId="5">#REF!</definedName>
    <definedName name="váha_Pub">#REF!</definedName>
    <definedName name="váha_ZG" localSheetId="5">#REF!</definedName>
    <definedName name="váha_ZG">#REF!</definedName>
    <definedName name="výkon_um" localSheetId="5">#REF!</definedName>
    <definedName name="výkon_um">#REF!</definedName>
    <definedName name="x">#REF!</definedName>
    <definedName name="xxx" hidden="1">"3TGMUFSSIAIMK2KTNC9DELQD0"</definedName>
    <definedName name="zakl_prisp_na_prev_SD" localSheetId="16">#REF!</definedName>
    <definedName name="zakl_prisp_na_prev_SD" localSheetId="5">#REF!</definedName>
    <definedName name="zakl_prisp_na_prev_SD" localSheetId="7">#REF!</definedName>
    <definedName name="zakl_prisp_na_prev_SD">#REF!</definedName>
    <definedName name="záloha" localSheetId="16">#REF!</definedName>
    <definedName name="záloha" localSheetId="5">#REF!</definedName>
    <definedName name="záloha" localSheetId="7">#REF!</definedName>
    <definedName name="záloha">#REF!</definedName>
  </definedNames>
  <calcPr calcId="162913"/>
</workbook>
</file>

<file path=xl/calcChain.xml><?xml version="1.0" encoding="utf-8"?>
<calcChain xmlns="http://schemas.openxmlformats.org/spreadsheetml/2006/main">
  <c r="D24" i="133" l="1"/>
  <c r="E24" i="133"/>
  <c r="F89" i="150" l="1"/>
  <c r="F81" i="150" s="1"/>
  <c r="E89" i="150"/>
  <c r="E81" i="150" s="1"/>
  <c r="D89" i="150"/>
  <c r="F37" i="142"/>
  <c r="E48" i="142"/>
  <c r="E37" i="142" s="1"/>
  <c r="F18" i="91" l="1"/>
  <c r="C48" i="142" l="1"/>
  <c r="C37" i="142"/>
  <c r="D48" i="142"/>
  <c r="D37" i="142" l="1"/>
  <c r="C89" i="150"/>
  <c r="C81" i="150" s="1"/>
  <c r="D19" i="90" l="1"/>
  <c r="E34" i="142" l="1"/>
  <c r="F24" i="133" l="1"/>
  <c r="F41" i="134"/>
  <c r="F40" i="134"/>
  <c r="F39" i="134"/>
  <c r="F38" i="134"/>
  <c r="F37" i="134"/>
  <c r="F36" i="134"/>
  <c r="F35" i="134"/>
  <c r="F34" i="134"/>
  <c r="F33" i="134"/>
  <c r="F32" i="134"/>
  <c r="F31" i="134"/>
  <c r="F30" i="134"/>
  <c r="F29" i="134"/>
  <c r="E28" i="134"/>
  <c r="D28" i="134"/>
  <c r="D42" i="134" s="1"/>
  <c r="F27" i="134"/>
  <c r="F26" i="134"/>
  <c r="F25" i="134"/>
  <c r="F24" i="134"/>
  <c r="F23" i="134"/>
  <c r="F22" i="134"/>
  <c r="F21" i="134"/>
  <c r="F20" i="134"/>
  <c r="F19" i="134"/>
  <c r="F18" i="134"/>
  <c r="F17" i="134"/>
  <c r="F16" i="134"/>
  <c r="F15" i="134"/>
  <c r="F14" i="134"/>
  <c r="F13" i="134"/>
  <c r="F12" i="134"/>
  <c r="F11" i="134"/>
  <c r="F10" i="134"/>
  <c r="F9" i="134"/>
  <c r="F8" i="134"/>
  <c r="F7" i="134"/>
  <c r="F6" i="134"/>
  <c r="F5" i="134"/>
  <c r="F43" i="133"/>
  <c r="F42" i="133"/>
  <c r="E40" i="133"/>
  <c r="E41" i="133" s="1"/>
  <c r="E44" i="133" s="1"/>
  <c r="F39" i="133"/>
  <c r="F38" i="133"/>
  <c r="F37" i="133"/>
  <c r="F36" i="133"/>
  <c r="F35" i="133"/>
  <c r="F34" i="133"/>
  <c r="F33" i="133"/>
  <c r="F32" i="133"/>
  <c r="F31" i="133"/>
  <c r="F30" i="133"/>
  <c r="F29" i="133"/>
  <c r="F28" i="133"/>
  <c r="F27" i="133"/>
  <c r="F26" i="133"/>
  <c r="F25" i="133"/>
  <c r="D40" i="133"/>
  <c r="D41" i="133" s="1"/>
  <c r="D44" i="133" s="1"/>
  <c r="F23" i="133"/>
  <c r="F22" i="133"/>
  <c r="F21" i="133"/>
  <c r="F20" i="133"/>
  <c r="F19" i="133"/>
  <c r="F18" i="133"/>
  <c r="F17" i="133"/>
  <c r="F16" i="133"/>
  <c r="F15" i="133"/>
  <c r="F14" i="133"/>
  <c r="F13" i="133"/>
  <c r="F12" i="133"/>
  <c r="F11" i="133"/>
  <c r="F10" i="133"/>
  <c r="F9" i="133"/>
  <c r="F8" i="133"/>
  <c r="F7" i="133"/>
  <c r="F6" i="133"/>
  <c r="F5" i="133"/>
  <c r="L6" i="97"/>
  <c r="K6" i="97"/>
  <c r="J6" i="97"/>
  <c r="I6" i="97"/>
  <c r="H6" i="97"/>
  <c r="G6" i="97"/>
  <c r="N18" i="145"/>
  <c r="M18" i="145"/>
  <c r="N16" i="145"/>
  <c r="M16" i="145"/>
  <c r="N15" i="145"/>
  <c r="M15" i="145"/>
  <c r="N14" i="145"/>
  <c r="M14" i="145"/>
  <c r="N13" i="145"/>
  <c r="M13" i="145"/>
  <c r="N12" i="145"/>
  <c r="M12" i="145"/>
  <c r="N11" i="145"/>
  <c r="M11" i="145"/>
  <c r="N10" i="145"/>
  <c r="M10" i="145"/>
  <c r="N9" i="145"/>
  <c r="M9" i="145"/>
  <c r="N8" i="145"/>
  <c r="M8" i="145"/>
  <c r="L7" i="145"/>
  <c r="K7" i="145"/>
  <c r="K17" i="145" s="1"/>
  <c r="L6" i="145" s="1"/>
  <c r="J7" i="145"/>
  <c r="I7" i="145"/>
  <c r="I17" i="145" s="1"/>
  <c r="J6" i="145" s="1"/>
  <c r="H7" i="145"/>
  <c r="G7" i="145"/>
  <c r="G17" i="145" s="1"/>
  <c r="H6" i="145" s="1"/>
  <c r="F7" i="145"/>
  <c r="E7" i="145"/>
  <c r="E17" i="145" s="1"/>
  <c r="F6" i="145" s="1"/>
  <c r="D7" i="145"/>
  <c r="N7" i="145" s="1"/>
  <c r="C7" i="145"/>
  <c r="C17" i="145" s="1"/>
  <c r="M6" i="145"/>
  <c r="M6" i="97" l="1"/>
  <c r="F17" i="145"/>
  <c r="H17" i="145"/>
  <c r="J17" i="145"/>
  <c r="L17" i="145"/>
  <c r="M17" i="145"/>
  <c r="D6" i="145"/>
  <c r="D17" i="145" s="1"/>
  <c r="F28" i="134"/>
  <c r="F42" i="134" s="1"/>
  <c r="F44" i="133"/>
  <c r="E42" i="134"/>
  <c r="F40" i="133"/>
  <c r="F41" i="133" s="1"/>
  <c r="M7" i="145"/>
  <c r="D9" i="116"/>
  <c r="D21" i="146"/>
  <c r="C21" i="146"/>
  <c r="D20" i="146"/>
  <c r="C20" i="146"/>
  <c r="D17" i="146"/>
  <c r="C17" i="146"/>
  <c r="D10" i="146"/>
  <c r="D12" i="146" s="1"/>
  <c r="C9" i="146"/>
  <c r="D6" i="146"/>
  <c r="C6" i="146"/>
  <c r="A6" i="146"/>
  <c r="A7" i="146" s="1"/>
  <c r="A8" i="146" s="1"/>
  <c r="A9" i="146" s="1"/>
  <c r="A10" i="146" s="1"/>
  <c r="A11" i="146" s="1"/>
  <c r="A12" i="146" s="1"/>
  <c r="A13" i="146" s="1"/>
  <c r="A15" i="146" s="1"/>
  <c r="A16" i="146" s="1"/>
  <c r="A17" i="146" s="1"/>
  <c r="A18" i="146" s="1"/>
  <c r="A19" i="146" s="1"/>
  <c r="A20" i="146" s="1"/>
  <c r="A21" i="146" s="1"/>
  <c r="N17" i="145" l="1"/>
  <c r="D9" i="146"/>
  <c r="D5" i="146"/>
  <c r="D16" i="146" s="1"/>
  <c r="C5" i="146"/>
  <c r="C16" i="146" s="1"/>
  <c r="N6" i="145"/>
  <c r="I20" i="91"/>
  <c r="I19" i="91"/>
  <c r="I18" i="91"/>
  <c r="I17" i="91"/>
  <c r="I16" i="91"/>
  <c r="I15" i="91"/>
  <c r="I14" i="91"/>
  <c r="I13" i="91"/>
  <c r="I12" i="91"/>
  <c r="I11" i="91"/>
  <c r="H10" i="91"/>
  <c r="H21" i="91" s="1"/>
  <c r="G10" i="91"/>
  <c r="G21" i="91" s="1"/>
  <c r="F10" i="91"/>
  <c r="F21" i="91" s="1"/>
  <c r="E10" i="91"/>
  <c r="E21" i="91" s="1"/>
  <c r="D10" i="91"/>
  <c r="D21" i="91" s="1"/>
  <c r="C10" i="91"/>
  <c r="I9" i="91"/>
  <c r="I8" i="91"/>
  <c r="I6" i="91"/>
  <c r="D17" i="90"/>
  <c r="D7" i="90"/>
  <c r="D14" i="90" s="1"/>
  <c r="C7" i="90"/>
  <c r="C14" i="90" s="1"/>
  <c r="C20" i="90" s="1"/>
  <c r="A7" i="90"/>
  <c r="A8" i="90" s="1"/>
  <c r="A9" i="90" s="1"/>
  <c r="A10" i="90" s="1"/>
  <c r="A11" i="90" s="1"/>
  <c r="A12" i="90" s="1"/>
  <c r="A13" i="90" s="1"/>
  <c r="A14" i="90" s="1"/>
  <c r="A15" i="90" s="1"/>
  <c r="A17" i="90" s="1"/>
  <c r="A18" i="90" s="1"/>
  <c r="A19" i="90" s="1"/>
  <c r="A20" i="90" s="1"/>
  <c r="D16" i="116"/>
  <c r="D14" i="116" s="1"/>
  <c r="C14" i="116"/>
  <c r="D13" i="116"/>
  <c r="C13" i="116"/>
  <c r="C17" i="116" s="1"/>
  <c r="A9" i="116"/>
  <c r="A10" i="116" s="1"/>
  <c r="A11" i="116" s="1"/>
  <c r="A12" i="116" s="1"/>
  <c r="A13" i="116" s="1"/>
  <c r="A14" i="116" s="1"/>
  <c r="A15" i="116" s="1"/>
  <c r="A16" i="116" s="1"/>
  <c r="A17" i="116" s="1"/>
  <c r="A18" i="116" s="1"/>
  <c r="F8" i="116"/>
  <c r="E8" i="116"/>
  <c r="A7" i="116"/>
  <c r="E18" i="158"/>
  <c r="G17" i="158"/>
  <c r="G15" i="158"/>
  <c r="G14" i="158"/>
  <c r="G13" i="158"/>
  <c r="G12" i="158"/>
  <c r="F11" i="158"/>
  <c r="E11" i="158"/>
  <c r="D11" i="158"/>
  <c r="C11" i="158"/>
  <c r="G10" i="158"/>
  <c r="G9" i="158"/>
  <c r="F8" i="158"/>
  <c r="F7" i="158" s="1"/>
  <c r="F18" i="158" s="1"/>
  <c r="E8" i="158"/>
  <c r="E7" i="158" s="1"/>
  <c r="D8" i="158"/>
  <c r="D7" i="158" s="1"/>
  <c r="C8" i="158"/>
  <c r="C7" i="158" s="1"/>
  <c r="C16" i="158" s="1"/>
  <c r="G16" i="158" s="1"/>
  <c r="L30" i="155"/>
  <c r="L29" i="155"/>
  <c r="J29" i="155"/>
  <c r="F29" i="155"/>
  <c r="L28" i="155"/>
  <c r="J28" i="155"/>
  <c r="F28" i="155"/>
  <c r="F27" i="155"/>
  <c r="F22" i="155" s="1"/>
  <c r="K22" i="155" s="1"/>
  <c r="L26" i="155"/>
  <c r="J26" i="155"/>
  <c r="F26" i="155"/>
  <c r="K26" i="155" s="1"/>
  <c r="L25" i="155"/>
  <c r="J25" i="155"/>
  <c r="F25" i="155"/>
  <c r="K25" i="155" s="1"/>
  <c r="L24" i="155"/>
  <c r="J24" i="155"/>
  <c r="F24" i="155"/>
  <c r="K24" i="155" s="1"/>
  <c r="L23" i="155"/>
  <c r="J23" i="155"/>
  <c r="F23" i="155"/>
  <c r="L22" i="155"/>
  <c r="I22" i="155"/>
  <c r="H22" i="155"/>
  <c r="G22" i="155"/>
  <c r="E22" i="155"/>
  <c r="D22" i="155"/>
  <c r="C22" i="155"/>
  <c r="L21" i="155"/>
  <c r="J21" i="155"/>
  <c r="F21" i="155"/>
  <c r="L20" i="155"/>
  <c r="J20" i="155"/>
  <c r="F20" i="155"/>
  <c r="L19" i="155"/>
  <c r="J19" i="155"/>
  <c r="F19" i="155"/>
  <c r="L18" i="155"/>
  <c r="J18" i="155"/>
  <c r="F18" i="155"/>
  <c r="L17" i="155"/>
  <c r="J17" i="155"/>
  <c r="F17" i="155"/>
  <c r="L16" i="155"/>
  <c r="I16" i="155"/>
  <c r="H16" i="155"/>
  <c r="G16" i="155"/>
  <c r="J16" i="155" s="1"/>
  <c r="E16" i="155"/>
  <c r="D16" i="155"/>
  <c r="C16" i="155"/>
  <c r="F16" i="155" s="1"/>
  <c r="L15" i="155"/>
  <c r="J15" i="155"/>
  <c r="F15" i="155"/>
  <c r="L13" i="155"/>
  <c r="J13" i="155"/>
  <c r="F13" i="155"/>
  <c r="L12" i="155"/>
  <c r="J12" i="155"/>
  <c r="F12" i="155"/>
  <c r="L11" i="155"/>
  <c r="J11" i="155"/>
  <c r="F11" i="155"/>
  <c r="L10" i="155"/>
  <c r="J10" i="155"/>
  <c r="F10" i="155"/>
  <c r="L9" i="155"/>
  <c r="J9" i="155"/>
  <c r="F9" i="155"/>
  <c r="L8" i="155"/>
  <c r="J8" i="155"/>
  <c r="F8" i="155"/>
  <c r="L7" i="155"/>
  <c r="I7" i="155"/>
  <c r="H7" i="155"/>
  <c r="H30" i="155" s="1"/>
  <c r="G7" i="155"/>
  <c r="G30" i="155" s="1"/>
  <c r="E7" i="155"/>
  <c r="D7" i="155"/>
  <c r="D30" i="155" s="1"/>
  <c r="C7" i="155"/>
  <c r="C30" i="155" s="1"/>
  <c r="J29" i="76"/>
  <c r="F29" i="76"/>
  <c r="J28" i="76"/>
  <c r="F28" i="76"/>
  <c r="K28" i="76" s="1"/>
  <c r="F27" i="76"/>
  <c r="J26" i="76"/>
  <c r="F26" i="76"/>
  <c r="K26" i="76" s="1"/>
  <c r="J25" i="76"/>
  <c r="F25" i="76"/>
  <c r="K25" i="76" s="1"/>
  <c r="J24" i="76"/>
  <c r="F24" i="76"/>
  <c r="K24" i="76" s="1"/>
  <c r="J23" i="76"/>
  <c r="F23" i="76"/>
  <c r="I22" i="76"/>
  <c r="H22" i="76"/>
  <c r="G22" i="76"/>
  <c r="F22" i="76"/>
  <c r="K22" i="76" s="1"/>
  <c r="E22" i="76"/>
  <c r="D22" i="76"/>
  <c r="C22" i="76"/>
  <c r="J21" i="76"/>
  <c r="F21" i="76"/>
  <c r="J20" i="76"/>
  <c r="F20" i="76"/>
  <c r="J19" i="76"/>
  <c r="F19" i="76"/>
  <c r="J18" i="76"/>
  <c r="F18" i="76"/>
  <c r="K18" i="76" s="1"/>
  <c r="J17" i="76"/>
  <c r="F17" i="76"/>
  <c r="I16" i="76"/>
  <c r="H16" i="76"/>
  <c r="G16" i="76"/>
  <c r="E16" i="76"/>
  <c r="D16" i="76"/>
  <c r="C16" i="76"/>
  <c r="J15" i="76"/>
  <c r="F15" i="76"/>
  <c r="J13" i="76"/>
  <c r="F13" i="76"/>
  <c r="K13" i="76" s="1"/>
  <c r="J12" i="76"/>
  <c r="F12" i="76"/>
  <c r="K12" i="76" s="1"/>
  <c r="J11" i="76"/>
  <c r="F11" i="76"/>
  <c r="K11" i="76" s="1"/>
  <c r="J10" i="76"/>
  <c r="F10" i="76"/>
  <c r="J9" i="76"/>
  <c r="F9" i="76"/>
  <c r="J8" i="76"/>
  <c r="F8" i="76"/>
  <c r="I7" i="76"/>
  <c r="H7" i="76"/>
  <c r="G7" i="76"/>
  <c r="G30" i="76" s="1"/>
  <c r="E7" i="76"/>
  <c r="D7" i="76"/>
  <c r="D30" i="76" s="1"/>
  <c r="C7" i="76"/>
  <c r="K9" i="155" l="1"/>
  <c r="K11" i="155"/>
  <c r="K13" i="155"/>
  <c r="K18" i="155"/>
  <c r="K20" i="155"/>
  <c r="J22" i="155"/>
  <c r="K28" i="155"/>
  <c r="D18" i="116"/>
  <c r="D20" i="90"/>
  <c r="K10" i="76"/>
  <c r="K21" i="76"/>
  <c r="K17" i="155"/>
  <c r="K19" i="155"/>
  <c r="K21" i="155"/>
  <c r="C18" i="116"/>
  <c r="F16" i="76"/>
  <c r="F7" i="155"/>
  <c r="C30" i="76"/>
  <c r="H30" i="76"/>
  <c r="K8" i="76"/>
  <c r="K9" i="76"/>
  <c r="K15" i="76"/>
  <c r="J16" i="76"/>
  <c r="K17" i="76"/>
  <c r="K19" i="76"/>
  <c r="K20" i="76"/>
  <c r="J22" i="76"/>
  <c r="K29" i="76"/>
  <c r="J7" i="155"/>
  <c r="K8" i="155"/>
  <c r="K10" i="155"/>
  <c r="K12" i="155"/>
  <c r="K15" i="155"/>
  <c r="K23" i="155"/>
  <c r="K29" i="155"/>
  <c r="G11" i="158"/>
  <c r="I10" i="91"/>
  <c r="C21" i="91"/>
  <c r="I21" i="91"/>
  <c r="C18" i="158"/>
  <c r="G8" i="158"/>
  <c r="D17" i="116"/>
  <c r="G7" i="158"/>
  <c r="K16" i="155"/>
  <c r="J30" i="155"/>
  <c r="E30" i="155"/>
  <c r="I30" i="155"/>
  <c r="K23" i="76"/>
  <c r="F7" i="76"/>
  <c r="J7" i="76"/>
  <c r="E30" i="76"/>
  <c r="I30" i="76"/>
  <c r="K16" i="76" l="1"/>
  <c r="J30" i="76"/>
  <c r="G18" i="158"/>
  <c r="K7" i="155"/>
  <c r="F30" i="155"/>
  <c r="K30" i="155" s="1"/>
  <c r="K7" i="76"/>
  <c r="F30" i="76"/>
  <c r="K30" i="76" s="1"/>
  <c r="E92" i="150" l="1"/>
  <c r="E70" i="150" l="1"/>
  <c r="E41" i="150"/>
  <c r="F40" i="150"/>
  <c r="E17" i="150"/>
  <c r="E6" i="150" s="1"/>
  <c r="C25" i="142" l="1"/>
  <c r="E27" i="142"/>
  <c r="E25" i="142" s="1"/>
  <c r="D18" i="154" l="1"/>
  <c r="D9" i="157" l="1"/>
  <c r="D19" i="144" l="1"/>
  <c r="C19" i="144"/>
  <c r="D16" i="144"/>
  <c r="C16" i="144"/>
  <c r="D10" i="144"/>
  <c r="C10" i="144"/>
  <c r="D7" i="144"/>
  <c r="C7" i="144"/>
  <c r="C6" i="144" s="1"/>
  <c r="D6" i="144" l="1"/>
  <c r="D85" i="150"/>
  <c r="D81" i="150" s="1"/>
  <c r="D58" i="150" l="1"/>
  <c r="C42" i="150"/>
  <c r="C17" i="150"/>
  <c r="C7" i="150"/>
  <c r="C6" i="150" s="1"/>
  <c r="C11" i="142"/>
  <c r="C54" i="142"/>
  <c r="E13" i="3" l="1"/>
  <c r="C5" i="3"/>
  <c r="E9" i="3"/>
  <c r="C30" i="142" l="1"/>
  <c r="G57" i="142" l="1"/>
  <c r="G47" i="142"/>
  <c r="C20" i="3" l="1"/>
  <c r="E30" i="3"/>
  <c r="E31" i="3"/>
  <c r="E32" i="3"/>
  <c r="E33" i="3"/>
  <c r="E34" i="3"/>
  <c r="E35" i="3"/>
  <c r="E36" i="3"/>
  <c r="E37" i="3"/>
  <c r="E38" i="3"/>
  <c r="E23" i="3"/>
  <c r="E24" i="3"/>
  <c r="E25" i="3"/>
  <c r="E26" i="3"/>
  <c r="E27" i="3"/>
  <c r="E28" i="3"/>
  <c r="F6" i="157" l="1"/>
  <c r="F9" i="157" s="1"/>
  <c r="C9" i="157"/>
  <c r="E6" i="157" s="1"/>
  <c r="E9" i="157" s="1"/>
  <c r="C15" i="23" l="1"/>
  <c r="C5" i="64" l="1"/>
  <c r="C22" i="64" s="1"/>
  <c r="E19" i="144" l="1"/>
  <c r="F19" i="144"/>
  <c r="E16" i="144"/>
  <c r="F16" i="144"/>
  <c r="E13" i="144"/>
  <c r="F13" i="144"/>
  <c r="E10" i="144"/>
  <c r="F10" i="144"/>
  <c r="E7" i="144"/>
  <c r="F7" i="144"/>
  <c r="E6" i="144" l="1"/>
  <c r="F6" i="144"/>
  <c r="E6" i="23"/>
  <c r="E14" i="23"/>
  <c r="E16" i="23"/>
  <c r="E17" i="23"/>
  <c r="E18" i="23"/>
  <c r="E8" i="23"/>
  <c r="E9" i="23"/>
  <c r="E10" i="23"/>
  <c r="E11" i="23"/>
  <c r="E12" i="23"/>
  <c r="D7" i="23"/>
  <c r="C7" i="23"/>
  <c r="E7" i="23" s="1"/>
  <c r="G63" i="142" l="1"/>
  <c r="H63" i="142"/>
  <c r="G65" i="142"/>
  <c r="H65" i="142"/>
  <c r="G87" i="150" l="1"/>
  <c r="H87" i="150"/>
  <c r="G55" i="142" l="1"/>
  <c r="G56" i="142"/>
  <c r="G58" i="142"/>
  <c r="G59" i="142"/>
  <c r="G60" i="142"/>
  <c r="G61" i="142"/>
  <c r="G7" i="142"/>
  <c r="H7" i="142"/>
  <c r="G8" i="142"/>
  <c r="H8" i="142"/>
  <c r="G9" i="142"/>
  <c r="H9" i="142"/>
  <c r="G10" i="142"/>
  <c r="H10" i="142"/>
  <c r="G12" i="142"/>
  <c r="H12" i="142"/>
  <c r="G13" i="142"/>
  <c r="H13" i="142"/>
  <c r="G14" i="142"/>
  <c r="H14" i="142"/>
  <c r="G15" i="142"/>
  <c r="H15" i="142"/>
  <c r="G16" i="142"/>
  <c r="H16" i="142"/>
  <c r="G17" i="142"/>
  <c r="H17" i="142"/>
  <c r="G18" i="142"/>
  <c r="H18" i="142"/>
  <c r="G19" i="142"/>
  <c r="H19" i="142"/>
  <c r="G20" i="142"/>
  <c r="G22" i="142"/>
  <c r="H22" i="142"/>
  <c r="G23" i="142"/>
  <c r="H23" i="142"/>
  <c r="G24" i="142"/>
  <c r="H24" i="142"/>
  <c r="G26" i="142"/>
  <c r="H26" i="142"/>
  <c r="G27" i="142"/>
  <c r="H27" i="142"/>
  <c r="G28" i="142"/>
  <c r="H28" i="142"/>
  <c r="G29" i="142"/>
  <c r="H29" i="142"/>
  <c r="G31" i="142"/>
  <c r="H31" i="142"/>
  <c r="G32" i="142"/>
  <c r="H32" i="142"/>
  <c r="G33" i="142"/>
  <c r="H33" i="142"/>
  <c r="G34" i="142"/>
  <c r="H34" i="142"/>
  <c r="G38" i="142"/>
  <c r="H38" i="142"/>
  <c r="G39" i="142"/>
  <c r="H39" i="142"/>
  <c r="G40" i="142"/>
  <c r="H40" i="142"/>
  <c r="G41" i="142"/>
  <c r="H41" i="142"/>
  <c r="G42" i="142"/>
  <c r="H42" i="142"/>
  <c r="G43" i="142"/>
  <c r="H43" i="142"/>
  <c r="G44" i="142"/>
  <c r="H44" i="142"/>
  <c r="G45" i="142"/>
  <c r="H45" i="142"/>
  <c r="G46" i="142"/>
  <c r="H46" i="142"/>
  <c r="G48" i="142"/>
  <c r="H48" i="142"/>
  <c r="G49" i="142"/>
  <c r="H49" i="142"/>
  <c r="G50" i="142"/>
  <c r="H50" i="142"/>
  <c r="G51" i="142"/>
  <c r="H51" i="142"/>
  <c r="G52" i="142"/>
  <c r="H52" i="142"/>
  <c r="G53" i="142"/>
  <c r="H53" i="142"/>
  <c r="H60" i="142"/>
  <c r="H61" i="142"/>
  <c r="G62" i="142"/>
  <c r="H62" i="142"/>
  <c r="G64" i="142"/>
  <c r="H64" i="142"/>
  <c r="G66" i="142"/>
  <c r="H66" i="142"/>
  <c r="G67" i="142"/>
  <c r="H67" i="142"/>
  <c r="G68" i="142"/>
  <c r="H68" i="142"/>
  <c r="D6" i="142"/>
  <c r="E6" i="142"/>
  <c r="F6" i="142"/>
  <c r="D11" i="142"/>
  <c r="E11" i="142"/>
  <c r="F11" i="142"/>
  <c r="D21" i="142"/>
  <c r="E21" i="142"/>
  <c r="F21" i="142"/>
  <c r="D25" i="142"/>
  <c r="F25" i="142"/>
  <c r="H25" i="142" s="1"/>
  <c r="D30" i="142"/>
  <c r="E30" i="142"/>
  <c r="E69" i="142" s="1"/>
  <c r="F30" i="142"/>
  <c r="D54" i="142"/>
  <c r="E54" i="142"/>
  <c r="F54" i="142"/>
  <c r="F69" i="142" l="1"/>
  <c r="D69" i="142"/>
  <c r="H30" i="142"/>
  <c r="H54" i="142"/>
  <c r="H21" i="142"/>
  <c r="G30" i="142"/>
  <c r="H11" i="142"/>
  <c r="G37" i="142"/>
  <c r="G36" i="142" s="1"/>
  <c r="G35" i="142" s="1"/>
  <c r="H37" i="142"/>
  <c r="H36" i="142" s="1"/>
  <c r="H35" i="142" s="1"/>
  <c r="H69" i="142" l="1"/>
  <c r="G25" i="142" l="1"/>
  <c r="G98" i="150" l="1"/>
  <c r="H98" i="150"/>
  <c r="C18" i="154" l="1"/>
  <c r="D11" i="154"/>
  <c r="C11" i="154"/>
  <c r="D5" i="154"/>
  <c r="C5" i="154"/>
  <c r="D16" i="3"/>
  <c r="D20" i="3"/>
  <c r="E20" i="3" s="1"/>
  <c r="H101" i="150"/>
  <c r="G101" i="150"/>
  <c r="H100" i="150"/>
  <c r="G100" i="150"/>
  <c r="H99" i="150"/>
  <c r="G99" i="150"/>
  <c r="H97" i="150"/>
  <c r="G97" i="150"/>
  <c r="H96" i="150"/>
  <c r="G96" i="150"/>
  <c r="H95" i="150"/>
  <c r="G95" i="150"/>
  <c r="H94" i="150"/>
  <c r="G94" i="150"/>
  <c r="H93" i="150"/>
  <c r="G93" i="150"/>
  <c r="H92" i="150"/>
  <c r="G92" i="150"/>
  <c r="H91" i="150"/>
  <c r="G91" i="150"/>
  <c r="F90" i="150"/>
  <c r="E90" i="150"/>
  <c r="D90" i="150"/>
  <c r="C90" i="150"/>
  <c r="H89" i="150"/>
  <c r="G89" i="150"/>
  <c r="H88" i="150"/>
  <c r="G88" i="150"/>
  <c r="H86" i="150"/>
  <c r="G86" i="150"/>
  <c r="H85" i="150"/>
  <c r="G85" i="150"/>
  <c r="H84" i="150"/>
  <c r="G84" i="150"/>
  <c r="H83" i="150"/>
  <c r="G83" i="150"/>
  <c r="H82" i="150"/>
  <c r="G82" i="150"/>
  <c r="F79" i="150"/>
  <c r="E79" i="150"/>
  <c r="D79" i="150"/>
  <c r="H80" i="150"/>
  <c r="G80" i="150"/>
  <c r="H78" i="150"/>
  <c r="G78" i="150"/>
  <c r="H77" i="150"/>
  <c r="G77" i="150"/>
  <c r="H76" i="150"/>
  <c r="G76" i="150"/>
  <c r="H75" i="150"/>
  <c r="G75" i="150"/>
  <c r="H74" i="150"/>
  <c r="G74" i="150"/>
  <c r="H73" i="150"/>
  <c r="G73" i="150"/>
  <c r="H72" i="150"/>
  <c r="G72" i="150"/>
  <c r="H71" i="150"/>
  <c r="G71" i="150"/>
  <c r="H70" i="150"/>
  <c r="G70" i="150"/>
  <c r="H69" i="150"/>
  <c r="G69" i="150"/>
  <c r="F68" i="150"/>
  <c r="E68" i="150"/>
  <c r="D68" i="150"/>
  <c r="C68" i="150"/>
  <c r="H67" i="150"/>
  <c r="G67" i="150"/>
  <c r="H66" i="150"/>
  <c r="G66" i="150"/>
  <c r="H65" i="150"/>
  <c r="G65" i="150"/>
  <c r="H64" i="150"/>
  <c r="G64" i="150"/>
  <c r="H63" i="150"/>
  <c r="G63" i="150"/>
  <c r="F62" i="150"/>
  <c r="F60" i="150" s="1"/>
  <c r="E62" i="150"/>
  <c r="E60" i="150" s="1"/>
  <c r="D62" i="150"/>
  <c r="D60" i="150" s="1"/>
  <c r="C62" i="150"/>
  <c r="C60" i="150" s="1"/>
  <c r="H61" i="150"/>
  <c r="G61" i="150"/>
  <c r="H59" i="150"/>
  <c r="G59" i="150"/>
  <c r="H58" i="150"/>
  <c r="G58" i="150"/>
  <c r="H57" i="150"/>
  <c r="G57" i="150"/>
  <c r="H56" i="150"/>
  <c r="G56" i="150"/>
  <c r="H55" i="150"/>
  <c r="G55" i="150"/>
  <c r="H54" i="150"/>
  <c r="G54" i="150"/>
  <c r="H53" i="150"/>
  <c r="G53" i="150"/>
  <c r="H52" i="150"/>
  <c r="G52" i="150"/>
  <c r="H51" i="150"/>
  <c r="G51" i="150"/>
  <c r="H50" i="150"/>
  <c r="G50" i="150"/>
  <c r="H49" i="150"/>
  <c r="G49" i="150"/>
  <c r="H48" i="150"/>
  <c r="G48" i="150"/>
  <c r="H47" i="150"/>
  <c r="G47" i="150"/>
  <c r="H46" i="150"/>
  <c r="G46" i="150"/>
  <c r="H45" i="150"/>
  <c r="G45" i="150"/>
  <c r="F44" i="150"/>
  <c r="E44" i="150"/>
  <c r="D44" i="150"/>
  <c r="C44" i="150"/>
  <c r="H43" i="150"/>
  <c r="G43" i="150"/>
  <c r="H42" i="150"/>
  <c r="G42" i="150"/>
  <c r="H41" i="150"/>
  <c r="G41" i="150"/>
  <c r="E40" i="150"/>
  <c r="D40" i="150"/>
  <c r="C40" i="150"/>
  <c r="H39" i="150"/>
  <c r="G39" i="150"/>
  <c r="H38" i="150"/>
  <c r="G38" i="150"/>
  <c r="H37" i="150"/>
  <c r="G37" i="150"/>
  <c r="H36" i="150"/>
  <c r="G36" i="150"/>
  <c r="H35" i="150"/>
  <c r="G35" i="150"/>
  <c r="H34" i="150"/>
  <c r="G34" i="150"/>
  <c r="H33" i="150"/>
  <c r="G33" i="150"/>
  <c r="F32" i="150"/>
  <c r="E32" i="150"/>
  <c r="D32" i="150"/>
  <c r="C32" i="150"/>
  <c r="H31" i="150"/>
  <c r="G31" i="150"/>
  <c r="H30" i="150"/>
  <c r="G30" i="150"/>
  <c r="H29" i="150"/>
  <c r="G29" i="150"/>
  <c r="H28" i="150"/>
  <c r="G28" i="150"/>
  <c r="F27" i="150"/>
  <c r="E27" i="150"/>
  <c r="D27" i="150"/>
  <c r="C27" i="150"/>
  <c r="G27" i="150" s="1"/>
  <c r="H25" i="150"/>
  <c r="G25" i="150"/>
  <c r="H24" i="150"/>
  <c r="G24" i="150"/>
  <c r="H23" i="150"/>
  <c r="G23" i="150"/>
  <c r="H22" i="150"/>
  <c r="G22" i="150"/>
  <c r="H21" i="150"/>
  <c r="G21" i="150"/>
  <c r="H20" i="150"/>
  <c r="G20" i="150"/>
  <c r="F19" i="150"/>
  <c r="E19" i="150"/>
  <c r="D19" i="150"/>
  <c r="C19" i="150"/>
  <c r="H18" i="150"/>
  <c r="G18" i="150"/>
  <c r="H17" i="150"/>
  <c r="G17" i="150"/>
  <c r="H16" i="150"/>
  <c r="G16" i="150"/>
  <c r="H15" i="150"/>
  <c r="G15" i="150"/>
  <c r="H14" i="150"/>
  <c r="G14" i="150"/>
  <c r="H13" i="150"/>
  <c r="G13" i="150"/>
  <c r="H12" i="150"/>
  <c r="G12" i="150"/>
  <c r="H11" i="150"/>
  <c r="G11" i="150"/>
  <c r="H10" i="150"/>
  <c r="G10" i="150"/>
  <c r="H9" i="150"/>
  <c r="G9" i="150"/>
  <c r="H8" i="150"/>
  <c r="G8" i="150"/>
  <c r="H7" i="150"/>
  <c r="G7" i="150"/>
  <c r="A7" i="150"/>
  <c r="A8" i="150" s="1"/>
  <c r="A9" i="150" s="1"/>
  <c r="A10" i="150" s="1"/>
  <c r="A11" i="150" s="1"/>
  <c r="A12" i="150" s="1"/>
  <c r="A13" i="150" s="1"/>
  <c r="A14" i="150" s="1"/>
  <c r="A15" i="150" s="1"/>
  <c r="A16" i="150" s="1"/>
  <c r="A17" i="150" s="1"/>
  <c r="A18" i="150" s="1"/>
  <c r="A19" i="150" s="1"/>
  <c r="A20" i="150" s="1"/>
  <c r="A21" i="150" s="1"/>
  <c r="A22" i="150" s="1"/>
  <c r="A23" i="150" s="1"/>
  <c r="A24" i="150" s="1"/>
  <c r="A25" i="150" s="1"/>
  <c r="A26" i="150" s="1"/>
  <c r="A27" i="150" s="1"/>
  <c r="A28" i="150" s="1"/>
  <c r="A29" i="150" s="1"/>
  <c r="A30" i="150" s="1"/>
  <c r="A31" i="150" s="1"/>
  <c r="A32" i="150" s="1"/>
  <c r="A33" i="150" s="1"/>
  <c r="A34" i="150" s="1"/>
  <c r="A35" i="150" s="1"/>
  <c r="A36" i="150" s="1"/>
  <c r="A37" i="150" s="1"/>
  <c r="A38" i="150" s="1"/>
  <c r="A39" i="150" s="1"/>
  <c r="A40" i="150" s="1"/>
  <c r="A41" i="150" s="1"/>
  <c r="A42" i="150" s="1"/>
  <c r="A43" i="150" s="1"/>
  <c r="A44" i="150" s="1"/>
  <c r="A45" i="150" s="1"/>
  <c r="A46" i="150" s="1"/>
  <c r="A47" i="150" s="1"/>
  <c r="A48" i="150" s="1"/>
  <c r="A49" i="150" s="1"/>
  <c r="A50" i="150" s="1"/>
  <c r="A51" i="150" s="1"/>
  <c r="A52" i="150" s="1"/>
  <c r="A53" i="150" s="1"/>
  <c r="A54" i="150" s="1"/>
  <c r="A55" i="150" s="1"/>
  <c r="A56" i="150" s="1"/>
  <c r="A57" i="150" s="1"/>
  <c r="A58" i="150" s="1"/>
  <c r="A59" i="150" s="1"/>
  <c r="A60" i="150" s="1"/>
  <c r="A61" i="150" s="1"/>
  <c r="A62" i="150" s="1"/>
  <c r="A63" i="150" s="1"/>
  <c r="A64" i="150" s="1"/>
  <c r="A65" i="150" s="1"/>
  <c r="A66" i="150" s="1"/>
  <c r="A67" i="150" s="1"/>
  <c r="A68" i="150" s="1"/>
  <c r="A69" i="150" s="1"/>
  <c r="A70" i="150" s="1"/>
  <c r="A71" i="150" s="1"/>
  <c r="A72" i="150" s="1"/>
  <c r="A73" i="150" s="1"/>
  <c r="A74" i="150" s="1"/>
  <c r="A75" i="150" s="1"/>
  <c r="A76" i="150" s="1"/>
  <c r="A77" i="150" s="1"/>
  <c r="A78" i="150" s="1"/>
  <c r="A79" i="150" s="1"/>
  <c r="A80" i="150" s="1"/>
  <c r="A81" i="150" s="1"/>
  <c r="A82" i="150" s="1"/>
  <c r="A83" i="150" s="1"/>
  <c r="A84" i="150" s="1"/>
  <c r="A85" i="150" s="1"/>
  <c r="A86" i="150" s="1"/>
  <c r="A88" i="150" s="1"/>
  <c r="A89" i="150" s="1"/>
  <c r="A90" i="150" s="1"/>
  <c r="A91" i="150" s="1"/>
  <c r="A92" i="150" s="1"/>
  <c r="A94" i="150" s="1"/>
  <c r="A95" i="150" s="1"/>
  <c r="A96" i="150" s="1"/>
  <c r="A97" i="150" s="1"/>
  <c r="A98" i="150" s="1"/>
  <c r="A99" i="150" s="1"/>
  <c r="A100" i="150" s="1"/>
  <c r="A101" i="150" s="1"/>
  <c r="A102" i="150" s="1"/>
  <c r="F6" i="150"/>
  <c r="G6" i="150"/>
  <c r="D6" i="150"/>
  <c r="F6" i="149"/>
  <c r="E6" i="149"/>
  <c r="D6" i="149"/>
  <c r="H6" i="149" s="1"/>
  <c r="C6" i="149"/>
  <c r="G7" i="149"/>
  <c r="H8" i="149"/>
  <c r="G10" i="149"/>
  <c r="H11" i="149"/>
  <c r="G14" i="149"/>
  <c r="H14" i="149"/>
  <c r="G15" i="149"/>
  <c r="H15" i="149"/>
  <c r="D9" i="149"/>
  <c r="E9" i="149"/>
  <c r="F9" i="149"/>
  <c r="C9" i="149"/>
  <c r="F13" i="149"/>
  <c r="E13" i="149"/>
  <c r="D13" i="149"/>
  <c r="H13" i="149" s="1"/>
  <c r="C13" i="149"/>
  <c r="G13" i="149" s="1"/>
  <c r="A8" i="149"/>
  <c r="A9" i="149" s="1"/>
  <c r="A10" i="149" s="1"/>
  <c r="A11" i="149" s="1"/>
  <c r="A12" i="149" s="1"/>
  <c r="A13" i="149" s="1"/>
  <c r="A14" i="149" s="1"/>
  <c r="H20" i="142"/>
  <c r="G54" i="142"/>
  <c r="C21" i="142"/>
  <c r="G21" i="142" s="1"/>
  <c r="G11" i="142"/>
  <c r="A7" i="142"/>
  <c r="A8" i="142" s="1"/>
  <c r="A9" i="142" s="1"/>
  <c r="A10" i="142" s="1"/>
  <c r="A11" i="142" s="1"/>
  <c r="A12" i="142" s="1"/>
  <c r="A13" i="142" s="1"/>
  <c r="A14" i="142" s="1"/>
  <c r="A15" i="142" s="1"/>
  <c r="A16" i="142" s="1"/>
  <c r="A17" i="142" s="1"/>
  <c r="A18" i="142" s="1"/>
  <c r="A19" i="142" s="1"/>
  <c r="A20" i="142" s="1"/>
  <c r="A21" i="142" s="1"/>
  <c r="A22" i="142" s="1"/>
  <c r="A23" i="142" s="1"/>
  <c r="A24" i="142" s="1"/>
  <c r="C6" i="142"/>
  <c r="C6" i="61"/>
  <c r="D6" i="61"/>
  <c r="A7" i="61"/>
  <c r="E7" i="61"/>
  <c r="A8" i="61"/>
  <c r="A9" i="61" s="1"/>
  <c r="A10" i="61" s="1"/>
  <c r="E8" i="61"/>
  <c r="E10" i="61"/>
  <c r="E12" i="61"/>
  <c r="E13" i="61"/>
  <c r="C15" i="61"/>
  <c r="D15" i="61"/>
  <c r="E16" i="61"/>
  <c r="A7" i="109"/>
  <c r="A8" i="109" s="1"/>
  <c r="A9" i="109" s="1"/>
  <c r="A10" i="109" s="1"/>
  <c r="C11" i="109"/>
  <c r="E9" i="109" s="1"/>
  <c r="E11" i="109" s="1"/>
  <c r="C12" i="109"/>
  <c r="E12" i="109"/>
  <c r="D5" i="3"/>
  <c r="E6" i="3"/>
  <c r="E7" i="3"/>
  <c r="E8" i="3"/>
  <c r="C11" i="3"/>
  <c r="D11" i="3"/>
  <c r="E12" i="3"/>
  <c r="E14" i="3"/>
  <c r="E15" i="3"/>
  <c r="C16" i="3"/>
  <c r="E17" i="3"/>
  <c r="E18" i="3"/>
  <c r="E19" i="3"/>
  <c r="E21" i="3"/>
  <c r="E22" i="3"/>
  <c r="E29" i="3"/>
  <c r="C5" i="23"/>
  <c r="D5" i="23"/>
  <c r="A6" i="23"/>
  <c r="A7" i="23" s="1"/>
  <c r="A8" i="23" s="1"/>
  <c r="A9" i="23" s="1"/>
  <c r="A10" i="23" s="1"/>
  <c r="A11" i="23" s="1"/>
  <c r="A12" i="23" s="1"/>
  <c r="A13" i="23" s="1"/>
  <c r="A14" i="23" s="1"/>
  <c r="A15" i="23" s="1"/>
  <c r="A16" i="23" s="1"/>
  <c r="A17" i="23" s="1"/>
  <c r="A18" i="23" s="1"/>
  <c r="A19" i="23" s="1"/>
  <c r="C13" i="23"/>
  <c r="D13" i="23"/>
  <c r="D15" i="23"/>
  <c r="E15" i="23" s="1"/>
  <c r="G9" i="149"/>
  <c r="H6" i="150"/>
  <c r="H90" i="150" l="1"/>
  <c r="E15" i="61"/>
  <c r="H9" i="149"/>
  <c r="E11" i="3"/>
  <c r="D40" i="3"/>
  <c r="C69" i="142"/>
  <c r="G69" i="142" s="1"/>
  <c r="H27" i="150"/>
  <c r="G44" i="150"/>
  <c r="D102" i="150"/>
  <c r="G62" i="150"/>
  <c r="E13" i="23"/>
  <c r="D19" i="23"/>
  <c r="E6" i="61"/>
  <c r="F102" i="150"/>
  <c r="E102" i="150"/>
  <c r="G81" i="150"/>
  <c r="G68" i="150"/>
  <c r="H44" i="150"/>
  <c r="G19" i="150"/>
  <c r="H79" i="150"/>
  <c r="G90" i="150"/>
  <c r="C79" i="150"/>
  <c r="C102" i="150" s="1"/>
  <c r="H62" i="150"/>
  <c r="H60" i="150"/>
  <c r="G32" i="150"/>
  <c r="E5" i="3"/>
  <c r="E16" i="3"/>
  <c r="C40" i="3"/>
  <c r="E18" i="61"/>
  <c r="C18" i="61"/>
  <c r="H12" i="149"/>
  <c r="C12" i="149"/>
  <c r="C16" i="149" s="1"/>
  <c r="G40" i="150"/>
  <c r="D12" i="149"/>
  <c r="D16" i="149" s="1"/>
  <c r="H19" i="150"/>
  <c r="D18" i="61"/>
  <c r="E12" i="149"/>
  <c r="E16" i="149" s="1"/>
  <c r="E5" i="23"/>
  <c r="F12" i="149"/>
  <c r="F16" i="149" s="1"/>
  <c r="H68" i="150"/>
  <c r="H81" i="150"/>
  <c r="H40" i="150"/>
  <c r="H32" i="150"/>
  <c r="C19" i="23"/>
  <c r="G60" i="150"/>
  <c r="A25" i="142"/>
  <c r="A26" i="142" s="1"/>
  <c r="A27" i="142" s="1"/>
  <c r="A28" i="142" s="1"/>
  <c r="A29" i="142" s="1"/>
  <c r="A30" i="142" s="1"/>
  <c r="A31" i="142" s="1"/>
  <c r="A32" i="142" s="1"/>
  <c r="A33" i="142" s="1"/>
  <c r="A34" i="142" s="1"/>
  <c r="A35" i="142" s="1"/>
  <c r="A36" i="142" s="1"/>
  <c r="A37" i="142" s="1"/>
  <c r="A38" i="142" s="1"/>
  <c r="A39" i="142" s="1"/>
  <c r="A40" i="142" s="1"/>
  <c r="A41" i="142" s="1"/>
  <c r="A42" i="142" s="1"/>
  <c r="A43" i="142" s="1"/>
  <c r="A44" i="142" s="1"/>
  <c r="A45" i="142" s="1"/>
  <c r="A46" i="142" s="1"/>
  <c r="A47" i="142" s="1"/>
  <c r="A48" i="142" s="1"/>
  <c r="A49" i="142" s="1"/>
  <c r="A50" i="142" s="1"/>
  <c r="A51" i="142" s="1"/>
  <c r="A52" i="142" s="1"/>
  <c r="A53" i="142" s="1"/>
  <c r="A54" i="142" s="1"/>
  <c r="A55" i="142" s="1"/>
  <c r="A56" i="142" s="1"/>
  <c r="A57" i="142" s="1"/>
  <c r="A58" i="142" s="1"/>
  <c r="A59" i="142" s="1"/>
  <c r="A60" i="142" s="1"/>
  <c r="A61" i="142" s="1"/>
  <c r="A62" i="142" s="1"/>
  <c r="A63" i="142" s="1"/>
  <c r="A64" i="142" s="1"/>
  <c r="A65" i="142" s="1"/>
  <c r="A66" i="142" s="1"/>
  <c r="A67" i="142" s="1"/>
  <c r="A68" i="142" s="1"/>
  <c r="A69" i="142" s="1"/>
  <c r="H6" i="142"/>
  <c r="G6" i="149"/>
  <c r="G12" i="149" s="1"/>
  <c r="G6" i="142"/>
  <c r="E40" i="3" l="1"/>
  <c r="E19" i="23"/>
  <c r="G79" i="150"/>
  <c r="H102" i="150"/>
  <c r="H16" i="149"/>
  <c r="G16" i="149"/>
  <c r="G102" i="150" l="1"/>
</calcChain>
</file>

<file path=xl/comments1.xml><?xml version="1.0" encoding="utf-8"?>
<comments xmlns="http://schemas.openxmlformats.org/spreadsheetml/2006/main">
  <authors>
    <author>anna.horvathova</author>
  </authors>
  <commentList>
    <comment ref="B27" authorId="0" shapeId="0">
      <text>
        <r>
          <rPr>
            <b/>
            <sz val="9"/>
            <color indexed="81"/>
            <rFont val="Segoe UI"/>
            <family val="2"/>
            <charset val="238"/>
          </rPr>
          <t>anna.horvathova:</t>
        </r>
        <r>
          <rPr>
            <sz val="9"/>
            <color indexed="81"/>
            <rFont val="Segoe UI"/>
            <family val="2"/>
            <charset val="238"/>
          </rPr>
          <t xml:space="preserve">
SPS = Science for Peace and Security</t>
        </r>
      </text>
    </comment>
  </commentList>
</comments>
</file>

<file path=xl/comments2.xml><?xml version="1.0" encoding="utf-8"?>
<comments xmlns="http://schemas.openxmlformats.org/spreadsheetml/2006/main">
  <authors>
    <author>Ing. Gondárová Beata</author>
  </authors>
  <commentList>
    <comment ref="E3" authorId="0" shapeId="0">
      <text>
        <r>
          <rPr>
            <b/>
            <sz val="8"/>
            <color indexed="81"/>
            <rFont val="Tahoma"/>
            <family val="2"/>
            <charset val="238"/>
          </rPr>
          <t>Ing. Gondárová Beata:</t>
        </r>
        <r>
          <rPr>
            <sz val="8"/>
            <color indexed="81"/>
            <rFont val="Tahoma"/>
            <family val="2"/>
            <charset val="238"/>
          </rPr>
          <t xml:space="preserve">
</t>
        </r>
        <r>
          <rPr>
            <sz val="10"/>
            <color indexed="81"/>
            <rFont val="Tahoma"/>
            <family val="2"/>
            <charset val="238"/>
          </rPr>
          <t>patrí sem objem vyplatených štipendií doktorandom (</t>
        </r>
        <r>
          <rPr>
            <u/>
            <sz val="10"/>
            <color indexed="81"/>
            <rFont val="Tahoma"/>
            <family val="2"/>
            <charset val="238"/>
          </rPr>
          <t>zo všetkých zdrojov</t>
        </r>
        <r>
          <rPr>
            <sz val="10"/>
            <color indexed="81"/>
            <rFont val="Tahoma"/>
            <family val="2"/>
            <charset val="238"/>
          </rPr>
          <t xml:space="preserve">), prijatých do 31.8.2012 - </t>
        </r>
        <r>
          <rPr>
            <b/>
            <sz val="10"/>
            <color indexed="81"/>
            <rFont val="Tahoma"/>
            <family val="2"/>
            <charset val="238"/>
          </rPr>
          <t>nie</t>
        </r>
        <r>
          <rPr>
            <sz val="10"/>
            <color indexed="81"/>
            <rFont val="Tahoma"/>
            <family val="2"/>
            <charset val="238"/>
          </rPr>
          <t xml:space="preserve"> z účelovej dotácie (napr. štip.doktorandov platených z neúčelovej dotácie MŠVVaŠ, nebezpečn. príplatok, vyšší plat. stupeň)</t>
        </r>
      </text>
    </comment>
    <comment ref="F3" authorId="0" shapeId="0">
      <text>
        <r>
          <rPr>
            <b/>
            <sz val="8"/>
            <color indexed="81"/>
            <rFont val="Tahoma"/>
            <family val="2"/>
            <charset val="238"/>
          </rPr>
          <t>Ing. Gondárová Beata:</t>
        </r>
        <r>
          <rPr>
            <sz val="8"/>
            <color indexed="81"/>
            <rFont val="Tahoma"/>
            <family val="2"/>
            <charset val="238"/>
          </rPr>
          <t xml:space="preserve">
</t>
        </r>
        <r>
          <rPr>
            <sz val="10"/>
            <color indexed="81"/>
            <rFont val="Tahoma"/>
            <family val="2"/>
            <charset val="238"/>
          </rPr>
          <t>patrí sem objem vyplatených štipendií doktorandom (zo všetkých zdrojov), prijatých po 1.9.2012 na miestach nepridelených "ministerstvom"</t>
        </r>
      </text>
    </comment>
  </commentList>
</comments>
</file>

<file path=xl/sharedStrings.xml><?xml version="1.0" encoding="utf-8"?>
<sst xmlns="http://schemas.openxmlformats.org/spreadsheetml/2006/main" count="1262" uniqueCount="906">
  <si>
    <t>Tabuľka 9</t>
  </si>
  <si>
    <t>Tabuľka 10</t>
  </si>
  <si>
    <t>Tabuľka 11</t>
  </si>
  <si>
    <t>Tabuľka 12</t>
  </si>
  <si>
    <t>Tabuľka 13</t>
  </si>
  <si>
    <t>Tabuľka 16</t>
  </si>
  <si>
    <t>Tabuľka 18</t>
  </si>
  <si>
    <t>Tabuľka 19</t>
  </si>
  <si>
    <t>Tabuľka 20</t>
  </si>
  <si>
    <t>Tabuľka 21</t>
  </si>
  <si>
    <t xml:space="preserve">  - tvorba fondu z predaja alebo likvidácie majetku</t>
  </si>
  <si>
    <t>Vysvetlivky</t>
  </si>
  <si>
    <t xml:space="preserve">      - dohody o vykonaní práce - externí účitelia (účet 521 009)</t>
  </si>
  <si>
    <t xml:space="preserve">      - dohody o vykonaní práce, dohody o pracovnej činnosti
        (účet 521 010)</t>
  </si>
  <si>
    <t>- Iné ostatné  náklady (účet 549) [SUM(R77:R83)]</t>
  </si>
  <si>
    <t xml:space="preserve"> - Prvok 021 02 03  </t>
  </si>
  <si>
    <t xml:space="preserve"> - Podprogram 05T 08 </t>
  </si>
  <si>
    <t xml:space="preserve">- tvorba fondu z výnosov zo školného </t>
  </si>
  <si>
    <r>
      <t>Stav fondu k 31.12. kalendárneho roku</t>
    </r>
    <r>
      <rPr>
        <sz val="12"/>
        <rFont val="Times New Roman"/>
        <family val="1"/>
      </rPr>
      <t xml:space="preserve"> [R1+R2-R11]</t>
    </r>
  </si>
  <si>
    <t>Účty v Štátnej pokladnici spolu [SUM(R2:R15)]</t>
  </si>
  <si>
    <t>Tržby za predaný tovar (účet 604)</t>
  </si>
  <si>
    <t xml:space="preserve">Ostatné sociálne poistenia (účet 525) </t>
  </si>
  <si>
    <t>C=A+B</t>
  </si>
  <si>
    <t>E=C-A</t>
  </si>
  <si>
    <t>F=D-B</t>
  </si>
  <si>
    <t>E=A+C</t>
  </si>
  <si>
    <t>F=B+D</t>
  </si>
  <si>
    <t>Náklady na štipendiá</t>
  </si>
  <si>
    <t xml:space="preserve">Ostatné sociálne náklady (účet 528)  </t>
  </si>
  <si>
    <t>Stav bankových účtov spolu [R1+R16+R17]</t>
  </si>
  <si>
    <t xml:space="preserve">  - poskytnuté jednorázovo</t>
  </si>
  <si>
    <r>
      <t>Zdroje na obstaranie a technické zhodnotenie majetku  z fondu reprodukcie</t>
    </r>
    <r>
      <rPr>
        <sz val="12"/>
        <rFont val="Times New Roman"/>
        <family val="1"/>
      </rPr>
      <t xml:space="preserve"> [R1+R2]</t>
    </r>
  </si>
  <si>
    <t>- nákup softvéru</t>
  </si>
  <si>
    <t>Výdavky na obstaranie a technické zhodnotenie dlhobého majetku spolu [R1+SUM(R3:R4)+SUM(R10:R14)]</t>
  </si>
  <si>
    <t>- náklady študentských domovov (bez zmluvných zariadení)- mzdy a odvody</t>
  </si>
  <si>
    <t>- náklady študentských domovov  (bez zmluvných zariadení) - ostatné</t>
  </si>
  <si>
    <t>- študentské jedálne</t>
  </si>
  <si>
    <t>- ostatný predaný tovar</t>
  </si>
  <si>
    <t xml:space="preserve">Odborní zamestnanci </t>
  </si>
  <si>
    <t>Prevádzkoví zamestnanci okrem zamestnancov študentských domovov a jedální</t>
  </si>
  <si>
    <t>Zamestnanci študentských domovov</t>
  </si>
  <si>
    <t>Zamestnanci študentských jedální</t>
  </si>
  <si>
    <t>- na oblasť IT</t>
  </si>
  <si>
    <t>Tabuľka 17</t>
  </si>
  <si>
    <t xml:space="preserve">Výdavky na sociálne štipendiá (§ 96 zákona) za kalendárny rok </t>
  </si>
  <si>
    <t>z EÚ</t>
  </si>
  <si>
    <r>
      <t>Dotácie z rozpočtov obcí a z rozpočtov vyšších územných celkov</t>
    </r>
    <r>
      <rPr>
        <sz val="12"/>
        <rFont val="Times New Roman"/>
        <family val="1"/>
      </rPr>
      <t xml:space="preserve"> [SUM(R2a:R2...)]</t>
    </r>
  </si>
  <si>
    <t>Prostriedky zo zahraničných projektov na budúce aktivity</t>
  </si>
  <si>
    <t>Ostatné</t>
  </si>
  <si>
    <t xml:space="preserve"> - tvorba sociálneho fondu  (účet 527 001)</t>
  </si>
  <si>
    <r>
      <t>Zdroje na obstaranie a technické zhodnotenie dlhodobého majetku spolu</t>
    </r>
    <r>
      <rPr>
        <sz val="12"/>
        <rFont val="Times New Roman"/>
        <family val="1"/>
      </rPr>
      <t xml:space="preserve"> [SUM(R9:R13)]</t>
    </r>
  </si>
  <si>
    <t>- z ubytovania študentov (účet 602 001)</t>
  </si>
  <si>
    <t>- zo stravných lístkov študentov a doktorandov (účet 602 009)</t>
  </si>
  <si>
    <t>- z ubytovania a stravovania iných fyzických osôb (účet 602 008 a 602 010)</t>
  </si>
  <si>
    <t>- drobný nehmotný majetok  (účet 518 014)</t>
  </si>
  <si>
    <t>- používanie plavárne (účet 518 019)</t>
  </si>
  <si>
    <t>- z dotačného účtu  (účet 644 001)</t>
  </si>
  <si>
    <t>- z ostatných účtov  (účet 644 002)</t>
  </si>
  <si>
    <t>- kvalifikačné skúšky  (účet 649 008)</t>
  </si>
  <si>
    <t>- výnosy z dedičstva  (účet 649 010)</t>
  </si>
  <si>
    <t>- výnosy z duševného vlastníctva (účet 649 011)</t>
  </si>
  <si>
    <t>- oprava výnosov minulých účtovných období (účet 649 013)</t>
  </si>
  <si>
    <t>- použitie prostriedkov fondov (účet 649 014)</t>
  </si>
  <si>
    <t>- použitie prostriedkov výnosov budúcich období - projekty  (účet 649 015)</t>
  </si>
  <si>
    <t>- dobropisy minulých období (účet 649 017)</t>
  </si>
  <si>
    <t>- štipendijného fondu (účet 656 200)</t>
  </si>
  <si>
    <t>- stavebný, vodoinštalačný a elektroinštalačný materiál
 (účet 501 009)</t>
  </si>
  <si>
    <t>- potraviny (účet 501 010)</t>
  </si>
  <si>
    <t>- DHM - prístroje a zariadenia laboratórií, výpočtová technika  (účet 501 011)</t>
  </si>
  <si>
    <t>- DHM - nábytok (účet 501 012)</t>
  </si>
  <si>
    <t>- opravy a udržiavanie stavieb  (účet 511 001)</t>
  </si>
  <si>
    <t>- opravy a udržiavanie strojov, prístrojov, zariadení a inventára  (účet 511 002)</t>
  </si>
  <si>
    <t>- opravy a udržiavanie dopravných prostriedkov  (účet 511 003)</t>
  </si>
  <si>
    <t>- opravy a udržiavanie prostriedkov IT  (účet 511 004)</t>
  </si>
  <si>
    <t>- údržba a opravy meracej techniky, telovýchovných  zariadení ...(účet 511 005)</t>
  </si>
  <si>
    <t>- ostatná údržba a opravy (účet 511 099)</t>
  </si>
  <si>
    <t>- prenájom zariadení (účet 518 002)</t>
  </si>
  <si>
    <t>- prenájom priestorov  (účet 518 001)</t>
  </si>
  <si>
    <t>- vložné na konferencie  (účet 518 004)</t>
  </si>
  <si>
    <t>- ďalšie vzdelávanie zamestnancov  (účet 518 005)</t>
  </si>
  <si>
    <t>- počítačové siete a prenosy údajov  (účet 518 007)</t>
  </si>
  <si>
    <t>- revízie zariadení (účet 518 010)</t>
  </si>
  <si>
    <t>- čistenie verejných priestranstiev (účet 518 011)</t>
  </si>
  <si>
    <t>- ostatné služby (účet 518 099)</t>
  </si>
  <si>
    <t xml:space="preserve"> - príspevok zamestnancom na stravovanie  (účet 527 002)</t>
  </si>
  <si>
    <t xml:space="preserve"> - zákonné odstupné, odchodné  (účet 527 003)</t>
  </si>
  <si>
    <t xml:space="preserve"> - náhrada príjmu pri PN (účet 527 004)</t>
  </si>
  <si>
    <t xml:space="preserve"> - ochranné pracovné pomôcky podľa Zákonníka práce (účet 527 005) </t>
  </si>
  <si>
    <t xml:space="preserve"> - ostatné zákonné sociálne náklady (účet 527 099)</t>
  </si>
  <si>
    <t xml:space="preserve"> - bankové poplatky (účet 549 002)</t>
  </si>
  <si>
    <t xml:space="preserve"> - úhrada výnosov z úrokov na dotačnom účte (účet 549 003)</t>
  </si>
  <si>
    <t xml:space="preserve"> - Podprogram 06K 11</t>
  </si>
  <si>
    <t>Tržby z predaja cenných papierov a podielov (účet 653)</t>
  </si>
  <si>
    <t>Výnosy z nájmu majetku  (účet 658)</t>
  </si>
  <si>
    <t>Výnosy z dlhodobého finančného majetku (účet 652)</t>
  </si>
  <si>
    <t>Prijaté príspevky od iných organizácií (účet 662)</t>
  </si>
  <si>
    <t>Prevádzkové dotácie (účet 691)</t>
  </si>
  <si>
    <t xml:space="preserve">   - Prvok 077 12 05</t>
  </si>
  <si>
    <t>- Podprogram 077 13</t>
  </si>
  <si>
    <t xml:space="preserve">   - Prvok 077 15 01</t>
  </si>
  <si>
    <t xml:space="preserve">   - Prvok 077 15 02</t>
  </si>
  <si>
    <t xml:space="preserve">   - Prvok 077 15 03</t>
  </si>
  <si>
    <t xml:space="preserve"> </t>
  </si>
  <si>
    <t>- zúčtovanie dotácie zo ŠR na DN a HM vo výške odpisov</t>
  </si>
  <si>
    <t xml:space="preserve">- náklady na tvorbu rezervného fondu (účet 556 100) </t>
  </si>
  <si>
    <t xml:space="preserve">- náklady na tvorbu štipendijného fondu (účet 556 200) </t>
  </si>
  <si>
    <r>
      <t>Tvorba fondu reprodukcie v kalendárnom roku spolu</t>
    </r>
    <r>
      <rPr>
        <sz val="12"/>
        <rFont val="Times New Roman"/>
        <family val="1"/>
      </rPr>
      <t xml:space="preserve"> [SUM(R3:R8)] </t>
    </r>
  </si>
  <si>
    <t>- zamestnanci zaradení na ostatných pracoviskách</t>
  </si>
  <si>
    <t>- bežný účet okrem účtov uvedených v 
  R6:R8</t>
  </si>
  <si>
    <t>- devízové účty</t>
  </si>
  <si>
    <t>- účet štipendijného fondu</t>
  </si>
  <si>
    <t>- účet podnikateľskej činnosti</t>
  </si>
  <si>
    <t>- účet sociálneho fondu</t>
  </si>
  <si>
    <t>- účet fondu reprodukcie</t>
  </si>
  <si>
    <t>- bežný účet - zábezpeka</t>
  </si>
  <si>
    <t>- ostatné bankové účty v Štátnej pokladnici 
  mimo účtov uvedených v R2:R14</t>
  </si>
  <si>
    <t xml:space="preserve">Čerpanie ostatných zdrojov prostredníctvom fondu reprodukcie </t>
  </si>
  <si>
    <t>Zákonné sociálne poistenie (účet 524)</t>
  </si>
  <si>
    <t>Daň z nehnuteľnosti (účet 532)</t>
  </si>
  <si>
    <t>Nákup dopravných prostriedkov všetkých druhov</t>
  </si>
  <si>
    <t>Prípravná a projektová dokumentácia</t>
  </si>
  <si>
    <t>Rekonštrukcia a modernizácia strojov a zariadení</t>
  </si>
  <si>
    <t>Počet zamestnancov spolu</t>
  </si>
  <si>
    <t>D=A+C</t>
  </si>
  <si>
    <t>H=E+G</t>
  </si>
  <si>
    <t>- zamestnanci zaradení na dekanátoch</t>
  </si>
  <si>
    <t>Počet študentov poberajúcich sociálne štipendium</t>
  </si>
  <si>
    <t>Tabuľka 8</t>
  </si>
  <si>
    <t>- dotačný účet</t>
  </si>
  <si>
    <t>- zostatkový účet</t>
  </si>
  <si>
    <t>- distribučný účet</t>
  </si>
  <si>
    <t>spolufinanco-
vanie zo ŠR</t>
  </si>
  <si>
    <t xml:space="preserve">Počet študentov  poberajúcich štipendium </t>
  </si>
  <si>
    <t>Počet študentov  poberajúcich štipendium</t>
  </si>
  <si>
    <t>Čerpanie fondu k 31. 12. kalendárneho roku</t>
  </si>
  <si>
    <t>Spolu</t>
  </si>
  <si>
    <t>Dotácia / program</t>
  </si>
  <si>
    <t>Číslo riadku</t>
  </si>
  <si>
    <t>Tabuľka 2</t>
  </si>
  <si>
    <t>Tabuľka 3</t>
  </si>
  <si>
    <t>Tabuľka 4</t>
  </si>
  <si>
    <t>Tabuľka 5</t>
  </si>
  <si>
    <t>Tabuľka 6</t>
  </si>
  <si>
    <t>Tabuľka 7</t>
  </si>
  <si>
    <t>Dotácia spolu</t>
  </si>
  <si>
    <t>Stav fondu reprodukcie k 1.1.</t>
  </si>
  <si>
    <t>Dotácie spolu</t>
  </si>
  <si>
    <t xml:space="preserve">Bežná dotácia na úlohy budúcich období </t>
  </si>
  <si>
    <t>Čerpanie z úveru</t>
  </si>
  <si>
    <t>Celkové výdavky na obstaranie a technické zhodnotenie dlhodobého majetku</t>
  </si>
  <si>
    <t>Počet zamestnancov platených z prostriedkov štátneho rozpočtu</t>
  </si>
  <si>
    <t>Počet zamestnancov platených z iných zdrojov</t>
  </si>
  <si>
    <t xml:space="preserve">Kategória zamestnancov
</t>
  </si>
  <si>
    <t>- vysokoškolskí učitelia s funkčným zaradením "docent"</t>
  </si>
  <si>
    <t>- vysokoškolskí učitelia s funkčným zaradením "odborný asistent"</t>
  </si>
  <si>
    <t>- vysokoškolskí učitelia s funkčným zaradením "asistent"</t>
  </si>
  <si>
    <t>- vysokoškolskí učitelia s funkčným zaradením "lektor"</t>
  </si>
  <si>
    <t>- zamestnanci zaradení na rektorátoch</t>
  </si>
  <si>
    <t xml:space="preserve">- rezervného fondu (účet 656 100) </t>
  </si>
  <si>
    <t xml:space="preserve">    - dohody o brigádnickej práci študentov (účet 521 011)</t>
  </si>
  <si>
    <t>4a</t>
  </si>
  <si>
    <t xml:space="preserve">Základ pre prídel do štipendijného fondu </t>
  </si>
  <si>
    <t>Nákup strojov, prístrojov, zariadení, techniky a náradia [SUM(R5:R9)]</t>
  </si>
  <si>
    <r>
      <t>Nevyčerpaná dotácia (+) / nedoplatok dotácie (-) k 31. 12. bežného roka</t>
    </r>
    <r>
      <rPr>
        <sz val="12"/>
        <rFont val="Times New Roman"/>
        <family val="1"/>
        <charset val="238"/>
      </rPr>
      <t xml:space="preserve"> [R4+R5-R1]          </t>
    </r>
    <r>
      <rPr>
        <b/>
        <sz val="12"/>
        <rFont val="Times New Roman"/>
        <family val="1"/>
        <charset val="238"/>
      </rPr>
      <t xml:space="preserve">               </t>
    </r>
  </si>
  <si>
    <r>
      <t xml:space="preserve">Priemerné štipendium na 1 študenta na mesiac </t>
    </r>
    <r>
      <rPr>
        <sz val="12"/>
        <rFont val="Times New Roman"/>
        <family val="1"/>
        <charset val="238"/>
      </rPr>
      <t xml:space="preserve"> [R1_SA/R2_SB resp. R1_SC/R2_SD] </t>
    </r>
  </si>
  <si>
    <t>Výnosy z krátkodobého finančného majetku  (účet 655)</t>
  </si>
  <si>
    <t>Zdroje na obstaranie a technické zhodnotenie dlhodobého majetku z úverov</t>
  </si>
  <si>
    <t xml:space="preserve">Dotácia na kapitálové výdavky zo štátneho rozpočtu </t>
  </si>
  <si>
    <r>
      <t>Ostatné domáce príjmy s charakterom dotácie</t>
    </r>
    <r>
      <rPr>
        <sz val="12"/>
        <rFont val="Times New Roman"/>
        <family val="1"/>
      </rPr>
      <t xml:space="preserve"> [SUM(R3a:R3...)]</t>
    </r>
  </si>
  <si>
    <r>
      <t>Príjmy zo zahraničia majúce charakter dotácie</t>
    </r>
    <r>
      <rPr>
        <sz val="12"/>
        <rFont val="Times New Roman"/>
        <family val="1"/>
      </rPr>
      <t xml:space="preserve"> [SUM(R4a:R4...)]</t>
    </r>
  </si>
  <si>
    <t>- Podprogram 077 11</t>
  </si>
  <si>
    <t xml:space="preserve">   - Prvok 077 12 01</t>
  </si>
  <si>
    <t xml:space="preserve">   - Prvok 077 12 02</t>
  </si>
  <si>
    <t xml:space="preserve">   - Prvok 077 12 03</t>
  </si>
  <si>
    <t xml:space="preserve">   - Prvok 077 12 04</t>
  </si>
  <si>
    <t xml:space="preserve">Počet študentov poberajúcich sociálne štipendium </t>
  </si>
  <si>
    <t xml:space="preserve">    - bežný účet pre študentské domovy</t>
  </si>
  <si>
    <t xml:space="preserve">    - bežný účet pre študentské jedálne</t>
  </si>
  <si>
    <t>- vysokoškolské podniky</t>
  </si>
  <si>
    <t>Výskumní pracovníci alebo umeleckí pracovníci</t>
  </si>
  <si>
    <t>15a</t>
  </si>
  <si>
    <r>
      <t>Vysokoškolskí učitelia spolu</t>
    </r>
    <r>
      <rPr>
        <sz val="12"/>
        <rFont val="Times New Roman"/>
        <family val="1"/>
      </rPr>
      <t xml:space="preserve"> [SUM(R2:</t>
    </r>
    <r>
      <rPr>
        <sz val="12"/>
        <rFont val="Times New Roman"/>
        <family val="1"/>
        <charset val="238"/>
      </rPr>
      <t>R6</t>
    </r>
    <r>
      <rPr>
        <sz val="12"/>
        <rFont val="Times New Roman"/>
        <family val="1"/>
      </rPr>
      <t>)]</t>
    </r>
  </si>
  <si>
    <r>
      <t>Administratívni zamestnanci spolu</t>
    </r>
    <r>
      <rPr>
        <sz val="12"/>
        <rFont val="Times New Roman"/>
        <family val="1"/>
      </rPr>
      <t xml:space="preserve"> [SUM(R10:R12)]                         </t>
    </r>
  </si>
  <si>
    <t>Nákup budov a stavieb</t>
  </si>
  <si>
    <t>A</t>
  </si>
  <si>
    <t>B</t>
  </si>
  <si>
    <t>C</t>
  </si>
  <si>
    <t>E</t>
  </si>
  <si>
    <t>F</t>
  </si>
  <si>
    <t>G</t>
  </si>
  <si>
    <t>H</t>
  </si>
  <si>
    <t>I</t>
  </si>
  <si>
    <t>D</t>
  </si>
  <si>
    <t>Bankový účet</t>
  </si>
  <si>
    <t xml:space="preserve">Ostatné dane a poplatky (účet 538) </t>
  </si>
  <si>
    <t>Realizácia stavieb a ich technického zhodnotenia</t>
  </si>
  <si>
    <t>- ostatné tržby za vlastné výrobky</t>
  </si>
  <si>
    <t>- študentské domovy</t>
  </si>
  <si>
    <t>z toho:</t>
  </si>
  <si>
    <t>Bežné dotácie</t>
  </si>
  <si>
    <t>Kapitálové dotácie</t>
  </si>
  <si>
    <r>
      <t>Spolu</t>
    </r>
    <r>
      <rPr>
        <sz val="12"/>
        <rFont val="Times New Roman"/>
        <family val="1"/>
      </rPr>
      <t xml:space="preserve"> [R1+R2+R3+R4]</t>
    </r>
  </si>
  <si>
    <t>Objem zdrojov</t>
  </si>
  <si>
    <t xml:space="preserve">Nákup ostatného dlhodobého majetku </t>
  </si>
  <si>
    <t>Ostatné fondy</t>
  </si>
  <si>
    <t>Účty mimo Štátnej pokladnice spolu</t>
  </si>
  <si>
    <t>Tabuľka 1</t>
  </si>
  <si>
    <t>X</t>
  </si>
  <si>
    <t>- tvorba fondu z odpisov</t>
  </si>
  <si>
    <t>- tvorba fondu prevodom z rezervného fondu</t>
  </si>
  <si>
    <t>- tvorba fondu z darov a z dedičstva</t>
  </si>
  <si>
    <t>1a</t>
  </si>
  <si>
    <t>2a</t>
  </si>
  <si>
    <t>3a</t>
  </si>
  <si>
    <r>
      <t>Zamestnanci osobitne financovaných súčastí verejnej vysokej školy (špecifiká) z R1, R7, R9, R13, R14  spolu</t>
    </r>
    <r>
      <rPr>
        <sz val="12"/>
        <rFont val="Times New Roman"/>
        <family val="1"/>
      </rPr>
      <t xml:space="preserve"> [SUM(R15a:R15...)]                                                </t>
    </r>
  </si>
  <si>
    <r>
      <t xml:space="preserve">Spolu </t>
    </r>
    <r>
      <rPr>
        <sz val="12"/>
        <rFont val="Times New Roman"/>
        <family val="1"/>
      </rPr>
      <t>[R1+R7+R9+R13+R14+R16+R17]</t>
    </r>
  </si>
  <si>
    <t>Tržby z predaja materiálu (účet 654)</t>
  </si>
  <si>
    <t>Spotreba ostatných neskladovateľných dodávok (účet 503)</t>
  </si>
  <si>
    <t>Náklady na reprezentáciu (účet 513)</t>
  </si>
  <si>
    <t>Fondy spolu</t>
  </si>
  <si>
    <t>Položka</t>
  </si>
  <si>
    <t>Hlavná činnosť</t>
  </si>
  <si>
    <t>Podnikateľská činnosť</t>
  </si>
  <si>
    <t>Rezervný fond</t>
  </si>
  <si>
    <t>Fond reprodukcie</t>
  </si>
  <si>
    <t>Štipendijný fond</t>
  </si>
  <si>
    <t>Návrh na prídel do štipendijného fondu</t>
  </si>
  <si>
    <t>Pokuty a penále (účet 641+642)</t>
  </si>
  <si>
    <t>Platby za odpísané pohľadávky  (účet 643)</t>
  </si>
  <si>
    <t>Kurzové zisky  (účet 645)</t>
  </si>
  <si>
    <r>
      <t>Počet študentov poberajúcich sociálne štipendiá v osobomesiacoch</t>
    </r>
    <r>
      <rPr>
        <b/>
        <sz val="9"/>
        <rFont val="Times New Roman"/>
        <family val="1"/>
        <charset val="238"/>
      </rPr>
      <t xml:space="preserve"> </t>
    </r>
    <r>
      <rPr>
        <b/>
        <vertAlign val="superscript"/>
        <sz val="14"/>
        <rFont val="Times New Roman"/>
        <family val="1"/>
        <charset val="238"/>
      </rPr>
      <t>1)</t>
    </r>
  </si>
  <si>
    <r>
      <t>Počet ubytovaných študentov (vrátane interných doktorandov)</t>
    </r>
    <r>
      <rPr>
        <b/>
        <vertAlign val="superscript"/>
        <sz val="14"/>
        <rFont val="Times New Roman"/>
        <family val="1"/>
        <charset val="238"/>
      </rPr>
      <t>2)</t>
    </r>
    <r>
      <rPr>
        <b/>
        <sz val="14"/>
        <rFont val="Times New Roman"/>
        <family val="1"/>
        <charset val="238"/>
      </rPr>
      <t xml:space="preserve"> </t>
    </r>
    <r>
      <rPr>
        <b/>
        <sz val="12"/>
        <rFont val="Times New Roman"/>
        <family val="1"/>
      </rPr>
      <t xml:space="preserve"> v osobomesiacoch</t>
    </r>
  </si>
  <si>
    <t>Tržby z predaja dlhodobého NM a HM (účet 651)</t>
  </si>
  <si>
    <t>Výnosy z precenenia cenných papierov (účet 657)</t>
  </si>
  <si>
    <t>- interiérové vybavenie  (713 001)</t>
  </si>
  <si>
    <t>-  výpočtová technika  (713 002)</t>
  </si>
  <si>
    <t xml:space="preserve"> - prevádzkové stroje, prístroje, zariadenia, technika a náradie (713 004)</t>
  </si>
  <si>
    <t xml:space="preserve">  - špeciálne stroje, prístroje, zariadenia, technika, náradie a materiál  (713 005)</t>
  </si>
  <si>
    <t>Počty ubytovaných</t>
  </si>
  <si>
    <t>Ostatné výnosy zo študentských domovov</t>
  </si>
  <si>
    <t>Výnosy z poplatkov za ubytovanie od študentov počas výučbového obdobia (10 mesiacov)</t>
  </si>
  <si>
    <r>
      <t>Dotácia na uskutočňovanie akreditovaných študijných programov</t>
    </r>
    <r>
      <rPr>
        <sz val="12"/>
        <rFont val="Times New Roman"/>
        <family val="1"/>
      </rPr>
      <t xml:space="preserve"> [R2]</t>
    </r>
  </si>
  <si>
    <r>
      <t>Dotácia na výskumnú, vývojovú alebo umeleckú činnosť</t>
    </r>
    <r>
      <rPr>
        <sz val="12"/>
        <rFont val="Times New Roman"/>
        <family val="1"/>
      </rPr>
      <t xml:space="preserve"> [R4+R5+R6+R7+R8]</t>
    </r>
  </si>
  <si>
    <r>
      <t>Dotácia na rozvoj vysokej školy</t>
    </r>
    <r>
      <rPr>
        <sz val="12"/>
        <rFont val="Times New Roman"/>
        <family val="1"/>
      </rPr>
      <t xml:space="preserve"> [R10]</t>
    </r>
  </si>
  <si>
    <r>
      <t>Dotácia na sociálnu podporu študentov</t>
    </r>
    <r>
      <rPr>
        <sz val="12"/>
        <rFont val="Times New Roman"/>
        <family val="1"/>
      </rPr>
      <t xml:space="preserve"> [R12+R13+R14]</t>
    </r>
  </si>
  <si>
    <r>
      <t>Spolu</t>
    </r>
    <r>
      <rPr>
        <sz val="12"/>
        <rFont val="Times New Roman"/>
        <family val="1"/>
      </rPr>
      <t xml:space="preserve"> [R1+R3+R9+R11]</t>
    </r>
  </si>
  <si>
    <t>nadrezortná veda a technika</t>
  </si>
  <si>
    <t>Výnosy z poplatkov za ubytovanie od študentov počas hlavných prázdnin (od interných doktorandov) a počty ubytovaných študentov</t>
  </si>
  <si>
    <r>
      <t xml:space="preserve">Výnosy zo študentských domovov v kalendárnom roku spolu </t>
    </r>
    <r>
      <rPr>
        <sz val="12"/>
        <rFont val="Times New Roman"/>
        <family val="1"/>
      </rPr>
      <t>[SUM(R4:R7)]</t>
    </r>
  </si>
  <si>
    <r>
      <t xml:space="preserve">Náklady študentských domovov  spolu </t>
    </r>
    <r>
      <rPr>
        <sz val="12"/>
        <rFont val="Times New Roman"/>
        <family val="1"/>
      </rPr>
      <t>[R10+R11]</t>
    </r>
  </si>
  <si>
    <r>
      <t xml:space="preserve">Rozdiel výnosov a nákladov na študentské domovy v kalendárnom roku  </t>
    </r>
    <r>
      <rPr>
        <sz val="12"/>
        <rFont val="Times New Roman"/>
        <family val="1"/>
      </rPr>
      <t>[R8-R9]</t>
    </r>
  </si>
  <si>
    <r>
      <t xml:space="preserve">Priemerné ročné náklady na jedného ubytovaného študenta </t>
    </r>
    <r>
      <rPr>
        <sz val="12"/>
        <rFont val="Times New Roman"/>
        <family val="1"/>
        <charset val="238"/>
      </rPr>
      <t>[R9/R3]</t>
    </r>
  </si>
  <si>
    <t xml:space="preserve">Daň z motorových vozidiel (účet 531) </t>
  </si>
  <si>
    <t>Nákup pozemkov a nehmotných aktív</t>
  </si>
  <si>
    <t xml:space="preserve">                                                                                                                                                                                                                                                                                                                                                                                                                                                                                                                                                                                                                                                                                                                                                                                                                                                                                                                                                                                                                                                                                                                                                                                                                                                                                                                                                                                                                                                                                                                                                                                                                                                                                                                                                                                                                                                                                                                                                                                                                                                                                                                                                                                                                                                                                                                                                                                                                                                                                                                                                                                                                                                                                                                                                                                                                                                                                                                                                                                                                                                                                                                                                                                                                                                                                                                                                                                                                                                                                                                                                                                                                                                                                                                                                                                                                                                                                                                                                                                                                                                                                                                                                                                                                                                                                                                                                                                                                                                                                                                                                                                          </t>
  </si>
  <si>
    <t xml:space="preserve">  </t>
  </si>
  <si>
    <t>- tvorba fondu prevodom z rezervného fondu (účet  413 114)</t>
  </si>
  <si>
    <t>- tvorba fondu z darov a z dedičstva (účet 413 112)</t>
  </si>
  <si>
    <t>- tvorba fondu z odpisov (účet 413 116)</t>
  </si>
  <si>
    <t>1b</t>
  </si>
  <si>
    <t>2b</t>
  </si>
  <si>
    <t>3b</t>
  </si>
  <si>
    <t>4b</t>
  </si>
  <si>
    <t>15b</t>
  </si>
  <si>
    <t>15c</t>
  </si>
  <si>
    <t>15d</t>
  </si>
  <si>
    <t xml:space="preserve">Názov verejnej vysokej školy: </t>
  </si>
  <si>
    <t xml:space="preserve">    - bežný účet na riešenie úloh vedy a
      výskumu  zo SR, resp.zahraničia </t>
  </si>
  <si>
    <t xml:space="preserve"> - Podprogram 06K 12            </t>
  </si>
  <si>
    <t>8a</t>
  </si>
  <si>
    <r>
      <t xml:space="preserve">Program 06K </t>
    </r>
    <r>
      <rPr>
        <sz val="12"/>
        <rFont val="Times New Roman"/>
        <family val="1"/>
        <charset val="238"/>
      </rPr>
      <t>[SUM(R2+R3+R4+R5)]</t>
    </r>
  </si>
  <si>
    <t>Ostatné dotácie [SUM(R8a..R8x)]</t>
  </si>
  <si>
    <t>Účet</t>
  </si>
  <si>
    <t>Polož. výkaz. NUJ</t>
  </si>
  <si>
    <t>Čislo riadku</t>
  </si>
  <si>
    <t>A. NEOBEŽNÝ MAJETOK SPOLU r.002+r.009+r.021</t>
  </si>
  <si>
    <t>001</t>
  </si>
  <si>
    <t>1. Dlhodobý nehmotný majetok r.003 až r.008</t>
  </si>
  <si>
    <t>002</t>
  </si>
  <si>
    <t>Nehmotné výsledky z vývojovej a obdob.činnosti 012-(072+091A</t>
  </si>
  <si>
    <t>003</t>
  </si>
  <si>
    <t>Softvér 013-(073+091AÚ)</t>
  </si>
  <si>
    <t>004</t>
  </si>
  <si>
    <t>005</t>
  </si>
  <si>
    <t>Ostatný.dlhodob.nehmot.majetok(018+019)-(078+079+091AÚ)</t>
  </si>
  <si>
    <t>006</t>
  </si>
  <si>
    <t>Obstaranie dlhodobého nehmotného majetku (041-093)</t>
  </si>
  <si>
    <t>007</t>
  </si>
  <si>
    <t>Poskytnut.preddavky na dlhodob.nehmot.majetok (051-095AÚ)</t>
  </si>
  <si>
    <t>008</t>
  </si>
  <si>
    <t>2. Dlhodobý hmotný majetok (r. 010 až r. 020)</t>
  </si>
  <si>
    <t>009</t>
  </si>
  <si>
    <t>Pozemky (031)</t>
  </si>
  <si>
    <t>010</t>
  </si>
  <si>
    <t>Umelecké diela a zbierky (032)</t>
  </si>
  <si>
    <t>011</t>
  </si>
  <si>
    <t>Stavby 021-(081-092AÚ)</t>
  </si>
  <si>
    <t>012</t>
  </si>
  <si>
    <t>Samostatné hnuteľné veci a súbory hnuteľných vecí (022 - (08</t>
  </si>
  <si>
    <t>013</t>
  </si>
  <si>
    <t>Dopravné prostriedky (023 - (083+092AÚ))</t>
  </si>
  <si>
    <t>014</t>
  </si>
  <si>
    <t>Pestovateľské celky trvalých porastov (025 - (085 + 092AÚ))</t>
  </si>
  <si>
    <t>015</t>
  </si>
  <si>
    <t>Základné stádo a ťažné zvieratá (026 - (086 + 092AÚ))</t>
  </si>
  <si>
    <t>016</t>
  </si>
  <si>
    <t>Drobný dlhodobý hmotný majetok (028 - (088 + 092AÚ))</t>
  </si>
  <si>
    <t>017</t>
  </si>
  <si>
    <t>Ostatný dlhodobý hmotný majetok (029 - (089 +092AÚ))</t>
  </si>
  <si>
    <t>018</t>
  </si>
  <si>
    <t>Obstaranie dlhodobého hmotného majetku (042 - 094)</t>
  </si>
  <si>
    <t>019</t>
  </si>
  <si>
    <t>Poskytnuté preddavky na dlhodob.hmot.majetok (052-095AÚ)</t>
  </si>
  <si>
    <t>020</t>
  </si>
  <si>
    <t>3. Dlhodobý finančný majetok r.022 až r.028</t>
  </si>
  <si>
    <t>021</t>
  </si>
  <si>
    <t>Podiel.cen.papier.a podiely v obchod.spol.v ovládan.osobe (0</t>
  </si>
  <si>
    <t>022</t>
  </si>
  <si>
    <t>Podiel.cen.papiere a podiely v obchod.spol.s podstat.vplyvom</t>
  </si>
  <si>
    <t>023</t>
  </si>
  <si>
    <t>Dlhové cenné papiere držané do splatnosti (065 - 096 AÚ)</t>
  </si>
  <si>
    <t>024</t>
  </si>
  <si>
    <t>Pôžičky podnikom v skup.a ostat.pôžičky (066+067)-096AÚ</t>
  </si>
  <si>
    <t>025</t>
  </si>
  <si>
    <t>Ostatný dlhodobý finančný majetok (069-096AÚ)</t>
  </si>
  <si>
    <t>026</t>
  </si>
  <si>
    <t>Obstaranie dlhodobého finančného majetku (043 - 096AÚ)</t>
  </si>
  <si>
    <t>027</t>
  </si>
  <si>
    <t>Poskytnuté preddavky na dlhodobý finančný majetok (053 - 096</t>
  </si>
  <si>
    <t>028</t>
  </si>
  <si>
    <t>B. OBEŽNÝ MAJETOK SPOLU r.030+r.037+r.042+r.051</t>
  </si>
  <si>
    <t>029</t>
  </si>
  <si>
    <t>1. Zásoby r.031 až r.036</t>
  </si>
  <si>
    <t>030</t>
  </si>
  <si>
    <t>Materiál (112+119) -191</t>
  </si>
  <si>
    <t>031</t>
  </si>
  <si>
    <t>Nedokonč.výroba a polotovary vlast.výroby (121+122)-(192+193</t>
  </si>
  <si>
    <t>032</t>
  </si>
  <si>
    <t>Výrobky (123-194)</t>
  </si>
  <si>
    <t>033</t>
  </si>
  <si>
    <t>Zvieratá (124-195)</t>
  </si>
  <si>
    <t>034</t>
  </si>
  <si>
    <t>Tovar (132+139)-196</t>
  </si>
  <si>
    <t>035</t>
  </si>
  <si>
    <t>Poskytnuté prevádzkové preddavky na zásoby (314AÚ-391AÚ)</t>
  </si>
  <si>
    <t>036</t>
  </si>
  <si>
    <t>2. Dlhodobé pohľadávky (r.038 až 041)</t>
  </si>
  <si>
    <t>037</t>
  </si>
  <si>
    <t>Pohľadávky z obchod.styku (311AÚ až 314AÚ) - 391AÚ</t>
  </si>
  <si>
    <t>038</t>
  </si>
  <si>
    <t>Ostatné pohľadávky (315AÚ - 391AÚ)</t>
  </si>
  <si>
    <t>039</t>
  </si>
  <si>
    <t>Pohľadávky voči účastníkom združení (358AÚ - 391AÚ)</t>
  </si>
  <si>
    <t>040</t>
  </si>
  <si>
    <t>Iné pohľadávky (335AÚ+373AÚ+375AÚ+378AÚ) -391AÚ</t>
  </si>
  <si>
    <t>041</t>
  </si>
  <si>
    <t>3. Krátkodobé pohľadávky r.043 až r.050</t>
  </si>
  <si>
    <t>042</t>
  </si>
  <si>
    <t>Pohľadávky z obchodného styku (311AÚ až 314AÚ) - 391AÚ</t>
  </si>
  <si>
    <t>043</t>
  </si>
  <si>
    <t>044</t>
  </si>
  <si>
    <t>Zúčtovanie zo Sociálnou poisť. a zdravot.poisťovňami (336)</t>
  </si>
  <si>
    <t>045</t>
  </si>
  <si>
    <t>Daňové pohľadávky (341 až 345)</t>
  </si>
  <si>
    <t>046</t>
  </si>
  <si>
    <t>Pohľ.z dôvodu fin.vzťahov k ŠR a rozpočtom úz.správ (346+348</t>
  </si>
  <si>
    <t>047</t>
  </si>
  <si>
    <t>048</t>
  </si>
  <si>
    <t>Spojovací účet pri združení (396-391AÚ)</t>
  </si>
  <si>
    <t>049</t>
  </si>
  <si>
    <t>050</t>
  </si>
  <si>
    <t>4. Finančné účty r.052 až 056</t>
  </si>
  <si>
    <t>051</t>
  </si>
  <si>
    <t>Pokladnica (211+213)</t>
  </si>
  <si>
    <t>052</t>
  </si>
  <si>
    <t>Bankové účty (221AÚ+261)</t>
  </si>
  <si>
    <t>053</t>
  </si>
  <si>
    <t>Bankové účty s dobou viazanosti dlhšou ako jeden rok (221AÚ)</t>
  </si>
  <si>
    <t>054</t>
  </si>
  <si>
    <t>Krátkodobý finančný majetok (251+253+255+256+257)-291AÚ</t>
  </si>
  <si>
    <t>055</t>
  </si>
  <si>
    <t>Obstaranie krátkodobého finančného majetku (259 -291AÚ)</t>
  </si>
  <si>
    <t>056</t>
  </si>
  <si>
    <t>C. ČASOVÉ ROZLÍŠENIE SPOLU r.058 a r.059</t>
  </si>
  <si>
    <t>057</t>
  </si>
  <si>
    <t>1. Náklady budúcich období (381)</t>
  </si>
  <si>
    <t>058</t>
  </si>
  <si>
    <t>Príjmy budúcich období (385)</t>
  </si>
  <si>
    <t>059</t>
  </si>
  <si>
    <t>MAJETOK SPOLU r.001 + r.029 + r.057</t>
  </si>
  <si>
    <t>060</t>
  </si>
  <si>
    <t>Celkový výsledok</t>
  </si>
  <si>
    <t>Korekcia</t>
  </si>
  <si>
    <t>Netto</t>
  </si>
  <si>
    <t>Predch. účt. obdobie</t>
  </si>
  <si>
    <t>Tabuľka č. 24: Súvaha - Strana aktív</t>
  </si>
  <si>
    <t xml:space="preserve">   Oceniteľné práva 014-(074+091AÚ)</t>
  </si>
  <si>
    <t xml:space="preserve"> Brutto
(v Eur)</t>
  </si>
  <si>
    <t>Tabuľka 22</t>
  </si>
  <si>
    <t>Tabuľka 23</t>
  </si>
  <si>
    <t>Číslo účtu</t>
  </si>
  <si>
    <t>Spotreba materiálu</t>
  </si>
  <si>
    <t>01</t>
  </si>
  <si>
    <t>Spotreba energie</t>
  </si>
  <si>
    <t>02</t>
  </si>
  <si>
    <t>Predaný tovar</t>
  </si>
  <si>
    <t>03</t>
  </si>
  <si>
    <t>Opravy a udržiavanie</t>
  </si>
  <si>
    <t>04</t>
  </si>
  <si>
    <t>Cestovné</t>
  </si>
  <si>
    <t>05</t>
  </si>
  <si>
    <t>Náklady na reprezentáciu</t>
  </si>
  <si>
    <t>06</t>
  </si>
  <si>
    <t>Ostatné služby</t>
  </si>
  <si>
    <t>07</t>
  </si>
  <si>
    <t>Mzdové náklady</t>
  </si>
  <si>
    <t>08</t>
  </si>
  <si>
    <t>Zákonné soc. poistenie a zdr.pois.</t>
  </si>
  <si>
    <t>09</t>
  </si>
  <si>
    <t>Ostatné sociálne poistenie</t>
  </si>
  <si>
    <t>10</t>
  </si>
  <si>
    <t>Zákonné sociálne náklady</t>
  </si>
  <si>
    <t>11</t>
  </si>
  <si>
    <t>Ostatné sociálne náklady</t>
  </si>
  <si>
    <t>12</t>
  </si>
  <si>
    <t>Daň z motorových vozidiel</t>
  </si>
  <si>
    <t>13</t>
  </si>
  <si>
    <t>Daň z nehnuteľností</t>
  </si>
  <si>
    <t>14</t>
  </si>
  <si>
    <t>Ostatné dane a poplatky</t>
  </si>
  <si>
    <t>15</t>
  </si>
  <si>
    <t>Zmluvné pokuty a penále</t>
  </si>
  <si>
    <t>16</t>
  </si>
  <si>
    <t>Ostatné pokuty a penále</t>
  </si>
  <si>
    <t>17</t>
  </si>
  <si>
    <t>Odpísanie pohľadávky</t>
  </si>
  <si>
    <t>18</t>
  </si>
  <si>
    <t>Úroky</t>
  </si>
  <si>
    <t>19</t>
  </si>
  <si>
    <t>Kurzové straty</t>
  </si>
  <si>
    <t>20</t>
  </si>
  <si>
    <t>Dary</t>
  </si>
  <si>
    <t>21</t>
  </si>
  <si>
    <t>Osobitné náklady</t>
  </si>
  <si>
    <t>22</t>
  </si>
  <si>
    <t>Manká a škody</t>
  </si>
  <si>
    <t>23</t>
  </si>
  <si>
    <t>Iné ostatné náklady</t>
  </si>
  <si>
    <t>24</t>
  </si>
  <si>
    <t>Odpisy DNM a DHM</t>
  </si>
  <si>
    <t>25</t>
  </si>
  <si>
    <t>26</t>
  </si>
  <si>
    <t>Predané cenné papiere</t>
  </si>
  <si>
    <t>27</t>
  </si>
  <si>
    <t>Predaný materiál</t>
  </si>
  <si>
    <t>28</t>
  </si>
  <si>
    <t>Náklady na krátkod. finančný maj.</t>
  </si>
  <si>
    <t>29</t>
  </si>
  <si>
    <t>Tvorba fondov</t>
  </si>
  <si>
    <t>30</t>
  </si>
  <si>
    <t xml:space="preserve">Náklady na precenenie cen.pap. </t>
  </si>
  <si>
    <t>31</t>
  </si>
  <si>
    <t>Tvorba a zúčt. opravných položiek</t>
  </si>
  <si>
    <t>32</t>
  </si>
  <si>
    <t>33</t>
  </si>
  <si>
    <t>Poskytnuté príspevky org. zlož.</t>
  </si>
  <si>
    <t>34</t>
  </si>
  <si>
    <t>Poskyt. príspevky iným účt. jednot.</t>
  </si>
  <si>
    <t>35</t>
  </si>
  <si>
    <t>Poskytnuté príspevky fyz. osobám</t>
  </si>
  <si>
    <t>36</t>
  </si>
  <si>
    <t>Poskyt. príspevky z verejnej zbierky</t>
  </si>
  <si>
    <t>37</t>
  </si>
  <si>
    <t>38</t>
  </si>
  <si>
    <t>Tržby za vlastné výrobky</t>
  </si>
  <si>
    <t>39</t>
  </si>
  <si>
    <t>Tržby z predaja služieb</t>
  </si>
  <si>
    <t>40</t>
  </si>
  <si>
    <t>Tržby za predaný tovar</t>
  </si>
  <si>
    <t>41</t>
  </si>
  <si>
    <t>Zmenaq stavu zásob ned. výroby</t>
  </si>
  <si>
    <t>42</t>
  </si>
  <si>
    <t>Zmena stavu zásob polotovarov</t>
  </si>
  <si>
    <t>43</t>
  </si>
  <si>
    <t>Zmena stavu zásob výrobkov</t>
  </si>
  <si>
    <t>44</t>
  </si>
  <si>
    <t>Zmena stavu zásob zvierat</t>
  </si>
  <si>
    <t>45</t>
  </si>
  <si>
    <t>Aktivácia materiálu a tovaru</t>
  </si>
  <si>
    <t>46</t>
  </si>
  <si>
    <t>Aktivácia vnútroorganizačných služieb</t>
  </si>
  <si>
    <t>47</t>
  </si>
  <si>
    <t>Aktivácia dlhodobého nehmot. majetku</t>
  </si>
  <si>
    <t>48</t>
  </si>
  <si>
    <t>Aktivácia dlhodobého hmotného majet.</t>
  </si>
  <si>
    <t>49</t>
  </si>
  <si>
    <t>50</t>
  </si>
  <si>
    <t>51</t>
  </si>
  <si>
    <t>Platby za odpísané pohľadávky</t>
  </si>
  <si>
    <t>52</t>
  </si>
  <si>
    <t>53</t>
  </si>
  <si>
    <t>Kurzové zisky</t>
  </si>
  <si>
    <t>54</t>
  </si>
  <si>
    <t>Prijaté dary</t>
  </si>
  <si>
    <t>55</t>
  </si>
  <si>
    <t>Osobitné výnosy</t>
  </si>
  <si>
    <t>56</t>
  </si>
  <si>
    <t>Zákonné poplatky</t>
  </si>
  <si>
    <t>57</t>
  </si>
  <si>
    <t>Iné ostatné výnosy</t>
  </si>
  <si>
    <t>58</t>
  </si>
  <si>
    <t>Tržby z predaja dlhodobého majetku</t>
  </si>
  <si>
    <t>59</t>
  </si>
  <si>
    <t>Výnosy z dlhodobého finančného maj.</t>
  </si>
  <si>
    <t>60</t>
  </si>
  <si>
    <t>Tržby z predaja cenných papierov a pod.</t>
  </si>
  <si>
    <t>61</t>
  </si>
  <si>
    <t>Tržby z predaja materiálu</t>
  </si>
  <si>
    <t>62</t>
  </si>
  <si>
    <t>Výnosy z krátkod. finančného majetku</t>
  </si>
  <si>
    <t>63</t>
  </si>
  <si>
    <t>Výnosy z použitia fondu</t>
  </si>
  <si>
    <t>64</t>
  </si>
  <si>
    <t>Výnosy z precenenia cenných papierov</t>
  </si>
  <si>
    <t>65</t>
  </si>
  <si>
    <t>Výnosy z nájmu majetku</t>
  </si>
  <si>
    <t>66</t>
  </si>
  <si>
    <t>Prijaté príspevky od organizačných zložiek</t>
  </si>
  <si>
    <t>67</t>
  </si>
  <si>
    <t>Prijaté príspevky od iných organizácií</t>
  </si>
  <si>
    <t>68</t>
  </si>
  <si>
    <t>Prijaté príspevky od fyzických osôb</t>
  </si>
  <si>
    <t>69</t>
  </si>
  <si>
    <t>Prijaté členské príspevky</t>
  </si>
  <si>
    <t>70</t>
  </si>
  <si>
    <t>Príspevky z podielu zaplatenej dane</t>
  </si>
  <si>
    <t>71</t>
  </si>
  <si>
    <t>Prijaté príspevky z verejných zbierok</t>
  </si>
  <si>
    <t>72</t>
  </si>
  <si>
    <t>Dotácie</t>
  </si>
  <si>
    <t>73</t>
  </si>
  <si>
    <t>Účtová trieda 6 spolu r.39 až r. 73</t>
  </si>
  <si>
    <t>74</t>
  </si>
  <si>
    <t>Výsledok hospodárenia pred zdanením r.74-r.38</t>
  </si>
  <si>
    <t>75</t>
  </si>
  <si>
    <t>Daň z príjmov</t>
  </si>
  <si>
    <t>76</t>
  </si>
  <si>
    <t>Dodatočné odvody dane z príjmov</t>
  </si>
  <si>
    <t>77</t>
  </si>
  <si>
    <t xml:space="preserve">Výsledok hospod.  po zdanení r. 75-(r.76 + r.77) </t>
  </si>
  <si>
    <t>78</t>
  </si>
  <si>
    <t>Súvzťažnosti</t>
  </si>
  <si>
    <t>Zamestnanci platení z dotácie MŠVVaŠ SR</t>
  </si>
  <si>
    <t xml:space="preserve">Nevyčerpaná dotácia (+) / nedoplatok dotácie (-) k 31. 12. predchádzajúceho roka  
[R4_SC = R6_SA]                         </t>
  </si>
  <si>
    <t>- iné analyticky sledované náklady (účty 501 005-006, 501 013-018, 501 077)</t>
  </si>
  <si>
    <t>86a</t>
  </si>
  <si>
    <t>Projektovaná lôžková kapacita študentského domova k 31. 12. kalendárneho roka (v počte miest)</t>
  </si>
  <si>
    <t>F = A+B+C+D+E</t>
  </si>
  <si>
    <t>J</t>
  </si>
  <si>
    <t>K</t>
  </si>
  <si>
    <t>10a</t>
  </si>
  <si>
    <t>G=A+B+C+D+E+F</t>
  </si>
  <si>
    <t>Poskytnuté príspevky z podielu zaplatenej dane</t>
  </si>
  <si>
    <t>Zost. cena predaného DNM a DHM</t>
  </si>
  <si>
    <t xml:space="preserve">zabezpečenie mobilít v súlade s medzinárodnými zmluvami </t>
  </si>
  <si>
    <t>Peniaze na ceste (účet 261)</t>
  </si>
  <si>
    <t>Čerpanie z iných zdrojov</t>
  </si>
  <si>
    <t>Náklady na mzdy  poskytované z prostriedkov štátneho rozpočtu   (v Eur)</t>
  </si>
  <si>
    <t>Náklady na mzdy poskytované z dotácie MŠVVaŠ SR  (v Eur)</t>
  </si>
  <si>
    <t>Náklady na mzdy poskytované z iných zdrojov 
 (v Eur)</t>
  </si>
  <si>
    <t>Náklady na mzdy spolu
 (v Eur)</t>
  </si>
  <si>
    <t>Finančné prostriedky  
 (v Eur)</t>
  </si>
  <si>
    <t>Číslo účtu/Poznámka</t>
  </si>
  <si>
    <t xml:space="preserve"> - štipendiá doktorandov  (účet 549 001, 549 016, 549 017)</t>
  </si>
  <si>
    <r>
      <t xml:space="preserve">Dotácie z kapitol štátneho rozpočtu okrem kapitoly MŠVVaŠ SR </t>
    </r>
    <r>
      <rPr>
        <sz val="12"/>
        <rFont val="Times New Roman"/>
        <family val="1"/>
      </rPr>
      <t xml:space="preserve"> (na zdroji 111) [SUM(R1a:R1...)]</t>
    </r>
  </si>
  <si>
    <t>Príjem z dotácie poskytnutej na sociálne štipendiá v rámci dotačnej zmluvy z kapitoly     MŠVVaŠ k 31.12.</t>
  </si>
  <si>
    <t>Fond na podporu štúdia študentov so špecifickými potrebami</t>
  </si>
  <si>
    <t>Účtová trieda 5 spolu r.01 až r.37</t>
  </si>
  <si>
    <t>Zvyšok prijatej kapitálovej dotácie zo štátneho rozpočtu používanej na kompenzáciu odpisov majetku z nej obstaraného</t>
  </si>
  <si>
    <t xml:space="preserve">Náklady / Výnosy </t>
  </si>
  <si>
    <t xml:space="preserve">- za prijímacie konanie (§ 92 ods. 12 zákona) (účet 649 003) </t>
  </si>
  <si>
    <t xml:space="preserve">- za rigorózne konanie (§ 92 ods. 13 zákona) (účet 649 004) </t>
  </si>
  <si>
    <t xml:space="preserve">- za vydanie diplomu za rigorózne konanie (§ 92 ods. 14 zákona)  (účet 649 005) </t>
  </si>
  <si>
    <t>x</t>
  </si>
  <si>
    <t>9a</t>
  </si>
  <si>
    <t xml:space="preserve">  - príspevok na úhradu výdavkov zahraničných študentov/lektorov  (649 016)</t>
  </si>
  <si>
    <t>- knihy, časopisy a noviny  (účet 501 001,501 051)</t>
  </si>
  <si>
    <t>- kancelárske potreby a materiál   (účet 501 003, 501 053)</t>
  </si>
  <si>
    <t>- papier  (účet 501 004, 501 054)</t>
  </si>
  <si>
    <t>- pohonné hmoty a ostatný materiál na dopravu  (účet 501 007, 501 057)</t>
  </si>
  <si>
    <t>- čistiace, hygienické a dezinfekčné potreby (účet 501 008, 501 020)</t>
  </si>
  <si>
    <t>- elektrická energia (účet 502 001, 502 051)</t>
  </si>
  <si>
    <t>- tepelná energia  (účet 502 002, 502 052)</t>
  </si>
  <si>
    <t>- vodné a stočné  (účet 502 003, 502 053)</t>
  </si>
  <si>
    <t>- plyn  (účet 502 004, 502 054)</t>
  </si>
  <si>
    <t>- palivá  (účet 502 005, 502 055)</t>
  </si>
  <si>
    <t>- domáce cestovné  (účet 512 001, 512 051)</t>
  </si>
  <si>
    <t>- zahraničné cestovné  (účet 512 002, 512 003, 512 052)</t>
  </si>
  <si>
    <t>- telefón, fax  (účet 518 006, 518 056)</t>
  </si>
  <si>
    <t>- poštovné  (účet 518 008, 518 058)</t>
  </si>
  <si>
    <t>- odvoz odpadu  (účet 518 009, 518 059)</t>
  </si>
  <si>
    <t xml:space="preserve"> - odpisy DN a HM nadobudnutého z kapitálových dotácií zo ŠR 
(účet 551 100, 551 121, 551 123, 551 001, 551 003)</t>
  </si>
  <si>
    <t>(uviesť zoznam všetkých dotácií, každú na zvláštny riadok, napr. podprogram 026 05)</t>
  </si>
  <si>
    <t>uvádzajú sa štipendiá vyplatené zo štátneho rozpočtu, kód v CRŠ: 1</t>
  </si>
  <si>
    <t>Kódy z Centrálneho registra študentov</t>
  </si>
  <si>
    <t>Kódy z CRŠ</t>
  </si>
  <si>
    <t>- iné analyticky sledované náklady (účet 511 006-008, 511 056)</t>
  </si>
  <si>
    <t xml:space="preserve"> - poistné náklady (havarijné, majetok, na študentov) (účet 549 004, 549 014, 549 015, 549 054)</t>
  </si>
  <si>
    <r>
      <t>Výnosy z poplatkov spojených so štúdiom</t>
    </r>
    <r>
      <rPr>
        <sz val="12"/>
        <rFont val="Times New Roman"/>
        <family val="1"/>
      </rPr>
      <t xml:space="preserve"> [S</t>
    </r>
    <r>
      <rPr>
        <sz val="12"/>
        <color indexed="8"/>
        <rFont val="Times New Roman"/>
        <family val="1"/>
        <charset val="238"/>
      </rPr>
      <t>UM (R8:R13</t>
    </r>
    <r>
      <rPr>
        <sz val="12"/>
        <rFont val="Times New Roman"/>
        <family val="1"/>
      </rPr>
      <t>)]</t>
    </r>
  </si>
  <si>
    <t>Priemerné platy</t>
  </si>
  <si>
    <t>I=H/D/12</t>
  </si>
  <si>
    <t>- vysokoškolskí učitelia s funkčným zaradením "profesor"                 *)</t>
  </si>
  <si>
    <t>Tabuľka 6a</t>
  </si>
  <si>
    <t>- za prekročenie štandardnej dĺžky štúdia v dennej forme (§ 92 ods. 6) (649 001)</t>
  </si>
  <si>
    <t>- za externú formu štúdia (§ 92 ods. 4) (649 020)</t>
  </si>
  <si>
    <t xml:space="preserve">- náklady na tvorbu ostatných fondov (účty  556 510, 556 520) </t>
  </si>
  <si>
    <t>- ostatných fondov (účet  656 510, 656 520)</t>
  </si>
  <si>
    <t>- náklady na tvorbu fondu na podporu štúdia študentov so špecifickými potrebami 
  (účet 556 300)</t>
  </si>
  <si>
    <t>- fondu na podporu štúdia študentov so špecifickými potrebami 
  (účet 656 300)</t>
  </si>
  <si>
    <t>- za vydanie dokladov o absolvovaní štúdia v štátnom jazyku a v jazyku požadovanom študentom a ich kópií  (§ 92 ods. 15 zákona) (účet 649 024)</t>
  </si>
  <si>
    <r>
      <t xml:space="preserve"> - za uznávanie rovnocennosti dokladov o štúdiu (§ 92 ods. 15 zákona) (účet 649 025) </t>
    </r>
    <r>
      <rPr>
        <vertAlign val="superscript"/>
        <sz val="12"/>
        <rFont val="Times New Roman"/>
        <family val="1"/>
        <charset val="238"/>
      </rPr>
      <t/>
    </r>
  </si>
  <si>
    <r>
      <t xml:space="preserve"> - cudzinci podľa prechodných ustanovení </t>
    </r>
    <r>
      <rPr>
        <vertAlign val="superscript"/>
        <sz val="12"/>
        <color theme="1"/>
        <rFont val="Times New Roman"/>
        <family val="1"/>
      </rPr>
      <t>1)</t>
    </r>
  </si>
  <si>
    <r>
      <t xml:space="preserve">Spolu </t>
    </r>
    <r>
      <rPr>
        <sz val="12"/>
        <rFont val="Times New Roman"/>
        <family val="1"/>
      </rPr>
      <t>[R1+R14+R21+R22+R27+R35+R38+R39+R55+SUM (R61:R63) +SUM (R70:R74)+R84+R93+R94]</t>
    </r>
  </si>
  <si>
    <t>Náklady
hlavnej činnosti
2015</t>
  </si>
  <si>
    <t>Fondy VVŠ</t>
  </si>
  <si>
    <t>uvádzajú sa len štipendiá vyplatené z vlastných zdrojov, v CRŠ kód 9</t>
  </si>
  <si>
    <t>z toho PČ (jednou sumou z R15,SG)</t>
  </si>
  <si>
    <t xml:space="preserve"> - za cudzojazyčné štúdium dennou formou (§ 92 ods. 8 a 9) (649 002, 649 023)</t>
  </si>
  <si>
    <t>- za súbežné štúdium v dennej forme  (§ 92 ods. 5, 649 026)</t>
  </si>
  <si>
    <t>Výpočet</t>
  </si>
  <si>
    <t>Priemerné platy mužov</t>
  </si>
  <si>
    <t>Priemerné platy žien</t>
  </si>
  <si>
    <r>
      <t>Počet</t>
    </r>
    <r>
      <rPr>
        <b/>
        <sz val="12"/>
        <rFont val="Times New Roman"/>
        <family val="1"/>
        <charset val="238"/>
      </rPr>
      <t xml:space="preserve"> žien</t>
    </r>
    <r>
      <rPr>
        <b/>
        <sz val="12"/>
        <rFont val="Times New Roman"/>
        <family val="1"/>
      </rPr>
      <t xml:space="preserve"> platených z prostriedkov štátneho rozpočtu</t>
    </r>
  </si>
  <si>
    <r>
      <t>Ženy</t>
    </r>
    <r>
      <rPr>
        <b/>
        <sz val="12"/>
        <rFont val="Times New Roman"/>
        <family val="1"/>
      </rPr>
      <t xml:space="preserve"> platené z dotácie MŠVVaŠ SR</t>
    </r>
  </si>
  <si>
    <r>
      <t xml:space="preserve">Počet </t>
    </r>
    <r>
      <rPr>
        <b/>
        <sz val="12"/>
        <rFont val="Times New Roman"/>
        <family val="1"/>
        <charset val="238"/>
      </rPr>
      <t>žien</t>
    </r>
    <r>
      <rPr>
        <b/>
        <sz val="12"/>
        <rFont val="Times New Roman"/>
        <family val="1"/>
      </rPr>
      <t xml:space="preserve"> platených z iných zdrojov</t>
    </r>
  </si>
  <si>
    <r>
      <t xml:space="preserve">Počet </t>
    </r>
    <r>
      <rPr>
        <b/>
        <sz val="12"/>
        <rFont val="Times New Roman"/>
        <family val="1"/>
        <charset val="238"/>
      </rPr>
      <t>žien</t>
    </r>
    <r>
      <rPr>
        <b/>
        <sz val="12"/>
        <rFont val="Times New Roman"/>
        <family val="1"/>
      </rPr>
      <t xml:space="preserve"> spolu</t>
    </r>
  </si>
  <si>
    <t>L= G+H+I+J+K</t>
  </si>
  <si>
    <t>-za dosiahnutie vynikajúceho výsledku v oblasti štúdia [R6+R7]</t>
  </si>
  <si>
    <t>-za dosiahnutie vynikajúceho výsledku vo výskume a vývoji [R9+R10]</t>
  </si>
  <si>
    <r>
      <t>Tabuľka č. 1: Príjmy z dotácií verejnej vysokej škole zo štátneho rozpočtu z kapitoly MŠVVaŠ SR
 poskytnuté na základe Zmluvy o poskytnutí dotácie zo štátneho rozpočtu prostredníctvom rozpočtu Ministerstva školstva, vedy, výskumu a športu Slovenskej republiky na rok 2016</t>
    </r>
    <r>
      <rPr>
        <b/>
        <sz val="14"/>
        <color rgb="FFFF0000"/>
        <rFont val="Times New Roman"/>
        <family val="1"/>
        <charset val="238"/>
      </rPr>
      <t xml:space="preserve">  </t>
    </r>
    <r>
      <rPr>
        <b/>
        <sz val="14"/>
        <rFont val="Times New Roman"/>
        <family val="1"/>
      </rPr>
      <t xml:space="preserve">na programe 077 </t>
    </r>
  </si>
  <si>
    <r>
      <t>Tabuľka č. 2: Príjmy verejnej vysokej školy v roku 2016</t>
    </r>
    <r>
      <rPr>
        <b/>
        <sz val="14"/>
        <color rgb="FFFF0000"/>
        <rFont val="Times New Roman"/>
        <family val="1"/>
        <charset val="238"/>
      </rPr>
      <t xml:space="preserve"> </t>
    </r>
    <r>
      <rPr>
        <b/>
        <sz val="14"/>
        <rFont val="Times New Roman"/>
        <family val="1"/>
        <charset val="238"/>
      </rPr>
      <t>majúce charakter dotácie okrem príjmov z dotácií 
 z  kapitoly MŠVVaŠ SR a okrem  prostriedkov EÚ  (štrukturálnych  fondov)</t>
    </r>
  </si>
  <si>
    <t>Tabuľka č. 3: Výnosy verejnej vysokej školy v rokoch 2015 a 2016</t>
  </si>
  <si>
    <t>Rozdiel 2016-2015</t>
  </si>
  <si>
    <r>
      <t>Tabuľka č. 4: Výnosy verejnej vysokej školy zo školného a z poplatkov spojených so štúdiom  
v rokoch 2015</t>
    </r>
    <r>
      <rPr>
        <b/>
        <sz val="14"/>
        <color rgb="FFFF0000"/>
        <rFont val="Times New Roman"/>
        <family val="1"/>
        <charset val="238"/>
      </rPr>
      <t xml:space="preserve"> </t>
    </r>
    <r>
      <rPr>
        <b/>
        <sz val="14"/>
        <rFont val="Times New Roman"/>
        <family val="1"/>
        <charset val="238"/>
      </rPr>
      <t>a 2016</t>
    </r>
    <r>
      <rPr>
        <b/>
        <sz val="14"/>
        <color rgb="FFFF0000"/>
        <rFont val="Times New Roman"/>
        <family val="1"/>
        <charset val="238"/>
      </rPr>
      <t xml:space="preserve"> </t>
    </r>
  </si>
  <si>
    <t>Tabuľka č. 5: Náklady verejnej vysokej školy v rokoch 2015 a 2016</t>
  </si>
  <si>
    <t>Priemerný evidenčný prepočítaný počet zamestnancov za rok 2016</t>
  </si>
  <si>
    <t>Tabuľka č. 6: Zamestnanci a náklady na mzdy verejnej vysokej školy v roku 2016</t>
  </si>
  <si>
    <r>
      <t xml:space="preserve">Priemerný evidenčný prepočítaný počet </t>
    </r>
    <r>
      <rPr>
        <b/>
        <sz val="12"/>
        <rFont val="Times New Roman"/>
        <family val="1"/>
        <charset val="238"/>
      </rPr>
      <t>žien</t>
    </r>
    <r>
      <rPr>
        <b/>
        <sz val="12"/>
        <rFont val="Times New Roman"/>
        <family val="1"/>
      </rPr>
      <t xml:space="preserve"> za rok 2016</t>
    </r>
  </si>
  <si>
    <t>Tabuľka č. 8: Údaje o systéme sociálnej podpory - časť  sociálne štipendiá  (§ 96 zákona) 
za roky 2015 a 2016</t>
  </si>
  <si>
    <r>
      <t>Tabuľka č. 9: Údaje o systéme sociálnej podpory  - časť výnosy a náklady</t>
    </r>
    <r>
      <rPr>
        <b/>
        <vertAlign val="superscript"/>
        <sz val="14"/>
        <rFont val="Times New Roman"/>
        <family val="1"/>
        <charset val="238"/>
      </rPr>
      <t>1)</t>
    </r>
    <r>
      <rPr>
        <b/>
        <sz val="14"/>
        <rFont val="Times New Roman"/>
        <family val="1"/>
      </rPr>
      <t xml:space="preserve"> študentských domovov 
(bez zmluvných zariadení) za roky 2015 a 2016</t>
    </r>
  </si>
  <si>
    <t>Tabuľka č. 11: Zdroje verejnej vysokej školy na obstaranie a technické zhodnotenie dlhodobého  majetku v rokoch 2015 a 2016</t>
  </si>
  <si>
    <t>Tabuľka č. 12: Výdavky verejnej vysokej školy na obstaranie a technické zhodnotenie dlhodobého majetku v roku 2016</t>
  </si>
  <si>
    <t>Čerpanie kapitálovej dotácie v roku 2016
zo štátneho rozpočtu</t>
  </si>
  <si>
    <t xml:space="preserve">Čerpanie bežnej dotácie v roku 2016 prostredníctvom fondu reprodukcie </t>
  </si>
  <si>
    <t>Tabuľka č. 13: Stav a vývoj finančných fondov verejnej vysokej školy v rokoch 2015 a 2016</t>
  </si>
  <si>
    <t>Tabuľka č. 16: Štruktúra a stav finančných prostriedkov na bankových účtoch verejnej vysokej školy
   k 31. decembru 2016</t>
  </si>
  <si>
    <t>Stav účtu k 31.12.2016</t>
  </si>
  <si>
    <t>Tabuľka č. 17: Príjmy verejnej vysokej školy z prostriedkov EÚ a z prostriedkov na ich spolufinancovanie 
zo štátneho rozpočtu z kapitoly MŠVVaŠ SR a z iných kapitol štátneho rozpočtu v roku 2016</t>
  </si>
  <si>
    <t xml:space="preserve">Tabuľka č. 19: Štipendiá z vlastných zdrojov podľa § 97 zákona v rokoch 2015 a 2016 </t>
  </si>
  <si>
    <t>Stav k 31. 12. 2015</t>
  </si>
  <si>
    <t>Stav k 31. 12. 2016</t>
  </si>
  <si>
    <t xml:space="preserve">Tabuľka č. 22: Výnosy verejnej vysokej školy v roku 2016 v oblasti sociálnej podpory študentov </t>
  </si>
  <si>
    <t>Výnosy
v hlavnej činnosti
2015</t>
  </si>
  <si>
    <t xml:space="preserve">Tabuľka č .23:  Náklady verejnej vysokej školy  v roku 2016 v oblasti sociálnej podpory študentov </t>
  </si>
  <si>
    <t>Náklady
hlavnej činnosti
2016</t>
  </si>
  <si>
    <t>Obsah tabuľkovej prílohy výročnej správy o hospodárení verejnej vysokej školy za rok 2016</t>
  </si>
  <si>
    <t>Vysvetlivky k tabuľkám výročnej správy o hospodárení verejných vysokých škôl za rok 2016</t>
  </si>
  <si>
    <t>Súvzťažnosti tabuliek výročnej správy o hospodárení verejných vysokých škôl za rok 2016</t>
  </si>
  <si>
    <r>
      <t>Príjmy z dotácií verejnej vysokej škole zo štátneho rozpočtu z kapitoly MŠVVaŠ SR  poskytnuté na základe Zmluvy o poskytnutí dotácie zo štátneho rozpočtu
prostredníctvom rozpočtu Ministerstva školstva, vedy, výskumu a športu Slovenskej republiky na rok 2016</t>
    </r>
    <r>
      <rPr>
        <sz val="12"/>
        <color rgb="FF00B050"/>
        <rFont val="Times New Roman"/>
        <family val="1"/>
        <charset val="238"/>
      </rPr>
      <t xml:space="preserve"> </t>
    </r>
    <r>
      <rPr>
        <sz val="12"/>
        <rFont val="Times New Roman"/>
        <family val="1"/>
        <charset val="238"/>
      </rPr>
      <t xml:space="preserve"> na programe 077 </t>
    </r>
  </si>
  <si>
    <r>
      <t>Príjmy verejnej vysokej školy v roku 2016</t>
    </r>
    <r>
      <rPr>
        <sz val="12"/>
        <color rgb="FF00B050"/>
        <rFont val="Times New Roman"/>
        <family val="1"/>
        <charset val="238"/>
      </rPr>
      <t xml:space="preserve"> </t>
    </r>
    <r>
      <rPr>
        <sz val="12"/>
        <rFont val="Times New Roman"/>
        <family val="1"/>
        <charset val="238"/>
      </rPr>
      <t xml:space="preserve">majúce charakter dotácie okrem príjmov z dotácií  z  kapitoly MŠVVaŠ SR a okrem štrukturálnych fondov EÚ </t>
    </r>
  </si>
  <si>
    <r>
      <t>Výnosy verejnej vysokej školy zo školného a z poplatkov spojených so štúdiom v rokoch 2015</t>
    </r>
    <r>
      <rPr>
        <sz val="12"/>
        <color indexed="10"/>
        <rFont val="Times New Roman"/>
        <family val="1"/>
        <charset val="238"/>
      </rPr>
      <t xml:space="preserve"> </t>
    </r>
    <r>
      <rPr>
        <sz val="12"/>
        <rFont val="Times New Roman"/>
        <family val="1"/>
        <charset val="238"/>
      </rPr>
      <t>a 2016</t>
    </r>
  </si>
  <si>
    <t>Náklady verejnej vysokej školy v rokoch 2015 a 2016</t>
  </si>
  <si>
    <t>Zamestnanci a náklady na mzdy verejnej vysokej školy v roku 2016</t>
  </si>
  <si>
    <r>
      <t>Zamestnanci a náklady na mzdy verejnej vysokej školy v roku 2016</t>
    </r>
    <r>
      <rPr>
        <sz val="12"/>
        <color theme="1"/>
        <rFont val="Times New Roman"/>
        <family val="1"/>
        <charset val="238"/>
      </rPr>
      <t xml:space="preserve"> - len ženy</t>
    </r>
  </si>
  <si>
    <t>Náklady verejnej vysokej školy na štipendiá interných doktorandov v roku 2016</t>
  </si>
  <si>
    <t>Údaje o systéme sociálnej podpory  - časť  sociálne štipendiá  (§ 96 zákona) za roky 2015 a 2016</t>
  </si>
  <si>
    <r>
      <t>Údaje o systéme sociálnej podpory  - časť výnosy a náklady</t>
    </r>
    <r>
      <rPr>
        <b/>
        <sz val="12"/>
        <rFont val="Times New Roman"/>
        <family val="1"/>
        <charset val="238"/>
      </rPr>
      <t xml:space="preserve"> </t>
    </r>
    <r>
      <rPr>
        <sz val="12"/>
        <rFont val="Times New Roman"/>
        <family val="1"/>
        <charset val="238"/>
      </rPr>
      <t>študentských domovov (bez zmluvných zariadení) za roky 2015 a 2016</t>
    </r>
    <r>
      <rPr>
        <b/>
        <sz val="12"/>
        <color indexed="10"/>
        <rFont val="Times New Roman"/>
        <family val="1"/>
        <charset val="238"/>
      </rPr>
      <t xml:space="preserve"> </t>
    </r>
  </si>
  <si>
    <r>
      <t>Údaje o systéme sociálnej podpory  - časť výnosy a náklady</t>
    </r>
    <r>
      <rPr>
        <b/>
        <sz val="12"/>
        <rFont val="Times New Roman"/>
        <family val="1"/>
        <charset val="238"/>
      </rPr>
      <t xml:space="preserve"> </t>
    </r>
    <r>
      <rPr>
        <sz val="12"/>
        <rFont val="Times New Roman"/>
        <family val="1"/>
        <charset val="238"/>
      </rPr>
      <t>študentských jedální</t>
    </r>
    <r>
      <rPr>
        <b/>
        <sz val="12"/>
        <rFont val="Times New Roman"/>
        <family val="1"/>
        <charset val="238"/>
      </rPr>
      <t xml:space="preserve">  </t>
    </r>
    <r>
      <rPr>
        <sz val="12"/>
        <rFont val="Times New Roman"/>
        <family val="1"/>
        <charset val="238"/>
      </rPr>
      <t>za roky 2015 a 2016</t>
    </r>
  </si>
  <si>
    <t>Zdroje verejnej vysokej školy na obstaranie a technické zhodnotenie dlhodobého  majetku v rokoch 2015 a 2016</t>
  </si>
  <si>
    <t>Výdavky verejnej vysokej školy na obstaranie a technické zhodnotenie dlhodobého majetku v roku 2016</t>
  </si>
  <si>
    <r>
      <t>Stav a vývoj finančných fondov verejnej vysokej školy v rokoch 2015</t>
    </r>
    <r>
      <rPr>
        <sz val="12"/>
        <color indexed="10"/>
        <rFont val="Times New Roman"/>
        <family val="1"/>
        <charset val="238"/>
      </rPr>
      <t xml:space="preserve"> </t>
    </r>
    <r>
      <rPr>
        <sz val="12"/>
        <rFont val="Times New Roman"/>
        <family val="1"/>
        <charset val="238"/>
      </rPr>
      <t>a 2016</t>
    </r>
  </si>
  <si>
    <r>
      <t>Štruktúra a stav finančných prostriedkov na bankových účtoch verejnej vysokej školy k 31. decembru 2016</t>
    </r>
    <r>
      <rPr>
        <sz val="12"/>
        <color rgb="FF00B050"/>
        <rFont val="Times New Roman"/>
        <family val="1"/>
        <charset val="238"/>
      </rPr>
      <t xml:space="preserve"> </t>
    </r>
  </si>
  <si>
    <t>Príjmy verejnej vysokej školy z prostriedkov EÚ a z prostriedkov na ich spolufinancovanie zo štátneho rozpočtu z kapitoly MŠVVaŠ SR a z iných kapitol štátneho rozpočtu v roku 2016</t>
  </si>
  <si>
    <r>
      <t>Príjmy z dotácií verejnej vysokej škole zo štátneho rozpočtu z kapitoly MŠVVaŠ SR poskytnuté mimo programu 077 a mimo príjmov z prostriedkov EÚ (zo štrukturálnych fondov) v roku 2016</t>
    </r>
    <r>
      <rPr>
        <sz val="12"/>
        <color rgb="FF00B050"/>
        <rFont val="Times New Roman"/>
        <family val="1"/>
        <charset val="238"/>
      </rPr>
      <t xml:space="preserve"> </t>
    </r>
  </si>
  <si>
    <t>Štipendiá z vlastných zdrojov podľa § 97 zákona v rokoch 2015 a 2016</t>
  </si>
  <si>
    <t xml:space="preserve">Motivačné štipendiá  v rokoch 2015 a 2016 (v zmysle § 96a  zákona ) </t>
  </si>
  <si>
    <t>Štruktúra účtu 384 - výnosy budúcich období v rokoch 2015 a 2016</t>
  </si>
  <si>
    <t>Výnosy verejnej vysokej školy v roku 2016 v oblasti sociálnej podpory študentov</t>
  </si>
  <si>
    <t>- školné od cudzincov (§ 92 ods. 9 zákona) 649 002, 649 023</t>
  </si>
  <si>
    <t>- školné od externých študentov (§ 92 ods. 4  zákona) 649 020</t>
  </si>
  <si>
    <t>- poplatky za súbežné štúdium (§ 92, ods. 5) 649 026</t>
  </si>
  <si>
    <t>- poplatky za prijímacie konanie (§ 92, ods. 10) 649 003</t>
  </si>
  <si>
    <t>- poplatky za rigorózne konanie - vydanie diplómu 649 005</t>
  </si>
  <si>
    <t>- poplatky za vydanie dokladov o absolvovaní štúdia (§92, ods. 15, 649 024)</t>
  </si>
  <si>
    <t>- poplatky za uznávanie rovnocennosti dokladov o štúdiu (§92, ods. 15, 649 025)</t>
  </si>
  <si>
    <t>- poplatky za rigorózne konanie (§ 92, ods. 11) 649 004</t>
  </si>
  <si>
    <t>- školné za prekročenie štandardnej dĺžky štúdia 649 001</t>
  </si>
  <si>
    <t>Zmeny stavu zásob vlastnej výroby (účtová skupina 611-614)</t>
  </si>
  <si>
    <t>Aktivácia (účet 621-624)</t>
  </si>
  <si>
    <t>Príspevky z podielu zaplatenej dane (účet 665)</t>
  </si>
  <si>
    <t>- ostatný materiál (účet 501 099, 501 030, 501 100, 501 599)</t>
  </si>
  <si>
    <t>- ostatné energie (502 099)</t>
  </si>
  <si>
    <t>- dopravné služby (účet 518 012, 518 512)</t>
  </si>
  <si>
    <t>- Náklady účtovnej skupiny 54  okrem nákladov účtu 549 (541 až 548)</t>
  </si>
  <si>
    <t>- ostatné náklady z účtovej skupiny 55 (účty 552, 553, 554, 557, 558, 559)</t>
  </si>
  <si>
    <t xml:space="preserve"> - odpisy ostatného DN a HM (účet 551 200, 551 221, 551 223, 551 400, 551 900, 551 921, 551 923)</t>
  </si>
  <si>
    <t>- chemikálie a ostatný materiál pre zabezpečenie experimentálnej výučby  (účet 501 002, 501 052)</t>
  </si>
  <si>
    <t xml:space="preserve">- iné analyticky sledované náklady (účty 518 003, 518 013, 518 015-018, 518 020-030, 518 031-034, 518 040, 518 041, 518 529, 518 530, 518 599) </t>
  </si>
  <si>
    <t xml:space="preserve">    - Podpora štud. so špecifickými potrebami podľa §100  (549 018) </t>
  </si>
  <si>
    <t>81a</t>
  </si>
  <si>
    <t>- náklady na tvorbu fondu reprodukcie (účet 556 400) (z predaja a likvidácie majetku)</t>
  </si>
  <si>
    <t xml:space="preserve"> - štipendiá z vlastných zdrojov (549 007-010, 549 019, 549 020) </t>
  </si>
  <si>
    <t xml:space="preserve"> - iné analyticky sledované náklady (účet 549 005-006, 549 012)</t>
  </si>
  <si>
    <t>- tvorba fondu z výnosov z predaja (a likvidácie) majetku (účet 413 117)</t>
  </si>
  <si>
    <t>- iné analyticky sledované výnosy (účty 602 002-007, 602 011-019, 602 099, 602 199)</t>
  </si>
  <si>
    <t>- dary (účet 649 009) (646 001)</t>
  </si>
  <si>
    <t>- vložné na konferencie (649 018)</t>
  </si>
  <si>
    <t>Prijaté príspevky z verejných zbierok (667)</t>
  </si>
  <si>
    <r>
      <t>Výnosy zo školného</t>
    </r>
    <r>
      <rPr>
        <sz val="12"/>
        <color indexed="8"/>
        <rFont val="Times New Roman"/>
        <family val="1"/>
      </rPr>
      <t xml:space="preserve">  [SUM (R2:R6)]</t>
    </r>
  </si>
  <si>
    <t>Výnosy verejnej vysokej školy v rokoch 2015 a 2016</t>
  </si>
  <si>
    <r>
      <t>Náklady verejnej vysokej školy  v roku 2016</t>
    </r>
    <r>
      <rPr>
        <sz val="12"/>
        <color indexed="10"/>
        <rFont val="Times New Roman"/>
        <family val="1"/>
        <charset val="238"/>
      </rPr>
      <t xml:space="preserve"> </t>
    </r>
    <r>
      <rPr>
        <sz val="12"/>
        <rFont val="Times New Roman"/>
        <family val="1"/>
        <charset val="238"/>
      </rPr>
      <t>v oblasti sociálnej podpory študentov</t>
    </r>
  </si>
  <si>
    <t xml:space="preserve">Názov verejnej vysokej školy:   UPJŠ v Košiciach, Šrorárova 2
Názov fakulty:  </t>
  </si>
  <si>
    <t xml:space="preserve">Názov verejnej vysokej školy:   UPJŠ v Košiciach, Šrorárova 2
Názov fakulty:   </t>
  </si>
  <si>
    <t xml:space="preserve">Názov verejnej vysokej školy: UPJŠ v Košiciach, Šrorárova 2
Názov fakulty:  </t>
  </si>
  <si>
    <t xml:space="preserve">Názov verejnej vysokej školy:  UPJŠ v Košiciach, Šrorárova 2
Názov fakulty:  </t>
  </si>
  <si>
    <t>Názov verejnej vysokej školy:  UPJŠ v Košiciach, Šrorárova 2</t>
  </si>
  <si>
    <t xml:space="preserve">Názov verejnej vysokej školy: UPJŠ v Košiciach, Šrorárova 2
Názov fakulty: </t>
  </si>
  <si>
    <t>MZ SR projekt Rezident</t>
  </si>
  <si>
    <t>MK SR pre Univerzitnú knižnicu</t>
  </si>
  <si>
    <t>1c</t>
  </si>
  <si>
    <t>APVV pre spoluriešiteľov</t>
  </si>
  <si>
    <t>Višehradský fond</t>
  </si>
  <si>
    <t>Slovenská  Kardiolgická spoločnosť -grant</t>
  </si>
  <si>
    <t>Botanická záhrada - príspevok od Slov.bot.sp. na botanikiádu</t>
  </si>
  <si>
    <t xml:space="preserve">Tabuľka č. 20: Motivačné štipendiá  v rokoch 2015 a 2016 (v zmysle § 96a zákona )  </t>
  </si>
  <si>
    <t>Univ.Medisch centrum Groningen</t>
  </si>
  <si>
    <t>HU-Erasmus Chance-ECDSP v rámci Schémy LLP</t>
  </si>
  <si>
    <t>4c</t>
  </si>
  <si>
    <t>4d</t>
  </si>
  <si>
    <t>4e</t>
  </si>
  <si>
    <t xml:space="preserve">4f </t>
  </si>
  <si>
    <t>4g</t>
  </si>
  <si>
    <t>4h</t>
  </si>
  <si>
    <t>Sophie-Agencia de Salut Barcelona</t>
  </si>
  <si>
    <t>Erasmus + SAAIC LF</t>
  </si>
  <si>
    <t>FP-7 CELIM prof.Miškovský</t>
  </si>
  <si>
    <t>ALT H2020 doc.Kopčo</t>
  </si>
  <si>
    <t>NATO Emerging Security Challenges Division, SPS Programme Brussels, Belgium</t>
  </si>
  <si>
    <t>The European space Agency (ESA), Paris France</t>
  </si>
  <si>
    <t>Gotland University in Visby, Sweden RNDr.Ľuptáčik</t>
  </si>
  <si>
    <t>4i</t>
  </si>
  <si>
    <t>4j</t>
  </si>
  <si>
    <t>4k</t>
  </si>
  <si>
    <t>4l</t>
  </si>
  <si>
    <t xml:space="preserve">7.RP Martin Luther univ. Halle projekt Erasmus+acr.SciVis </t>
  </si>
  <si>
    <t>FP7-SCIENCE-IN-Society-2011-1 doc.Kireš</t>
  </si>
  <si>
    <t>Dcore Systems SA Switzeland</t>
  </si>
  <si>
    <t>Universitet pedagogiczny Krakow, Poland</t>
  </si>
  <si>
    <t>Hochschule Harz KoWiSt projekt</t>
  </si>
  <si>
    <t>4m</t>
  </si>
  <si>
    <t>4n</t>
  </si>
  <si>
    <t>projekt 526773-LLP-1-2014241 UK ERASMUS of Oxford</t>
  </si>
  <si>
    <t>H02020 projekt UrbanHist</t>
  </si>
  <si>
    <t>4o</t>
  </si>
  <si>
    <t>4p</t>
  </si>
  <si>
    <t>4r</t>
  </si>
  <si>
    <t>4s</t>
  </si>
  <si>
    <t>Socrates</t>
  </si>
  <si>
    <t>Erasmus</t>
  </si>
  <si>
    <t>1d</t>
  </si>
  <si>
    <t>Ministerstvo zahraničných vecí SR pre Právnickú fakultu</t>
  </si>
  <si>
    <t>2c</t>
  </si>
  <si>
    <t>príspevok od mesta Košice na Univerzitu bez hraníc</t>
  </si>
  <si>
    <t>príspevok od VUC Košice na Univerzitu bez hraníc</t>
  </si>
  <si>
    <t>SK6581800000007000241949 Dotačný účet LF, SK7481800000007000241690 Dotačný účet PF, SK7081800000007000241762 Dotačný účet Práv.F, SK9581800000007000241797 Dotačný účet FVS, SK4881800000007000241770 Dotačný účet R</t>
  </si>
  <si>
    <t>SK7981800000007000137519 Zostatkový účet LF, SK5781800000007000137527 Zostatkový účet PF,  SK1081800000007000137500 Zost.dot.Práv.F, SK1381800000007000137543 Zost.dot.FVS, SK3581800000007000137535 Zost.dot.R</t>
  </si>
  <si>
    <t>SK6881800000007000152655 Distribučný účet, R</t>
  </si>
  <si>
    <t xml:space="preserve">SK7381800000007000078360 BUN LF,
SK2881800000007000078491BUN PF KE, 
SK6981800000007000078432 BUN Práv.F KE, 
SK5881800000007000086002 BUN FVS KE, 
SK6481800000007000074351BUN R UPJŠ
</t>
  </si>
  <si>
    <t>SK3681800000007000436471 BU Cardpay HČ ŠJ</t>
  </si>
  <si>
    <t xml:space="preserve">SK918100000007000078424 Devízový -USD LF,
</t>
  </si>
  <si>
    <t xml:space="preserve">SK4581800000007000078379 ŠF LF, 
SK6581800000007000078504 ŠF PF KE, 
SK4781800000007000078440 ŠF Právn.F KE, 
SK8381800000007000086037 ŠF FVS KE, 
SK8081800000007000252349 ŠF Rekt.UPJŠ KE
</t>
  </si>
  <si>
    <t xml:space="preserve">SK1681800000007000078416 PČ LF, 
SK6881800000007000078547 PČ PF, 
SK5081800000007000078483 PČ Práv.F, 
SK3981800000007000086053 PČ FVS, 
SK1181800000007000074335 PČ R UPJŠ
</t>
  </si>
  <si>
    <t xml:space="preserve">SK9881800000007000078395 SF LF KE, 
SK2181800000007000078520 SF PF KE, 
SK9481800000007000078467 SF PrávF KE,
SK0881800000007000086029 SFFVS KE, 
SK8681800000007000074343 SF UPJŠ KE
</t>
  </si>
  <si>
    <t>SK3681800000007000252365 BU F.Repr.Rekt. UPJŠ</t>
  </si>
  <si>
    <t>SK1581800000007000467307 Zábezpeka,R</t>
  </si>
  <si>
    <t xml:space="preserve">SK2381800000007000078387 Dary a granty LF,
SK4381800000007000078512 Dary a granty PF,
SK1981800000007000078459 Dary a granty PrávF,
SK3681800000007000086010 Dary a granty FVS, 
SK5481800000007000099751 Dary a granty R, 
SK1081800000007000439752 AŠF EU CEX Cezis,
SK1981800000007000406125 ESF CEX Biomed LF,
SK7981800000007000358776 BÚ-MVP CCV, PF, 
SK8281800000007000368034 ESF Doktorand, pf, 
SK0781800000007000368026 ESF MoVeS,FVS,
SK3681800000007000386419 AŠF EU MŠ SR Probio, 
SK6281800000007000455015 AŠF  KVARK, PF, 
SK8681800000007000454389 AŠF IRES, PF, 
SK2681800000007000464296 ESF SOFOS, PF, 
SK2981800000007000476270 RIFIV, PF, 
SK9581800000007000467710 BU Technikom, UPJŠ KE,
SK7781800000007000470362 Medipark, 
SK34818000000070000214959 Devízový -EUR FVS
SK0581800000007000497848 AŠF EU MŠ SR Platon,
SK3281800000007000388916 BU Mikromatel, 
SK8981800000007000074386 Socrates, R
SK4181800000007000565003 Dotačný NFP MF SR
</t>
  </si>
  <si>
    <t>SK1481800000007000535904 Erasmus + acr.SciVis,
SK44 81800000007000540893 Commenius SciCamp,
SK3881800000007000440315 7RP SAILS,
SK9881800000007000464261 CELIM, 
SK1281800000007000371719 MonInterFluoProt , 
SK3081800000007000373335 Establish
SK68 8180 0000 0070 0054 7833 BU H2020-ALT, PF UPJŠ
SK43 8180 0000 0070 0055 9535 DeCaSuB</t>
  </si>
  <si>
    <t>- za vydanie dokladov o štúdiu a ich kópií (§ 92 ods. 15 zákona) (účet 649 006)</t>
  </si>
  <si>
    <t>Botanická záhrada</t>
  </si>
  <si>
    <t xml:space="preserve">Tabuľka č. 7: Náklady verejnej vysokej školy na štipendiá interných doktorandov v roku 2016 </t>
  </si>
  <si>
    <t xml:space="preserve"> na miestach pridelených MŠVVaŠ SR
pred 1.9. 2012</t>
  </si>
  <si>
    <t>Náklady spolu</t>
  </si>
  <si>
    <t>v tom:</t>
  </si>
  <si>
    <t>z účelovej dotácie MŠVVaŠ SR
(kódy 10, 11)</t>
  </si>
  <si>
    <t>E=A+B+C+D</t>
  </si>
  <si>
    <t xml:space="preserve">  - náklady na štipendiá vo výške 9. platovej triedy a 1. platového stupňa 
( v CRŠ kód 10 )</t>
  </si>
  <si>
    <r>
      <t xml:space="preserve">  - náklady na časť štipendia prevyšujúce 9. platovú triedu a 1. platový stupeň   </t>
    </r>
    <r>
      <rPr>
        <i/>
        <sz val="12"/>
        <rFont val="Times New Roman"/>
        <family val="1"/>
        <charset val="238"/>
      </rPr>
      <t>(kód 16)</t>
    </r>
  </si>
  <si>
    <t xml:space="preserve">  - náklady na štipendiá vo výške 10. platovej triedy a 1. platového stupňa 
( v CRŠ kód 11 )</t>
  </si>
  <si>
    <r>
      <t xml:space="preserve">  - náklady na časť štipendia prevyšujúce 10. platovú triedu a 1. platový stupeň </t>
    </r>
    <r>
      <rPr>
        <i/>
        <sz val="12"/>
        <rFont val="Times New Roman"/>
        <family val="1"/>
        <charset val="238"/>
      </rPr>
      <t xml:space="preserve"> (kód 16)</t>
    </r>
  </si>
  <si>
    <t>Nevyčerpaná účelová dotácia (+) / nedoplatok účelovej dotácie (-) za rok 2015</t>
  </si>
  <si>
    <t>Priemerný mesačný náklad na doktoranda</t>
  </si>
  <si>
    <t>- telekomunikačná technika  (713 003), komunikačná infraštruktúra (713 006)</t>
  </si>
  <si>
    <r>
      <t>Tabuľka č. 10: Údaje o systéme sociálnej podpory  - časť výnosy a náklady</t>
    </r>
    <r>
      <rPr>
        <b/>
        <vertAlign val="superscript"/>
        <sz val="14"/>
        <rFont val="Times New Roman"/>
        <family val="1"/>
      </rPr>
      <t>1)</t>
    </r>
    <r>
      <rPr>
        <b/>
        <sz val="14"/>
        <rFont val="Times New Roman"/>
        <family val="1"/>
      </rPr>
      <t xml:space="preserve"> študentských jedální 
za roky 2015 a 2016 </t>
    </r>
  </si>
  <si>
    <r>
      <t>Tržby jedální súvisiace so stravovaním študentov v kalendárnom roku spolu</t>
    </r>
    <r>
      <rPr>
        <sz val="12"/>
        <rFont val="Times New Roman"/>
        <family val="1"/>
      </rPr>
      <t xml:space="preserve"> [R3+R4]</t>
    </r>
  </si>
  <si>
    <t>- tržby za stravné lístky študentov</t>
  </si>
  <si>
    <t>- ostatné tržby súvisiace so stravovaním študentov</t>
  </si>
  <si>
    <r>
      <t xml:space="preserve">Výnos z dotácie zo štátneho rozpočtu na študentské jedálne spolu </t>
    </r>
    <r>
      <rPr>
        <sz val="12"/>
        <rFont val="Times New Roman"/>
        <family val="1"/>
      </rPr>
      <t>[R6+R7-R8]</t>
    </r>
  </si>
  <si>
    <t>- zostatok nevyčerpanej dotácie (+)/ nedoplatok dotácie (-) z predchádzajúcich rokov [R6_SB=R8_SA]</t>
  </si>
  <si>
    <t xml:space="preserve">- účelová dotácia v danom kalendárnom roku </t>
  </si>
  <si>
    <t>- prenos zostatku dotácie do nasledujúceho kalendárneho roku [R6+R7-R15]</t>
  </si>
  <si>
    <t>Náklady na činnosť študentských jedální súvisiace so stravovaním študentov za kalendárny rok</t>
  </si>
  <si>
    <r>
      <t xml:space="preserve">Počet vydaných jedál študentom </t>
    </r>
    <r>
      <rPr>
        <b/>
        <vertAlign val="superscript"/>
        <sz val="12"/>
        <rFont val="Times New Roman"/>
        <family val="1"/>
      </rPr>
      <t xml:space="preserve"> </t>
    </r>
    <r>
      <rPr>
        <b/>
        <sz val="12"/>
        <rFont val="Times New Roman"/>
        <family val="1"/>
      </rPr>
      <t xml:space="preserve">v kalendárnom roku  </t>
    </r>
  </si>
  <si>
    <t>- počet vydaných jedál študentom vo vlastných stravovacích zariadeniach3)</t>
  </si>
  <si>
    <r>
      <t xml:space="preserve">Nárok na príspevok zo štátneho rozpočtu na jedlá podľa metodiky </t>
    </r>
    <r>
      <rPr>
        <sz val="12"/>
        <rFont val="Times New Roman"/>
        <family val="1"/>
      </rPr>
      <t xml:space="preserve">                                     </t>
    </r>
  </si>
  <si>
    <t xml:space="preserve"> poplatky za vydanie dokladov o štúdiu 649 006</t>
  </si>
  <si>
    <t>- ostatné výnosy (účty 649 007, 649 012, 649 019, 649 021-022, 649 098) + 670</t>
  </si>
  <si>
    <t>pozn.1): rozdiel medzi údajom v stĺpci T6_R18_SH a údajom v T5_R56_(SC+SD) tvorí rozdiel výšky tvorby krátkodobej rezervy na mzdy na nevyčerpanú dovolenku za rok 2016 a čerpanou rezervou z roku 2015 v celkovej čiastke 94 671,73 €.</t>
  </si>
  <si>
    <t>Tabuľka č. 6a: Zamestnanci a náklady na mzdy verejnej vysokej školy v roku 2016   -   len  ženy  a výpočet priemerného platu mužov</t>
  </si>
  <si>
    <r>
      <t xml:space="preserve">Kategória zamestnancov - </t>
    </r>
    <r>
      <rPr>
        <b/>
        <sz val="12"/>
        <rFont val="Times New Roman"/>
        <family val="1"/>
        <charset val="238"/>
      </rPr>
      <t>žien</t>
    </r>
    <r>
      <rPr>
        <b/>
        <sz val="12"/>
        <rFont val="Times New Roman"/>
        <family val="1"/>
      </rPr>
      <t xml:space="preserve">
</t>
    </r>
  </si>
  <si>
    <r>
      <t xml:space="preserve">Tržby za vlastné výrobky (účet 601) </t>
    </r>
    <r>
      <rPr>
        <sz val="12"/>
        <rFont val="Times New Roman"/>
        <family val="1"/>
        <charset val="238"/>
      </rPr>
      <t>[SUM(R2:R5)]</t>
    </r>
  </si>
  <si>
    <r>
      <t>Tržby z predaja služieb (účet 602)</t>
    </r>
    <r>
      <rPr>
        <sz val="12"/>
        <rFont val="Times New Roman"/>
        <family val="1"/>
        <charset val="238"/>
      </rPr>
      <t xml:space="preserve"> [SUM(R7:R10)] </t>
    </r>
  </si>
  <si>
    <r>
      <t>Úroky (účet 644)</t>
    </r>
    <r>
      <rPr>
        <sz val="12"/>
        <rFont val="Times New Roman"/>
        <family val="1"/>
        <charset val="238"/>
      </rPr>
      <t xml:space="preserve"> [R17+R18]</t>
    </r>
  </si>
  <si>
    <t>Výnosy zo školného (účet 649) [SUM(R21:R24)]</t>
  </si>
  <si>
    <t xml:space="preserve">Výnosy z poplatkov spojených so štúdiom (účet 649) [SUM(R26:R31)] </t>
  </si>
  <si>
    <r>
      <t>Iné ostatné výnosy (účet 649)</t>
    </r>
    <r>
      <rPr>
        <sz val="14"/>
        <rFont val="Times New Roman"/>
        <family val="1"/>
        <charset val="238"/>
      </rPr>
      <t xml:space="preserve"> [SUM(R33:R43)]</t>
    </r>
  </si>
  <si>
    <r>
      <t xml:space="preserve">Výnosy z použitia fondov (účet 656) [SUM(R50:R54)]  </t>
    </r>
    <r>
      <rPr>
        <b/>
        <vertAlign val="superscript"/>
        <sz val="12"/>
        <rFont val="Times New Roman"/>
        <family val="1"/>
        <charset val="238"/>
      </rPr>
      <t xml:space="preserve"> 1)</t>
    </r>
  </si>
  <si>
    <r>
      <t>- fondu reprodukcie (účet 656 400)</t>
    </r>
    <r>
      <rPr>
        <vertAlign val="superscript"/>
        <sz val="12"/>
        <rFont val="Times New Roman"/>
        <family val="1"/>
        <charset val="238"/>
      </rPr>
      <t xml:space="preserve"> 2)</t>
    </r>
  </si>
  <si>
    <t>Prijaté príspevky od fyzických osôb 663</t>
  </si>
  <si>
    <r>
      <t xml:space="preserve">Spolu </t>
    </r>
    <r>
      <rPr>
        <sz val="11"/>
        <rFont val="Times New Roman"/>
        <family val="1"/>
        <charset val="238"/>
      </rPr>
      <t>[R1+R6+SUM(R11:R16)+R19+R20+R25+R32+SUM(R44:R49)+SUM(R55:R61)]</t>
    </r>
  </si>
  <si>
    <r>
      <t>Spotreba materiálu (účet 501)</t>
    </r>
    <r>
      <rPr>
        <sz val="12"/>
        <rFont val="Times New Roman"/>
        <family val="1"/>
      </rPr>
      <t xml:space="preserve"> </t>
    </r>
    <r>
      <rPr>
        <sz val="12"/>
        <rFont val="Times New Roman"/>
        <family val="1"/>
        <charset val="238"/>
      </rPr>
      <t>[SUM(R2:R13)]</t>
    </r>
  </si>
  <si>
    <r>
      <t>Spotreba energie (účet 502)</t>
    </r>
    <r>
      <rPr>
        <sz val="12"/>
        <rFont val="Times New Roman"/>
        <family val="1"/>
      </rPr>
      <t xml:space="preserve"> </t>
    </r>
    <r>
      <rPr>
        <sz val="12"/>
        <rFont val="Times New Roman"/>
        <family val="1"/>
        <charset val="238"/>
      </rPr>
      <t>[SUM(R15:R20)]</t>
    </r>
  </si>
  <si>
    <r>
      <t>Predaný tovar (účet 504)</t>
    </r>
    <r>
      <rPr>
        <sz val="12"/>
        <rFont val="Times New Roman"/>
        <family val="1"/>
        <charset val="238"/>
      </rPr>
      <t xml:space="preserve"> [SUM(R23:R26)]</t>
    </r>
  </si>
  <si>
    <r>
      <t>Opravy a udržiavanie (účet 511)</t>
    </r>
    <r>
      <rPr>
        <sz val="12"/>
        <rFont val="Times New Roman"/>
        <family val="1"/>
      </rPr>
      <t xml:space="preserve"> </t>
    </r>
    <r>
      <rPr>
        <sz val="12"/>
        <rFont val="Times New Roman"/>
        <family val="1"/>
        <charset val="238"/>
      </rPr>
      <t>[SUM(R28:R34)]</t>
    </r>
  </si>
  <si>
    <r>
      <t>Cestovné (účet 512)</t>
    </r>
    <r>
      <rPr>
        <sz val="12"/>
        <rFont val="Times New Roman"/>
        <family val="1"/>
      </rPr>
      <t xml:space="preserve"> [</t>
    </r>
    <r>
      <rPr>
        <sz val="12"/>
        <rFont val="Times New Roman"/>
        <family val="1"/>
        <charset val="238"/>
      </rPr>
      <t>SUM(R36:R37)]</t>
    </r>
  </si>
  <si>
    <r>
      <t>Ostatné služby (účet 518)</t>
    </r>
    <r>
      <rPr>
        <sz val="12"/>
        <rFont val="Times New Roman"/>
        <family val="1"/>
      </rPr>
      <t xml:space="preserve"> </t>
    </r>
    <r>
      <rPr>
        <sz val="12"/>
        <rFont val="Times New Roman"/>
        <family val="1"/>
        <charset val="238"/>
      </rPr>
      <t>[SUM(R40:R54)]</t>
    </r>
  </si>
  <si>
    <r>
      <t>Mzdové náklady (účet 521)</t>
    </r>
    <r>
      <rPr>
        <sz val="12"/>
        <rFont val="Times New Roman"/>
        <family val="1"/>
      </rPr>
      <t xml:space="preserve">  </t>
    </r>
    <r>
      <rPr>
        <sz val="12"/>
        <rFont val="Times New Roman"/>
        <family val="1"/>
        <charset val="238"/>
      </rPr>
      <t>[SUM(R56:R57)]</t>
    </r>
  </si>
  <si>
    <r>
      <t xml:space="preserve"> - MZDY (účty 521 001-008, 521 012, 521 013, </t>
    </r>
    <r>
      <rPr>
        <sz val="12"/>
        <rFont val="Times New Roman"/>
        <family val="1"/>
        <charset val="238"/>
      </rPr>
      <t>581 003</t>
    </r>
    <r>
      <rPr>
        <sz val="12"/>
        <rFont val="Times New Roman"/>
        <family val="1"/>
      </rPr>
      <t>)</t>
    </r>
  </si>
  <si>
    <r>
      <t xml:space="preserve"> - OON </t>
    </r>
    <r>
      <rPr>
        <sz val="12"/>
        <rFont val="Times New Roman"/>
        <family val="1"/>
        <charset val="238"/>
      </rPr>
      <t>[SUM(R58:R60)]</t>
    </r>
  </si>
  <si>
    <r>
      <t xml:space="preserve">Zákonné sociálne náklady (účet 527) </t>
    </r>
    <r>
      <rPr>
        <sz val="12"/>
        <rFont val="Times New Roman"/>
        <family val="1"/>
        <charset val="238"/>
      </rPr>
      <t>[SUM(R64:R69)]</t>
    </r>
  </si>
  <si>
    <r>
      <t>Ostatné náklady (účtová skupina 54)</t>
    </r>
    <r>
      <rPr>
        <sz val="12"/>
        <rFont val="Times New Roman"/>
        <family val="1"/>
      </rPr>
      <t xml:space="preserve"> </t>
    </r>
    <r>
      <rPr>
        <sz val="12"/>
        <rFont val="Times New Roman"/>
        <family val="1"/>
        <charset val="238"/>
      </rPr>
      <t>[R75+ R76]</t>
    </r>
  </si>
  <si>
    <r>
      <t xml:space="preserve"> - ostatné iné náklady (účet 549 098, 549 099, 549 011, 549 013)+</t>
    </r>
    <r>
      <rPr>
        <sz val="12"/>
        <rFont val="Times New Roman"/>
        <family val="1"/>
        <charset val="238"/>
      </rPr>
      <t>570</t>
    </r>
  </si>
  <si>
    <r>
      <t xml:space="preserve">Odpisy, predaný majetok a opravné položky (účtová skupina 55: 551 až 558) </t>
    </r>
    <r>
      <rPr>
        <sz val="12"/>
        <rFont val="Times New Roman"/>
        <family val="1"/>
        <charset val="238"/>
      </rPr>
      <t>[SUM(R85:R92)]</t>
    </r>
  </si>
  <si>
    <r>
      <t xml:space="preserve"> - odpisy DN a HM nadobudnutého z kapitálových dotácií z EÚ (zo štrukturálnych fondov) (účet 551 300, 551 321, 551 323,</t>
    </r>
    <r>
      <rPr>
        <sz val="12"/>
        <rFont val="Times New Roman"/>
        <family val="1"/>
        <charset val="238"/>
      </rPr>
      <t>551500</t>
    </r>
    <r>
      <rPr>
        <sz val="12"/>
        <rFont val="Times New Roman"/>
        <family val="1"/>
      </rPr>
      <t>)</t>
    </r>
  </si>
  <si>
    <r>
      <t>Poskytnuté príspevky</t>
    </r>
    <r>
      <rPr>
        <sz val="12"/>
        <rFont val="Times New Roman"/>
        <family val="1"/>
      </rPr>
      <t xml:space="preserve"> </t>
    </r>
    <r>
      <rPr>
        <b/>
        <sz val="12"/>
        <rFont val="Times New Roman"/>
        <family val="1"/>
      </rPr>
      <t xml:space="preserve">(účtová skupina 56: </t>
    </r>
    <r>
      <rPr>
        <b/>
        <sz val="12"/>
        <rFont val="Times New Roman"/>
        <family val="1"/>
        <charset val="238"/>
      </rPr>
      <t>562 a 563</t>
    </r>
    <r>
      <rPr>
        <b/>
        <sz val="12"/>
        <rFont val="Times New Roman"/>
        <family val="1"/>
      </rPr>
      <t>)</t>
    </r>
  </si>
  <si>
    <r>
      <t xml:space="preserve">Daň z príjmov (účtová skupina 59: </t>
    </r>
    <r>
      <rPr>
        <b/>
        <sz val="12"/>
        <rFont val="Times New Roman"/>
        <family val="1"/>
        <charset val="238"/>
      </rPr>
      <t>591 až 595</t>
    </r>
    <r>
      <rPr>
        <b/>
        <sz val="12"/>
        <rFont val="Times New Roman"/>
        <family val="1"/>
      </rPr>
      <t>)</t>
    </r>
  </si>
  <si>
    <t>na miestach nepridelených MŠVVaŠ SR do 31.8.2012
 kódy (12 - 17)</t>
  </si>
  <si>
    <t>na miestach nepridelených MŠVVaŠ SR po 1.9.2012 
kódy (12 - 17)</t>
  </si>
  <si>
    <t>z neúčelovej dotácie MŠVVaŠ SR</t>
  </si>
  <si>
    <r>
      <t xml:space="preserve">Náklady na štipendiá interných doktorandov (R2+R5) </t>
    </r>
    <r>
      <rPr>
        <b/>
        <vertAlign val="superscript"/>
        <sz val="12"/>
        <rFont val="Times New Roman"/>
        <family val="1"/>
        <charset val="238"/>
      </rPr>
      <t>1)</t>
    </r>
  </si>
  <si>
    <r>
      <t xml:space="preserve">  - náklady na štipendiá interných doktorandov pred dizertačnou skúškou 
(v zmysle § 54 ods. 18 písm. a) zákona </t>
    </r>
    <r>
      <rPr>
        <u/>
        <sz val="12"/>
        <rFont val="Times New Roman"/>
        <family val="1"/>
        <charset val="238"/>
      </rPr>
      <t>spolu</t>
    </r>
    <r>
      <rPr>
        <sz val="12"/>
        <rFont val="Times New Roman"/>
        <family val="1"/>
        <charset val="238"/>
      </rPr>
      <t xml:space="preserve"> (SUM(R3:R4))</t>
    </r>
  </si>
  <si>
    <r>
      <t xml:space="preserve">  - náklady na štipendiá interných doktorandov po dizertačnej skúške 
(v zmysle § 54 ods. 18 písm. b) zákona</t>
    </r>
    <r>
      <rPr>
        <u/>
        <sz val="12"/>
        <rFont val="Times New Roman"/>
        <family val="1"/>
        <charset val="238"/>
      </rPr>
      <t xml:space="preserve"> spolu</t>
    </r>
    <r>
      <rPr>
        <sz val="12"/>
        <rFont val="Times New Roman"/>
        <family val="1"/>
        <charset val="238"/>
      </rPr>
      <t xml:space="preserve"> (SUM(R6:R7))</t>
    </r>
  </si>
  <si>
    <t>Dotácia na štipendiá doktorandov poskytnutá v rámci dotačnej zmluvy v roku 2016</t>
  </si>
  <si>
    <t>Nevyčerpaná účelová dotácia (+) / nedoplatok účelovej dotácie (-) za rok 2016</t>
  </si>
  <si>
    <t>Počet osobomesiacov za rok 2016</t>
  </si>
  <si>
    <r>
      <t xml:space="preserve">Počet študentov poberajúcich sociálne štipendiá  </t>
    </r>
    <r>
      <rPr>
        <b/>
        <vertAlign val="superscript"/>
        <sz val="14"/>
        <rFont val="Times New Roman"/>
        <family val="1"/>
        <charset val="238"/>
      </rPr>
      <t>2)</t>
    </r>
  </si>
  <si>
    <r>
      <t xml:space="preserve">Priemerný  prepočítaný počet ubytovaných študentov </t>
    </r>
    <r>
      <rPr>
        <sz val="12"/>
        <rFont val="Times New Roman"/>
        <family val="1"/>
        <charset val="238"/>
      </rPr>
      <t>[(R2/12]</t>
    </r>
  </si>
  <si>
    <r>
      <t xml:space="preserve">Výnos z dotácie zo štátneho rozpočtu na študentské domovy </t>
    </r>
    <r>
      <rPr>
        <b/>
        <sz val="12"/>
        <rFont val="Times New Roman"/>
        <family val="1"/>
        <charset val="238"/>
      </rPr>
      <t>(vrátane zmluvných zariadení a valorizácie miezd ŠJ)</t>
    </r>
  </si>
  <si>
    <r>
      <t>Výnosy</t>
    </r>
    <r>
      <rPr>
        <b/>
        <vertAlign val="superscript"/>
        <sz val="12"/>
        <rFont val="Times New Roman"/>
        <family val="1"/>
      </rPr>
      <t xml:space="preserve">2) </t>
    </r>
    <r>
      <rPr>
        <b/>
        <sz val="12"/>
        <rFont val="Times New Roman"/>
        <family val="1"/>
      </rPr>
      <t>študentských jedální súvisiace so stravovaním študentov spolu</t>
    </r>
    <r>
      <rPr>
        <vertAlign val="superscript"/>
        <sz val="12"/>
        <rFont val="Times New Roman"/>
        <family val="1"/>
      </rPr>
      <t xml:space="preserve"> </t>
    </r>
    <r>
      <rPr>
        <sz val="12"/>
        <rFont val="Times New Roman"/>
        <family val="1"/>
      </rPr>
      <t xml:space="preserve">[R2+R5]  </t>
    </r>
  </si>
  <si>
    <r>
      <t xml:space="preserve"> - náklady na jedlá študentov</t>
    </r>
    <r>
      <rPr>
        <vertAlign val="superscript"/>
        <sz val="12"/>
        <rFont val="Times New Roman"/>
        <family val="1"/>
      </rPr>
      <t>3)</t>
    </r>
  </si>
  <si>
    <r>
      <t xml:space="preserve">Rozdiel výnosov a nákladov študentských jedální súvisiacich so stravovaním študentov  </t>
    </r>
    <r>
      <rPr>
        <sz val="12"/>
        <rFont val="Times New Roman"/>
        <family val="1"/>
      </rPr>
      <t>[R1-R9]</t>
    </r>
  </si>
  <si>
    <r>
      <t>- počet vydaných jedál študentom v zmluvných zariadeniach</t>
    </r>
    <r>
      <rPr>
        <vertAlign val="superscript"/>
        <sz val="12"/>
        <rFont val="Times New Roman"/>
        <family val="1"/>
      </rPr>
      <t xml:space="preserve"> 4)</t>
    </r>
  </si>
  <si>
    <r>
      <t>Priemerné náklady  na jedlo študenta v Eur [</t>
    </r>
    <r>
      <rPr>
        <sz val="12"/>
        <rFont val="Times New Roman"/>
        <family val="1"/>
      </rPr>
      <t>R10/R13]</t>
    </r>
  </si>
  <si>
    <r>
      <t xml:space="preserve">- tvorba fondu z hospodárskeho výsledku (účet 413  111)  </t>
    </r>
    <r>
      <rPr>
        <vertAlign val="superscript"/>
        <sz val="12"/>
        <rFont val="Times New Roman"/>
        <family val="1"/>
      </rPr>
      <t xml:space="preserve">1) </t>
    </r>
  </si>
  <si>
    <r>
      <t xml:space="preserve">- ostatná tvorba (účet 413 113) </t>
    </r>
    <r>
      <rPr>
        <vertAlign val="superscript"/>
        <sz val="12"/>
        <rFont val="Times New Roman"/>
        <family val="1"/>
      </rPr>
      <t xml:space="preserve">2) </t>
    </r>
  </si>
  <si>
    <t>Dotácia na kapitálové výdavky z prostriedkov EÚ (štrukturálnych fondov vrátane spolufinancovania)</t>
  </si>
  <si>
    <r>
      <t>Zostatok kapitálovej dotácie z predchádzajúceho roku</t>
    </r>
    <r>
      <rPr>
        <b/>
        <sz val="10"/>
        <rFont val="Times New Roman"/>
        <family val="1"/>
      </rPr>
      <t xml:space="preserve"> </t>
    </r>
    <r>
      <rPr>
        <b/>
        <sz val="12"/>
        <rFont val="Times New Roman"/>
        <family val="1"/>
      </rPr>
      <t>(z dotácií na R10 a R10a)</t>
    </r>
  </si>
  <si>
    <t>Iné zdroje na obstaranie a technické zhodnotenie dlhodobého majetku (v danom roku vrátane zostatkov na týchto zdrojoch)</t>
  </si>
  <si>
    <r>
      <t xml:space="preserve">Čerpanie kapitálovej dotácie v roku 2016
</t>
    </r>
    <r>
      <rPr>
        <b/>
        <sz val="11"/>
        <rFont val="Times New Roman"/>
        <family val="1"/>
      </rPr>
      <t>z prostriedkov EÚ (štrukturálnych fondov)</t>
    </r>
  </si>
  <si>
    <t>K=A+C+E+G+I</t>
  </si>
  <si>
    <t>L=B+D+F+H+J</t>
  </si>
  <si>
    <r>
      <t xml:space="preserve">Stav fondu k 1.1. kalendárneho roku </t>
    </r>
    <r>
      <rPr>
        <sz val="12"/>
        <rFont val="Times New Roman"/>
        <family val="1"/>
      </rPr>
      <t>[R1_SB = R12_SA ...]</t>
    </r>
  </si>
  <si>
    <r>
      <t>Tvorba fondu v kalendárnom roku spolu</t>
    </r>
    <r>
      <rPr>
        <sz val="12"/>
        <rFont val="Times New Roman"/>
        <family val="1"/>
      </rPr>
      <t xml:space="preserve"> SUM(R3:R10) </t>
    </r>
  </si>
  <si>
    <r>
      <t xml:space="preserve">- tvorba fondu z výsledku hospodárenia </t>
    </r>
    <r>
      <rPr>
        <vertAlign val="superscript"/>
        <sz val="12"/>
        <rFont val="Times New Roman"/>
        <family val="1"/>
      </rPr>
      <t>1)</t>
    </r>
  </si>
  <si>
    <r>
      <t xml:space="preserve">- tvorba fondu z dotácie </t>
    </r>
    <r>
      <rPr>
        <vertAlign val="superscript"/>
        <sz val="12"/>
        <rFont val="Times New Roman"/>
        <family val="1"/>
      </rPr>
      <t>2)</t>
    </r>
  </si>
  <si>
    <r>
      <t xml:space="preserve">- ostatná tvorba </t>
    </r>
    <r>
      <rPr>
        <vertAlign val="superscript"/>
        <sz val="12"/>
        <rFont val="Times New Roman"/>
        <family val="1"/>
      </rPr>
      <t>2)</t>
    </r>
  </si>
  <si>
    <r>
      <t xml:space="preserve">Krytie fondu finančnými prostriedkami na osobitnom bankovom účte </t>
    </r>
    <r>
      <rPr>
        <vertAlign val="superscript"/>
        <sz val="12"/>
        <rFont val="Times New Roman"/>
        <family val="1"/>
      </rPr>
      <t xml:space="preserve">3) </t>
    </r>
    <r>
      <rPr>
        <sz val="11"/>
        <rFont val="Times New Roman"/>
        <family val="1"/>
      </rPr>
      <t>k 31.12.</t>
    </r>
  </si>
  <si>
    <t>zdroj 11S  + 13S spolu</t>
  </si>
  <si>
    <r>
      <t xml:space="preserve">zdroj 11S1; </t>
    </r>
    <r>
      <rPr>
        <b/>
        <sz val="12"/>
        <rFont val="Times New Roman"/>
        <family val="1"/>
      </rPr>
      <t>13S1</t>
    </r>
  </si>
  <si>
    <r>
      <t xml:space="preserve">zdroj 11S2; </t>
    </r>
    <r>
      <rPr>
        <b/>
        <sz val="12"/>
        <rFont val="Times New Roman"/>
        <family val="1"/>
      </rPr>
      <t>13S2</t>
    </r>
  </si>
  <si>
    <t>zdroj 11T  + 13T spolu</t>
  </si>
  <si>
    <r>
      <t xml:space="preserve">zdroj 11T1; </t>
    </r>
    <r>
      <rPr>
        <b/>
        <sz val="12"/>
        <rFont val="Times New Roman"/>
        <family val="1"/>
      </rPr>
      <t>13T1</t>
    </r>
  </si>
  <si>
    <r>
      <t xml:space="preserve">zdroj 11T2; </t>
    </r>
    <r>
      <rPr>
        <b/>
        <sz val="12"/>
        <rFont val="Times New Roman"/>
        <family val="1"/>
      </rPr>
      <t>13T2</t>
    </r>
  </si>
  <si>
    <r>
      <t xml:space="preserve">Dotácie z kapitoly MŠVVaŠ SR spolu </t>
    </r>
    <r>
      <rPr>
        <sz val="12"/>
        <rFont val="Times New Roman"/>
        <family val="1"/>
      </rPr>
      <t>[R1+R4]</t>
    </r>
  </si>
  <si>
    <r>
      <t xml:space="preserve">Dotácie z iných kapitol spolu </t>
    </r>
    <r>
      <rPr>
        <sz val="12"/>
        <rFont val="Times New Roman"/>
        <family val="1"/>
      </rPr>
      <t>[SUM(R9:Ra...)]</t>
    </r>
  </si>
  <si>
    <r>
      <t>Dotácie z prostriedkov EÚ spolu</t>
    </r>
    <r>
      <rPr>
        <sz val="12"/>
        <rFont val="Times New Roman"/>
        <family val="1"/>
      </rPr>
      <t xml:space="preserve"> [R7+R8]</t>
    </r>
  </si>
  <si>
    <r>
      <t>Tabuľka č. 18: Príjmy z dotácií verejnej vysokej škole zo štátneho rozpočtu z kapitoly MŠVVaŠ SR 
poskytnuté mimo programu 077 a mimo príjmov z prostriedkov EÚ (zo štrukturálnych fondov) v roku 2016</t>
    </r>
    <r>
      <rPr>
        <sz val="14"/>
        <rFont val="Times New Roman"/>
        <family val="1"/>
        <charset val="238"/>
      </rPr>
      <t xml:space="preserve"> 
</t>
    </r>
  </si>
  <si>
    <r>
      <t>Spolu</t>
    </r>
    <r>
      <rPr>
        <sz val="12"/>
        <rFont val="Times New Roman"/>
        <family val="1"/>
        <charset val="238"/>
      </rPr>
      <t xml:space="preserve"> [R1+R6+R7+R8]</t>
    </r>
  </si>
  <si>
    <r>
      <t xml:space="preserve">Štipendiá z vlastných zdrojov vysokej školy (§ 97 zákona) spolu </t>
    </r>
    <r>
      <rPr>
        <sz val="12"/>
        <rFont val="Times New Roman"/>
        <family val="1"/>
      </rPr>
      <t xml:space="preserve">[R2+R5+R8+R11+R14] </t>
    </r>
  </si>
  <si>
    <r>
      <t xml:space="preserve">- prospechové </t>
    </r>
    <r>
      <rPr>
        <sz val="12"/>
        <rFont val="Times New Roman"/>
        <family val="1"/>
      </rPr>
      <t xml:space="preserve">[R3+R4] </t>
    </r>
  </si>
  <si>
    <r>
      <t xml:space="preserve">  - poskytované mesačne </t>
    </r>
    <r>
      <rPr>
        <vertAlign val="superscript"/>
        <sz val="12"/>
        <rFont val="Times New Roman"/>
        <family val="1"/>
      </rPr>
      <t>1)</t>
    </r>
  </si>
  <si>
    <r>
      <t xml:space="preserve">- za umeleckú alebo športovú činnosť </t>
    </r>
    <r>
      <rPr>
        <sz val="12"/>
        <rFont val="Times New Roman"/>
        <family val="1"/>
      </rPr>
      <t xml:space="preserve">[R11+R12]  </t>
    </r>
    <r>
      <rPr>
        <b/>
        <sz val="12"/>
        <rFont val="Times New Roman"/>
        <family val="1"/>
      </rPr>
      <t xml:space="preserve">                                                     </t>
    </r>
  </si>
  <si>
    <r>
      <t xml:space="preserve">- na sociálnu podporu </t>
    </r>
    <r>
      <rPr>
        <sz val="12"/>
        <rFont val="Times New Roman"/>
        <family val="1"/>
      </rPr>
      <t>[R15+R16]</t>
    </r>
  </si>
  <si>
    <r>
      <t xml:space="preserve">Počet študentov poberajúcich  štipendiá z vlastných zdrojov </t>
    </r>
    <r>
      <rPr>
        <b/>
        <vertAlign val="superscript"/>
        <sz val="12"/>
        <rFont val="Times New Roman"/>
        <family val="1"/>
      </rPr>
      <t>2</t>
    </r>
    <r>
      <rPr>
        <b/>
        <sz val="12"/>
        <rFont val="Times New Roman"/>
        <family val="1"/>
      </rPr>
      <t xml:space="preserve">) </t>
    </r>
  </si>
  <si>
    <r>
      <t xml:space="preserve">mot. štipendiá podľa 
§ 96a, ods.1, písm. a)
</t>
    </r>
    <r>
      <rPr>
        <b/>
        <sz val="12"/>
        <rFont val="Times New Roman"/>
        <family val="1"/>
      </rPr>
      <t>(kód v CRŠ: 19)</t>
    </r>
    <r>
      <rPr>
        <vertAlign val="superscript"/>
        <sz val="12"/>
        <rFont val="Times New Roman"/>
        <family val="1"/>
      </rPr>
      <t>2)</t>
    </r>
  </si>
  <si>
    <r>
      <t xml:space="preserve">mot. štipendiá podľa 
§ 96a, ods.1, písm. b)
</t>
    </r>
    <r>
      <rPr>
        <b/>
        <sz val="12"/>
        <rFont val="Times New Roman"/>
        <family val="1"/>
      </rPr>
      <t>(kódy v  CRŠ: 4, 5, 6, 7, 8)</t>
    </r>
    <r>
      <rPr>
        <vertAlign val="superscript"/>
        <sz val="12"/>
        <rFont val="Times New Roman"/>
        <family val="1"/>
      </rPr>
      <t>3)</t>
    </r>
  </si>
  <si>
    <r>
      <t>Nevyčerpaná dotácia (+) / nedoplatok dotácie (-) na motivačné štipendiá k 31. 12. predchádzajúceho kalendárneho roka</t>
    </r>
    <r>
      <rPr>
        <sz val="12"/>
        <rFont val="Times New Roman"/>
        <family val="1"/>
      </rPr>
      <t xml:space="preserve">     </t>
    </r>
    <r>
      <rPr>
        <b/>
        <sz val="12"/>
        <rFont val="Times New Roman"/>
        <family val="1"/>
      </rPr>
      <t xml:space="preserve">     </t>
    </r>
  </si>
  <si>
    <r>
      <t xml:space="preserve">Príjem z dotácie na motivačné štipendiá z kapitoly MŠVVaŠ SR v kalendárnom roku </t>
    </r>
    <r>
      <rPr>
        <sz val="12"/>
        <rFont val="Times New Roman"/>
        <family val="1"/>
      </rPr>
      <t xml:space="preserve"> </t>
    </r>
  </si>
  <si>
    <r>
      <t>Výdavky na motivačné štipendiá</t>
    </r>
    <r>
      <rPr>
        <sz val="12"/>
        <rFont val="Times New Roman"/>
        <family val="1"/>
      </rPr>
      <t xml:space="preserve"> </t>
    </r>
    <r>
      <rPr>
        <b/>
        <sz val="12"/>
        <rFont val="Times New Roman"/>
        <family val="1"/>
      </rPr>
      <t xml:space="preserve">v kalendárnom roku </t>
    </r>
    <r>
      <rPr>
        <b/>
        <vertAlign val="superscript"/>
        <sz val="12"/>
        <rFont val="Times New Roman"/>
        <family val="1"/>
        <charset val="238"/>
      </rPr>
      <t/>
    </r>
  </si>
  <si>
    <r>
      <t>Nevyčerpaná dotácia (+) / nedoplatok dotácie (-) k 31. 12. kalendárneho roka</t>
    </r>
    <r>
      <rPr>
        <b/>
        <vertAlign val="superscript"/>
        <sz val="12"/>
        <rFont val="Times New Roman"/>
        <family val="1"/>
      </rPr>
      <t xml:space="preserve"> </t>
    </r>
    <r>
      <rPr>
        <b/>
        <sz val="12"/>
        <rFont val="Times New Roman"/>
        <family val="1"/>
      </rPr>
      <t xml:space="preserve">  [R1+R2-R3]                       </t>
    </r>
  </si>
  <si>
    <r>
      <t>Počet študentov, ktorým bolo priznané motivačné štipendium</t>
    </r>
    <r>
      <rPr>
        <b/>
        <vertAlign val="superscript"/>
        <sz val="12"/>
        <rFont val="Times New Roman"/>
        <family val="1"/>
      </rPr>
      <t xml:space="preserve"> 1)</t>
    </r>
  </si>
  <si>
    <r>
      <t xml:space="preserve">Tabuľka č. 21: Štruktúra účtu 384 </t>
    </r>
    <r>
      <rPr>
        <b/>
        <i/>
        <sz val="14"/>
        <rFont val="Times New Roman"/>
        <family val="1"/>
        <charset val="238"/>
      </rPr>
      <t xml:space="preserve">- </t>
    </r>
    <r>
      <rPr>
        <b/>
        <sz val="14"/>
        <rFont val="Times New Roman"/>
        <family val="1"/>
        <charset val="238"/>
      </rPr>
      <t>výnosy budúcich období</t>
    </r>
    <r>
      <rPr>
        <b/>
        <i/>
        <sz val="14"/>
        <rFont val="Times New Roman"/>
        <family val="1"/>
        <charset val="238"/>
      </rPr>
      <t xml:space="preserve"> </t>
    </r>
    <r>
      <rPr>
        <b/>
        <sz val="14"/>
        <rFont val="Times New Roman"/>
        <family val="1"/>
        <charset val="238"/>
      </rPr>
      <t xml:space="preserve">v rokoch 2015 a 2016 </t>
    </r>
  </si>
  <si>
    <r>
      <t xml:space="preserve">Zvyšok prijatej kapitálovej dotácie </t>
    </r>
    <r>
      <rPr>
        <b/>
        <sz val="10"/>
        <rFont val="Times New Roman"/>
        <family val="1"/>
        <charset val="238"/>
      </rPr>
      <t>z prostriedkov EÚ (štrukturálnych fondov)</t>
    </r>
    <r>
      <rPr>
        <b/>
        <sz val="12"/>
        <rFont val="Times New Roman"/>
        <family val="1"/>
        <charset val="238"/>
      </rPr>
      <t xml:space="preserve"> používanej na kompenzáciu odpisov majetku z nej obstaraného</t>
    </r>
  </si>
  <si>
    <r>
      <t>Výnosy
hlavnej činnosti
2016</t>
    </r>
    <r>
      <rPr>
        <sz val="12"/>
        <rFont val="Times New Roman"/>
        <family val="1"/>
        <charset val="238"/>
      </rPr>
      <t xml:space="preserve"> </t>
    </r>
  </si>
  <si>
    <r>
      <t>Rozdiel 2016-2015</t>
    </r>
    <r>
      <rPr>
        <sz val="12"/>
        <rFont val="Times New Roman"/>
        <family val="1"/>
        <charset val="238"/>
      </rPr>
      <t xml:space="preserve"> </t>
    </r>
  </si>
  <si>
    <t>Názov verejnej vysokej školy: UPJŠ v Košiciach, Šrorárova 2</t>
  </si>
  <si>
    <t>Názov verejnej vysokej školy: UPJŠ v Košiciach, Šrorárova 2
Názov fakulty: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</si>
</sst>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 _S_k_-;\-* #,##0.00\ _S_k_-;_-* &quot;-&quot;??\ _S_k_-;_-@_-"/>
    <numFmt numFmtId="165" formatCode="#,##0.00_ ;[Red]\-#,##0.00\ "/>
  </numFmts>
  <fonts count="94" x14ac:knownFonts="1">
    <font>
      <sz val="10"/>
      <name val="Arial"/>
      <charset val="238"/>
    </font>
    <font>
      <sz val="10"/>
      <name val="Arial"/>
      <family val="2"/>
      <charset val="238"/>
    </font>
    <font>
      <b/>
      <sz val="12"/>
      <name val="Times New Roman"/>
      <family val="1"/>
    </font>
    <font>
      <sz val="12"/>
      <name val="Times New Roman"/>
      <family val="1"/>
    </font>
    <font>
      <b/>
      <sz val="14"/>
      <name val="Times New Roman"/>
      <family val="1"/>
    </font>
    <font>
      <u/>
      <sz val="10"/>
      <color indexed="12"/>
      <name val="Arial"/>
      <family val="2"/>
      <charset val="238"/>
    </font>
    <font>
      <sz val="8"/>
      <name val="Arial"/>
      <family val="2"/>
      <charset val="238"/>
    </font>
    <font>
      <b/>
      <sz val="12"/>
      <name val="Times New Roman"/>
      <family val="1"/>
      <charset val="238"/>
    </font>
    <font>
      <sz val="12"/>
      <name val="Times New Roman"/>
      <family val="1"/>
      <charset val="238"/>
    </font>
    <font>
      <sz val="12"/>
      <color indexed="10"/>
      <name val="Times New Roman"/>
      <family val="1"/>
    </font>
    <font>
      <i/>
      <sz val="12"/>
      <name val="Times New Roman"/>
      <family val="1"/>
      <charset val="238"/>
    </font>
    <font>
      <b/>
      <sz val="14"/>
      <name val="Times New Roman"/>
      <family val="1"/>
      <charset val="238"/>
    </font>
    <font>
      <b/>
      <u/>
      <sz val="12"/>
      <name val="Times New Roman"/>
      <family val="1"/>
      <charset val="238"/>
    </font>
    <font>
      <b/>
      <sz val="10"/>
      <color indexed="8"/>
      <name val="Arial"/>
      <family val="2"/>
    </font>
    <font>
      <b/>
      <sz val="10"/>
      <color indexed="39"/>
      <name val="Arial"/>
      <family val="2"/>
    </font>
    <font>
      <sz val="10"/>
      <color indexed="8"/>
      <name val="Arial"/>
      <family val="2"/>
    </font>
    <font>
      <b/>
      <sz val="12"/>
      <color indexed="8"/>
      <name val="Arial"/>
      <family val="2"/>
      <charset val="238"/>
    </font>
    <font>
      <sz val="10"/>
      <color indexed="8"/>
      <name val="Arial"/>
      <family val="2"/>
      <charset val="238"/>
    </font>
    <font>
      <sz val="10"/>
      <name val="Arial"/>
      <family val="2"/>
      <charset val="238"/>
    </font>
    <font>
      <sz val="10"/>
      <color indexed="39"/>
      <name val="Arial"/>
      <family val="2"/>
    </font>
    <font>
      <sz val="19"/>
      <color indexed="48"/>
      <name val="Arial"/>
      <family val="2"/>
      <charset val="238"/>
    </font>
    <font>
      <sz val="10"/>
      <color indexed="10"/>
      <name val="Arial"/>
      <family val="2"/>
    </font>
    <font>
      <sz val="10"/>
      <name val="arial ce"/>
      <charset val="238"/>
    </font>
    <font>
      <sz val="8"/>
      <name val="arial ce"/>
      <charset val="238"/>
    </font>
    <font>
      <sz val="11"/>
      <name val="Times New Roman"/>
      <family val="1"/>
      <charset val="238"/>
    </font>
    <font>
      <b/>
      <vertAlign val="superscript"/>
      <sz val="12"/>
      <name val="Times New Roman"/>
      <family val="1"/>
      <charset val="238"/>
    </font>
    <font>
      <b/>
      <vertAlign val="superscript"/>
      <sz val="14"/>
      <name val="Times New Roman"/>
      <family val="1"/>
      <charset val="238"/>
    </font>
    <font>
      <vertAlign val="superscript"/>
      <sz val="12"/>
      <name val="Times New Roman"/>
      <family val="1"/>
      <charset val="238"/>
    </font>
    <font>
      <b/>
      <i/>
      <sz val="14"/>
      <name val="Times New Roman"/>
      <family val="1"/>
      <charset val="238"/>
    </font>
    <font>
      <sz val="10"/>
      <name val="Times New Roman"/>
      <family val="1"/>
      <charset val="238"/>
    </font>
    <font>
      <vertAlign val="superscript"/>
      <sz val="12"/>
      <name val="Times New Roman"/>
      <family val="1"/>
    </font>
    <font>
      <u/>
      <sz val="12"/>
      <name val="Times New Roman"/>
      <family val="1"/>
      <charset val="238"/>
    </font>
    <font>
      <b/>
      <sz val="9"/>
      <name val="Times New Roman"/>
      <family val="1"/>
      <charset val="238"/>
    </font>
    <font>
      <u/>
      <sz val="12"/>
      <color indexed="12"/>
      <name val="Times New Roman"/>
      <family val="1"/>
      <charset val="238"/>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sz val="12"/>
      <name val="Times New Roman"/>
      <family val="1"/>
      <charset val="238"/>
    </font>
    <font>
      <i/>
      <sz val="11"/>
      <color indexed="23"/>
      <name val="Calibri"/>
      <family val="2"/>
      <charset val="238"/>
    </font>
    <font>
      <sz val="11"/>
      <color indexed="17"/>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b/>
      <sz val="11"/>
      <color indexed="9"/>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sz val="11"/>
      <name val="Times New Roman"/>
      <family val="1"/>
      <charset val="238"/>
    </font>
    <font>
      <b/>
      <sz val="11"/>
      <color indexed="63"/>
      <name val="Calibri"/>
      <family val="2"/>
      <charset val="238"/>
    </font>
    <font>
      <b/>
      <sz val="18"/>
      <color indexed="56"/>
      <name val="Cambria"/>
      <family val="2"/>
      <charset val="238"/>
    </font>
    <font>
      <b/>
      <sz val="11"/>
      <color indexed="8"/>
      <name val="Calibri"/>
      <family val="2"/>
      <charset val="238"/>
    </font>
    <font>
      <sz val="11"/>
      <color indexed="10"/>
      <name val="Calibri"/>
      <family val="2"/>
      <charset val="238"/>
    </font>
    <font>
      <b/>
      <sz val="11"/>
      <name val="Times New Roman"/>
      <family val="1"/>
      <charset val="238"/>
    </font>
    <font>
      <b/>
      <sz val="12"/>
      <color indexed="10"/>
      <name val="Times New Roman"/>
      <family val="1"/>
      <charset val="238"/>
    </font>
    <font>
      <sz val="12"/>
      <color indexed="8"/>
      <name val="Times New Roman"/>
      <family val="1"/>
      <charset val="238"/>
    </font>
    <font>
      <b/>
      <sz val="12"/>
      <color indexed="8"/>
      <name val="Times New Roman"/>
      <family val="1"/>
      <charset val="238"/>
    </font>
    <font>
      <sz val="11"/>
      <name val="Times New Roman"/>
      <family val="1"/>
      <charset val="238"/>
    </font>
    <font>
      <sz val="12"/>
      <color indexed="10"/>
      <name val="Times New Roman"/>
      <family val="1"/>
      <charset val="238"/>
    </font>
    <font>
      <b/>
      <sz val="10"/>
      <name val="Times New Roman"/>
      <family val="1"/>
      <charset val="238"/>
    </font>
    <font>
      <strike/>
      <sz val="12"/>
      <name val="Times New Roman"/>
      <family val="1"/>
      <charset val="238"/>
    </font>
    <font>
      <sz val="11"/>
      <name val="Times New Roman"/>
      <family val="1"/>
    </font>
    <font>
      <b/>
      <sz val="10"/>
      <name val="Arial"/>
      <family val="2"/>
      <charset val="238"/>
    </font>
    <font>
      <sz val="12"/>
      <color indexed="8"/>
      <name val="Times New Roman"/>
      <family val="1"/>
    </font>
    <font>
      <b/>
      <u/>
      <sz val="14"/>
      <name val="Times New Roman"/>
      <family val="1"/>
      <charset val="238"/>
    </font>
    <font>
      <b/>
      <sz val="11"/>
      <name val="Times New Roman"/>
      <family val="1"/>
    </font>
    <font>
      <sz val="12"/>
      <color theme="1"/>
      <name val="Times New Roman"/>
      <family val="2"/>
      <charset val="238"/>
    </font>
    <font>
      <sz val="12"/>
      <color rgb="FFFF0000"/>
      <name val="Times New Roman"/>
      <family val="1"/>
      <charset val="238"/>
    </font>
    <font>
      <sz val="12"/>
      <color theme="1"/>
      <name val="Times New Roman"/>
      <family val="1"/>
      <charset val="238"/>
    </font>
    <font>
      <sz val="12"/>
      <color rgb="FFFF0000"/>
      <name val="Times New Roman"/>
      <family val="1"/>
    </font>
    <font>
      <b/>
      <sz val="12"/>
      <color theme="1"/>
      <name val="Times New Roman"/>
      <family val="1"/>
    </font>
    <font>
      <sz val="12"/>
      <color theme="1"/>
      <name val="Times New Roman"/>
      <family val="1"/>
    </font>
    <font>
      <b/>
      <sz val="14"/>
      <color rgb="FFFF0000"/>
      <name val="Times New Roman"/>
      <family val="1"/>
      <charset val="238"/>
    </font>
    <font>
      <sz val="12"/>
      <color rgb="FF00B050"/>
      <name val="Times New Roman"/>
      <family val="1"/>
      <charset val="238"/>
    </font>
    <font>
      <vertAlign val="superscript"/>
      <sz val="12"/>
      <color theme="1"/>
      <name val="Times New Roman"/>
      <family val="1"/>
    </font>
    <font>
      <sz val="14"/>
      <name val="Times New Roman"/>
      <family val="1"/>
      <charset val="238"/>
    </font>
    <font>
      <sz val="12"/>
      <color rgb="FF0000FF"/>
      <name val="Times New Roman"/>
      <family val="1"/>
      <charset val="238"/>
    </font>
    <font>
      <sz val="9"/>
      <color indexed="81"/>
      <name val="Segoe UI"/>
      <family val="2"/>
      <charset val="238"/>
    </font>
    <font>
      <b/>
      <sz val="9"/>
      <color indexed="81"/>
      <name val="Segoe UI"/>
      <family val="2"/>
      <charset val="238"/>
    </font>
    <font>
      <b/>
      <sz val="8"/>
      <color indexed="81"/>
      <name val="Tahoma"/>
      <family val="2"/>
      <charset val="238"/>
    </font>
    <font>
      <sz val="8"/>
      <color indexed="81"/>
      <name val="Tahoma"/>
      <family val="2"/>
      <charset val="238"/>
    </font>
    <font>
      <sz val="10"/>
      <color indexed="81"/>
      <name val="Tahoma"/>
      <family val="2"/>
      <charset val="238"/>
    </font>
    <font>
      <u/>
      <sz val="10"/>
      <color indexed="81"/>
      <name val="Tahoma"/>
      <family val="2"/>
      <charset val="238"/>
    </font>
    <font>
      <b/>
      <sz val="10"/>
      <color indexed="81"/>
      <name val="Tahoma"/>
      <family val="2"/>
      <charset val="238"/>
    </font>
    <font>
      <b/>
      <vertAlign val="superscript"/>
      <sz val="14"/>
      <name val="Times New Roman"/>
      <family val="1"/>
    </font>
    <font>
      <sz val="10"/>
      <name val="Times New Roman"/>
      <family val="1"/>
    </font>
    <font>
      <b/>
      <vertAlign val="superscript"/>
      <sz val="12"/>
      <name val="Times New Roman"/>
      <family val="1"/>
    </font>
    <font>
      <sz val="8"/>
      <name val="Times New Roman"/>
      <family val="1"/>
    </font>
    <font>
      <sz val="11"/>
      <name val="Calibri"/>
      <family val="2"/>
      <charset val="238"/>
    </font>
    <font>
      <sz val="10"/>
      <name val="Tahoma"/>
      <family val="2"/>
      <charset val="238"/>
    </font>
    <font>
      <b/>
      <sz val="10"/>
      <name val="Times New Roman"/>
      <family val="1"/>
    </font>
    <font>
      <i/>
      <sz val="12"/>
      <name val="Times New Roman"/>
      <family val="1"/>
    </font>
    <font>
      <b/>
      <i/>
      <sz val="12"/>
      <name val="Times New Roman"/>
      <family val="1"/>
    </font>
    <font>
      <sz val="10"/>
      <color rgb="FF000000"/>
      <name val="Arial"/>
      <family val="2"/>
      <charset val="238"/>
    </font>
  </fonts>
  <fills count="3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3"/>
        <bgColor indexed="64"/>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0"/>
        <bgColor indexed="64"/>
      </patternFill>
    </fill>
    <fill>
      <patternFill patternType="solid">
        <fgColor indexed="44"/>
        <bgColor indexed="64"/>
      </patternFill>
    </fill>
    <fill>
      <patternFill patternType="solid">
        <fgColor indexed="41"/>
        <bgColor indexed="64"/>
      </patternFill>
    </fill>
    <fill>
      <patternFill patternType="solid">
        <fgColor indexed="26"/>
        <bgColor indexed="64"/>
      </patternFill>
    </fill>
    <fill>
      <patternFill patternType="solid">
        <fgColor indexed="15"/>
      </patternFill>
    </fill>
    <fill>
      <patternFill patternType="solid">
        <fgColor theme="0"/>
        <bgColor indexed="64"/>
      </patternFill>
    </fill>
  </fills>
  <borders count="85">
    <border>
      <left/>
      <right/>
      <top/>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62"/>
      </top>
      <bottom style="double">
        <color indexed="62"/>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medium">
        <color indexed="64"/>
      </right>
      <top/>
      <bottom style="medium">
        <color indexed="64"/>
      </bottom>
      <diagonal/>
    </border>
    <border>
      <left/>
      <right/>
      <top style="thin">
        <color indexed="64"/>
      </top>
      <bottom style="thin">
        <color indexed="64"/>
      </bottom>
      <diagonal/>
    </border>
    <border>
      <left style="thin">
        <color indexed="64"/>
      </left>
      <right/>
      <top style="medium">
        <color indexed="64"/>
      </top>
      <bottom style="medium">
        <color indexed="64"/>
      </bottom>
      <diagonal/>
    </border>
    <border>
      <left/>
      <right style="medium">
        <color indexed="64"/>
      </right>
      <top/>
      <bottom style="thin">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style="thin">
        <color indexed="8"/>
      </left>
      <right/>
      <top style="thin">
        <color indexed="8"/>
      </top>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8"/>
      </left>
      <right style="thin">
        <color indexed="8"/>
      </right>
      <top style="thin">
        <color indexed="8"/>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rgb="FF000000"/>
      </right>
      <top style="medium">
        <color indexed="64"/>
      </top>
      <bottom style="medium">
        <color indexed="64"/>
      </bottom>
      <diagonal/>
    </border>
  </borders>
  <cellStyleXfs count="91">
    <xf numFmtId="0" fontId="0" fillId="0" borderId="0"/>
    <xf numFmtId="0" fontId="34" fillId="2" borderId="0" applyNumberFormat="0" applyBorder="0" applyAlignment="0" applyProtection="0"/>
    <xf numFmtId="0" fontId="34" fillId="3" borderId="0" applyNumberFormat="0" applyBorder="0" applyAlignment="0" applyProtection="0"/>
    <xf numFmtId="0" fontId="34" fillId="4" borderId="0" applyNumberFormat="0" applyBorder="0" applyAlignment="0" applyProtection="0"/>
    <xf numFmtId="0" fontId="34" fillId="5" borderId="0" applyNumberFormat="0" applyBorder="0" applyAlignment="0" applyProtection="0"/>
    <xf numFmtId="0" fontId="34" fillId="6" borderId="0" applyNumberFormat="0" applyBorder="0" applyAlignment="0" applyProtection="0"/>
    <xf numFmtId="0" fontId="34" fillId="7" borderId="0" applyNumberFormat="0" applyBorder="0" applyAlignment="0" applyProtection="0"/>
    <xf numFmtId="0" fontId="34" fillId="8" borderId="0" applyNumberFormat="0" applyBorder="0" applyAlignment="0" applyProtection="0"/>
    <xf numFmtId="0" fontId="34" fillId="9" borderId="0" applyNumberFormat="0" applyBorder="0" applyAlignment="0" applyProtection="0"/>
    <xf numFmtId="0" fontId="34" fillId="10" borderId="0" applyNumberFormat="0" applyBorder="0" applyAlignment="0" applyProtection="0"/>
    <xf numFmtId="0" fontId="34" fillId="5" borderId="0" applyNumberFormat="0" applyBorder="0" applyAlignment="0" applyProtection="0"/>
    <xf numFmtId="0" fontId="34" fillId="8" borderId="0" applyNumberFormat="0" applyBorder="0" applyAlignment="0" applyProtection="0"/>
    <xf numFmtId="0" fontId="34" fillId="11" borderId="0" applyNumberFormat="0" applyBorder="0" applyAlignment="0" applyProtection="0"/>
    <xf numFmtId="0" fontId="35" fillId="12"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13"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6" borderId="0" applyNumberFormat="0" applyBorder="0" applyAlignment="0" applyProtection="0"/>
    <xf numFmtId="0" fontId="35" fillId="17" borderId="0" applyNumberFormat="0" applyBorder="0" applyAlignment="0" applyProtection="0"/>
    <xf numFmtId="0" fontId="35" fillId="18" borderId="0" applyNumberFormat="0" applyBorder="0" applyAlignment="0" applyProtection="0"/>
    <xf numFmtId="0" fontId="35" fillId="13" borderId="0" applyNumberFormat="0" applyBorder="0" applyAlignment="0" applyProtection="0"/>
    <xf numFmtId="0" fontId="35" fillId="14" borderId="0" applyNumberFormat="0" applyBorder="0" applyAlignment="0" applyProtection="0"/>
    <xf numFmtId="0" fontId="35" fillId="19" borderId="0" applyNumberFormat="0" applyBorder="0" applyAlignment="0" applyProtection="0"/>
    <xf numFmtId="0" fontId="36" fillId="3" borderId="0" applyNumberFormat="0" applyBorder="0" applyAlignment="0" applyProtection="0"/>
    <xf numFmtId="0" fontId="37" fillId="20" borderId="1" applyNumberFormat="0" applyAlignment="0" applyProtection="0"/>
    <xf numFmtId="164" fontId="1" fillId="0" borderId="0" applyFont="0" applyFill="0" applyBorder="0" applyAlignment="0" applyProtection="0"/>
    <xf numFmtId="164" fontId="18" fillId="0" borderId="0" applyFont="0" applyFill="0" applyBorder="0" applyAlignment="0" applyProtection="0"/>
    <xf numFmtId="0" fontId="39" fillId="0" borderId="0" applyNumberFormat="0" applyFill="0" applyBorder="0" applyAlignment="0" applyProtection="0"/>
    <xf numFmtId="0" fontId="40" fillId="4" borderId="0" applyNumberFormat="0" applyBorder="0" applyAlignment="0" applyProtection="0"/>
    <xf numFmtId="0" fontId="41" fillId="0" borderId="2" applyNumberFormat="0" applyFill="0" applyAlignment="0" applyProtection="0"/>
    <xf numFmtId="0" fontId="42" fillId="0" borderId="3" applyNumberFormat="0" applyFill="0" applyAlignment="0" applyProtection="0"/>
    <xf numFmtId="0" fontId="43" fillId="0" borderId="4" applyNumberFormat="0" applyFill="0" applyAlignment="0" applyProtection="0"/>
    <xf numFmtId="0" fontId="43" fillId="0" borderId="0" applyNumberFormat="0" applyFill="0" applyBorder="0" applyAlignment="0" applyProtection="0"/>
    <xf numFmtId="0" fontId="5" fillId="0" borderId="0" applyNumberFormat="0" applyFill="0" applyBorder="0" applyAlignment="0" applyProtection="0">
      <alignment vertical="top"/>
      <protection locked="0"/>
    </xf>
    <xf numFmtId="0" fontId="44" fillId="21" borderId="5" applyNumberFormat="0" applyAlignment="0" applyProtection="0"/>
    <xf numFmtId="0" fontId="45" fillId="7" borderId="1" applyNumberFormat="0" applyAlignment="0" applyProtection="0"/>
    <xf numFmtId="0" fontId="46" fillId="0" borderId="6" applyNumberFormat="0" applyFill="0" applyAlignment="0" applyProtection="0"/>
    <xf numFmtId="0" fontId="47" fillId="22" borderId="0" applyNumberFormat="0" applyBorder="0" applyAlignment="0" applyProtection="0"/>
    <xf numFmtId="0" fontId="18" fillId="0" borderId="0"/>
    <xf numFmtId="0" fontId="66" fillId="0" borderId="0"/>
    <xf numFmtId="0" fontId="18" fillId="0" borderId="0"/>
    <xf numFmtId="0" fontId="18" fillId="0" borderId="0"/>
    <xf numFmtId="0" fontId="57" fillId="0" borderId="0"/>
    <xf numFmtId="0" fontId="22" fillId="0" borderId="0"/>
    <xf numFmtId="0" fontId="48" fillId="0" borderId="0"/>
    <xf numFmtId="0" fontId="38" fillId="23" borderId="7" applyNumberFormat="0" applyFont="0" applyAlignment="0" applyProtection="0"/>
    <xf numFmtId="0" fontId="49" fillId="20" borderId="8" applyNumberFormat="0" applyAlignment="0" applyProtection="0"/>
    <xf numFmtId="4" fontId="13" fillId="22" borderId="9" applyNumberFormat="0" applyProtection="0">
      <alignment vertical="center"/>
    </xf>
    <xf numFmtId="4" fontId="14" fillId="24" borderId="9" applyNumberFormat="0" applyProtection="0">
      <alignment vertical="center"/>
    </xf>
    <xf numFmtId="4" fontId="13" fillId="24" borderId="9" applyNumberFormat="0" applyProtection="0">
      <alignment horizontal="left" vertical="center" indent="1"/>
    </xf>
    <xf numFmtId="0" fontId="13" fillId="24" borderId="9" applyNumberFormat="0" applyProtection="0">
      <alignment horizontal="left" vertical="top" indent="1"/>
    </xf>
    <xf numFmtId="4" fontId="15" fillId="3" borderId="9" applyNumberFormat="0" applyProtection="0">
      <alignment horizontal="right" vertical="center"/>
    </xf>
    <xf numFmtId="4" fontId="15" fillId="9" borderId="9" applyNumberFormat="0" applyProtection="0">
      <alignment horizontal="right" vertical="center"/>
    </xf>
    <xf numFmtId="4" fontId="15" fillId="17" borderId="9" applyNumberFormat="0" applyProtection="0">
      <alignment horizontal="right" vertical="center"/>
    </xf>
    <xf numFmtId="4" fontId="15" fillId="11" borderId="9" applyNumberFormat="0" applyProtection="0">
      <alignment horizontal="right" vertical="center"/>
    </xf>
    <xf numFmtId="4" fontId="15" fillId="15" borderId="9" applyNumberFormat="0" applyProtection="0">
      <alignment horizontal="right" vertical="center"/>
    </xf>
    <xf numFmtId="4" fontId="15" fillId="19" borderId="9" applyNumberFormat="0" applyProtection="0">
      <alignment horizontal="right" vertical="center"/>
    </xf>
    <xf numFmtId="4" fontId="15" fillId="18" borderId="9" applyNumberFormat="0" applyProtection="0">
      <alignment horizontal="right" vertical="center"/>
    </xf>
    <xf numFmtId="4" fontId="15" fillId="25" borderId="9" applyNumberFormat="0" applyProtection="0">
      <alignment horizontal="right" vertical="center"/>
    </xf>
    <xf numFmtId="4" fontId="15" fillId="10" borderId="9" applyNumberFormat="0" applyProtection="0">
      <alignment horizontal="right" vertical="center"/>
    </xf>
    <xf numFmtId="4" fontId="13" fillId="26" borderId="10" applyNumberFormat="0" applyProtection="0">
      <alignment horizontal="left" vertical="center" indent="1"/>
    </xf>
    <xf numFmtId="4" fontId="15" fillId="27" borderId="0" applyNumberFormat="0" applyProtection="0">
      <alignment horizontal="left" vertical="center" indent="1"/>
    </xf>
    <xf numFmtId="4" fontId="16" fillId="28" borderId="0" applyNumberFormat="0" applyProtection="0">
      <alignment horizontal="left" vertical="center" indent="1"/>
    </xf>
    <xf numFmtId="4" fontId="15" fillId="29" borderId="9" applyNumberFormat="0" applyProtection="0">
      <alignment horizontal="right" vertical="center"/>
    </xf>
    <xf numFmtId="4" fontId="17" fillId="27" borderId="0" applyNumberFormat="0" applyProtection="0">
      <alignment horizontal="left" vertical="center" indent="1"/>
    </xf>
    <xf numFmtId="4" fontId="17" fillId="30" borderId="0" applyNumberFormat="0" applyProtection="0">
      <alignment horizontal="left" vertical="center" indent="1"/>
    </xf>
    <xf numFmtId="0" fontId="18" fillId="28" borderId="9" applyNumberFormat="0" applyProtection="0">
      <alignment horizontal="left" vertical="center" indent="1"/>
    </xf>
    <xf numFmtId="0" fontId="18" fillId="28" borderId="9" applyNumberFormat="0" applyProtection="0">
      <alignment horizontal="left" vertical="top" indent="1"/>
    </xf>
    <xf numFmtId="0" fontId="18" fillId="30" borderId="9" applyNumberFormat="0" applyProtection="0">
      <alignment horizontal="left" vertical="center" indent="1"/>
    </xf>
    <xf numFmtId="0" fontId="18" fillId="30" borderId="9" applyNumberFormat="0" applyProtection="0">
      <alignment horizontal="left" vertical="top" indent="1"/>
    </xf>
    <xf numFmtId="0" fontId="18" fillId="31" borderId="9" applyNumberFormat="0" applyProtection="0">
      <alignment horizontal="left" vertical="center" indent="1"/>
    </xf>
    <xf numFmtId="0" fontId="18" fillId="31" borderId="9" applyNumberFormat="0" applyProtection="0">
      <alignment horizontal="left" vertical="top" indent="1"/>
    </xf>
    <xf numFmtId="0" fontId="18" fillId="32" borderId="9" applyNumberFormat="0" applyProtection="0">
      <alignment horizontal="left" vertical="center" indent="1"/>
    </xf>
    <xf numFmtId="0" fontId="18" fillId="32" borderId="9" applyNumberFormat="0" applyProtection="0">
      <alignment horizontal="left" vertical="top" indent="1"/>
    </xf>
    <xf numFmtId="4" fontId="13" fillId="30" borderId="0" applyNumberFormat="0" applyProtection="0">
      <alignment horizontal="left" vertical="center" indent="1"/>
    </xf>
    <xf numFmtId="4" fontId="15" fillId="33" borderId="9" applyNumberFormat="0" applyProtection="0">
      <alignment vertical="center"/>
    </xf>
    <xf numFmtId="4" fontId="19" fillId="33" borderId="9" applyNumberFormat="0" applyProtection="0">
      <alignment vertical="center"/>
    </xf>
    <xf numFmtId="4" fontId="15" fillId="33" borderId="9" applyNumberFormat="0" applyProtection="0">
      <alignment horizontal="left" vertical="center" indent="1"/>
    </xf>
    <xf numFmtId="0" fontId="15" fillId="33" borderId="9" applyNumberFormat="0" applyProtection="0">
      <alignment horizontal="left" vertical="top" indent="1"/>
    </xf>
    <xf numFmtId="4" fontId="15" fillId="27" borderId="9" applyNumberFormat="0" applyProtection="0">
      <alignment horizontal="right" vertical="center"/>
    </xf>
    <xf numFmtId="4" fontId="19" fillId="27" borderId="9" applyNumberFormat="0" applyProtection="0">
      <alignment horizontal="right" vertical="center"/>
    </xf>
    <xf numFmtId="4" fontId="15" fillId="29" borderId="9" applyNumberFormat="0" applyProtection="0">
      <alignment horizontal="left" vertical="center" indent="1"/>
    </xf>
    <xf numFmtId="0" fontId="15" fillId="30" borderId="9" applyNumberFormat="0" applyProtection="0">
      <alignment horizontal="left" vertical="top" indent="1"/>
    </xf>
    <xf numFmtId="4" fontId="20" fillId="34" borderId="0" applyNumberFormat="0" applyProtection="0">
      <alignment horizontal="left" vertical="center" indent="1"/>
    </xf>
    <xf numFmtId="4" fontId="21" fillId="27" borderId="9" applyNumberFormat="0" applyProtection="0">
      <alignment horizontal="right" vertical="center"/>
    </xf>
    <xf numFmtId="0" fontId="50" fillId="0" borderId="0" applyNumberFormat="0" applyFill="0" applyBorder="0" applyAlignment="0" applyProtection="0"/>
    <xf numFmtId="0" fontId="51" fillId="0" borderId="11" applyNumberFormat="0" applyFill="0" applyAlignment="0" applyProtection="0"/>
    <xf numFmtId="0" fontId="52" fillId="0" borderId="0" applyNumberFormat="0" applyFill="0" applyBorder="0" applyAlignment="0" applyProtection="0"/>
    <xf numFmtId="0" fontId="1" fillId="0" borderId="0"/>
  </cellStyleXfs>
  <cellXfs count="656">
    <xf numFmtId="0" fontId="0" fillId="0" borderId="0" xfId="0"/>
    <xf numFmtId="0" fontId="3" fillId="0" borderId="13" xfId="0" applyFont="1" applyFill="1" applyBorder="1" applyAlignment="1">
      <alignment horizontal="center" vertical="center" wrapText="1"/>
    </xf>
    <xf numFmtId="3" fontId="2" fillId="0" borderId="13" xfId="0" applyNumberFormat="1" applyFont="1" applyFill="1" applyBorder="1" applyAlignment="1">
      <alignment horizontal="center" vertical="center" wrapText="1"/>
    </xf>
    <xf numFmtId="3" fontId="2" fillId="0" borderId="14" xfId="0" applyNumberFormat="1" applyFont="1" applyFill="1" applyBorder="1" applyAlignment="1">
      <alignment horizontal="center" vertical="center" wrapText="1"/>
    </xf>
    <xf numFmtId="3" fontId="7" fillId="0" borderId="13" xfId="0" applyNumberFormat="1"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3" fontId="3" fillId="0" borderId="13" xfId="0" applyNumberFormat="1" applyFont="1" applyFill="1" applyBorder="1" applyAlignment="1">
      <alignment horizontal="center" vertical="center" wrapText="1"/>
    </xf>
    <xf numFmtId="0" fontId="3" fillId="0" borderId="0" xfId="0" applyFont="1" applyFill="1"/>
    <xf numFmtId="49" fontId="3" fillId="0" borderId="13" xfId="0" applyNumberFormat="1" applyFont="1" applyFill="1" applyBorder="1" applyAlignment="1">
      <alignment horizontal="left" vertical="center" wrapText="1" indent="1"/>
    </xf>
    <xf numFmtId="49" fontId="2" fillId="0" borderId="13" xfId="0" applyNumberFormat="1" applyFont="1" applyFill="1" applyBorder="1" applyAlignment="1">
      <alignment horizontal="left" vertical="center" wrapText="1" indent="1"/>
    </xf>
    <xf numFmtId="49" fontId="2" fillId="0" borderId="17" xfId="0" applyNumberFormat="1" applyFont="1" applyFill="1" applyBorder="1" applyAlignment="1">
      <alignment horizontal="left" vertical="center" wrapText="1" indent="1"/>
    </xf>
    <xf numFmtId="3" fontId="3" fillId="0" borderId="13" xfId="0" applyNumberFormat="1" applyFont="1" applyFill="1" applyBorder="1" applyAlignment="1">
      <alignment horizontal="right" vertical="center" wrapText="1" indent="1"/>
    </xf>
    <xf numFmtId="3" fontId="7" fillId="0" borderId="14" xfId="0" applyNumberFormat="1" applyFont="1" applyFill="1" applyBorder="1" applyAlignment="1">
      <alignment horizontal="center" vertical="center" wrapText="1"/>
    </xf>
    <xf numFmtId="49" fontId="7" fillId="0" borderId="13" xfId="0" applyNumberFormat="1" applyFont="1" applyFill="1" applyBorder="1" applyAlignment="1">
      <alignment horizontal="left" vertical="center" wrapText="1" indent="1"/>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7" fillId="0" borderId="13" xfId="0" applyFont="1" applyFill="1" applyBorder="1" applyAlignment="1">
      <alignment horizontal="left" vertical="center" wrapText="1" indent="1"/>
    </xf>
    <xf numFmtId="0" fontId="8" fillId="0" borderId="0" xfId="0" applyFont="1"/>
    <xf numFmtId="1" fontId="3" fillId="0" borderId="13" xfId="0" applyNumberFormat="1" applyFont="1" applyFill="1" applyBorder="1" applyAlignment="1">
      <alignment horizontal="center" vertical="center" wrapText="1"/>
    </xf>
    <xf numFmtId="49" fontId="7" fillId="0" borderId="17" xfId="0" applyNumberFormat="1" applyFont="1" applyFill="1" applyBorder="1" applyAlignment="1">
      <alignment horizontal="left" vertical="center" wrapText="1" indent="1"/>
    </xf>
    <xf numFmtId="0" fontId="8" fillId="0" borderId="0" xfId="0" applyFont="1" applyFill="1" applyAlignment="1">
      <alignment horizontal="left" vertical="center" wrapText="1" indent="1"/>
    </xf>
    <xf numFmtId="0" fontId="7" fillId="0" borderId="17" xfId="0" applyFont="1" applyFill="1" applyBorder="1" applyAlignment="1">
      <alignment horizontal="left" vertical="center" wrapText="1" indent="1"/>
    </xf>
    <xf numFmtId="0" fontId="3" fillId="0" borderId="0" xfId="0" applyFont="1" applyFill="1" applyAlignment="1">
      <alignment vertical="center" wrapText="1"/>
    </xf>
    <xf numFmtId="0" fontId="29" fillId="0" borderId="0" xfId="0" applyFont="1" applyFill="1" applyAlignment="1">
      <alignment vertical="center" wrapText="1"/>
    </xf>
    <xf numFmtId="0" fontId="7" fillId="0" borderId="0" xfId="0" applyFont="1" applyFill="1" applyAlignment="1">
      <alignment vertical="center" wrapText="1"/>
    </xf>
    <xf numFmtId="49" fontId="8" fillId="0" borderId="13" xfId="0" applyNumberFormat="1" applyFont="1" applyFill="1" applyBorder="1" applyAlignment="1">
      <alignment horizontal="left" vertical="center" wrapText="1" indent="1"/>
    </xf>
    <xf numFmtId="0" fontId="8" fillId="0" borderId="15" xfId="0" applyFont="1" applyFill="1" applyBorder="1" applyAlignment="1">
      <alignment horizontal="center" vertical="center" wrapText="1"/>
    </xf>
    <xf numFmtId="3" fontId="2" fillId="0" borderId="14" xfId="0" applyNumberFormat="1" applyFont="1" applyFill="1" applyBorder="1" applyAlignment="1">
      <alignment horizontal="right" vertical="center" wrapText="1" indent="1"/>
    </xf>
    <xf numFmtId="0" fontId="3" fillId="0" borderId="16" xfId="0" applyFont="1" applyFill="1" applyBorder="1" applyAlignment="1">
      <alignment horizontal="center" vertical="center"/>
    </xf>
    <xf numFmtId="0" fontId="2" fillId="0" borderId="17" xfId="0" applyFont="1" applyFill="1" applyBorder="1" applyAlignment="1">
      <alignment horizontal="left" wrapText="1" indent="1"/>
    </xf>
    <xf numFmtId="0" fontId="2" fillId="0" borderId="15" xfId="0" applyFont="1" applyFill="1" applyBorder="1" applyAlignment="1">
      <alignment horizontal="center" vertical="center" wrapText="1"/>
    </xf>
    <xf numFmtId="3" fontId="3" fillId="0" borderId="14" xfId="0" applyNumberFormat="1" applyFont="1" applyFill="1" applyBorder="1" applyAlignment="1">
      <alignment horizontal="right" vertical="center" wrapText="1" indent="1"/>
    </xf>
    <xf numFmtId="0" fontId="10" fillId="0" borderId="13" xfId="0" applyFont="1" applyFill="1" applyBorder="1" applyAlignment="1">
      <alignment horizontal="left" vertical="center" wrapText="1" indent="1"/>
    </xf>
    <xf numFmtId="165" fontId="56" fillId="35" borderId="13" xfId="76" quotePrefix="1" applyNumberFormat="1" applyFont="1" applyFill="1" applyBorder="1" applyAlignment="1" applyProtection="1">
      <alignment horizontal="left" vertical="center" wrapText="1" indent="1"/>
      <protection locked="0"/>
    </xf>
    <xf numFmtId="165" fontId="55" fillId="35" borderId="13" xfId="84" quotePrefix="1" applyNumberFormat="1" applyFont="1" applyFill="1" applyBorder="1" applyAlignment="1" applyProtection="1">
      <alignment horizontal="left" vertical="center" wrapText="1" indent="1"/>
      <protection locked="0"/>
    </xf>
    <xf numFmtId="165" fontId="55" fillId="35" borderId="13" xfId="83" quotePrefix="1" applyNumberFormat="1" applyFont="1" applyFill="1" applyBorder="1" applyProtection="1">
      <alignment horizontal="left" vertical="center" indent="1"/>
      <protection locked="0"/>
    </xf>
    <xf numFmtId="0" fontId="8" fillId="0" borderId="13" xfId="0" applyFont="1" applyBorder="1"/>
    <xf numFmtId="165" fontId="56" fillId="35" borderId="13" xfId="51" quotePrefix="1" applyNumberFormat="1" applyFont="1" applyFill="1" applyBorder="1">
      <alignment horizontal="left" vertical="center" indent="1"/>
    </xf>
    <xf numFmtId="165" fontId="56" fillId="35" borderId="13" xfId="51" applyNumberFormat="1" applyFont="1" applyFill="1" applyBorder="1">
      <alignment horizontal="left" vertical="center" indent="1"/>
    </xf>
    <xf numFmtId="165" fontId="55" fillId="35" borderId="13" xfId="83" applyNumberFormat="1" applyFont="1" applyFill="1" applyBorder="1" applyAlignment="1" applyProtection="1">
      <alignment vertical="center"/>
      <protection locked="0"/>
    </xf>
    <xf numFmtId="165" fontId="56" fillId="35" borderId="13" xfId="83" quotePrefix="1" applyNumberFormat="1" applyFont="1" applyFill="1" applyBorder="1" applyProtection="1">
      <alignment horizontal="left" vertical="center" indent="1"/>
      <protection locked="0"/>
    </xf>
    <xf numFmtId="165" fontId="55" fillId="35" borderId="13" xfId="84" applyNumberFormat="1" applyFont="1" applyFill="1" applyBorder="1" applyAlignment="1" applyProtection="1">
      <alignment horizontal="left" vertical="center" wrapText="1" indent="1"/>
      <protection locked="0"/>
    </xf>
    <xf numFmtId="0" fontId="24" fillId="0" borderId="15" xfId="42" applyFont="1" applyFill="1" applyBorder="1" applyAlignment="1">
      <alignment horizontal="left" indent="1"/>
    </xf>
    <xf numFmtId="0" fontId="8" fillId="0" borderId="0" xfId="0" applyFont="1" applyBorder="1"/>
    <xf numFmtId="0" fontId="12" fillId="0" borderId="35" xfId="0" applyFont="1" applyBorder="1" applyAlignment="1">
      <alignment horizontal="center"/>
    </xf>
    <xf numFmtId="0" fontId="33" fillId="0" borderId="47" xfId="35" applyFont="1" applyBorder="1" applyAlignment="1" applyProtection="1">
      <alignment horizontal="center"/>
    </xf>
    <xf numFmtId="0" fontId="8" fillId="0" borderId="49" xfId="0" applyFont="1" applyBorder="1"/>
    <xf numFmtId="0" fontId="61" fillId="0" borderId="14" xfId="0" applyFont="1" applyFill="1" applyBorder="1" applyAlignment="1">
      <alignment horizontal="center" vertical="center" wrapText="1"/>
    </xf>
    <xf numFmtId="0" fontId="3" fillId="0" borderId="15" xfId="0" applyFont="1" applyFill="1" applyBorder="1" applyAlignment="1">
      <alignment horizontal="center" vertical="center"/>
    </xf>
    <xf numFmtId="0" fontId="33" fillId="0" borderId="20" xfId="35" applyFont="1" applyBorder="1" applyAlignment="1" applyProtection="1">
      <alignment horizontal="center"/>
    </xf>
    <xf numFmtId="0" fontId="33" fillId="0" borderId="37" xfId="35" applyFont="1" applyBorder="1" applyAlignment="1" applyProtection="1">
      <alignment horizontal="center"/>
    </xf>
    <xf numFmtId="0" fontId="8" fillId="0" borderId="51" xfId="0" applyFont="1" applyBorder="1"/>
    <xf numFmtId="0" fontId="3" fillId="0" borderId="0" xfId="0" applyFont="1" applyFill="1" applyBorder="1"/>
    <xf numFmtId="0" fontId="2" fillId="0" borderId="0" xfId="0" applyFont="1" applyFill="1" applyBorder="1" applyAlignment="1">
      <alignment horizontal="center" vertical="center"/>
    </xf>
    <xf numFmtId="49" fontId="2" fillId="0" borderId="13" xfId="0" applyNumberFormat="1" applyFont="1" applyFill="1" applyBorder="1" applyAlignment="1">
      <alignment horizontal="left" vertical="center" wrapText="1"/>
    </xf>
    <xf numFmtId="0" fontId="3" fillId="0" borderId="0" xfId="0" applyFont="1" applyFill="1" applyBorder="1" applyAlignment="1">
      <alignment vertical="center"/>
    </xf>
    <xf numFmtId="0" fontId="3" fillId="0" borderId="16" xfId="0" applyFont="1" applyFill="1" applyBorder="1" applyAlignment="1">
      <alignment horizontal="center" vertical="center" wrapText="1"/>
    </xf>
    <xf numFmtId="49" fontId="3" fillId="0" borderId="0" xfId="0" applyNumberFormat="1" applyFont="1" applyFill="1" applyBorder="1" applyAlignment="1">
      <alignment horizontal="left" indent="1"/>
    </xf>
    <xf numFmtId="0" fontId="3" fillId="0" borderId="20" xfId="0" applyFont="1" applyFill="1" applyBorder="1" applyAlignment="1">
      <alignment horizontal="center" vertical="center" wrapText="1"/>
    </xf>
    <xf numFmtId="3" fontId="3" fillId="0" borderId="14" xfId="0" applyNumberFormat="1" applyFont="1" applyFill="1" applyBorder="1" applyAlignment="1">
      <alignment horizontal="center" vertical="center" wrapText="1"/>
    </xf>
    <xf numFmtId="0" fontId="8" fillId="0" borderId="15" xfId="42" applyFont="1" applyFill="1" applyBorder="1" applyAlignment="1">
      <alignment horizontal="left" indent="1"/>
    </xf>
    <xf numFmtId="0" fontId="8" fillId="0" borderId="21" xfId="42" applyFont="1" applyFill="1" applyBorder="1" applyAlignment="1">
      <alignment horizontal="left" indent="1"/>
    </xf>
    <xf numFmtId="49" fontId="71" fillId="0" borderId="13" xfId="0" applyNumberFormat="1" applyFont="1" applyFill="1" applyBorder="1" applyAlignment="1">
      <alignment horizontal="left" vertical="center" wrapText="1" indent="1"/>
    </xf>
    <xf numFmtId="49" fontId="70" fillId="0" borderId="13" xfId="0" applyNumberFormat="1" applyFont="1" applyFill="1" applyBorder="1" applyAlignment="1">
      <alignment horizontal="left" vertical="center" wrapText="1" indent="1"/>
    </xf>
    <xf numFmtId="0" fontId="67" fillId="0" borderId="0" xfId="0" applyFont="1"/>
    <xf numFmtId="49" fontId="3" fillId="0" borderId="13" xfId="0" applyNumberFormat="1" applyFont="1" applyFill="1" applyBorder="1" applyAlignment="1">
      <alignment horizontal="left" vertical="top" wrapText="1" indent="1"/>
    </xf>
    <xf numFmtId="49" fontId="2" fillId="0" borderId="13" xfId="0" applyNumberFormat="1" applyFont="1" applyFill="1" applyBorder="1" applyAlignment="1">
      <alignment horizontal="left" vertical="top" wrapText="1" indent="1"/>
    </xf>
    <xf numFmtId="49" fontId="2" fillId="0" borderId="17" xfId="0" applyNumberFormat="1" applyFont="1" applyFill="1" applyBorder="1" applyAlignment="1">
      <alignment horizontal="left" vertical="top" wrapText="1" indent="1"/>
    </xf>
    <xf numFmtId="0" fontId="68" fillId="0" borderId="51" xfId="0" applyFont="1" applyBorder="1"/>
    <xf numFmtId="49" fontId="2" fillId="0" borderId="13" xfId="0" applyNumberFormat="1" applyFont="1" applyFill="1" applyBorder="1" applyAlignment="1">
      <alignment vertical="center" wrapText="1"/>
    </xf>
    <xf numFmtId="49" fontId="3" fillId="0" borderId="13" xfId="0" applyNumberFormat="1" applyFont="1" applyFill="1" applyBorder="1" applyAlignment="1">
      <alignment vertical="center" wrapText="1"/>
    </xf>
    <xf numFmtId="0" fontId="3" fillId="0" borderId="70" xfId="0" applyFont="1" applyFill="1" applyBorder="1" applyAlignment="1">
      <alignment horizontal="center" vertical="center" wrapText="1"/>
    </xf>
    <xf numFmtId="0" fontId="3" fillId="0" borderId="70" xfId="0" applyFont="1" applyFill="1" applyBorder="1" applyAlignment="1">
      <alignment horizontal="right" vertical="center" wrapText="1" indent="1"/>
    </xf>
    <xf numFmtId="3" fontId="7" fillId="0" borderId="67" xfId="44" applyNumberFormat="1" applyFont="1" applyFill="1" applyBorder="1" applyAlignment="1">
      <alignment horizontal="center" vertical="center" wrapText="1"/>
    </xf>
    <xf numFmtId="3" fontId="7" fillId="0" borderId="13" xfId="44" applyNumberFormat="1" applyFont="1" applyFill="1" applyBorder="1" applyAlignment="1">
      <alignment horizontal="center" vertical="center" wrapText="1"/>
    </xf>
    <xf numFmtId="3" fontId="7" fillId="0" borderId="15" xfId="44" applyNumberFormat="1" applyFont="1" applyFill="1" applyBorder="1" applyAlignment="1">
      <alignment horizontal="center" vertical="center" wrapText="1"/>
    </xf>
    <xf numFmtId="0" fontId="7" fillId="0" borderId="67" xfId="44" applyNumberFormat="1" applyFont="1" applyFill="1" applyBorder="1" applyAlignment="1">
      <alignment horizontal="center" vertical="center" wrapText="1"/>
    </xf>
    <xf numFmtId="0" fontId="7" fillId="0" borderId="77" xfId="44" applyNumberFormat="1" applyFont="1" applyFill="1" applyBorder="1" applyAlignment="1">
      <alignment horizontal="center" vertical="center" wrapText="1"/>
    </xf>
    <xf numFmtId="0" fontId="7" fillId="0" borderId="13" xfId="44" applyNumberFormat="1" applyFont="1" applyFill="1" applyBorder="1" applyAlignment="1">
      <alignment horizontal="center" vertical="center" wrapText="1"/>
    </xf>
    <xf numFmtId="0" fontId="69" fillId="0" borderId="0" xfId="0" applyFont="1" applyFill="1"/>
    <xf numFmtId="0" fontId="67" fillId="0" borderId="0" xfId="0" applyFont="1" applyFill="1"/>
    <xf numFmtId="0" fontId="60" fillId="0" borderId="51" xfId="0" applyFont="1" applyBorder="1"/>
    <xf numFmtId="0" fontId="12" fillId="0" borderId="45" xfId="0" applyFont="1" applyFill="1" applyBorder="1" applyAlignment="1">
      <alignment vertical="center"/>
    </xf>
    <xf numFmtId="0" fontId="8" fillId="0" borderId="45" xfId="0" applyFont="1" applyFill="1" applyBorder="1" applyAlignment="1">
      <alignment vertical="center"/>
    </xf>
    <xf numFmtId="0" fontId="8" fillId="0" borderId="45" xfId="0" applyFont="1" applyBorder="1"/>
    <xf numFmtId="0" fontId="8" fillId="0" borderId="46" xfId="0" applyFont="1" applyBorder="1"/>
    <xf numFmtId="0" fontId="8" fillId="0" borderId="48" xfId="0" applyFont="1" applyBorder="1"/>
    <xf numFmtId="0" fontId="8" fillId="0" borderId="32" xfId="0" applyFont="1" applyBorder="1"/>
    <xf numFmtId="0" fontId="8" fillId="0" borderId="27" xfId="0" applyFont="1" applyBorder="1"/>
    <xf numFmtId="0" fontId="60" fillId="0" borderId="27" xfId="0" applyFont="1" applyBorder="1"/>
    <xf numFmtId="0" fontId="76" fillId="0" borderId="0" xfId="0" applyFont="1" applyAlignment="1">
      <alignment horizontal="center"/>
    </xf>
    <xf numFmtId="0" fontId="8" fillId="0" borderId="0" xfId="0" applyFont="1" applyAlignment="1">
      <alignment horizontal="center"/>
    </xf>
    <xf numFmtId="0" fontId="64" fillId="0" borderId="45" xfId="0" applyFont="1" applyFill="1" applyBorder="1" applyAlignment="1">
      <alignment vertical="center"/>
    </xf>
    <xf numFmtId="0" fontId="8" fillId="0" borderId="0" xfId="0" applyFont="1" applyFill="1" applyAlignment="1">
      <alignment vertical="center" wrapText="1"/>
    </xf>
    <xf numFmtId="4" fontId="7" fillId="0" borderId="17" xfId="0" applyNumberFormat="1" applyFont="1" applyFill="1" applyBorder="1" applyAlignment="1">
      <alignment horizontal="right" vertical="center" wrapText="1" indent="1"/>
    </xf>
    <xf numFmtId="4" fontId="2" fillId="0" borderId="13" xfId="0" applyNumberFormat="1" applyFont="1" applyFill="1" applyBorder="1" applyAlignment="1">
      <alignment horizontal="center" vertical="center" wrapText="1"/>
    </xf>
    <xf numFmtId="4" fontId="3" fillId="0" borderId="13" xfId="0" applyNumberFormat="1" applyFont="1" applyFill="1" applyBorder="1" applyAlignment="1">
      <alignment horizontal="center" vertical="center" wrapText="1"/>
    </xf>
    <xf numFmtId="4" fontId="3" fillId="0" borderId="17" xfId="0" applyNumberFormat="1" applyFont="1" applyFill="1" applyBorder="1" applyAlignment="1">
      <alignment horizontal="center" vertical="center" wrapText="1"/>
    </xf>
    <xf numFmtId="165" fontId="65" fillId="0" borderId="13" xfId="0" applyNumberFormat="1" applyFont="1" applyFill="1" applyBorder="1" applyAlignment="1">
      <alignment horizontal="center" vertical="center" wrapText="1"/>
    </xf>
    <xf numFmtId="3" fontId="3" fillId="0" borderId="13" xfId="40" applyNumberFormat="1" applyFont="1" applyFill="1" applyBorder="1" applyAlignment="1">
      <alignment horizontal="center" wrapText="1"/>
    </xf>
    <xf numFmtId="4" fontId="3" fillId="0" borderId="13" xfId="40" applyNumberFormat="1" applyFont="1" applyFill="1" applyBorder="1" applyAlignment="1">
      <alignment horizontal="right" vertical="center" wrapText="1" indent="1"/>
    </xf>
    <xf numFmtId="0" fontId="3" fillId="0" borderId="0" xfId="40" applyFont="1" applyFill="1" applyAlignment="1">
      <alignment horizontal="center"/>
    </xf>
    <xf numFmtId="0" fontId="3" fillId="0" borderId="0" xfId="40" applyFont="1" applyFill="1"/>
    <xf numFmtId="49" fontId="3" fillId="0" borderId="13" xfId="40" applyNumberFormat="1" applyFont="1" applyFill="1" applyBorder="1" applyAlignment="1">
      <alignment horizontal="left" vertical="center" wrapText="1" indent="1"/>
    </xf>
    <xf numFmtId="0" fontId="3" fillId="0" borderId="15" xfId="40" applyFont="1" applyFill="1" applyBorder="1" applyAlignment="1">
      <alignment horizontal="center" vertical="center" wrapText="1"/>
    </xf>
    <xf numFmtId="0" fontId="3" fillId="0" borderId="16" xfId="40" applyFont="1" applyFill="1" applyBorder="1" applyAlignment="1">
      <alignment horizontal="center" vertical="center" wrapText="1"/>
    </xf>
    <xf numFmtId="0" fontId="3" fillId="0" borderId="0" xfId="40" applyFont="1" applyFill="1" applyBorder="1" applyAlignment="1">
      <alignment horizontal="center" vertical="center" wrapText="1"/>
    </xf>
    <xf numFmtId="49" fontId="2" fillId="0" borderId="0" xfId="40" applyNumberFormat="1" applyFont="1" applyFill="1" applyBorder="1" applyAlignment="1">
      <alignment horizontal="left" vertical="top" wrapText="1" indent="1"/>
    </xf>
    <xf numFmtId="3" fontId="8" fillId="0" borderId="37" xfId="44" applyNumberFormat="1" applyFont="1" applyFill="1" applyBorder="1" applyAlignment="1">
      <alignment horizontal="right" vertical="center" wrapText="1" indent="1"/>
    </xf>
    <xf numFmtId="3" fontId="8" fillId="0" borderId="20" xfId="44" applyNumberFormat="1" applyFont="1" applyFill="1" applyBorder="1" applyAlignment="1">
      <alignment horizontal="right" vertical="center" wrapText="1" indent="1"/>
    </xf>
    <xf numFmtId="3" fontId="8" fillId="0" borderId="35" xfId="44" applyNumberFormat="1" applyFont="1" applyFill="1" applyBorder="1" applyAlignment="1">
      <alignment horizontal="right" vertical="center" wrapText="1" indent="1"/>
    </xf>
    <xf numFmtId="4" fontId="53" fillId="0" borderId="17" xfId="0" applyNumberFormat="1" applyFont="1" applyFill="1" applyBorder="1" applyAlignment="1">
      <alignment horizontal="left" vertical="center" wrapText="1" indent="1"/>
    </xf>
    <xf numFmtId="4" fontId="3" fillId="0" borderId="13" xfId="0" applyNumberFormat="1" applyFont="1" applyFill="1" applyBorder="1" applyAlignment="1">
      <alignment horizontal="right" vertical="center" wrapText="1" indent="1"/>
    </xf>
    <xf numFmtId="4" fontId="2" fillId="0" borderId="14" xfId="0" applyNumberFormat="1" applyFont="1" applyFill="1" applyBorder="1" applyAlignment="1">
      <alignment horizontal="right" vertical="center" wrapText="1" indent="1"/>
    </xf>
    <xf numFmtId="4" fontId="3" fillId="0" borderId="19" xfId="0" applyNumberFormat="1" applyFont="1" applyFill="1" applyBorder="1" applyAlignment="1">
      <alignment horizontal="right" vertical="center" wrapText="1" indent="1"/>
    </xf>
    <xf numFmtId="3" fontId="3" fillId="0" borderId="0" xfId="0" applyNumberFormat="1" applyFont="1" applyFill="1" applyBorder="1"/>
    <xf numFmtId="49" fontId="2" fillId="0" borderId="13" xfId="0" applyNumberFormat="1"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38"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3" fillId="0" borderId="0" xfId="0" applyFont="1" applyFill="1" applyBorder="1" applyAlignment="1">
      <alignment wrapText="1"/>
    </xf>
    <xf numFmtId="4" fontId="8" fillId="0" borderId="0" xfId="45" applyNumberFormat="1" applyFont="1" applyFill="1" applyBorder="1" applyAlignment="1">
      <alignment vertical="center" wrapText="1"/>
    </xf>
    <xf numFmtId="0" fontId="1" fillId="0" borderId="0" xfId="0" applyFont="1" applyFill="1"/>
    <xf numFmtId="0" fontId="3" fillId="0" borderId="0" xfId="0" applyFont="1" applyFill="1" applyAlignment="1">
      <alignment horizontal="left" vertical="center" wrapText="1"/>
    </xf>
    <xf numFmtId="4" fontId="2" fillId="0" borderId="13" xfId="0" applyNumberFormat="1" applyFont="1" applyFill="1" applyBorder="1" applyAlignment="1">
      <alignment horizontal="right" vertical="center" wrapText="1" indent="1"/>
    </xf>
    <xf numFmtId="4" fontId="2" fillId="0" borderId="17" xfId="0" applyNumberFormat="1" applyFont="1" applyFill="1" applyBorder="1" applyAlignment="1" applyProtection="1">
      <alignment horizontal="right" vertical="center" wrapText="1" indent="1"/>
    </xf>
    <xf numFmtId="3" fontId="2" fillId="0" borderId="18" xfId="0" applyNumberFormat="1" applyFont="1" applyFill="1" applyBorder="1" applyAlignment="1">
      <alignment horizontal="right" vertical="center" wrapText="1" indent="1"/>
    </xf>
    <xf numFmtId="0" fontId="3" fillId="0" borderId="0" xfId="0" applyFont="1" applyFill="1" applyBorder="1" applyAlignment="1">
      <alignment horizontal="center" vertical="center" wrapText="1"/>
    </xf>
    <xf numFmtId="49" fontId="3" fillId="0" borderId="0" xfId="0" applyNumberFormat="1" applyFont="1" applyFill="1" applyBorder="1" applyAlignment="1">
      <alignment horizontal="left" vertical="center" wrapText="1" indent="1"/>
    </xf>
    <xf numFmtId="0" fontId="3" fillId="0" borderId="0" xfId="0" applyFont="1" applyFill="1" applyBorder="1" applyAlignment="1">
      <alignment vertical="center" wrapText="1"/>
    </xf>
    <xf numFmtId="0" fontId="3" fillId="0" borderId="0" xfId="0" applyFont="1" applyFill="1" applyAlignment="1">
      <alignment horizontal="right" vertical="center" wrapText="1"/>
    </xf>
    <xf numFmtId="49" fontId="9" fillId="0" borderId="0" xfId="0" applyNumberFormat="1" applyFont="1" applyFill="1" applyAlignment="1">
      <alignment horizontal="left" vertical="center" wrapText="1" indent="1"/>
    </xf>
    <xf numFmtId="0" fontId="3" fillId="0" borderId="0" xfId="0" applyFont="1" applyFill="1" applyAlignment="1">
      <alignment horizontal="center" vertical="center" wrapText="1"/>
    </xf>
    <xf numFmtId="49" fontId="3" fillId="0" borderId="0" xfId="0" applyNumberFormat="1" applyFont="1" applyFill="1" applyAlignment="1">
      <alignment horizontal="left" vertical="center" wrapText="1" indent="1"/>
    </xf>
    <xf numFmtId="0" fontId="4" fillId="0" borderId="0" xfId="0" applyFont="1" applyFill="1" applyAlignment="1">
      <alignment horizontal="center" vertical="center" wrapText="1"/>
    </xf>
    <xf numFmtId="0" fontId="2" fillId="0" borderId="0" xfId="0" applyFont="1" applyFill="1"/>
    <xf numFmtId="0" fontId="2" fillId="0" borderId="13" xfId="0" applyFont="1" applyFill="1" applyBorder="1" applyAlignment="1">
      <alignment horizontal="left" vertical="top" wrapText="1" indent="1"/>
    </xf>
    <xf numFmtId="3" fontId="7" fillId="0" borderId="13" xfId="0" applyNumberFormat="1" applyFont="1" applyFill="1" applyBorder="1" applyAlignment="1">
      <alignment horizontal="right" vertical="center" wrapText="1" indent="1"/>
    </xf>
    <xf numFmtId="3" fontId="7" fillId="0" borderId="14" xfId="0" applyNumberFormat="1" applyFont="1" applyFill="1" applyBorder="1" applyAlignment="1">
      <alignment horizontal="right" vertical="center" wrapText="1" indent="1"/>
    </xf>
    <xf numFmtId="0" fontId="3" fillId="0" borderId="13" xfId="0" applyFont="1" applyFill="1" applyBorder="1" applyAlignment="1">
      <alignment horizontal="left" vertical="top" wrapText="1" indent="1"/>
    </xf>
    <xf numFmtId="0" fontId="8" fillId="0" borderId="13" xfId="0" applyFont="1" applyFill="1" applyBorder="1" applyAlignment="1">
      <alignment horizontal="left" vertical="top" wrapText="1" indent="1"/>
    </xf>
    <xf numFmtId="3" fontId="8" fillId="0" borderId="13" xfId="0" applyNumberFormat="1" applyFont="1" applyFill="1" applyBorder="1" applyAlignment="1">
      <alignment horizontal="right" vertical="center" wrapText="1" indent="1"/>
    </xf>
    <xf numFmtId="0" fontId="3" fillId="0" borderId="21" xfId="0" applyFont="1" applyFill="1" applyBorder="1" applyAlignment="1">
      <alignment horizontal="center" vertical="center"/>
    </xf>
    <xf numFmtId="0" fontId="3" fillId="0" borderId="19" xfId="0" applyFont="1" applyFill="1" applyBorder="1" applyAlignment="1">
      <alignment horizontal="left" vertical="top" wrapText="1" indent="1"/>
    </xf>
    <xf numFmtId="3" fontId="3" fillId="0" borderId="19" xfId="0" applyNumberFormat="1" applyFont="1" applyFill="1" applyBorder="1" applyAlignment="1">
      <alignment horizontal="right" vertical="center" wrapText="1" indent="1"/>
    </xf>
    <xf numFmtId="3" fontId="7" fillId="0" borderId="26" xfId="0" applyNumberFormat="1" applyFont="1" applyFill="1" applyBorder="1" applyAlignment="1">
      <alignment horizontal="right" vertical="center" wrapText="1" indent="1"/>
    </xf>
    <xf numFmtId="3" fontId="2" fillId="0" borderId="17" xfId="0" applyNumberFormat="1" applyFont="1" applyFill="1" applyBorder="1" applyAlignment="1">
      <alignment horizontal="right" vertical="center" wrapText="1" indent="1"/>
    </xf>
    <xf numFmtId="3" fontId="7" fillId="0" borderId="18" xfId="0" applyNumberFormat="1" applyFont="1" applyFill="1" applyBorder="1" applyAlignment="1">
      <alignment horizontal="right" vertical="center" wrapText="1" indent="1"/>
    </xf>
    <xf numFmtId="0" fontId="10" fillId="0" borderId="0" xfId="0" applyFont="1" applyFill="1" applyAlignment="1">
      <alignment horizontal="center" vertical="center"/>
    </xf>
    <xf numFmtId="0" fontId="10" fillId="0" borderId="0" xfId="0" applyFont="1" applyFill="1" applyAlignment="1">
      <alignment horizontal="left" indent="1"/>
    </xf>
    <xf numFmtId="0" fontId="10" fillId="0" borderId="0" xfId="0" applyFont="1" applyFill="1"/>
    <xf numFmtId="0" fontId="3" fillId="0" borderId="0" xfId="0" applyFont="1" applyFill="1" applyAlignment="1">
      <alignment horizontal="center" vertical="center"/>
    </xf>
    <xf numFmtId="0" fontId="3" fillId="0" borderId="0" xfId="0" applyFont="1" applyFill="1" applyAlignment="1">
      <alignment horizontal="left" indent="1"/>
    </xf>
    <xf numFmtId="4" fontId="7" fillId="0" borderId="13" xfId="0" applyNumberFormat="1" applyFont="1" applyFill="1" applyBorder="1" applyAlignment="1">
      <alignment horizontal="right" vertical="center" wrapText="1" indent="1"/>
    </xf>
    <xf numFmtId="4" fontId="7" fillId="0" borderId="13" xfId="0" applyNumberFormat="1" applyFont="1" applyFill="1" applyBorder="1" applyAlignment="1">
      <alignment horizontal="right" vertical="center" indent="1"/>
    </xf>
    <xf numFmtId="4" fontId="7" fillId="0" borderId="14" xfId="0" applyNumberFormat="1" applyFont="1" applyFill="1" applyBorder="1" applyAlignment="1">
      <alignment horizontal="right" vertical="center" indent="1"/>
    </xf>
    <xf numFmtId="4" fontId="3" fillId="0" borderId="0" xfId="0" applyNumberFormat="1" applyFont="1" applyFill="1"/>
    <xf numFmtId="4" fontId="7" fillId="0" borderId="14" xfId="0" applyNumberFormat="1" applyFont="1" applyFill="1" applyBorder="1" applyAlignment="1">
      <alignment horizontal="right" vertical="center" wrapText="1" indent="1"/>
    </xf>
    <xf numFmtId="4" fontId="75" fillId="0" borderId="13" xfId="0" applyNumberFormat="1" applyFont="1" applyFill="1" applyBorder="1" applyAlignment="1">
      <alignment horizontal="right" vertical="center" wrapText="1"/>
    </xf>
    <xf numFmtId="4" fontId="75" fillId="0" borderId="13" xfId="0" applyNumberFormat="1" applyFont="1" applyFill="1" applyBorder="1" applyAlignment="1">
      <alignment horizontal="right" vertical="center" wrapText="1" indent="1"/>
    </xf>
    <xf numFmtId="4" fontId="75" fillId="0" borderId="13" xfId="0" applyNumberFormat="1" applyFont="1" applyFill="1" applyBorder="1" applyAlignment="1">
      <alignment vertical="center" wrapText="1"/>
    </xf>
    <xf numFmtId="4" fontId="75" fillId="0" borderId="14" xfId="0" applyNumberFormat="1" applyFont="1" applyFill="1" applyBorder="1" applyAlignment="1">
      <alignment horizontal="right" vertical="center" wrapText="1" indent="1"/>
    </xf>
    <xf numFmtId="4" fontId="7" fillId="0" borderId="13" xfId="0" applyNumberFormat="1" applyFont="1" applyFill="1" applyBorder="1" applyAlignment="1">
      <alignment vertical="center" wrapText="1"/>
    </xf>
    <xf numFmtId="4" fontId="7" fillId="0" borderId="17" xfId="0" applyNumberFormat="1" applyFont="1" applyFill="1" applyBorder="1" applyAlignment="1">
      <alignment horizontal="right" vertical="center" indent="1"/>
    </xf>
    <xf numFmtId="4" fontId="7" fillId="0" borderId="18" xfId="0" applyNumberFormat="1" applyFont="1" applyFill="1" applyBorder="1" applyAlignment="1">
      <alignment horizontal="right" vertical="center" indent="1"/>
    </xf>
    <xf numFmtId="0" fontId="3" fillId="0" borderId="0" xfId="0" applyFont="1" applyFill="1" applyAlignment="1">
      <alignment vertical="center"/>
    </xf>
    <xf numFmtId="0" fontId="8" fillId="0" borderId="0" xfId="0" applyFont="1" applyFill="1"/>
    <xf numFmtId="4" fontId="2" fillId="0" borderId="38" xfId="0" applyNumberFormat="1" applyFont="1" applyFill="1" applyBorder="1" applyAlignment="1">
      <alignment horizontal="right" vertical="center" wrapText="1" indent="1"/>
    </xf>
    <xf numFmtId="3" fontId="60" fillId="0" borderId="0" xfId="0" applyNumberFormat="1" applyFont="1" applyFill="1"/>
    <xf numFmtId="0" fontId="67" fillId="0" borderId="0" xfId="0" applyFont="1" applyFill="1" applyAlignment="1">
      <alignment wrapText="1"/>
    </xf>
    <xf numFmtId="4" fontId="3" fillId="0" borderId="38" xfId="0" applyNumberFormat="1" applyFont="1" applyFill="1" applyBorder="1" applyAlignment="1">
      <alignment horizontal="right" vertical="center" wrapText="1" indent="1"/>
    </xf>
    <xf numFmtId="4" fontId="8" fillId="0" borderId="38" xfId="0" applyNumberFormat="1" applyFont="1" applyFill="1" applyBorder="1" applyAlignment="1">
      <alignment horizontal="right" vertical="center" wrapText="1" indent="1"/>
    </xf>
    <xf numFmtId="4" fontId="8" fillId="0" borderId="13" xfId="0" applyNumberFormat="1" applyFont="1" applyFill="1" applyBorder="1" applyAlignment="1">
      <alignment horizontal="right" vertical="center" wrapText="1" indent="1"/>
    </xf>
    <xf numFmtId="4" fontId="7" fillId="0" borderId="38" xfId="0" applyNumberFormat="1" applyFont="1" applyFill="1" applyBorder="1" applyAlignment="1">
      <alignment horizontal="right" vertical="center" wrapText="1" indent="1"/>
    </xf>
    <xf numFmtId="3" fontId="69" fillId="0" borderId="0" xfId="0" applyNumberFormat="1" applyFont="1" applyFill="1"/>
    <xf numFmtId="4" fontId="2" fillId="0" borderId="17" xfId="0" applyNumberFormat="1" applyFont="1" applyFill="1" applyBorder="1" applyAlignment="1">
      <alignment horizontal="right" vertical="center" wrapText="1" indent="1"/>
    </xf>
    <xf numFmtId="4" fontId="2" fillId="0" borderId="39" xfId="0" applyNumberFormat="1" applyFont="1" applyFill="1" applyBorder="1" applyAlignment="1">
      <alignment horizontal="right" vertical="center" wrapText="1" indent="1"/>
    </xf>
    <xf numFmtId="0" fontId="88" fillId="0" borderId="0" xfId="0" applyFont="1" applyFill="1" applyAlignment="1">
      <alignment vertical="center"/>
    </xf>
    <xf numFmtId="49" fontId="3" fillId="0" borderId="0" xfId="0" applyNumberFormat="1" applyFont="1" applyFill="1" applyAlignment="1">
      <alignment horizontal="left" vertical="center"/>
    </xf>
    <xf numFmtId="0" fontId="3" fillId="0" borderId="0" xfId="0" applyFont="1" applyFill="1" applyAlignment="1">
      <alignment horizontal="left" vertical="center"/>
    </xf>
    <xf numFmtId="49" fontId="8" fillId="0" borderId="0" xfId="0" applyNumberFormat="1" applyFont="1" applyFill="1" applyAlignment="1">
      <alignment horizontal="left" vertical="center"/>
    </xf>
    <xf numFmtId="49" fontId="67" fillId="0" borderId="0" xfId="0" applyNumberFormat="1" applyFont="1" applyFill="1" applyAlignment="1">
      <alignment horizontal="left" vertical="center"/>
    </xf>
    <xf numFmtId="49" fontId="3" fillId="0" borderId="0" xfId="0" applyNumberFormat="1" applyFont="1" applyFill="1"/>
    <xf numFmtId="3" fontId="8" fillId="0" borderId="14" xfId="0" applyNumberFormat="1" applyFont="1" applyFill="1" applyBorder="1" applyAlignment="1">
      <alignment horizontal="right" vertical="center" wrapText="1" indent="1"/>
    </xf>
    <xf numFmtId="4" fontId="3" fillId="0" borderId="13" xfId="0" applyNumberFormat="1" applyFont="1" applyFill="1" applyBorder="1" applyAlignment="1">
      <alignment horizontal="right" vertical="center" wrapText="1"/>
    </xf>
    <xf numFmtId="0" fontId="8" fillId="0" borderId="0" xfId="0" applyFont="1" applyFill="1" applyBorder="1" applyAlignment="1"/>
    <xf numFmtId="0" fontId="87" fillId="0" borderId="0" xfId="0" applyFont="1" applyFill="1" applyAlignment="1">
      <alignment wrapText="1"/>
    </xf>
    <xf numFmtId="3" fontId="7" fillId="0" borderId="17" xfId="0" applyNumberFormat="1" applyFont="1" applyFill="1" applyBorder="1" applyAlignment="1">
      <alignment horizontal="right" vertical="center" wrapText="1" indent="1"/>
    </xf>
    <xf numFmtId="0" fontId="3" fillId="0" borderId="12" xfId="0" applyFont="1" applyFill="1" applyBorder="1" applyAlignment="1">
      <alignment horizontal="center" vertical="center"/>
    </xf>
    <xf numFmtId="49" fontId="3" fillId="0" borderId="0" xfId="0" applyNumberFormat="1" applyFont="1" applyFill="1" applyAlignment="1">
      <alignment horizontal="left" wrapText="1"/>
    </xf>
    <xf numFmtId="165" fontId="3" fillId="0" borderId="0" xfId="0" applyNumberFormat="1" applyFont="1" applyFill="1"/>
    <xf numFmtId="0" fontId="2" fillId="0" borderId="0" xfId="0" applyFont="1" applyFill="1" applyAlignment="1">
      <alignment vertical="center" wrapText="1"/>
    </xf>
    <xf numFmtId="0" fontId="2" fillId="0" borderId="56" xfId="0" applyFont="1" applyFill="1" applyBorder="1" applyAlignment="1">
      <alignment horizontal="center" vertical="center" wrapText="1"/>
    </xf>
    <xf numFmtId="0" fontId="2" fillId="0" borderId="0" xfId="0" applyFont="1" applyFill="1" applyBorder="1" applyAlignment="1">
      <alignment vertical="center" wrapText="1"/>
    </xf>
    <xf numFmtId="3" fontId="7" fillId="0" borderId="20" xfId="0" applyNumberFormat="1" applyFont="1" applyFill="1" applyBorder="1" applyAlignment="1">
      <alignment horizontal="right" vertical="center" wrapText="1" indent="1"/>
    </xf>
    <xf numFmtId="3" fontId="7" fillId="0" borderId="42" xfId="0" applyNumberFormat="1" applyFont="1" applyFill="1" applyBorder="1" applyAlignment="1">
      <alignment horizontal="right" vertical="center" wrapText="1" indent="1"/>
    </xf>
    <xf numFmtId="4" fontId="3" fillId="0" borderId="13" xfId="27" applyNumberFormat="1" applyFont="1" applyFill="1" applyBorder="1" applyAlignment="1">
      <alignment horizontal="right" vertical="center" wrapText="1" indent="1"/>
    </xf>
    <xf numFmtId="3" fontId="3" fillId="0" borderId="13" xfId="27" applyNumberFormat="1" applyFont="1" applyFill="1" applyBorder="1" applyAlignment="1">
      <alignment horizontal="right" vertical="center" wrapText="1" indent="1"/>
    </xf>
    <xf numFmtId="4" fontId="7" fillId="0" borderId="28" xfId="0" applyNumberFormat="1" applyFont="1" applyFill="1" applyBorder="1" applyAlignment="1">
      <alignment horizontal="right" vertical="center" wrapText="1" indent="1"/>
    </xf>
    <xf numFmtId="3" fontId="7" fillId="0" borderId="55" xfId="0" applyNumberFormat="1" applyFont="1" applyFill="1" applyBorder="1" applyAlignment="1">
      <alignment horizontal="right" vertical="center" wrapText="1" indent="1"/>
    </xf>
    <xf numFmtId="49" fontId="3" fillId="0" borderId="0" xfId="0" applyNumberFormat="1" applyFont="1" applyFill="1" applyBorder="1" applyAlignment="1">
      <alignment vertical="center" wrapText="1"/>
    </xf>
    <xf numFmtId="0" fontId="8" fillId="0" borderId="84" xfId="0" applyFont="1" applyFill="1" applyBorder="1" applyAlignment="1">
      <alignment vertical="center"/>
    </xf>
    <xf numFmtId="0" fontId="2" fillId="0" borderId="12" xfId="0" applyFont="1" applyFill="1" applyBorder="1" applyAlignment="1">
      <alignment horizontal="center" vertical="center" wrapText="1"/>
    </xf>
    <xf numFmtId="3" fontId="7" fillId="0" borderId="60" xfId="0" applyNumberFormat="1" applyFont="1" applyFill="1" applyBorder="1" applyAlignment="1">
      <alignment horizontal="right" vertical="center" wrapText="1" indent="1"/>
    </xf>
    <xf numFmtId="3" fontId="7" fillId="0" borderId="28" xfId="0" applyNumberFormat="1" applyFont="1" applyFill="1" applyBorder="1" applyAlignment="1">
      <alignment horizontal="right" vertical="center" wrapText="1" indent="1"/>
    </xf>
    <xf numFmtId="3" fontId="7" fillId="0" borderId="76" xfId="0" applyNumberFormat="1" applyFont="1" applyFill="1" applyBorder="1" applyAlignment="1">
      <alignment horizontal="right" vertical="center" wrapText="1" indent="1"/>
    </xf>
    <xf numFmtId="0" fontId="3" fillId="0" borderId="75" xfId="0" applyFont="1" applyFill="1" applyBorder="1" applyAlignment="1">
      <alignment horizontal="center" vertical="center" wrapText="1"/>
    </xf>
    <xf numFmtId="0" fontId="3" fillId="0" borderId="0" xfId="90" applyFont="1" applyFill="1" applyAlignment="1">
      <alignment horizontal="center" vertical="center" wrapText="1"/>
    </xf>
    <xf numFmtId="0" fontId="89" fillId="0" borderId="0" xfId="0" applyFont="1" applyFill="1" applyAlignment="1">
      <alignment vertical="center"/>
    </xf>
    <xf numFmtId="0" fontId="7" fillId="0" borderId="0" xfId="0" applyFont="1" applyFill="1"/>
    <xf numFmtId="0" fontId="7" fillId="0" borderId="15" xfId="0" applyFont="1" applyFill="1" applyBorder="1" applyAlignment="1">
      <alignment horizontal="center" vertical="center" wrapText="1"/>
    </xf>
    <xf numFmtId="4" fontId="8" fillId="0" borderId="15" xfId="0" applyNumberFormat="1" applyFont="1" applyFill="1" applyBorder="1" applyAlignment="1">
      <alignment horizontal="center" vertical="center"/>
    </xf>
    <xf numFmtId="4" fontId="7" fillId="0" borderId="13" xfId="0" applyNumberFormat="1" applyFont="1" applyFill="1" applyBorder="1" applyAlignment="1">
      <alignment horizontal="left" vertical="center" wrapText="1" indent="1"/>
    </xf>
    <xf numFmtId="4" fontId="8" fillId="0" borderId="13" xfId="0" applyNumberFormat="1" applyFont="1" applyFill="1" applyBorder="1" applyAlignment="1">
      <alignment horizontal="left" vertical="center" wrapText="1" indent="1"/>
    </xf>
    <xf numFmtId="4" fontId="29" fillId="0" borderId="78" xfId="0" applyNumberFormat="1" applyFont="1" applyFill="1" applyBorder="1" applyAlignment="1">
      <alignment horizontal="right"/>
    </xf>
    <xf numFmtId="4" fontId="8" fillId="0" borderId="13" xfId="0" applyNumberFormat="1" applyFont="1" applyFill="1" applyBorder="1" applyAlignment="1">
      <alignment vertical="center" wrapText="1"/>
    </xf>
    <xf numFmtId="4" fontId="8" fillId="0" borderId="15" xfId="0" applyNumberFormat="1" applyFont="1" applyFill="1" applyBorder="1" applyAlignment="1">
      <alignment horizontal="center" vertical="top"/>
    </xf>
    <xf numFmtId="4" fontId="8" fillId="0" borderId="13" xfId="0" applyNumberFormat="1" applyFont="1" applyFill="1" applyBorder="1" applyAlignment="1">
      <alignment vertical="center"/>
    </xf>
    <xf numFmtId="4" fontId="8" fillId="0" borderId="0" xfId="0" applyNumberFormat="1" applyFont="1" applyFill="1"/>
    <xf numFmtId="3" fontId="8" fillId="0" borderId="0" xfId="0" applyNumberFormat="1" applyFont="1" applyFill="1"/>
    <xf numFmtId="0" fontId="75" fillId="0" borderId="0" xfId="0" applyFont="1" applyFill="1"/>
    <xf numFmtId="4" fontId="8" fillId="0" borderId="0" xfId="0" applyNumberFormat="1" applyFont="1" applyFill="1" applyBorder="1" applyAlignment="1">
      <alignment horizontal="left" vertical="center" wrapText="1" indent="1"/>
    </xf>
    <xf numFmtId="4" fontId="8" fillId="0" borderId="13" xfId="0" applyNumberFormat="1" applyFont="1" applyFill="1" applyBorder="1" applyAlignment="1">
      <alignment horizontal="center" vertical="center" wrapText="1"/>
    </xf>
    <xf numFmtId="4" fontId="7" fillId="0" borderId="13" xfId="0" applyNumberFormat="1" applyFont="1" applyFill="1" applyBorder="1" applyAlignment="1">
      <alignment horizontal="left" vertical="center" indent="1"/>
    </xf>
    <xf numFmtId="4" fontId="8" fillId="0" borderId="19" xfId="0" applyNumberFormat="1" applyFont="1" applyFill="1" applyBorder="1" applyAlignment="1">
      <alignment horizontal="left" vertical="center" wrapText="1" indent="1"/>
    </xf>
    <xf numFmtId="4" fontId="8" fillId="0" borderId="19" xfId="0" applyNumberFormat="1" applyFont="1" applyFill="1" applyBorder="1" applyAlignment="1">
      <alignment vertical="center" wrapText="1"/>
    </xf>
    <xf numFmtId="0" fontId="8" fillId="0" borderId="0" xfId="0" applyFont="1" applyFill="1" applyAlignment="1">
      <alignment horizontal="justify"/>
    </xf>
    <xf numFmtId="0" fontId="8" fillId="0" borderId="0" xfId="0" applyFont="1" applyFill="1" applyAlignment="1">
      <alignment horizontal="center" vertical="center"/>
    </xf>
    <xf numFmtId="4" fontId="8" fillId="0" borderId="0" xfId="0" applyNumberFormat="1" applyFont="1" applyFill="1" applyAlignment="1">
      <alignment horizontal="center" vertical="center"/>
    </xf>
    <xf numFmtId="4" fontId="8" fillId="0" borderId="0" xfId="0" applyNumberFormat="1" applyFont="1" applyFill="1" applyAlignment="1">
      <alignment horizontal="right" vertical="center" indent="1"/>
    </xf>
    <xf numFmtId="49" fontId="8" fillId="0" borderId="0" xfId="0" applyNumberFormat="1" applyFont="1" applyFill="1" applyAlignment="1">
      <alignment horizontal="left" wrapText="1" indent="1"/>
    </xf>
    <xf numFmtId="0" fontId="8" fillId="0" borderId="0" xfId="0" applyFont="1" applyFill="1" applyAlignment="1">
      <alignment vertical="center"/>
    </xf>
    <xf numFmtId="4" fontId="8" fillId="0" borderId="0" xfId="0" applyNumberFormat="1" applyFont="1" applyFill="1" applyAlignment="1">
      <alignment vertical="center"/>
    </xf>
    <xf numFmtId="49" fontId="2" fillId="0" borderId="13" xfId="0" applyNumberFormat="1" applyFont="1" applyFill="1" applyBorder="1" applyAlignment="1">
      <alignment horizontal="left" vertical="top" wrapText="1"/>
    </xf>
    <xf numFmtId="49" fontId="3" fillId="0" borderId="13" xfId="0" applyNumberFormat="1" applyFont="1" applyFill="1" applyBorder="1" applyAlignment="1">
      <alignment horizontal="left" wrapText="1" indent="1"/>
    </xf>
    <xf numFmtId="3" fontId="3" fillId="0" borderId="0" xfId="0" applyNumberFormat="1" applyFont="1" applyFill="1" applyAlignment="1">
      <alignment horizontal="left"/>
    </xf>
    <xf numFmtId="49" fontId="3" fillId="0" borderId="13" xfId="0" applyNumberFormat="1" applyFont="1" applyFill="1" applyBorder="1" applyAlignment="1">
      <alignment horizontal="left" vertical="center" wrapText="1"/>
    </xf>
    <xf numFmtId="0" fontId="1" fillId="0" borderId="0" xfId="0" applyFont="1" applyFill="1" applyBorder="1" applyAlignment="1"/>
    <xf numFmtId="49" fontId="3" fillId="0" borderId="13" xfId="0" applyNumberFormat="1" applyFont="1" applyFill="1" applyBorder="1" applyAlignment="1" applyProtection="1">
      <alignment horizontal="left" vertical="top" wrapText="1" indent="1"/>
      <protection locked="0"/>
    </xf>
    <xf numFmtId="0" fontId="8" fillId="0" borderId="13" xfId="41" applyFont="1" applyFill="1" applyBorder="1" applyAlignment="1">
      <alignment horizontal="left" vertical="center" wrapText="1" indent="1"/>
    </xf>
    <xf numFmtId="4" fontId="7" fillId="0" borderId="18" xfId="0" applyNumberFormat="1" applyFont="1" applyFill="1" applyBorder="1" applyAlignment="1">
      <alignment horizontal="right" vertical="center" wrapText="1" indent="1"/>
    </xf>
    <xf numFmtId="0" fontId="8" fillId="0" borderId="0" xfId="41" applyFont="1" applyFill="1"/>
    <xf numFmtId="0" fontId="7" fillId="0" borderId="13" xfId="41" applyFont="1" applyFill="1" applyBorder="1" applyAlignment="1">
      <alignment horizontal="center" vertical="center" wrapText="1"/>
    </xf>
    <xf numFmtId="0" fontId="7" fillId="0" borderId="20" xfId="41" applyFont="1" applyFill="1" applyBorder="1" applyAlignment="1">
      <alignment horizontal="center" vertical="center" wrapText="1"/>
    </xf>
    <xf numFmtId="0" fontId="7" fillId="0" borderId="22" xfId="41" applyFont="1" applyFill="1" applyBorder="1" applyAlignment="1">
      <alignment vertical="center"/>
    </xf>
    <xf numFmtId="0" fontId="7" fillId="0" borderId="29" xfId="41" applyFont="1" applyFill="1" applyBorder="1" applyAlignment="1">
      <alignment vertical="center"/>
    </xf>
    <xf numFmtId="0" fontId="7" fillId="0" borderId="29" xfId="41" applyFont="1" applyFill="1" applyBorder="1" applyAlignment="1">
      <alignment horizontal="center" vertical="center"/>
    </xf>
    <xf numFmtId="0" fontId="7" fillId="0" borderId="37" xfId="41" applyFont="1" applyFill="1" applyBorder="1" applyAlignment="1">
      <alignment horizontal="center" vertical="center"/>
    </xf>
    <xf numFmtId="0" fontId="7" fillId="0" borderId="34" xfId="41" applyFont="1" applyFill="1" applyBorder="1" applyAlignment="1">
      <alignment horizontal="center" vertical="center"/>
    </xf>
    <xf numFmtId="4" fontId="8" fillId="0" borderId="0" xfId="41" applyNumberFormat="1" applyFont="1" applyFill="1"/>
    <xf numFmtId="0" fontId="8" fillId="0" borderId="0" xfId="41" applyFont="1" applyFill="1" applyAlignment="1">
      <alignment horizontal="right"/>
    </xf>
    <xf numFmtId="0" fontId="8" fillId="0" borderId="15" xfId="41" applyFont="1" applyFill="1" applyBorder="1" applyAlignment="1">
      <alignment horizontal="center" vertical="center"/>
    </xf>
    <xf numFmtId="0" fontId="7" fillId="0" borderId="13" xfId="41" applyFont="1" applyFill="1" applyBorder="1" applyAlignment="1">
      <alignment horizontal="left" vertical="center" indent="1"/>
    </xf>
    <xf numFmtId="49" fontId="8" fillId="0" borderId="0" xfId="41" applyNumberFormat="1" applyFont="1" applyFill="1"/>
    <xf numFmtId="4" fontId="8" fillId="0" borderId="0" xfId="41" applyNumberFormat="1" applyFont="1" applyFill="1" applyAlignment="1">
      <alignment horizontal="right"/>
    </xf>
    <xf numFmtId="4" fontId="8" fillId="0" borderId="20" xfId="0" applyNumberFormat="1" applyFont="1" applyFill="1" applyBorder="1" applyAlignment="1">
      <alignment horizontal="right" vertical="center" wrapText="1" indent="1"/>
    </xf>
    <xf numFmtId="0" fontId="8" fillId="0" borderId="13" xfId="41" applyFont="1" applyFill="1" applyBorder="1" applyAlignment="1">
      <alignment horizontal="left" vertical="center" indent="1"/>
    </xf>
    <xf numFmtId="0" fontId="8" fillId="0" borderId="16" xfId="41" applyFont="1" applyFill="1" applyBorder="1" applyAlignment="1">
      <alignment horizontal="center" vertical="center"/>
    </xf>
    <xf numFmtId="0" fontId="8" fillId="0" borderId="17" xfId="41" applyFont="1" applyFill="1" applyBorder="1" applyAlignment="1">
      <alignment horizontal="left" vertical="center" indent="1"/>
    </xf>
    <xf numFmtId="4" fontId="8" fillId="0" borderId="17" xfId="0" applyNumberFormat="1" applyFont="1" applyFill="1" applyBorder="1" applyAlignment="1">
      <alignment horizontal="right" vertical="center" wrapText="1" indent="1"/>
    </xf>
    <xf numFmtId="4" fontId="8" fillId="0" borderId="17" xfId="0" applyNumberFormat="1" applyFont="1" applyFill="1" applyBorder="1" applyAlignment="1">
      <alignment horizontal="center" vertical="center" wrapText="1"/>
    </xf>
    <xf numFmtId="0" fontId="7" fillId="0" borderId="0"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3" fillId="0" borderId="14" xfId="0" applyFont="1" applyFill="1" applyBorder="1" applyAlignment="1">
      <alignment horizontal="center" vertical="center" wrapText="1"/>
    </xf>
    <xf numFmtId="4" fontId="7" fillId="0" borderId="20" xfId="0" applyNumberFormat="1" applyFont="1" applyFill="1" applyBorder="1" applyAlignment="1">
      <alignment horizontal="right" vertical="center" wrapText="1" indent="1"/>
    </xf>
    <xf numFmtId="3" fontId="8" fillId="0" borderId="13" xfId="0" applyNumberFormat="1" applyFont="1" applyFill="1" applyBorder="1" applyAlignment="1">
      <alignment horizontal="center" vertical="center" wrapText="1"/>
    </xf>
    <xf numFmtId="3" fontId="8" fillId="0" borderId="14" xfId="0" applyNumberFormat="1" applyFont="1" applyFill="1" applyBorder="1" applyAlignment="1">
      <alignment horizontal="center" vertical="center" wrapText="1"/>
    </xf>
    <xf numFmtId="3" fontId="7" fillId="0" borderId="27" xfId="0" applyNumberFormat="1" applyFont="1" applyFill="1" applyBorder="1" applyAlignment="1">
      <alignment horizontal="right" vertical="center" wrapText="1" indent="1"/>
    </xf>
    <xf numFmtId="4" fontId="7" fillId="0" borderId="27" xfId="0" applyNumberFormat="1" applyFont="1" applyFill="1" applyBorder="1" applyAlignment="1">
      <alignment horizontal="right" vertical="center" wrapText="1" indent="1"/>
    </xf>
    <xf numFmtId="3" fontId="8" fillId="0" borderId="17" xfId="0" applyNumberFormat="1" applyFont="1" applyFill="1" applyBorder="1" applyAlignment="1">
      <alignment horizontal="center" vertical="center" wrapText="1"/>
    </xf>
    <xf numFmtId="3" fontId="8" fillId="0" borderId="18" xfId="0" applyNumberFormat="1" applyFont="1" applyFill="1" applyBorder="1" applyAlignment="1">
      <alignment horizontal="center" vertical="center" wrapText="1"/>
    </xf>
    <xf numFmtId="49" fontId="3" fillId="0" borderId="0" xfId="0" applyNumberFormat="1" applyFont="1" applyFill="1" applyAlignment="1">
      <alignment vertical="center" wrapText="1"/>
    </xf>
    <xf numFmtId="0" fontId="11" fillId="0" borderId="0" xfId="0" applyFont="1" applyFill="1" applyBorder="1" applyAlignment="1">
      <alignment horizontal="center" vertical="center" wrapText="1"/>
    </xf>
    <xf numFmtId="0" fontId="8" fillId="0" borderId="0" xfId="0" applyFont="1" applyFill="1" applyAlignment="1">
      <alignment horizontal="center" vertical="center" wrapText="1"/>
    </xf>
    <xf numFmtId="0" fontId="7" fillId="0" borderId="20" xfId="0" applyFont="1" applyFill="1" applyBorder="1" applyAlignment="1">
      <alignment horizontal="center" vertical="center" wrapText="1"/>
    </xf>
    <xf numFmtId="0" fontId="7" fillId="0" borderId="22" xfId="0" applyFont="1" applyFill="1" applyBorder="1" applyAlignment="1">
      <alignment vertical="center" wrapText="1"/>
    </xf>
    <xf numFmtId="3" fontId="8" fillId="0" borderId="0" xfId="0" applyNumberFormat="1" applyFont="1" applyFill="1" applyAlignment="1">
      <alignment vertical="center" wrapText="1"/>
    </xf>
    <xf numFmtId="0" fontId="8" fillId="0" borderId="16" xfId="0" applyFont="1" applyFill="1" applyBorder="1" applyAlignment="1">
      <alignment horizontal="center" vertical="center" wrapText="1"/>
    </xf>
    <xf numFmtId="49" fontId="8" fillId="0" borderId="0" xfId="0" applyNumberFormat="1" applyFont="1" applyFill="1" applyBorder="1" applyAlignment="1">
      <alignment vertical="center" wrapText="1"/>
    </xf>
    <xf numFmtId="49" fontId="8" fillId="0" borderId="0" xfId="0" applyNumberFormat="1" applyFont="1" applyFill="1" applyAlignment="1">
      <alignment vertical="center" wrapText="1"/>
    </xf>
    <xf numFmtId="4" fontId="8" fillId="0" borderId="14" xfId="0" applyNumberFormat="1" applyFont="1" applyFill="1" applyBorder="1" applyAlignment="1">
      <alignment horizontal="right" vertical="center" wrapText="1" indent="1"/>
    </xf>
    <xf numFmtId="0" fontId="1" fillId="0" borderId="0" xfId="0" applyFont="1" applyFill="1" applyBorder="1"/>
    <xf numFmtId="4" fontId="3" fillId="0" borderId="14" xfId="0" applyNumberFormat="1" applyFont="1" applyFill="1" applyBorder="1" applyAlignment="1">
      <alignment horizontal="center" vertical="center" wrapText="1"/>
    </xf>
    <xf numFmtId="4" fontId="3" fillId="0" borderId="14" xfId="0" applyNumberFormat="1" applyFont="1" applyFill="1" applyBorder="1" applyAlignment="1">
      <alignment horizontal="right" vertical="center" wrapText="1" indent="1"/>
    </xf>
    <xf numFmtId="4" fontId="3" fillId="0" borderId="18" xfId="0" applyNumberFormat="1" applyFont="1" applyFill="1" applyBorder="1" applyAlignment="1">
      <alignment horizontal="center" vertical="center" wrapText="1"/>
    </xf>
    <xf numFmtId="0" fontId="85" fillId="0" borderId="0" xfId="40" applyFont="1" applyFill="1" applyAlignment="1">
      <alignment horizontal="center" vertical="center" wrapText="1"/>
    </xf>
    <xf numFmtId="0" fontId="2" fillId="0" borderId="15" xfId="40" applyFont="1" applyFill="1" applyBorder="1" applyAlignment="1">
      <alignment horizontal="center" vertical="center" wrapText="1"/>
    </xf>
    <xf numFmtId="49" fontId="2" fillId="0" borderId="13" xfId="40" applyNumberFormat="1" applyFont="1" applyFill="1" applyBorder="1" applyAlignment="1">
      <alignment horizontal="center" vertical="center" wrapText="1"/>
    </xf>
    <xf numFmtId="0" fontId="2" fillId="0" borderId="13" xfId="40" applyFont="1" applyFill="1" applyBorder="1" applyAlignment="1">
      <alignment horizontal="center" vertical="center" wrapText="1"/>
    </xf>
    <xf numFmtId="0" fontId="2" fillId="0" borderId="14" xfId="40" applyFont="1" applyFill="1" applyBorder="1" applyAlignment="1">
      <alignment horizontal="center" vertical="center" wrapText="1"/>
    </xf>
    <xf numFmtId="0" fontId="3" fillId="0" borderId="15" xfId="40" applyFont="1" applyFill="1" applyBorder="1" applyAlignment="1">
      <alignment horizontal="center" wrapText="1"/>
    </xf>
    <xf numFmtId="49" fontId="2" fillId="0" borderId="13" xfId="40" applyNumberFormat="1" applyFont="1" applyFill="1" applyBorder="1" applyAlignment="1">
      <alignment vertical="top" wrapText="1"/>
    </xf>
    <xf numFmtId="49" fontId="2" fillId="0" borderId="13" xfId="40" applyNumberFormat="1" applyFont="1" applyFill="1" applyBorder="1" applyAlignment="1">
      <alignment horizontal="left" vertical="center" wrapText="1" indent="1"/>
    </xf>
    <xf numFmtId="49" fontId="2" fillId="0" borderId="17" xfId="40" applyNumberFormat="1" applyFont="1" applyFill="1" applyBorder="1" applyAlignment="1">
      <alignment horizontal="left" vertical="center" wrapText="1" indent="1"/>
    </xf>
    <xf numFmtId="49" fontId="3" fillId="0" borderId="0" xfId="40" applyNumberFormat="1" applyFont="1" applyFill="1"/>
    <xf numFmtId="4" fontId="2" fillId="0" borderId="13" xfId="40" applyNumberFormat="1" applyFont="1" applyFill="1" applyBorder="1" applyAlignment="1">
      <alignment horizontal="right" vertical="center" wrapText="1" indent="1"/>
    </xf>
    <xf numFmtId="4" fontId="2" fillId="0" borderId="17" xfId="40" applyNumberFormat="1" applyFont="1" applyFill="1" applyBorder="1" applyAlignment="1">
      <alignment horizontal="right" vertical="center" wrapText="1" indent="1"/>
    </xf>
    <xf numFmtId="3" fontId="2" fillId="0" borderId="0" xfId="40" applyNumberFormat="1" applyFont="1" applyFill="1" applyBorder="1" applyAlignment="1">
      <alignment horizontal="right" vertical="center" wrapText="1" indent="1"/>
    </xf>
    <xf numFmtId="49" fontId="2" fillId="0" borderId="13" xfId="0" applyNumberFormat="1" applyFont="1" applyFill="1" applyBorder="1" applyAlignment="1">
      <alignment vertical="top" wrapText="1"/>
    </xf>
    <xf numFmtId="4" fontId="2" fillId="0" borderId="18" xfId="0" applyNumberFormat="1" applyFont="1" applyFill="1" applyBorder="1" applyAlignment="1">
      <alignment horizontal="right" vertical="center" wrapText="1" indent="1"/>
    </xf>
    <xf numFmtId="49" fontId="3" fillId="0" borderId="0" xfId="0" applyNumberFormat="1" applyFont="1" applyFill="1" applyBorder="1"/>
    <xf numFmtId="0" fontId="85" fillId="0" borderId="0" xfId="0" applyFont="1" applyFill="1" applyBorder="1" applyAlignment="1">
      <alignment horizontal="left"/>
    </xf>
    <xf numFmtId="0" fontId="85" fillId="0" borderId="0" xfId="0" applyFont="1" applyFill="1" applyBorder="1" applyAlignment="1">
      <alignment horizontal="left" vertical="center"/>
    </xf>
    <xf numFmtId="0" fontId="4" fillId="0" borderId="0" xfId="0" applyFont="1" applyFill="1" applyBorder="1" applyAlignment="1">
      <alignment horizontal="left" vertical="center"/>
    </xf>
    <xf numFmtId="165" fontId="3" fillId="0" borderId="0" xfId="0" applyNumberFormat="1" applyFont="1" applyFill="1" applyBorder="1" applyAlignment="1">
      <alignment wrapText="1"/>
    </xf>
    <xf numFmtId="165" fontId="3" fillId="0" borderId="0" xfId="0" applyNumberFormat="1" applyFont="1" applyFill="1" applyBorder="1"/>
    <xf numFmtId="0" fontId="61" fillId="0" borderId="0" xfId="0" applyFont="1" applyFill="1" applyBorder="1"/>
    <xf numFmtId="0" fontId="2" fillId="0" borderId="13" xfId="0" applyFont="1" applyFill="1" applyBorder="1" applyAlignment="1">
      <alignment horizontal="left" vertical="center" wrapText="1"/>
    </xf>
    <xf numFmtId="0" fontId="2" fillId="0" borderId="13" xfId="0" applyFont="1" applyFill="1" applyBorder="1" applyAlignment="1">
      <alignment horizontal="left" vertical="center" wrapText="1" indent="1"/>
    </xf>
    <xf numFmtId="0" fontId="3" fillId="0" borderId="13" xfId="0" applyFont="1" applyFill="1" applyBorder="1" applyAlignment="1">
      <alignment horizontal="left" vertical="center" wrapText="1" indent="1"/>
    </xf>
    <xf numFmtId="0" fontId="2" fillId="0" borderId="74" xfId="0" applyFont="1" applyFill="1" applyBorder="1" applyAlignment="1">
      <alignment horizontal="left" vertical="center" wrapText="1" indent="1"/>
    </xf>
    <xf numFmtId="4" fontId="2" fillId="0" borderId="71" xfId="0" applyNumberFormat="1" applyFont="1" applyFill="1" applyBorder="1" applyAlignment="1">
      <alignment horizontal="right" vertical="center" wrapText="1" indent="1"/>
    </xf>
    <xf numFmtId="4" fontId="2" fillId="0" borderId="50" xfId="0" applyNumberFormat="1" applyFont="1" applyFill="1" applyBorder="1" applyAlignment="1">
      <alignment horizontal="right" vertical="center" wrapText="1" indent="1"/>
    </xf>
    <xf numFmtId="0" fontId="2" fillId="0" borderId="0" xfId="0" applyFont="1" applyFill="1" applyBorder="1"/>
    <xf numFmtId="0" fontId="91" fillId="0" borderId="0" xfId="0" applyFont="1" applyFill="1" applyBorder="1"/>
    <xf numFmtId="49" fontId="91" fillId="0" borderId="29" xfId="0" applyNumberFormat="1" applyFont="1" applyFill="1" applyBorder="1" applyAlignment="1">
      <alignment horizontal="left" indent="1"/>
    </xf>
    <xf numFmtId="165" fontId="91" fillId="0" borderId="29" xfId="0" applyNumberFormat="1" applyFont="1" applyFill="1" applyBorder="1" applyAlignment="1">
      <alignment horizontal="center"/>
    </xf>
    <xf numFmtId="4" fontId="91" fillId="0" borderId="29" xfId="0" applyNumberFormat="1" applyFont="1" applyFill="1" applyBorder="1" applyAlignment="1">
      <alignment horizontal="right" vertical="center" wrapText="1" indent="1"/>
    </xf>
    <xf numFmtId="0" fontId="92" fillId="0" borderId="0" xfId="0" applyFont="1" applyFill="1" applyBorder="1"/>
    <xf numFmtId="165" fontId="65" fillId="0" borderId="13" xfId="0" applyNumberFormat="1" applyFont="1" applyFill="1" applyBorder="1" applyAlignment="1">
      <alignment vertical="center" wrapText="1"/>
    </xf>
    <xf numFmtId="165" fontId="65" fillId="0" borderId="14" xfId="0" applyNumberFormat="1" applyFont="1" applyFill="1" applyBorder="1" applyAlignment="1">
      <alignment vertical="center" wrapText="1"/>
    </xf>
    <xf numFmtId="165" fontId="61" fillId="0" borderId="13" xfId="0" applyNumberFormat="1" applyFont="1" applyFill="1" applyBorder="1" applyAlignment="1">
      <alignment vertical="center" wrapText="1"/>
    </xf>
    <xf numFmtId="165" fontId="61" fillId="0" borderId="13" xfId="0" applyNumberFormat="1" applyFont="1" applyFill="1" applyBorder="1" applyAlignment="1">
      <alignment vertical="top" wrapText="1"/>
    </xf>
    <xf numFmtId="165" fontId="61" fillId="0" borderId="17" xfId="0" applyNumberFormat="1" applyFont="1" applyFill="1" applyBorder="1" applyAlignment="1">
      <alignment vertical="center"/>
    </xf>
    <xf numFmtId="165" fontId="65" fillId="0" borderId="17" xfId="0" applyNumberFormat="1" applyFont="1" applyFill="1" applyBorder="1" applyAlignment="1">
      <alignment vertical="center" wrapText="1"/>
    </xf>
    <xf numFmtId="165" fontId="65" fillId="0" borderId="18" xfId="0" applyNumberFormat="1" applyFont="1" applyFill="1" applyBorder="1" applyAlignment="1">
      <alignment vertical="center" wrapText="1"/>
    </xf>
    <xf numFmtId="49" fontId="2" fillId="0" borderId="17" xfId="0" applyNumberFormat="1" applyFont="1" applyFill="1" applyBorder="1" applyAlignment="1">
      <alignment vertical="center" wrapText="1"/>
    </xf>
    <xf numFmtId="0" fontId="61" fillId="0" borderId="0" xfId="0" applyFont="1" applyFill="1" applyBorder="1" applyAlignment="1">
      <alignment vertical="center"/>
    </xf>
    <xf numFmtId="4" fontId="61" fillId="0" borderId="0" xfId="0" applyNumberFormat="1" applyFont="1" applyFill="1" applyBorder="1" applyAlignment="1">
      <alignment vertical="center"/>
    </xf>
    <xf numFmtId="0" fontId="7" fillId="0" borderId="15" xfId="0" applyFont="1" applyFill="1" applyBorder="1" applyAlignment="1">
      <alignment horizontal="left" vertical="center" wrapText="1" indent="1"/>
    </xf>
    <xf numFmtId="0" fontId="7" fillId="0" borderId="14" xfId="0" applyFont="1" applyFill="1" applyBorder="1" applyAlignment="1">
      <alignment horizontal="right" vertical="center" wrapText="1" indent="1"/>
    </xf>
    <xf numFmtId="0" fontId="8" fillId="0" borderId="14" xfId="0" applyFont="1" applyFill="1" applyBorder="1" applyAlignment="1">
      <alignment horizontal="left" vertical="center" wrapText="1" indent="1"/>
    </xf>
    <xf numFmtId="0" fontId="7" fillId="0" borderId="19" xfId="0" applyFont="1" applyFill="1" applyBorder="1" applyAlignment="1">
      <alignment horizontal="left" vertical="center" wrapText="1" indent="1"/>
    </xf>
    <xf numFmtId="4" fontId="8" fillId="0" borderId="19" xfId="0" applyNumberFormat="1" applyFont="1" applyFill="1" applyBorder="1" applyAlignment="1">
      <alignment horizontal="right" vertical="center" wrapText="1" indent="1"/>
    </xf>
    <xf numFmtId="0" fontId="8" fillId="0" borderId="26" xfId="0" applyFont="1" applyFill="1" applyBorder="1" applyAlignment="1">
      <alignment horizontal="left" vertical="center" wrapText="1" indent="1"/>
    </xf>
    <xf numFmtId="0" fontId="8" fillId="0" borderId="18" xfId="0" applyFont="1" applyFill="1" applyBorder="1" applyAlignment="1">
      <alignment horizontal="right" vertical="center" wrapText="1" indent="1"/>
    </xf>
    <xf numFmtId="49" fontId="8" fillId="0" borderId="13" xfId="0" applyNumberFormat="1" applyFont="1" applyFill="1" applyBorder="1" applyAlignment="1">
      <alignment horizontal="left" vertical="top" wrapText="1" indent="1"/>
    </xf>
    <xf numFmtId="0" fontId="29" fillId="0" borderId="81"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15" xfId="43" applyFont="1" applyFill="1" applyBorder="1" applyAlignment="1">
      <alignment horizontal="center" vertical="center" wrapText="1"/>
    </xf>
    <xf numFmtId="3" fontId="3" fillId="0" borderId="13" xfId="43" applyNumberFormat="1" applyFont="1" applyFill="1" applyBorder="1" applyAlignment="1">
      <alignment horizontal="right" vertical="center" wrapText="1" indent="1"/>
    </xf>
    <xf numFmtId="3" fontId="3" fillId="0" borderId="13" xfId="43" applyNumberFormat="1" applyFont="1" applyFill="1" applyBorder="1" applyAlignment="1">
      <alignment horizontal="center" vertical="center" wrapText="1"/>
    </xf>
    <xf numFmtId="0" fontId="3" fillId="0" borderId="13" xfId="43" applyFont="1" applyFill="1" applyBorder="1" applyAlignment="1">
      <alignment horizontal="left" vertical="top" wrapText="1" indent="1"/>
    </xf>
    <xf numFmtId="3" fontId="3" fillId="0" borderId="19" xfId="43" applyNumberFormat="1" applyFont="1" applyFill="1" applyBorder="1" applyAlignment="1">
      <alignment horizontal="right" vertical="center" wrapText="1" indent="1"/>
    </xf>
    <xf numFmtId="0" fontId="3" fillId="0" borderId="19" xfId="43" applyFont="1" applyFill="1" applyBorder="1" applyAlignment="1">
      <alignment horizontal="left" vertical="top" wrapText="1" indent="1"/>
    </xf>
    <xf numFmtId="0" fontId="3" fillId="0" borderId="16" xfId="43" applyFont="1" applyFill="1" applyBorder="1" applyAlignment="1">
      <alignment horizontal="center" vertical="center" wrapText="1"/>
    </xf>
    <xf numFmtId="3" fontId="2" fillId="0" borderId="17" xfId="43" applyNumberFormat="1" applyFont="1" applyFill="1" applyBorder="1" applyAlignment="1">
      <alignment horizontal="right" vertical="center" wrapText="1" indent="1"/>
    </xf>
    <xf numFmtId="4" fontId="2" fillId="0" borderId="17" xfId="43" applyNumberFormat="1" applyFont="1" applyFill="1" applyBorder="1" applyAlignment="1">
      <alignment horizontal="right" vertical="center" wrapText="1" indent="1"/>
    </xf>
    <xf numFmtId="0" fontId="3" fillId="0" borderId="0" xfId="0" applyFont="1" applyFill="1" applyBorder="1" applyAlignment="1">
      <alignment horizontal="left" vertical="center"/>
    </xf>
    <xf numFmtId="49" fontId="2" fillId="0" borderId="13" xfId="43" applyNumberFormat="1" applyFont="1" applyFill="1" applyBorder="1" applyAlignment="1">
      <alignment horizontal="left" vertical="center" wrapText="1" indent="1"/>
    </xf>
    <xf numFmtId="3" fontId="2" fillId="0" borderId="13" xfId="43" applyNumberFormat="1" applyFont="1" applyFill="1" applyBorder="1" applyAlignment="1">
      <alignment horizontal="right" vertical="center" wrapText="1" indent="1"/>
    </xf>
    <xf numFmtId="3" fontId="2" fillId="0" borderId="14" xfId="43" applyNumberFormat="1" applyFont="1" applyFill="1" applyBorder="1" applyAlignment="1">
      <alignment horizontal="right" vertical="center" wrapText="1" indent="1"/>
    </xf>
    <xf numFmtId="49" fontId="3" fillId="0" borderId="13" xfId="43" applyNumberFormat="1" applyFont="1" applyFill="1" applyBorder="1" applyAlignment="1">
      <alignment horizontal="left" vertical="center" wrapText="1" indent="1"/>
    </xf>
    <xf numFmtId="3" fontId="2" fillId="0" borderId="14" xfId="43" applyNumberFormat="1" applyFont="1" applyFill="1" applyBorder="1" applyAlignment="1">
      <alignment horizontal="center" vertical="center" wrapText="1"/>
    </xf>
    <xf numFmtId="3" fontId="2" fillId="0" borderId="13" xfId="43" applyNumberFormat="1" applyFont="1" applyFill="1" applyBorder="1" applyAlignment="1">
      <alignment horizontal="center" vertical="center" wrapText="1"/>
    </xf>
    <xf numFmtId="49" fontId="2" fillId="0" borderId="17" xfId="43" applyNumberFormat="1" applyFont="1" applyFill="1" applyBorder="1" applyAlignment="1">
      <alignment horizontal="left" vertical="center" wrapText="1" indent="1"/>
    </xf>
    <xf numFmtId="3" fontId="2" fillId="0" borderId="18" xfId="43" applyNumberFormat="1" applyFont="1" applyFill="1" applyBorder="1" applyAlignment="1">
      <alignment horizontal="right" vertical="center" wrapText="1" indent="1"/>
    </xf>
    <xf numFmtId="4" fontId="7" fillId="0" borderId="19" xfId="0" applyNumberFormat="1" applyFont="1" applyFill="1" applyBorder="1" applyAlignment="1">
      <alignment horizontal="right" vertical="center" wrapText="1" indent="1"/>
    </xf>
    <xf numFmtId="0" fontId="11" fillId="0" borderId="0" xfId="0" applyFont="1" applyFill="1" applyAlignment="1">
      <alignment horizontal="center" vertical="center" wrapText="1"/>
    </xf>
    <xf numFmtId="0" fontId="8" fillId="0" borderId="0" xfId="0" applyFont="1" applyFill="1" applyAlignment="1">
      <alignment vertical="top" wrapText="1"/>
    </xf>
    <xf numFmtId="0" fontId="8" fillId="0" borderId="0" xfId="0" applyFont="1" applyFill="1" applyAlignment="1"/>
    <xf numFmtId="0" fontId="8" fillId="0" borderId="16" xfId="0" applyFont="1" applyFill="1" applyBorder="1" applyAlignment="1">
      <alignment horizontal="center" vertical="center"/>
    </xf>
    <xf numFmtId="0" fontId="7" fillId="0" borderId="17" xfId="0" applyFont="1" applyFill="1" applyBorder="1" applyAlignment="1">
      <alignment horizontal="left" wrapText="1" indent="1"/>
    </xf>
    <xf numFmtId="0" fontId="8" fillId="0" borderId="0" xfId="0" applyFont="1" applyFill="1" applyBorder="1" applyAlignment="1">
      <alignment vertical="center" wrapText="1"/>
    </xf>
    <xf numFmtId="0" fontId="60" fillId="0" borderId="0" xfId="0" applyFont="1" applyFill="1" applyAlignment="1">
      <alignment horizontal="left" vertical="center" indent="1"/>
    </xf>
    <xf numFmtId="1" fontId="3" fillId="0" borderId="14" xfId="0" applyNumberFormat="1" applyFont="1" applyFill="1" applyBorder="1" applyAlignment="1">
      <alignment horizontal="right" vertical="center" wrapText="1" indent="1"/>
    </xf>
    <xf numFmtId="1" fontId="3" fillId="0" borderId="13" xfId="0" applyNumberFormat="1" applyFont="1" applyFill="1" applyBorder="1" applyAlignment="1">
      <alignment horizontal="right" vertical="center" wrapText="1" indent="1"/>
    </xf>
    <xf numFmtId="49" fontId="3" fillId="0" borderId="19" xfId="0" applyNumberFormat="1" applyFont="1" applyFill="1" applyBorder="1" applyAlignment="1">
      <alignment horizontal="left" vertical="center" wrapText="1" indent="1"/>
    </xf>
    <xf numFmtId="4" fontId="3" fillId="0" borderId="26" xfId="0" applyNumberFormat="1" applyFont="1" applyFill="1" applyBorder="1" applyAlignment="1">
      <alignment horizontal="right" vertical="center" wrapText="1" indent="1"/>
    </xf>
    <xf numFmtId="1" fontId="3" fillId="0" borderId="19" xfId="0" applyNumberFormat="1" applyFont="1" applyFill="1" applyBorder="1" applyAlignment="1">
      <alignment horizontal="right" vertical="center" wrapText="1" indent="1"/>
    </xf>
    <xf numFmtId="1" fontId="3" fillId="0" borderId="26" xfId="0" applyNumberFormat="1" applyFont="1" applyFill="1" applyBorder="1" applyAlignment="1">
      <alignment horizontal="right" vertical="center" wrapText="1" indent="1"/>
    </xf>
    <xf numFmtId="4" fontId="3" fillId="0" borderId="18" xfId="0" applyNumberFormat="1" applyFont="1" applyFill="1" applyBorder="1" applyAlignment="1">
      <alignment horizontal="right" vertical="center" wrapText="1" indent="1"/>
    </xf>
    <xf numFmtId="1" fontId="3" fillId="0" borderId="18" xfId="0" applyNumberFormat="1" applyFont="1" applyFill="1" applyBorder="1" applyAlignment="1">
      <alignment horizontal="right" vertical="center" wrapText="1" indent="1"/>
    </xf>
    <xf numFmtId="1" fontId="2" fillId="0" borderId="13" xfId="0" applyNumberFormat="1" applyFont="1" applyFill="1" applyBorder="1" applyAlignment="1">
      <alignment horizontal="right" vertical="center" wrapText="1" indent="1"/>
    </xf>
    <xf numFmtId="0" fontId="2" fillId="0" borderId="17" xfId="0" applyFont="1" applyFill="1" applyBorder="1" applyAlignment="1">
      <alignment horizontal="left" vertical="center" wrapText="1" indent="1"/>
    </xf>
    <xf numFmtId="1" fontId="2" fillId="0" borderId="17" xfId="0" applyNumberFormat="1" applyFont="1" applyFill="1" applyBorder="1" applyAlignment="1">
      <alignment horizontal="right" vertical="center" wrapText="1" indent="1"/>
    </xf>
    <xf numFmtId="0" fontId="2" fillId="0" borderId="70" xfId="0" applyFont="1" applyFill="1" applyBorder="1" applyAlignment="1">
      <alignment horizontal="left" vertical="center" wrapText="1" indent="1"/>
    </xf>
    <xf numFmtId="0" fontId="2" fillId="0" borderId="70" xfId="0" applyFont="1" applyFill="1" applyBorder="1" applyAlignment="1">
      <alignment horizontal="center" vertical="center" wrapText="1"/>
    </xf>
    <xf numFmtId="3" fontId="3" fillId="0" borderId="13" xfId="40" applyNumberFormat="1" applyFont="1" applyFill="1" applyBorder="1" applyAlignment="1">
      <alignment horizontal="right" vertical="center" wrapText="1" indent="1"/>
    </xf>
    <xf numFmtId="3" fontId="3" fillId="0" borderId="14" xfId="40" applyNumberFormat="1" applyFont="1" applyFill="1" applyBorder="1" applyAlignment="1">
      <alignment horizontal="right" vertical="center" wrapText="1" indent="1"/>
    </xf>
    <xf numFmtId="0" fontId="3" fillId="0" borderId="0" xfId="40" applyFont="1" applyFill="1" applyAlignment="1">
      <alignment vertical="center" wrapText="1"/>
    </xf>
    <xf numFmtId="4" fontId="3" fillId="0" borderId="32" xfId="40" applyNumberFormat="1" applyFont="1" applyFill="1" applyBorder="1" applyAlignment="1">
      <alignment horizontal="right" vertical="center" wrapText="1" indent="1"/>
    </xf>
    <xf numFmtId="4" fontId="3" fillId="0" borderId="53" xfId="40" applyNumberFormat="1" applyFont="1" applyFill="1" applyBorder="1" applyAlignment="1">
      <alignment horizontal="right" vertical="center" wrapText="1" indent="1"/>
    </xf>
    <xf numFmtId="3" fontId="3" fillId="0" borderId="27" xfId="40" applyNumberFormat="1" applyFont="1" applyFill="1" applyBorder="1" applyAlignment="1">
      <alignment horizontal="right" vertical="center" wrapText="1" indent="1"/>
    </xf>
    <xf numFmtId="4" fontId="3" fillId="0" borderId="0" xfId="40" applyNumberFormat="1" applyFont="1" applyFill="1"/>
    <xf numFmtId="3" fontId="3" fillId="0" borderId="0" xfId="40" applyNumberFormat="1" applyFont="1" applyFill="1"/>
    <xf numFmtId="4" fontId="3" fillId="0" borderId="74" xfId="40" applyNumberFormat="1" applyFont="1" applyFill="1" applyBorder="1" applyAlignment="1">
      <alignment horizontal="right" vertical="center" wrapText="1" indent="1"/>
    </xf>
    <xf numFmtId="4" fontId="3" fillId="0" borderId="79" xfId="40" applyNumberFormat="1" applyFont="1" applyFill="1" applyBorder="1" applyAlignment="1">
      <alignment horizontal="right" vertical="center" wrapText="1" indent="1"/>
    </xf>
    <xf numFmtId="3" fontId="3" fillId="0" borderId="80" xfId="40" applyNumberFormat="1" applyFont="1" applyFill="1" applyBorder="1" applyAlignment="1">
      <alignment horizontal="right" vertical="center" wrapText="1" indent="1"/>
    </xf>
    <xf numFmtId="3" fontId="3" fillId="0" borderId="18" xfId="40" applyNumberFormat="1" applyFont="1" applyFill="1" applyBorder="1" applyAlignment="1">
      <alignment horizontal="right" vertical="center" wrapText="1" indent="1"/>
    </xf>
    <xf numFmtId="49" fontId="30" fillId="0" borderId="0" xfId="40" applyNumberFormat="1" applyFont="1" applyFill="1"/>
    <xf numFmtId="0" fontId="3" fillId="0" borderId="13" xfId="40" applyFont="1" applyFill="1" applyBorder="1" applyAlignment="1">
      <alignment horizontal="center" vertical="center" wrapText="1"/>
    </xf>
    <xf numFmtId="0" fontId="3" fillId="0" borderId="14" xfId="40" applyFont="1" applyFill="1" applyBorder="1" applyAlignment="1">
      <alignment horizontal="center" vertical="center" wrapText="1"/>
    </xf>
    <xf numFmtId="0" fontId="3" fillId="0" borderId="27" xfId="40" applyFont="1" applyFill="1" applyBorder="1" applyAlignment="1">
      <alignment horizontal="center" vertical="center" wrapText="1"/>
    </xf>
    <xf numFmtId="0" fontId="2" fillId="0" borderId="27" xfId="40" applyFont="1" applyFill="1" applyBorder="1" applyAlignment="1">
      <alignment horizontal="center" vertical="center" wrapText="1"/>
    </xf>
    <xf numFmtId="0" fontId="2" fillId="0" borderId="13" xfId="40" applyFont="1" applyFill="1" applyBorder="1" applyAlignment="1">
      <alignment horizontal="left" vertical="center" wrapText="1" indent="1"/>
    </xf>
    <xf numFmtId="3" fontId="2" fillId="0" borderId="27" xfId="40" applyNumberFormat="1" applyFont="1" applyFill="1" applyBorder="1" applyAlignment="1">
      <alignment horizontal="right" vertical="center" wrapText="1" indent="1"/>
    </xf>
    <xf numFmtId="3" fontId="2" fillId="0" borderId="14" xfId="40" applyNumberFormat="1" applyFont="1" applyFill="1" applyBorder="1" applyAlignment="1">
      <alignment horizontal="right" vertical="center" wrapText="1" indent="1"/>
    </xf>
    <xf numFmtId="14" fontId="3" fillId="0" borderId="0" xfId="40" applyNumberFormat="1" applyFont="1" applyFill="1" applyAlignment="1">
      <alignment vertical="center" wrapText="1"/>
    </xf>
    <xf numFmtId="3" fontId="2" fillId="0" borderId="13" xfId="40" applyNumberFormat="1" applyFont="1" applyFill="1" applyBorder="1" applyAlignment="1">
      <alignment horizontal="right" vertical="center" wrapText="1" indent="1"/>
    </xf>
    <xf numFmtId="0" fontId="2" fillId="0" borderId="17" xfId="40" applyFont="1" applyFill="1" applyBorder="1" applyAlignment="1">
      <alignment horizontal="left" vertical="center" wrapText="1" indent="1"/>
    </xf>
    <xf numFmtId="0" fontId="2" fillId="0" borderId="0" xfId="40" applyFont="1" applyFill="1" applyBorder="1" applyAlignment="1">
      <alignment horizontal="left" vertical="center" wrapText="1" indent="1"/>
    </xf>
    <xf numFmtId="3" fontId="7" fillId="0" borderId="0" xfId="45" applyNumberFormat="1" applyFont="1" applyFill="1" applyBorder="1" applyAlignment="1">
      <alignment vertical="center" wrapText="1"/>
    </xf>
    <xf numFmtId="0" fontId="7" fillId="0" borderId="13" xfId="45" applyFont="1" applyFill="1" applyBorder="1" applyAlignment="1">
      <alignment horizontal="center" vertical="center" wrapText="1"/>
    </xf>
    <xf numFmtId="0" fontId="7" fillId="0" borderId="14" xfId="45" applyFont="1" applyFill="1" applyBorder="1" applyAlignment="1">
      <alignment horizontal="center" vertical="center" wrapText="1"/>
    </xf>
    <xf numFmtId="3" fontId="7" fillId="0" borderId="0" xfId="45" applyNumberFormat="1" applyFont="1" applyFill="1" applyBorder="1" applyAlignment="1">
      <alignment horizontal="center" vertical="center" wrapText="1"/>
    </xf>
    <xf numFmtId="3" fontId="8" fillId="0" borderId="15" xfId="45" applyNumberFormat="1" applyFont="1" applyFill="1" applyBorder="1" applyAlignment="1">
      <alignment vertical="center" wrapText="1"/>
    </xf>
    <xf numFmtId="3" fontId="8" fillId="0" borderId="13" xfId="45" applyNumberFormat="1" applyFont="1" applyFill="1" applyBorder="1" applyAlignment="1">
      <alignment horizontal="center" vertical="center" wrapText="1"/>
    </xf>
    <xf numFmtId="3" fontId="8" fillId="0" borderId="0" xfId="45" applyNumberFormat="1" applyFont="1" applyFill="1" applyBorder="1" applyAlignment="1">
      <alignment horizontal="center" vertical="center" wrapText="1"/>
    </xf>
    <xf numFmtId="3" fontId="8" fillId="0" borderId="14" xfId="45" applyNumberFormat="1" applyFont="1" applyFill="1" applyBorder="1" applyAlignment="1">
      <alignment horizontal="center" vertical="center" wrapText="1"/>
    </xf>
    <xf numFmtId="3" fontId="8" fillId="0" borderId="0" xfId="45" applyNumberFormat="1" applyFont="1" applyFill="1" applyBorder="1" applyAlignment="1">
      <alignment vertical="center" wrapText="1"/>
    </xf>
    <xf numFmtId="3" fontId="8" fillId="0" borderId="16" xfId="45" applyNumberFormat="1" applyFont="1" applyFill="1" applyBorder="1" applyAlignment="1">
      <alignment horizontal="center" vertical="center" wrapText="1"/>
    </xf>
    <xf numFmtId="4" fontId="7" fillId="0" borderId="17" xfId="45" applyNumberFormat="1" applyFont="1" applyFill="1" applyBorder="1" applyAlignment="1">
      <alignment horizontal="right" vertical="center" wrapText="1" indent="1"/>
    </xf>
    <xf numFmtId="4" fontId="7" fillId="0" borderId="18" xfId="45" applyNumberFormat="1" applyFont="1" applyFill="1" applyBorder="1" applyAlignment="1">
      <alignment horizontal="right" vertical="center" wrapText="1" indent="1"/>
    </xf>
    <xf numFmtId="3" fontId="32" fillId="0" borderId="0" xfId="45" applyNumberFormat="1" applyFont="1" applyFill="1" applyBorder="1" applyAlignment="1">
      <alignment vertical="center" wrapText="1"/>
    </xf>
    <xf numFmtId="4" fontId="7" fillId="0" borderId="0" xfId="45" applyNumberFormat="1" applyFont="1" applyFill="1" applyBorder="1" applyAlignment="1">
      <alignment vertical="center" wrapText="1"/>
    </xf>
    <xf numFmtId="3" fontId="53" fillId="0" borderId="0" xfId="45" applyNumberFormat="1" applyFont="1" applyFill="1" applyBorder="1" applyAlignment="1">
      <alignment vertical="center"/>
    </xf>
    <xf numFmtId="0" fontId="8" fillId="0" borderId="0" xfId="44" applyFont="1" applyFill="1" applyAlignment="1">
      <alignment vertical="center" wrapText="1"/>
    </xf>
    <xf numFmtId="0" fontId="7" fillId="0" borderId="68" xfId="44" applyFont="1" applyFill="1" applyBorder="1" applyAlignment="1">
      <alignment horizontal="center" vertical="center" wrapText="1"/>
    </xf>
    <xf numFmtId="0" fontId="7" fillId="0" borderId="72" xfId="44" applyFont="1" applyFill="1" applyBorder="1" applyAlignment="1">
      <alignment horizontal="center" vertical="center" wrapText="1"/>
    </xf>
    <xf numFmtId="0" fontId="7" fillId="0" borderId="75" xfId="44" applyFont="1" applyFill="1" applyBorder="1" applyAlignment="1">
      <alignment horizontal="center" vertical="center" wrapText="1"/>
    </xf>
    <xf numFmtId="0" fontId="7" fillId="0" borderId="0" xfId="44" applyFont="1" applyFill="1" applyAlignment="1">
      <alignment horizontal="center" vertical="center" wrapText="1"/>
    </xf>
    <xf numFmtId="0" fontId="7" fillId="0" borderId="13" xfId="44" applyFont="1" applyFill="1" applyBorder="1" applyAlignment="1">
      <alignment horizontal="center" vertical="center" wrapText="1"/>
    </xf>
    <xf numFmtId="0" fontId="7" fillId="0" borderId="14" xfId="44" applyFont="1" applyFill="1" applyBorder="1" applyAlignment="1">
      <alignment horizontal="center" vertical="center" wrapText="1"/>
    </xf>
    <xf numFmtId="0" fontId="24" fillId="0" borderId="22" xfId="42" applyFont="1" applyFill="1" applyBorder="1" applyAlignment="1">
      <alignment horizontal="left" indent="1"/>
    </xf>
    <xf numFmtId="0" fontId="24" fillId="0" borderId="29" xfId="42" applyFont="1" applyFill="1" applyBorder="1"/>
    <xf numFmtId="49" fontId="24" fillId="0" borderId="37" xfId="42" applyNumberFormat="1" applyFont="1" applyFill="1" applyBorder="1" applyAlignment="1">
      <alignment horizontal="center"/>
    </xf>
    <xf numFmtId="3" fontId="2" fillId="0" borderId="44" xfId="0" applyNumberFormat="1" applyFont="1" applyFill="1" applyBorder="1" applyAlignment="1">
      <alignment horizontal="right" vertical="center" wrapText="1" indent="1"/>
    </xf>
    <xf numFmtId="0" fontId="24" fillId="0" borderId="13" xfId="42" applyFont="1" applyFill="1" applyBorder="1"/>
    <xf numFmtId="49" fontId="24" fillId="0" borderId="20" xfId="42" applyNumberFormat="1" applyFont="1" applyFill="1" applyBorder="1" applyAlignment="1">
      <alignment horizontal="center"/>
    </xf>
    <xf numFmtId="0" fontId="24" fillId="0" borderId="13" xfId="42" applyFont="1" applyFill="1" applyBorder="1" applyAlignment="1">
      <alignment vertical="center"/>
    </xf>
    <xf numFmtId="3" fontId="8" fillId="0" borderId="13" xfId="44" applyNumberFormat="1" applyFont="1" applyFill="1" applyBorder="1" applyAlignment="1">
      <alignment horizontal="right" vertical="center" wrapText="1" indent="1"/>
    </xf>
    <xf numFmtId="49" fontId="53" fillId="0" borderId="20" xfId="42" applyNumberFormat="1" applyFont="1" applyFill="1" applyBorder="1" applyAlignment="1">
      <alignment horizontal="center"/>
    </xf>
    <xf numFmtId="3" fontId="2" fillId="0" borderId="37" xfId="0" applyNumberFormat="1" applyFont="1" applyFill="1" applyBorder="1" applyAlignment="1">
      <alignment horizontal="right" vertical="center" wrapText="1" indent="1"/>
    </xf>
    <xf numFmtId="3" fontId="2" fillId="0" borderId="20" xfId="0" applyNumberFormat="1" applyFont="1" applyFill="1" applyBorder="1" applyAlignment="1">
      <alignment horizontal="right" vertical="center" wrapText="1" indent="1"/>
    </xf>
    <xf numFmtId="3" fontId="2" fillId="0" borderId="13" xfId="0" applyNumberFormat="1" applyFont="1" applyFill="1" applyBorder="1" applyAlignment="1">
      <alignment horizontal="right" vertical="center" wrapText="1" indent="1"/>
    </xf>
    <xf numFmtId="3" fontId="2" fillId="0" borderId="49" xfId="0" applyNumberFormat="1" applyFont="1" applyFill="1" applyBorder="1" applyAlignment="1">
      <alignment horizontal="right" vertical="center" wrapText="1" indent="1"/>
    </xf>
    <xf numFmtId="49" fontId="53" fillId="0" borderId="28" xfId="42" applyNumberFormat="1" applyFont="1" applyFill="1" applyBorder="1" applyAlignment="1">
      <alignment horizontal="center"/>
    </xf>
    <xf numFmtId="3" fontId="2" fillId="0" borderId="54" xfId="0" applyNumberFormat="1" applyFont="1" applyFill="1" applyBorder="1" applyAlignment="1">
      <alignment horizontal="right" vertical="center" wrapText="1" indent="1"/>
    </xf>
    <xf numFmtId="3" fontId="2" fillId="0" borderId="63" xfId="0" applyNumberFormat="1" applyFont="1" applyFill="1" applyBorder="1" applyAlignment="1">
      <alignment horizontal="right" vertical="center" wrapText="1" indent="1"/>
    </xf>
    <xf numFmtId="0" fontId="8" fillId="0" borderId="22" xfId="42" applyFont="1" applyFill="1" applyBorder="1" applyAlignment="1">
      <alignment horizontal="left" indent="1"/>
    </xf>
    <xf numFmtId="0" fontId="8" fillId="0" borderId="29" xfId="42" applyFont="1" applyFill="1" applyBorder="1"/>
    <xf numFmtId="49" fontId="8" fillId="0" borderId="37" xfId="42" applyNumberFormat="1" applyFont="1" applyFill="1" applyBorder="1" applyAlignment="1">
      <alignment horizontal="center"/>
    </xf>
    <xf numFmtId="0" fontId="8" fillId="0" borderId="13" xfId="42" applyFont="1" applyFill="1" applyBorder="1"/>
    <xf numFmtId="49" fontId="8" fillId="0" borderId="20" xfId="42" applyNumberFormat="1" applyFont="1" applyFill="1" applyBorder="1" applyAlignment="1">
      <alignment horizontal="center"/>
    </xf>
    <xf numFmtId="3" fontId="2" fillId="0" borderId="42" xfId="0" applyNumberFormat="1" applyFont="1" applyFill="1" applyBorder="1" applyAlignment="1">
      <alignment horizontal="right" vertical="center" wrapText="1" indent="1"/>
    </xf>
    <xf numFmtId="3" fontId="8" fillId="0" borderId="19" xfId="44" applyNumberFormat="1" applyFont="1" applyFill="1" applyBorder="1" applyAlignment="1">
      <alignment horizontal="right" vertical="center" wrapText="1" indent="1"/>
    </xf>
    <xf numFmtId="0" fontId="8" fillId="0" borderId="19" xfId="42" applyFont="1" applyFill="1" applyBorder="1"/>
    <xf numFmtId="49" fontId="8" fillId="0" borderId="35" xfId="42" applyNumberFormat="1" applyFont="1" applyFill="1" applyBorder="1" applyAlignment="1">
      <alignment horizontal="center"/>
    </xf>
    <xf numFmtId="3" fontId="2" fillId="0" borderId="43" xfId="0" applyNumberFormat="1" applyFont="1" applyFill="1" applyBorder="1" applyAlignment="1">
      <alignment horizontal="right" vertical="center" wrapText="1" indent="1"/>
    </xf>
    <xf numFmtId="49" fontId="53" fillId="0" borderId="52" xfId="42" applyNumberFormat="1" applyFont="1" applyFill="1" applyBorder="1" applyAlignment="1">
      <alignment horizontal="center" vertical="center"/>
    </xf>
    <xf numFmtId="3" fontId="2" fillId="0" borderId="31" xfId="0" applyNumberFormat="1" applyFont="1" applyFill="1" applyBorder="1" applyAlignment="1">
      <alignment horizontal="right" vertical="center" wrapText="1" indent="1"/>
    </xf>
    <xf numFmtId="3" fontId="2" fillId="0" borderId="52" xfId="0" applyNumberFormat="1" applyFont="1" applyFill="1" applyBorder="1" applyAlignment="1">
      <alignment horizontal="right" vertical="center" wrapText="1" indent="1"/>
    </xf>
    <xf numFmtId="3" fontId="2" fillId="0" borderId="62" xfId="0" applyNumberFormat="1" applyFont="1" applyFill="1" applyBorder="1" applyAlignment="1">
      <alignment horizontal="right" vertical="center" wrapText="1" indent="1"/>
    </xf>
    <xf numFmtId="0" fontId="1" fillId="0" borderId="0" xfId="0" applyNumberFormat="1" applyFont="1" applyFill="1" applyAlignment="1">
      <alignment vertical="center" wrapText="1"/>
    </xf>
    <xf numFmtId="0" fontId="93" fillId="0" borderId="0" xfId="0" applyFont="1"/>
    <xf numFmtId="0" fontId="8" fillId="0" borderId="51" xfId="0" applyFont="1" applyBorder="1" applyAlignment="1">
      <alignment wrapText="1"/>
    </xf>
    <xf numFmtId="0" fontId="8" fillId="0" borderId="27" xfId="0" applyFont="1" applyBorder="1" applyAlignment="1">
      <alignment wrapText="1"/>
    </xf>
    <xf numFmtId="0" fontId="8" fillId="0" borderId="0" xfId="0" applyFont="1" applyBorder="1" applyAlignment="1">
      <alignment horizontal="left" wrapText="1"/>
    </xf>
    <xf numFmtId="0" fontId="8" fillId="0" borderId="48" xfId="0" applyFont="1" applyBorder="1" applyAlignment="1">
      <alignment horizontal="left" wrapText="1"/>
    </xf>
    <xf numFmtId="0" fontId="8" fillId="0" borderId="51" xfId="0" applyFont="1" applyBorder="1" applyAlignment="1">
      <alignment horizontal="left" wrapText="1"/>
    </xf>
    <xf numFmtId="0" fontId="8" fillId="0" borderId="27" xfId="0" applyFont="1" applyBorder="1" applyAlignment="1">
      <alignment horizontal="left" wrapText="1"/>
    </xf>
    <xf numFmtId="0" fontId="4" fillId="0" borderId="30" xfId="0" applyFont="1" applyFill="1" applyBorder="1" applyAlignment="1">
      <alignment horizontal="center" vertical="center" wrapText="1"/>
    </xf>
    <xf numFmtId="0" fontId="62" fillId="0" borderId="31" xfId="0" applyFont="1" applyFill="1" applyBorder="1"/>
    <xf numFmtId="0" fontId="62" fillId="0" borderId="36" xfId="0" applyFont="1" applyFill="1" applyBorder="1"/>
    <xf numFmtId="0" fontId="7" fillId="0" borderId="59" xfId="0" applyFont="1" applyFill="1" applyBorder="1" applyAlignment="1">
      <alignment horizontal="left" vertical="center" wrapText="1" indent="1"/>
    </xf>
    <xf numFmtId="0" fontId="7" fillId="0" borderId="70" xfId="0" applyFont="1" applyFill="1" applyBorder="1" applyAlignment="1">
      <alignment horizontal="left" vertical="center" wrapText="1" indent="1"/>
    </xf>
    <xf numFmtId="0" fontId="7" fillId="0" borderId="41" xfId="0" applyFont="1" applyFill="1" applyBorder="1" applyAlignment="1">
      <alignment horizontal="left" vertical="center" wrapText="1" indent="1"/>
    </xf>
    <xf numFmtId="0" fontId="11" fillId="0" borderId="30" xfId="0" applyFont="1" applyFill="1" applyBorder="1" applyAlignment="1">
      <alignment horizontal="center" vertical="center" wrapText="1"/>
    </xf>
    <xf numFmtId="0" fontId="11" fillId="0" borderId="31" xfId="0" applyFont="1" applyFill="1" applyBorder="1" applyAlignment="1">
      <alignment horizontal="center" vertical="center" wrapText="1"/>
    </xf>
    <xf numFmtId="0" fontId="11" fillId="0" borderId="36" xfId="0" applyFont="1" applyFill="1" applyBorder="1" applyAlignment="1">
      <alignment horizontal="center" vertical="center" wrapText="1"/>
    </xf>
    <xf numFmtId="0" fontId="7" fillId="0" borderId="73" xfId="0" applyFont="1" applyFill="1" applyBorder="1" applyAlignment="1">
      <alignment horizontal="left" vertical="center" wrapText="1" indent="1"/>
    </xf>
    <xf numFmtId="0" fontId="7" fillId="0" borderId="49" xfId="0" applyFont="1" applyFill="1" applyBorder="1" applyAlignment="1">
      <alignment horizontal="left" vertical="center" wrapText="1" indent="1"/>
    </xf>
    <xf numFmtId="0" fontId="7" fillId="0" borderId="53" xfId="0" applyFont="1" applyFill="1" applyBorder="1" applyAlignment="1">
      <alignment horizontal="left" vertical="center" wrapText="1" indent="1"/>
    </xf>
    <xf numFmtId="0" fontId="11" fillId="0" borderId="30" xfId="0" applyFont="1" applyFill="1" applyBorder="1" applyAlignment="1">
      <alignment horizontal="center" vertical="center"/>
    </xf>
    <xf numFmtId="0" fontId="11" fillId="0" borderId="31" xfId="0" applyFont="1" applyFill="1" applyBorder="1" applyAlignment="1">
      <alignment horizontal="center" vertical="center"/>
    </xf>
    <xf numFmtId="0" fontId="11" fillId="0" borderId="36" xfId="0" applyFont="1" applyFill="1" applyBorder="1" applyAlignment="1">
      <alignment horizontal="center" vertical="center"/>
    </xf>
    <xf numFmtId="0" fontId="7" fillId="0" borderId="15" xfId="0" applyFont="1" applyFill="1" applyBorder="1" applyAlignment="1">
      <alignment horizontal="center" vertical="center" wrapText="1"/>
    </xf>
    <xf numFmtId="49" fontId="7" fillId="0" borderId="19" xfId="0" applyNumberFormat="1" applyFont="1" applyFill="1" applyBorder="1" applyAlignment="1">
      <alignment horizontal="center" vertical="center" wrapText="1"/>
    </xf>
    <xf numFmtId="49" fontId="7" fillId="0" borderId="29" xfId="0" applyNumberFormat="1" applyFont="1" applyFill="1" applyBorder="1" applyAlignment="1">
      <alignment horizontal="center" vertical="center" wrapText="1"/>
    </xf>
    <xf numFmtId="0" fontId="11" fillId="0" borderId="20" xfId="0" applyFont="1" applyFill="1" applyBorder="1" applyAlignment="1">
      <alignment horizontal="center" vertical="center"/>
    </xf>
    <xf numFmtId="0" fontId="11" fillId="0" borderId="27" xfId="0" applyFont="1" applyFill="1" applyBorder="1" applyAlignment="1">
      <alignment horizontal="center" vertical="center"/>
    </xf>
    <xf numFmtId="0" fontId="11" fillId="0" borderId="38" xfId="0" applyFont="1" applyFill="1" applyBorder="1" applyAlignment="1">
      <alignment horizontal="center" vertical="center"/>
    </xf>
    <xf numFmtId="0" fontId="11" fillId="0" borderId="67" xfId="0" applyFont="1" applyFill="1" applyBorder="1" applyAlignment="1">
      <alignment horizontal="center" vertical="center"/>
    </xf>
    <xf numFmtId="0" fontId="11" fillId="0" borderId="68" xfId="0" applyFont="1" applyFill="1" applyBorder="1" applyAlignment="1">
      <alignment horizontal="center" vertical="center"/>
    </xf>
    <xf numFmtId="0" fontId="11" fillId="0" borderId="69" xfId="0" applyFont="1" applyFill="1" applyBorder="1" applyAlignment="1">
      <alignment horizontal="center" vertical="center"/>
    </xf>
    <xf numFmtId="0" fontId="2" fillId="0" borderId="15" xfId="0" applyFont="1" applyFill="1" applyBorder="1" applyAlignment="1">
      <alignment horizontal="center" vertical="center" wrapText="1"/>
    </xf>
    <xf numFmtId="49" fontId="2" fillId="0" borderId="19" xfId="0" applyNumberFormat="1" applyFont="1" applyFill="1" applyBorder="1" applyAlignment="1">
      <alignment horizontal="center" vertical="center" wrapText="1"/>
    </xf>
    <xf numFmtId="49" fontId="2" fillId="0" borderId="29" xfId="0" applyNumberFormat="1" applyFont="1" applyFill="1" applyBorder="1" applyAlignment="1">
      <alignment horizontal="center" vertical="center" wrapText="1"/>
    </xf>
    <xf numFmtId="0" fontId="4" fillId="0" borderId="13"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38" xfId="0" applyFont="1" applyFill="1" applyBorder="1" applyAlignment="1">
      <alignment horizontal="center" vertical="center"/>
    </xf>
    <xf numFmtId="49" fontId="2" fillId="0" borderId="13" xfId="0" applyNumberFormat="1" applyFont="1" applyFill="1" applyBorder="1" applyAlignment="1">
      <alignment horizontal="center" vertical="center" wrapText="1"/>
    </xf>
    <xf numFmtId="0" fontId="2" fillId="0" borderId="22" xfId="0" applyFont="1" applyFill="1" applyBorder="1" applyAlignment="1">
      <alignment horizontal="center" vertical="center" textRotation="90" wrapText="1"/>
    </xf>
    <xf numFmtId="0" fontId="2" fillId="0" borderId="15" xfId="0" applyFont="1" applyFill="1" applyBorder="1" applyAlignment="1">
      <alignment horizontal="center" vertical="center" textRotation="90" wrapText="1"/>
    </xf>
    <xf numFmtId="0" fontId="11" fillId="0" borderId="12"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2" fillId="0" borderId="37"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29"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7" fillId="0" borderId="56" xfId="0" applyFont="1" applyFill="1" applyBorder="1" applyAlignment="1">
      <alignment horizontal="center" vertical="center" wrapText="1"/>
    </xf>
    <xf numFmtId="0" fontId="7" fillId="0" borderId="44" xfId="0" applyFont="1" applyFill="1" applyBorder="1" applyAlignment="1">
      <alignment horizontal="center" vertical="center" wrapText="1"/>
    </xf>
    <xf numFmtId="0" fontId="7" fillId="0" borderId="56" xfId="40" applyFont="1" applyFill="1" applyBorder="1" applyAlignment="1">
      <alignment horizontal="center" vertical="center" wrapText="1"/>
    </xf>
    <xf numFmtId="0" fontId="7" fillId="0" borderId="44" xfId="40" applyFont="1" applyFill="1" applyBorder="1" applyAlignment="1">
      <alignment horizontal="center" vertical="center" wrapText="1"/>
    </xf>
    <xf numFmtId="0" fontId="89" fillId="0" borderId="0" xfId="0" applyFont="1" applyFill="1" applyAlignment="1">
      <alignment horizontal="left" vertical="center" wrapText="1"/>
    </xf>
    <xf numFmtId="0" fontId="7" fillId="0" borderId="12" xfId="40" applyFont="1" applyFill="1" applyBorder="1" applyAlignment="1">
      <alignment horizontal="center" vertical="center" wrapText="1"/>
    </xf>
    <xf numFmtId="0" fontId="7" fillId="0" borderId="73" xfId="40" applyFont="1" applyFill="1" applyBorder="1" applyAlignment="1">
      <alignment horizontal="center" vertical="center" wrapText="1"/>
    </xf>
    <xf numFmtId="0" fontId="7" fillId="0" borderId="61" xfId="41" applyFont="1" applyFill="1" applyBorder="1" applyAlignment="1">
      <alignment horizontal="center" vertical="center"/>
    </xf>
    <xf numFmtId="0" fontId="7" fillId="0" borderId="57" xfId="41" applyFont="1" applyFill="1" applyBorder="1" applyAlignment="1">
      <alignment horizontal="center" vertical="center"/>
    </xf>
    <xf numFmtId="0" fontId="7" fillId="0" borderId="58" xfId="41" applyFont="1" applyFill="1" applyBorder="1" applyAlignment="1">
      <alignment horizontal="center" vertical="center"/>
    </xf>
    <xf numFmtId="0" fontId="7" fillId="0" borderId="64" xfId="41" applyFont="1" applyFill="1" applyBorder="1" applyAlignment="1">
      <alignment horizontal="left" vertical="center" wrapText="1" indent="1"/>
    </xf>
    <xf numFmtId="0" fontId="7" fillId="0" borderId="65" xfId="41" applyFont="1" applyFill="1" applyBorder="1" applyAlignment="1">
      <alignment horizontal="left" vertical="center" wrapText="1" indent="1"/>
    </xf>
    <xf numFmtId="0" fontId="7" fillId="0" borderId="66" xfId="41" applyFont="1" applyFill="1" applyBorder="1" applyAlignment="1">
      <alignment horizontal="left" vertical="center" wrapText="1" indent="1"/>
    </xf>
    <xf numFmtId="0" fontId="7" fillId="0" borderId="15" xfId="41" applyFont="1" applyFill="1" applyBorder="1" applyAlignment="1">
      <alignment horizontal="center" vertical="center" wrapText="1"/>
    </xf>
    <xf numFmtId="0" fontId="7" fillId="0" borderId="19" xfId="41" applyFont="1" applyFill="1" applyBorder="1" applyAlignment="1">
      <alignment horizontal="center" vertical="center"/>
    </xf>
    <xf numFmtId="0" fontId="7" fillId="0" borderId="82" xfId="41" applyFont="1" applyFill="1" applyBorder="1" applyAlignment="1">
      <alignment horizontal="center" vertical="center"/>
    </xf>
    <xf numFmtId="0" fontId="7" fillId="0" borderId="29" xfId="41" applyFont="1" applyFill="1" applyBorder="1" applyAlignment="1">
      <alignment horizontal="center" vertical="center"/>
    </xf>
    <xf numFmtId="0" fontId="7" fillId="0" borderId="20" xfId="41" applyFont="1" applyFill="1" applyBorder="1" applyAlignment="1">
      <alignment horizontal="center" vertical="center" wrapText="1"/>
    </xf>
    <xf numFmtId="0" fontId="7" fillId="0" borderId="51" xfId="41" applyFont="1" applyFill="1" applyBorder="1" applyAlignment="1">
      <alignment horizontal="center" vertical="center" wrapText="1"/>
    </xf>
    <xf numFmtId="0" fontId="7" fillId="0" borderId="19" xfId="41" applyFont="1" applyFill="1" applyBorder="1" applyAlignment="1">
      <alignment horizontal="center" vertical="center" wrapText="1"/>
    </xf>
    <xf numFmtId="0" fontId="7" fillId="0" borderId="82" xfId="41" applyFont="1" applyFill="1" applyBorder="1" applyAlignment="1">
      <alignment horizontal="center" vertical="center" wrapText="1"/>
    </xf>
    <xf numFmtId="0" fontId="7" fillId="0" borderId="29" xfId="41" applyFont="1" applyFill="1" applyBorder="1" applyAlignment="1">
      <alignment horizontal="center" vertical="center" wrapText="1"/>
    </xf>
    <xf numFmtId="0" fontId="7" fillId="0" borderId="26" xfId="41" applyFont="1" applyFill="1" applyBorder="1" applyAlignment="1">
      <alignment horizontal="center" vertical="center" wrapText="1"/>
    </xf>
    <xf numFmtId="0" fontId="7" fillId="0" borderId="83" xfId="41" applyFont="1" applyFill="1" applyBorder="1" applyAlignment="1">
      <alignment horizontal="center" vertical="center" wrapText="1"/>
    </xf>
    <xf numFmtId="0" fontId="7" fillId="0" borderId="34" xfId="41" applyFont="1" applyFill="1" applyBorder="1" applyAlignment="1">
      <alignment horizontal="center" vertical="center" wrapText="1"/>
    </xf>
    <xf numFmtId="0" fontId="7" fillId="0" borderId="20" xfId="41" applyFont="1" applyFill="1" applyBorder="1" applyAlignment="1">
      <alignment horizontal="center" vertical="center"/>
    </xf>
    <xf numFmtId="0" fontId="7" fillId="0" borderId="27" xfId="41" applyFont="1" applyFill="1" applyBorder="1" applyAlignment="1">
      <alignment horizontal="center" vertical="center"/>
    </xf>
    <xf numFmtId="0" fontId="7" fillId="0" borderId="12" xfId="0" applyFont="1" applyFill="1" applyBorder="1" applyAlignment="1">
      <alignment horizontal="left" vertical="center" wrapText="1"/>
    </xf>
    <xf numFmtId="0" fontId="7" fillId="0" borderId="0" xfId="0" applyFont="1" applyFill="1" applyBorder="1" applyAlignment="1">
      <alignment horizontal="left" vertical="center" wrapText="1"/>
    </xf>
    <xf numFmtId="0" fontId="11" fillId="0" borderId="67" xfId="0" applyFont="1" applyFill="1" applyBorder="1" applyAlignment="1">
      <alignment horizontal="center" vertical="center" wrapText="1"/>
    </xf>
    <xf numFmtId="0" fontId="11" fillId="0" borderId="68" xfId="0" applyFont="1" applyFill="1" applyBorder="1" applyAlignment="1">
      <alignment horizontal="center" vertical="center" wrapText="1"/>
    </xf>
    <xf numFmtId="0" fontId="11" fillId="0" borderId="69"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27" xfId="0" applyFont="1" applyFill="1" applyBorder="1" applyAlignment="1">
      <alignment horizontal="center" vertical="center" wrapText="1"/>
    </xf>
    <xf numFmtId="0" fontId="7" fillId="0" borderId="51" xfId="0" applyFont="1" applyFill="1" applyBorder="1" applyAlignment="1">
      <alignment horizontal="center" vertical="center" wrapText="1"/>
    </xf>
    <xf numFmtId="0" fontId="7" fillId="0" borderId="38" xfId="0" applyFont="1" applyFill="1" applyBorder="1" applyAlignment="1">
      <alignment horizontal="center" vertical="center" wrapText="1"/>
    </xf>
    <xf numFmtId="49" fontId="7" fillId="0" borderId="46" xfId="0" applyNumberFormat="1" applyFont="1" applyFill="1" applyBorder="1" applyAlignment="1">
      <alignment horizontal="center" vertical="center" wrapText="1"/>
    </xf>
    <xf numFmtId="49" fontId="7" fillId="0" borderId="32" xfId="0" applyNumberFormat="1" applyFont="1" applyFill="1" applyBorder="1" applyAlignment="1">
      <alignment horizontal="center" vertical="center" wrapText="1"/>
    </xf>
    <xf numFmtId="0" fontId="7" fillId="0" borderId="21"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7" fillId="0" borderId="40" xfId="0" applyFont="1" applyFill="1" applyBorder="1" applyAlignment="1">
      <alignment horizontal="left" vertical="center" wrapText="1" indent="1"/>
    </xf>
    <xf numFmtId="0" fontId="7" fillId="0" borderId="70" xfId="0" applyFont="1" applyFill="1" applyBorder="1" applyAlignment="1">
      <alignment horizontal="center" vertical="center" wrapText="1"/>
    </xf>
    <xf numFmtId="0" fontId="7" fillId="0" borderId="41"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3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7" fillId="0" borderId="60" xfId="0" applyFont="1" applyFill="1" applyBorder="1" applyAlignment="1">
      <alignment horizontal="left" vertical="center" wrapText="1" indent="1"/>
    </xf>
    <xf numFmtId="0" fontId="7" fillId="0" borderId="51" xfId="0" applyFont="1" applyFill="1" applyBorder="1" applyAlignment="1">
      <alignment horizontal="left" vertical="center" wrapText="1" indent="1"/>
    </xf>
    <xf numFmtId="0" fontId="7" fillId="0" borderId="38" xfId="0" applyFont="1" applyFill="1" applyBorder="1" applyAlignment="1">
      <alignment horizontal="left" vertical="center" wrapText="1" indent="1"/>
    </xf>
    <xf numFmtId="0" fontId="4" fillId="0" borderId="67" xfId="40" applyFont="1" applyFill="1" applyBorder="1" applyAlignment="1">
      <alignment horizontal="center" vertical="center" wrapText="1"/>
    </xf>
    <xf numFmtId="0" fontId="4" fillId="0" borderId="68" xfId="40" applyFont="1" applyFill="1" applyBorder="1" applyAlignment="1">
      <alignment horizontal="center" vertical="center"/>
    </xf>
    <xf numFmtId="0" fontId="4" fillId="0" borderId="69" xfId="40" applyFont="1" applyFill="1" applyBorder="1" applyAlignment="1">
      <alignment horizontal="center" vertical="center"/>
    </xf>
    <xf numFmtId="0" fontId="2" fillId="0" borderId="23" xfId="40" applyFont="1" applyFill="1" applyBorder="1" applyAlignment="1">
      <alignment horizontal="left" vertical="center" wrapText="1" indent="1"/>
    </xf>
    <xf numFmtId="0" fontId="2" fillId="0" borderId="25" xfId="40" applyFont="1" applyFill="1" applyBorder="1" applyAlignment="1">
      <alignment horizontal="left" vertical="center" wrapText="1" indent="1"/>
    </xf>
    <xf numFmtId="0" fontId="2" fillId="0" borderId="24" xfId="40" applyFont="1" applyFill="1" applyBorder="1" applyAlignment="1">
      <alignment horizontal="left" vertical="center" wrapText="1" indent="1"/>
    </xf>
    <xf numFmtId="0" fontId="2" fillId="0" borderId="0" xfId="0" applyFont="1" applyFill="1" applyBorder="1" applyAlignment="1">
      <alignment horizontal="left" vertical="center"/>
    </xf>
    <xf numFmtId="0" fontId="2" fillId="0" borderId="0" xfId="0" applyFont="1" applyFill="1" applyBorder="1" applyAlignment="1">
      <alignment horizontal="left"/>
    </xf>
    <xf numFmtId="0" fontId="4" fillId="0" borderId="31" xfId="0" applyFont="1" applyFill="1" applyBorder="1" applyAlignment="1">
      <alignment horizontal="center" vertical="center" wrapText="1"/>
    </xf>
    <xf numFmtId="0" fontId="4" fillId="0" borderId="36" xfId="0" applyFont="1" applyFill="1" applyBorder="1" applyAlignment="1">
      <alignment horizontal="center" vertical="center" wrapText="1"/>
    </xf>
    <xf numFmtId="0" fontId="2" fillId="0" borderId="38" xfId="0" applyFont="1" applyFill="1" applyBorder="1" applyAlignment="1">
      <alignment horizontal="center" vertical="center" wrapText="1"/>
    </xf>
    <xf numFmtId="0" fontId="2" fillId="0" borderId="73" xfId="0" applyFont="1" applyFill="1" applyBorder="1" applyAlignment="1">
      <alignment horizontal="left" vertical="center" wrapText="1" indent="1"/>
    </xf>
    <xf numFmtId="0" fontId="2" fillId="0" borderId="49" xfId="0" applyFont="1" applyFill="1" applyBorder="1" applyAlignment="1">
      <alignment horizontal="left" vertical="center" wrapText="1" indent="1"/>
    </xf>
    <xf numFmtId="0" fontId="2" fillId="0" borderId="53" xfId="0" applyFont="1" applyFill="1" applyBorder="1" applyAlignment="1">
      <alignment horizontal="left" vertical="center" wrapText="1" indent="1"/>
    </xf>
    <xf numFmtId="49" fontId="61" fillId="0" borderId="0" xfId="0" applyNumberFormat="1" applyFont="1" applyFill="1" applyBorder="1" applyAlignment="1">
      <alignment horizontal="left"/>
    </xf>
    <xf numFmtId="49" fontId="2" fillId="0" borderId="34" xfId="0" applyNumberFormat="1" applyFont="1" applyFill="1" applyBorder="1" applyAlignment="1">
      <alignment horizontal="center" vertical="center" wrapText="1"/>
    </xf>
    <xf numFmtId="49" fontId="2" fillId="0" borderId="14" xfId="0" applyNumberFormat="1" applyFont="1" applyFill="1" applyBorder="1" applyAlignment="1">
      <alignment horizontal="center" vertical="center" wrapText="1"/>
    </xf>
    <xf numFmtId="0" fontId="4" fillId="0" borderId="61" xfId="0"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58" xfId="0" applyFont="1" applyFill="1" applyBorder="1" applyAlignment="1">
      <alignment horizontal="center" vertical="center" wrapText="1"/>
    </xf>
    <xf numFmtId="0" fontId="2" fillId="0" borderId="59" xfId="0" applyFont="1" applyFill="1" applyBorder="1" applyAlignment="1">
      <alignment horizontal="left" vertical="center" wrapText="1" indent="1"/>
    </xf>
    <xf numFmtId="0" fontId="2" fillId="0" borderId="70" xfId="0" applyFont="1" applyFill="1" applyBorder="1" applyAlignment="1">
      <alignment horizontal="left" vertical="center" wrapText="1" indent="1"/>
    </xf>
    <xf numFmtId="0" fontId="2" fillId="0" borderId="41" xfId="0" applyFont="1" applyFill="1" applyBorder="1" applyAlignment="1">
      <alignment horizontal="left" vertical="center" wrapText="1" indent="1"/>
    </xf>
    <xf numFmtId="0" fontId="2" fillId="0" borderId="22" xfId="0" applyFont="1" applyFill="1" applyBorder="1" applyAlignment="1">
      <alignment horizontal="center" vertical="center" wrapText="1"/>
    </xf>
    <xf numFmtId="0" fontId="3" fillId="0" borderId="0" xfId="0" applyFont="1" applyFill="1" applyBorder="1" applyAlignment="1">
      <alignment horizontal="left" wrapText="1"/>
    </xf>
    <xf numFmtId="0" fontId="61" fillId="0" borderId="0" xfId="0" applyFont="1" applyFill="1" applyBorder="1" applyAlignment="1">
      <alignment horizontal="left" wrapText="1"/>
    </xf>
    <xf numFmtId="0" fontId="4" fillId="0" borderId="61" xfId="0" applyFont="1" applyFill="1" applyBorder="1" applyAlignment="1">
      <alignment horizontal="center" vertical="center"/>
    </xf>
    <xf numFmtId="0" fontId="4" fillId="0" borderId="57" xfId="0" applyFont="1" applyFill="1" applyBorder="1" applyAlignment="1">
      <alignment horizontal="center" vertical="center"/>
    </xf>
    <xf numFmtId="0" fontId="4" fillId="0" borderId="58" xfId="0" applyFont="1" applyFill="1" applyBorder="1" applyAlignment="1">
      <alignment horizontal="center" vertical="center"/>
    </xf>
    <xf numFmtId="0" fontId="2" fillId="0" borderId="65" xfId="0" applyFont="1" applyFill="1" applyBorder="1" applyAlignment="1">
      <alignment horizontal="left" vertical="center" wrapText="1" indent="1"/>
    </xf>
    <xf numFmtId="0" fontId="65" fillId="0" borderId="15"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4" fillId="0" borderId="30" xfId="43" applyFont="1" applyFill="1" applyBorder="1" applyAlignment="1">
      <alignment horizontal="center" vertical="center" wrapText="1"/>
    </xf>
    <xf numFmtId="0" fontId="4" fillId="0" borderId="31" xfId="43" applyFont="1" applyFill="1" applyBorder="1" applyAlignment="1">
      <alignment horizontal="center" vertical="center" wrapText="1"/>
    </xf>
    <xf numFmtId="0" fontId="4" fillId="0" borderId="36" xfId="43" applyFont="1" applyFill="1" applyBorder="1" applyAlignment="1">
      <alignment horizontal="center" vertical="center" wrapText="1"/>
    </xf>
    <xf numFmtId="0" fontId="2" fillId="0" borderId="34" xfId="0" applyFont="1" applyFill="1" applyBorder="1" applyAlignment="1">
      <alignment horizontal="center" vertical="center" wrapText="1"/>
    </xf>
    <xf numFmtId="0" fontId="11" fillId="0" borderId="61" xfId="0" applyFont="1" applyFill="1" applyBorder="1" applyAlignment="1">
      <alignment horizontal="center" vertical="center" wrapText="1"/>
    </xf>
    <xf numFmtId="0" fontId="11" fillId="0" borderId="57" xfId="0" applyFont="1" applyFill="1" applyBorder="1" applyAlignment="1">
      <alignment horizontal="center" vertical="center" wrapText="1"/>
    </xf>
    <xf numFmtId="0" fontId="11" fillId="0" borderId="58" xfId="0" applyFont="1" applyFill="1" applyBorder="1" applyAlignment="1">
      <alignment horizontal="center" vertical="center" wrapText="1"/>
    </xf>
    <xf numFmtId="0" fontId="2" fillId="0" borderId="70" xfId="0" applyFont="1" applyFill="1" applyBorder="1" applyAlignment="1">
      <alignment horizontal="center" vertical="center" wrapText="1"/>
    </xf>
    <xf numFmtId="0" fontId="2" fillId="0" borderId="41" xfId="0" applyFont="1" applyFill="1" applyBorder="1" applyAlignment="1">
      <alignment horizontal="center" vertical="center" wrapText="1"/>
    </xf>
    <xf numFmtId="0" fontId="85" fillId="0" borderId="45" xfId="0" applyFont="1" applyFill="1" applyBorder="1" applyAlignment="1">
      <alignment horizontal="left" vertical="center" wrapText="1"/>
    </xf>
    <xf numFmtId="0" fontId="85" fillId="0" borderId="35" xfId="0" applyFont="1" applyFill="1" applyBorder="1" applyAlignment="1">
      <alignment horizontal="left" vertical="center"/>
    </xf>
    <xf numFmtId="0" fontId="85" fillId="0" borderId="45" xfId="0" applyFont="1" applyFill="1" applyBorder="1" applyAlignment="1">
      <alignment horizontal="left" vertical="center"/>
    </xf>
    <xf numFmtId="0" fontId="85" fillId="0" borderId="46" xfId="0" applyFont="1" applyFill="1" applyBorder="1" applyAlignment="1">
      <alignment horizontal="left" vertical="center"/>
    </xf>
    <xf numFmtId="0" fontId="85" fillId="0" borderId="37" xfId="0" applyFont="1" applyFill="1" applyBorder="1" applyAlignment="1">
      <alignment horizontal="left" vertical="center"/>
    </xf>
    <xf numFmtId="0" fontId="85" fillId="0" borderId="49" xfId="0" applyFont="1" applyFill="1" applyBorder="1" applyAlignment="1">
      <alignment horizontal="left" vertical="center"/>
    </xf>
    <xf numFmtId="0" fontId="85" fillId="0" borderId="32" xfId="0" applyFont="1" applyFill="1" applyBorder="1" applyAlignment="1">
      <alignment horizontal="left" vertical="center"/>
    </xf>
    <xf numFmtId="0" fontId="2" fillId="0" borderId="40" xfId="0" applyFont="1" applyFill="1" applyBorder="1" applyAlignment="1">
      <alignment horizontal="left" vertical="center" wrapText="1" indent="1"/>
    </xf>
    <xf numFmtId="4" fontId="3" fillId="0" borderId="12" xfId="40" applyNumberFormat="1" applyFont="1" applyFill="1" applyBorder="1" applyAlignment="1">
      <alignment horizontal="left"/>
    </xf>
    <xf numFmtId="4" fontId="3" fillId="0" borderId="0" xfId="40" applyNumberFormat="1" applyFont="1" applyFill="1" applyAlignment="1">
      <alignment horizontal="left"/>
    </xf>
    <xf numFmtId="0" fontId="4" fillId="0" borderId="68" xfId="40" applyFont="1" applyFill="1" applyBorder="1" applyAlignment="1">
      <alignment horizontal="center" vertical="center" wrapText="1"/>
    </xf>
    <xf numFmtId="0" fontId="4" fillId="0" borderId="72" xfId="40" applyFont="1" applyFill="1" applyBorder="1" applyAlignment="1">
      <alignment horizontal="center" vertical="center" wrapText="1"/>
    </xf>
    <xf numFmtId="0" fontId="4" fillId="0" borderId="69" xfId="40" applyFont="1" applyFill="1" applyBorder="1" applyAlignment="1">
      <alignment horizontal="center" vertical="center" wrapText="1"/>
    </xf>
    <xf numFmtId="0" fontId="2" fillId="0" borderId="67" xfId="40" applyFont="1" applyFill="1" applyBorder="1" applyAlignment="1">
      <alignment horizontal="left" vertical="center" wrapText="1" indent="1"/>
    </xf>
    <xf numFmtId="0" fontId="2" fillId="0" borderId="68" xfId="40" applyFont="1" applyFill="1" applyBorder="1" applyAlignment="1">
      <alignment horizontal="left" vertical="center" wrapText="1" indent="1"/>
    </xf>
    <xf numFmtId="0" fontId="2" fillId="0" borderId="72" xfId="40" applyFont="1" applyFill="1" applyBorder="1" applyAlignment="1">
      <alignment horizontal="left" vertical="center" wrapText="1" indent="1"/>
    </xf>
    <xf numFmtId="0" fontId="2" fillId="0" borderId="69" xfId="40" applyFont="1" applyFill="1" applyBorder="1" applyAlignment="1">
      <alignment horizontal="left" vertical="center" wrapText="1" indent="1"/>
    </xf>
    <xf numFmtId="0" fontId="2" fillId="0" borderId="23" xfId="40" applyFont="1" applyFill="1" applyBorder="1" applyAlignment="1">
      <alignment horizontal="center" vertical="center" wrapText="1"/>
    </xf>
    <xf numFmtId="0" fontId="2" fillId="0" borderId="15" xfId="40" applyFont="1" applyFill="1" applyBorder="1" applyAlignment="1">
      <alignment horizontal="center" vertical="center" wrapText="1"/>
    </xf>
    <xf numFmtId="49" fontId="2" fillId="0" borderId="25" xfId="40" applyNumberFormat="1" applyFont="1" applyFill="1" applyBorder="1" applyAlignment="1">
      <alignment horizontal="center" vertical="center" wrapText="1"/>
    </xf>
    <xf numFmtId="49" fontId="2" fillId="0" borderId="13" xfId="40" applyNumberFormat="1" applyFont="1" applyFill="1" applyBorder="1" applyAlignment="1">
      <alignment horizontal="center" vertical="center" wrapText="1"/>
    </xf>
    <xf numFmtId="0" fontId="2" fillId="0" borderId="25" xfId="40" applyFont="1" applyFill="1" applyBorder="1" applyAlignment="1">
      <alignment horizontal="center" vertical="center" wrapText="1"/>
    </xf>
    <xf numFmtId="0" fontId="2" fillId="0" borderId="24" xfId="40" applyFont="1" applyFill="1" applyBorder="1" applyAlignment="1">
      <alignment horizontal="center" vertical="center" wrapText="1"/>
    </xf>
    <xf numFmtId="0" fontId="2" fillId="0" borderId="40" xfId="40" applyFont="1" applyFill="1" applyBorder="1" applyAlignment="1">
      <alignment horizontal="center" vertical="center" wrapText="1"/>
    </xf>
    <xf numFmtId="3" fontId="7" fillId="0" borderId="22" xfId="45" applyNumberFormat="1" applyFont="1" applyFill="1" applyBorder="1" applyAlignment="1">
      <alignment horizontal="center" vertical="center" wrapText="1"/>
    </xf>
    <xf numFmtId="3" fontId="7" fillId="0" borderId="15" xfId="45" applyNumberFormat="1" applyFont="1" applyFill="1" applyBorder="1" applyAlignment="1">
      <alignment horizontal="center" vertical="center" wrapText="1"/>
    </xf>
    <xf numFmtId="0" fontId="11" fillId="0" borderId="29" xfId="0" applyFont="1" applyFill="1" applyBorder="1" applyAlignment="1">
      <alignment horizontal="center" vertical="center" wrapText="1"/>
    </xf>
    <xf numFmtId="0" fontId="11" fillId="0" borderId="34" xfId="0" applyFont="1" applyFill="1" applyBorder="1" applyAlignment="1">
      <alignment horizontal="center" vertical="center" wrapText="1"/>
    </xf>
    <xf numFmtId="3" fontId="11" fillId="0" borderId="61" xfId="45" applyNumberFormat="1" applyFont="1" applyFill="1" applyBorder="1" applyAlignment="1">
      <alignment horizontal="center" vertical="center" wrapText="1"/>
    </xf>
    <xf numFmtId="3" fontId="11" fillId="0" borderId="57" xfId="45" applyNumberFormat="1" applyFont="1" applyFill="1" applyBorder="1" applyAlignment="1">
      <alignment horizontal="center" vertical="center" wrapText="1"/>
    </xf>
    <xf numFmtId="3" fontId="11" fillId="0" borderId="58" xfId="45" applyNumberFormat="1" applyFont="1" applyFill="1" applyBorder="1" applyAlignment="1">
      <alignment horizontal="center" vertical="center" wrapText="1"/>
    </xf>
    <xf numFmtId="0" fontId="8" fillId="0" borderId="0" xfId="44" applyFont="1" applyFill="1" applyAlignment="1">
      <alignment horizontal="left" vertical="center" wrapText="1"/>
    </xf>
    <xf numFmtId="0" fontId="53" fillId="0" borderId="15" xfId="42" applyFont="1" applyFill="1" applyBorder="1" applyAlignment="1"/>
    <xf numFmtId="0" fontId="53" fillId="0" borderId="13" xfId="42" applyFont="1" applyFill="1" applyBorder="1" applyAlignment="1"/>
    <xf numFmtId="0" fontId="53" fillId="0" borderId="16" xfId="42" applyFont="1" applyFill="1" applyBorder="1" applyAlignment="1"/>
    <xf numFmtId="0" fontId="53" fillId="0" borderId="17" xfId="42" applyFont="1" applyFill="1" applyBorder="1" applyAlignment="1"/>
    <xf numFmtId="3" fontId="11" fillId="0" borderId="61" xfId="44" applyNumberFormat="1" applyFont="1" applyFill="1" applyBorder="1" applyAlignment="1">
      <alignment horizontal="center" vertical="center" wrapText="1"/>
    </xf>
    <xf numFmtId="3" fontId="11" fillId="0" borderId="57" xfId="44" applyNumberFormat="1" applyFont="1" applyFill="1" applyBorder="1" applyAlignment="1">
      <alignment horizontal="center" vertical="center" wrapText="1"/>
    </xf>
    <xf numFmtId="3" fontId="11" fillId="0" borderId="58" xfId="44" applyNumberFormat="1" applyFont="1" applyFill="1" applyBorder="1" applyAlignment="1">
      <alignment horizontal="center" vertical="center" wrapText="1"/>
    </xf>
    <xf numFmtId="3" fontId="7" fillId="0" borderId="61" xfId="44" applyNumberFormat="1" applyFont="1" applyFill="1" applyBorder="1" applyAlignment="1">
      <alignment horizontal="left" vertical="center" wrapText="1" indent="1"/>
    </xf>
    <xf numFmtId="3" fontId="7" fillId="0" borderId="57" xfId="44" applyNumberFormat="1" applyFont="1" applyFill="1" applyBorder="1" applyAlignment="1">
      <alignment horizontal="left" vertical="center" wrapText="1" indent="1"/>
    </xf>
    <xf numFmtId="3" fontId="7" fillId="0" borderId="58" xfId="44" applyNumberFormat="1" applyFont="1" applyFill="1" applyBorder="1" applyAlignment="1">
      <alignment horizontal="left" vertical="center" wrapText="1" indent="1"/>
    </xf>
    <xf numFmtId="0" fontId="7" fillId="0" borderId="61" xfId="0" applyFont="1" applyFill="1" applyBorder="1" applyAlignment="1">
      <alignment horizontal="left" vertical="center" wrapText="1"/>
    </xf>
    <xf numFmtId="0" fontId="7" fillId="0" borderId="57" xfId="0" applyFont="1" applyFill="1" applyBorder="1" applyAlignment="1">
      <alignment horizontal="left" vertical="center" wrapText="1"/>
    </xf>
    <xf numFmtId="0" fontId="7" fillId="0" borderId="58" xfId="0" applyFont="1" applyFill="1" applyBorder="1" applyAlignment="1">
      <alignment horizontal="left" vertical="center" wrapText="1"/>
    </xf>
    <xf numFmtId="0" fontId="11" fillId="0" borderId="64" xfId="0" applyNumberFormat="1" applyFont="1" applyFill="1" applyBorder="1" applyAlignment="1">
      <alignment horizontal="center" vertical="center" wrapText="1"/>
    </xf>
    <xf numFmtId="0" fontId="11" fillId="0" borderId="65" xfId="0" applyNumberFormat="1" applyFont="1" applyFill="1" applyBorder="1" applyAlignment="1">
      <alignment horizontal="center" vertical="center" wrapText="1"/>
    </xf>
    <xf numFmtId="0" fontId="11" fillId="0" borderId="66" xfId="0" applyNumberFormat="1" applyFont="1" applyFill="1" applyBorder="1" applyAlignment="1">
      <alignment horizontal="center" vertical="center" wrapText="1"/>
    </xf>
    <xf numFmtId="0" fontId="53" fillId="0" borderId="30" xfId="42" applyFont="1" applyFill="1" applyBorder="1" applyAlignment="1">
      <alignment horizontal="left" vertical="center" indent="1"/>
    </xf>
    <xf numFmtId="0" fontId="53" fillId="0" borderId="31" xfId="42" applyFont="1" applyFill="1" applyBorder="1" applyAlignment="1">
      <alignment horizontal="left" vertical="center" indent="1"/>
    </xf>
    <xf numFmtId="0" fontId="8" fillId="0" borderId="49" xfId="0" applyFont="1" applyBorder="1" applyAlignment="1">
      <alignment horizontal="left"/>
    </xf>
    <xf numFmtId="0" fontId="4" fillId="0" borderId="59"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40" xfId="0" applyFont="1" applyBorder="1" applyAlignment="1">
      <alignment horizontal="center" vertical="center" wrapText="1"/>
    </xf>
    <xf numFmtId="3" fontId="3" fillId="0" borderId="14" xfId="40" applyNumberFormat="1" applyFont="1" applyFill="1" applyBorder="1" applyAlignment="1">
      <alignment horizontal="center" wrapText="1"/>
    </xf>
    <xf numFmtId="4" fontId="2" fillId="0" borderId="14" xfId="40" applyNumberFormat="1" applyFont="1" applyFill="1" applyBorder="1" applyAlignment="1">
      <alignment horizontal="right" vertical="center" wrapText="1" indent="1"/>
    </xf>
    <xf numFmtId="4" fontId="3" fillId="0" borderId="14" xfId="40" applyNumberFormat="1" applyFont="1" applyFill="1" applyBorder="1" applyAlignment="1">
      <alignment horizontal="right" vertical="center" wrapText="1" indent="1"/>
    </xf>
    <xf numFmtId="4" fontId="2" fillId="0" borderId="18" xfId="40" applyNumberFormat="1" applyFont="1" applyFill="1" applyBorder="1" applyAlignment="1">
      <alignment horizontal="right" vertical="center" wrapText="1" indent="1"/>
    </xf>
  </cellXfs>
  <cellStyles count="91">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Čiarka" xfId="27" builtinId="3"/>
    <cellStyle name="čiarky 2" xfId="28"/>
    <cellStyle name="Explanatory Text" xfId="29"/>
    <cellStyle name="Good" xfId="30"/>
    <cellStyle name="Heading 1" xfId="31"/>
    <cellStyle name="Heading 2" xfId="32"/>
    <cellStyle name="Heading 3" xfId="33"/>
    <cellStyle name="Heading 4" xfId="34"/>
    <cellStyle name="Hypertextové prepojenie" xfId="35" builtinId="8"/>
    <cellStyle name="Check Cell" xfId="36"/>
    <cellStyle name="Input" xfId="37"/>
    <cellStyle name="Linked Cell" xfId="38"/>
    <cellStyle name="Neutral" xfId="39"/>
    <cellStyle name="Normálna" xfId="0" builtinId="0"/>
    <cellStyle name="Normálna 2" xfId="40"/>
    <cellStyle name="Normálna 5" xfId="90"/>
    <cellStyle name="normálne 2" xfId="41"/>
    <cellStyle name="normálne 3" xfId="42"/>
    <cellStyle name="normálne 4" xfId="43"/>
    <cellStyle name="normálne_Databazy_VVŠ_2007_ severská" xfId="44"/>
    <cellStyle name="normálne_sprava_VVŠ_2004_tabuľky_vláda" xfId="45"/>
    <cellStyle name="normální_List1" xfId="46"/>
    <cellStyle name="Note" xfId="47"/>
    <cellStyle name="Output" xfId="48"/>
    <cellStyle name="SAPBEXaggData" xfId="49"/>
    <cellStyle name="SAPBEXaggDataEmph" xfId="50"/>
    <cellStyle name="SAPBEXaggItem" xfId="51"/>
    <cellStyle name="SAPBEXaggItemX" xfId="52"/>
    <cellStyle name="SAPBEXexcBad7" xfId="53"/>
    <cellStyle name="SAPBEXexcBad8" xfId="54"/>
    <cellStyle name="SAPBEXexcBad9" xfId="55"/>
    <cellStyle name="SAPBEXexcCritical4" xfId="56"/>
    <cellStyle name="SAPBEXexcCritical5" xfId="57"/>
    <cellStyle name="SAPBEXexcCritical6" xfId="58"/>
    <cellStyle name="SAPBEXexcGood1" xfId="59"/>
    <cellStyle name="SAPBEXexcGood2" xfId="60"/>
    <cellStyle name="SAPBEXexcGood3" xfId="61"/>
    <cellStyle name="SAPBEXfilterDrill" xfId="62"/>
    <cellStyle name="SAPBEXfilterItem" xfId="63"/>
    <cellStyle name="SAPBEXfilterText" xfId="64"/>
    <cellStyle name="SAPBEXformats" xfId="65"/>
    <cellStyle name="SAPBEXheaderItem" xfId="66"/>
    <cellStyle name="SAPBEXheaderText" xfId="67"/>
    <cellStyle name="SAPBEXHLevel0" xfId="68"/>
    <cellStyle name="SAPBEXHLevel0X" xfId="69"/>
    <cellStyle name="SAPBEXHLevel1" xfId="70"/>
    <cellStyle name="SAPBEXHLevel1X" xfId="71"/>
    <cellStyle name="SAPBEXHLevel2" xfId="72"/>
    <cellStyle name="SAPBEXHLevel2X" xfId="73"/>
    <cellStyle name="SAPBEXHLevel3" xfId="74"/>
    <cellStyle name="SAPBEXHLevel3X" xfId="75"/>
    <cellStyle name="SAPBEXchaText" xfId="76"/>
    <cellStyle name="SAPBEXresData" xfId="77"/>
    <cellStyle name="SAPBEXresDataEmph" xfId="78"/>
    <cellStyle name="SAPBEXresItem" xfId="79"/>
    <cellStyle name="SAPBEXresItemX" xfId="80"/>
    <cellStyle name="SAPBEXstdData" xfId="81"/>
    <cellStyle name="SAPBEXstdDataEmph" xfId="82"/>
    <cellStyle name="SAPBEXstdItem" xfId="83"/>
    <cellStyle name="SAPBEXstdItemX" xfId="84"/>
    <cellStyle name="SAPBEXtitle" xfId="85"/>
    <cellStyle name="SAPBEXundefined" xfId="86"/>
    <cellStyle name="Title" xfId="87"/>
    <cellStyle name="Total" xfId="88"/>
    <cellStyle name="Warning Text" xfId="89"/>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sharedStrings" Target="sharedStrings.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10.10.0.145/Documents%20and%20Settings/mederly/Local%20Settings/Temporary%20Internet%20Files/OLK185F/struktura%20zamestnancov%20po%20fakultach_PM%2004-12-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edita.pisarcikova\AppData\Local\Microsoft\Windows\Temporary%20Internet%20Files\Content.Outlook\8ZI1BAKJ\Tab_VS_VV&#352;_za%202016_FINA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nna.horvathova\AppData\Local\Microsoft\Windows\Temporary%20Internet%20Files\Content.Outlook\O3GXLZP9\Tab_VS_VV&#352;_za%202016_ANK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stupy"/>
      <sheetName val="struktura profesorov"/>
      <sheetName val="struktura docentov"/>
      <sheetName val="T7-systemizacia po fakultach"/>
      <sheetName val="T8-vek profesorov"/>
      <sheetName val="T9-vek docentov"/>
      <sheetName val="10-ostatní_s_PhD"/>
      <sheetName val="studetni verzus miesta"/>
      <sheetName val="vahy"/>
      <sheetName val="nepublikovat"/>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ow r="1">
          <cell r="B1">
            <v>1</v>
          </cell>
        </row>
        <row r="2">
          <cell r="B2">
            <v>0.3</v>
          </cell>
        </row>
        <row r="3">
          <cell r="B3">
            <v>3</v>
          </cell>
        </row>
        <row r="4">
          <cell r="B4">
            <v>0</v>
          </cell>
        </row>
      </sheetData>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ah"/>
      <sheetName val="zmeny"/>
      <sheetName val="Vysvetlivky"/>
      <sheetName val="Súvzťažnosti"/>
      <sheetName val="Kódy z CRŠ"/>
      <sheetName val="T1-Dotácie podľa DZ"/>
      <sheetName val="T2-Ostatné dot mimo MŠ SR"/>
      <sheetName val="T3-Výnosy"/>
      <sheetName val="T4-Výnosy zo školného"/>
      <sheetName val="T5 - Analýza nákladov"/>
      <sheetName val="T6-Zamestnanci_a_mzdy"/>
      <sheetName val="T6a-Zamestnanci_a_mzdy (ženy)"/>
      <sheetName val="T7_Doktorandi "/>
      <sheetName val="T8-Soc_štipendiá"/>
      <sheetName val="T9_ŠD "/>
      <sheetName val="T10-ŠJ "/>
      <sheetName val="T11-Zdroje KV"/>
      <sheetName val="T12-KV"/>
      <sheetName val="T13-Fondy"/>
      <sheetName val="T16 - Štruktúra hotovosti"/>
      <sheetName val="T17-Dotácie zo ŠF EU"/>
      <sheetName val="T18-Ostatné dotacie z kap MŠ SR"/>
      <sheetName val="T19-Štip_ z vlastných "/>
      <sheetName val="T20_motivačné štipendiá_nová"/>
      <sheetName val="T21-štruktúra_384"/>
      <sheetName val="T22_Výnosy_soc_oblasť"/>
      <sheetName val="T23_Náklady_soc_oblasť"/>
      <sheetName val="T24__Aktív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7">
          <cell r="F7">
            <v>655.25999999999988</v>
          </cell>
          <cell r="J7">
            <v>13130530.460000001</v>
          </cell>
        </row>
        <row r="8">
          <cell r="F8">
            <v>105.41999999999999</v>
          </cell>
          <cell r="J8">
            <v>3301102.35</v>
          </cell>
        </row>
        <row r="9">
          <cell r="F9">
            <v>135.05000000000001</v>
          </cell>
          <cell r="J9">
            <v>3095690.46</v>
          </cell>
        </row>
        <row r="10">
          <cell r="F10">
            <v>349.47999999999996</v>
          </cell>
          <cell r="J10">
            <v>5893096.6100000003</v>
          </cell>
        </row>
        <row r="11">
          <cell r="F11">
            <v>49.43</v>
          </cell>
          <cell r="J11">
            <v>663971.55000000005</v>
          </cell>
        </row>
        <row r="12">
          <cell r="F12">
            <v>15.879999999999999</v>
          </cell>
          <cell r="J12">
            <v>176669.49</v>
          </cell>
        </row>
        <row r="13">
          <cell r="F13">
            <v>197.57</v>
          </cell>
          <cell r="J13">
            <v>2215224.64</v>
          </cell>
        </row>
        <row r="15">
          <cell r="F15">
            <v>48.540000000000006</v>
          </cell>
          <cell r="J15">
            <v>695578.13</v>
          </cell>
        </row>
        <row r="16">
          <cell r="F16">
            <v>218.39999999999998</v>
          </cell>
          <cell r="J16">
            <v>2444069.75</v>
          </cell>
        </row>
        <row r="17">
          <cell r="F17">
            <v>76.73</v>
          </cell>
          <cell r="J17">
            <v>893230.30999999994</v>
          </cell>
        </row>
        <row r="18">
          <cell r="F18">
            <v>88.16</v>
          </cell>
          <cell r="J18">
            <v>1074589.6400000001</v>
          </cell>
        </row>
        <row r="19">
          <cell r="F19">
            <v>53.510000000000005</v>
          </cell>
          <cell r="J19">
            <v>476249.80000000005</v>
          </cell>
        </row>
        <row r="20">
          <cell r="F20">
            <v>121.63</v>
          </cell>
          <cell r="J20">
            <v>2167560.4900000002</v>
          </cell>
        </row>
        <row r="21">
          <cell r="F21">
            <v>155.44</v>
          </cell>
          <cell r="J21">
            <v>1124333.71</v>
          </cell>
        </row>
        <row r="22">
          <cell r="F22">
            <v>0</v>
          </cell>
          <cell r="J22">
            <v>301539.70999999996</v>
          </cell>
        </row>
        <row r="23">
          <cell r="F23">
            <v>39.53</v>
          </cell>
          <cell r="J23">
            <v>301539.70999999996</v>
          </cell>
        </row>
        <row r="24">
          <cell r="F24">
            <v>0</v>
          </cell>
          <cell r="J24">
            <v>0</v>
          </cell>
        </row>
        <row r="25">
          <cell r="F25">
            <v>0</v>
          </cell>
          <cell r="J25">
            <v>0</v>
          </cell>
        </row>
        <row r="26">
          <cell r="F26">
            <v>0</v>
          </cell>
          <cell r="J26">
            <v>0</v>
          </cell>
        </row>
        <row r="28">
          <cell r="F28">
            <v>59.42</v>
          </cell>
          <cell r="J28">
            <v>463116.52999999997</v>
          </cell>
        </row>
        <row r="29">
          <cell r="F29">
            <v>38.869999999999997</v>
          </cell>
          <cell r="J29">
            <v>278060.48</v>
          </cell>
        </row>
        <row r="30">
          <cell r="F30">
            <v>1446.5900000000001</v>
          </cell>
          <cell r="J30">
            <v>21822896.060000006</v>
          </cell>
        </row>
      </sheetData>
      <sheetData sheetId="11" refreshError="1">
        <row r="7">
          <cell r="F7">
            <v>328.26</v>
          </cell>
          <cell r="J7">
            <v>6041033.3099999996</v>
          </cell>
        </row>
        <row r="8">
          <cell r="F8">
            <v>28.060000000000002</v>
          </cell>
          <cell r="J8">
            <v>933789.11</v>
          </cell>
        </row>
        <row r="9">
          <cell r="F9">
            <v>63.67</v>
          </cell>
          <cell r="J9">
            <v>1413062.79</v>
          </cell>
        </row>
        <row r="10">
          <cell r="F10">
            <v>192.57999999999998</v>
          </cell>
          <cell r="J10">
            <v>3144496.54</v>
          </cell>
        </row>
        <row r="11">
          <cell r="F11">
            <v>33.72</v>
          </cell>
          <cell r="J11">
            <v>437648.89999999997</v>
          </cell>
        </row>
        <row r="12">
          <cell r="F12">
            <v>10.23</v>
          </cell>
          <cell r="J12">
            <v>112035.97</v>
          </cell>
        </row>
        <row r="13">
          <cell r="F13">
            <v>125.75999999999999</v>
          </cell>
          <cell r="J13">
            <v>1211750.03</v>
          </cell>
        </row>
        <row r="15">
          <cell r="F15">
            <v>13.95</v>
          </cell>
          <cell r="J15">
            <v>156174.1</v>
          </cell>
        </row>
        <row r="16">
          <cell r="F16">
            <v>209.68900000000002</v>
          </cell>
          <cell r="J16">
            <v>2313387.5399999996</v>
          </cell>
        </row>
        <row r="17">
          <cell r="F17">
            <v>70.37</v>
          </cell>
          <cell r="J17">
            <v>787119.13</v>
          </cell>
        </row>
        <row r="18">
          <cell r="F18">
            <v>85.799000000000007</v>
          </cell>
          <cell r="J18">
            <v>1050018.6099999999</v>
          </cell>
        </row>
        <row r="19">
          <cell r="F19">
            <v>53.52</v>
          </cell>
          <cell r="J19">
            <v>476249.80000000005</v>
          </cell>
        </row>
        <row r="20">
          <cell r="F20">
            <v>70.28</v>
          </cell>
          <cell r="J20">
            <v>1153758.81</v>
          </cell>
        </row>
        <row r="21">
          <cell r="F21">
            <v>88.8</v>
          </cell>
          <cell r="J21">
            <v>555616.27</v>
          </cell>
        </row>
        <row r="22">
          <cell r="F22">
            <v>0</v>
          </cell>
          <cell r="J22">
            <v>136154.04</v>
          </cell>
        </row>
        <row r="23">
          <cell r="F23">
            <v>20.736999999999998</v>
          </cell>
          <cell r="J23">
            <v>136154.04</v>
          </cell>
        </row>
        <row r="24">
          <cell r="F24">
            <v>0</v>
          </cell>
          <cell r="J24">
            <v>0</v>
          </cell>
        </row>
        <row r="25">
          <cell r="F25">
            <v>0</v>
          </cell>
          <cell r="J25">
            <v>0</v>
          </cell>
        </row>
        <row r="26">
          <cell r="F26">
            <v>0</v>
          </cell>
          <cell r="J26">
            <v>0</v>
          </cell>
        </row>
        <row r="28">
          <cell r="F28">
            <v>38.74</v>
          </cell>
          <cell r="J28">
            <v>290710.62</v>
          </cell>
        </row>
        <row r="29">
          <cell r="F29">
            <v>36.44</v>
          </cell>
          <cell r="J29">
            <v>260412.39</v>
          </cell>
        </row>
        <row r="30">
          <cell r="F30">
            <v>897.96900000000005</v>
          </cell>
          <cell r="J30">
            <v>11826668.969999999</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ah"/>
      <sheetName val="zmeny"/>
      <sheetName val="Vysvetlivky"/>
      <sheetName val="Súvzťažnosti"/>
      <sheetName val="Kódy z CRŠ"/>
      <sheetName val="T1-Dotácie podľa DZ"/>
      <sheetName val="T2-Ostatné dot mimo MŠ SR"/>
      <sheetName val="T3-Výnosy"/>
      <sheetName val="T4-Výnosy zo školného"/>
      <sheetName val="T5 - Analýza nákladov"/>
      <sheetName val="T6-Zamestnanci_a_mzdy"/>
      <sheetName val="T6a-Zamestnanci_a_mzdy (ženy)"/>
      <sheetName val="T7_Doktorandi"/>
      <sheetName val="T8-Soc_štipendiá"/>
      <sheetName val="T9_ŠD "/>
      <sheetName val="T10-ŠJ "/>
      <sheetName val="T11-Zdroje KV"/>
      <sheetName val="T12-KV"/>
      <sheetName val="T13-Fondy"/>
      <sheetName val="T16 - Štruktúra hotovosti"/>
      <sheetName val="T17-Dotácie zo ŠF EU"/>
      <sheetName val="T18-Ostatné dotacie z kap MŠ SR"/>
      <sheetName val="T19-Štip_ z vlastných "/>
      <sheetName val="T20_motivačné štipendiá_nová"/>
      <sheetName val="T21-štruktúra_384"/>
      <sheetName val="T22_Výnosy_soc_oblasť"/>
      <sheetName val="T23_Náklady_soc_oblasť"/>
      <sheetName val="T24__Aktíva"/>
    </sheetNames>
    <sheetDataSet>
      <sheetData sheetId="0"/>
      <sheetData sheetId="1"/>
      <sheetData sheetId="2"/>
      <sheetData sheetId="3"/>
      <sheetData sheetId="4"/>
      <sheetData sheetId="5"/>
      <sheetData sheetId="6"/>
      <sheetData sheetId="7"/>
      <sheetData sheetId="8"/>
      <sheetData sheetId="9">
        <row r="91">
          <cell r="E91">
            <v>462494.82</v>
          </cell>
        </row>
        <row r="93">
          <cell r="E93">
            <v>4789771.99</v>
          </cell>
        </row>
      </sheetData>
      <sheetData sheetId="10"/>
      <sheetData sheetId="11"/>
      <sheetData sheetId="12"/>
      <sheetData sheetId="13"/>
      <sheetData sheetId="14"/>
      <sheetData sheetId="15"/>
      <sheetData sheetId="16">
        <row r="15">
          <cell r="D15">
            <v>499965</v>
          </cell>
        </row>
        <row r="16">
          <cell r="D16">
            <v>1738565.63</v>
          </cell>
        </row>
      </sheetData>
      <sheetData sheetId="17"/>
      <sheetData sheetId="18"/>
      <sheetData sheetId="19"/>
      <sheetData sheetId="20"/>
      <sheetData sheetId="21"/>
      <sheetData sheetId="22"/>
      <sheetData sheetId="23"/>
      <sheetData sheetId="24"/>
      <sheetData sheetId="25"/>
      <sheetData sheetId="26">
        <row r="42">
          <cell r="D42">
            <v>1699061.4100000001</v>
          </cell>
          <cell r="E42">
            <v>1730410.9599999997</v>
          </cell>
          <cell r="F42">
            <v>31349.550000000017</v>
          </cell>
        </row>
      </sheetData>
      <sheetData sheetId="27"/>
    </sheetDataSet>
  </externalBook>
</externalLink>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ntranet/sites/Documents%20and%20Settings/peter.viest/Local%20Settings/Temporary%20Internet%20Files/Documents%20and%20Settings/Rok_2008/V&#253;ro&#269;n&#233;_spr&#225;vy_2007/Tabu&#318;ky_VV&#352;_2007_pr&#225;zdne.xls"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
    <tabColor indexed="35"/>
  </sheetPr>
  <dimension ref="A1:R28"/>
  <sheetViews>
    <sheetView zoomScale="120" zoomScaleNormal="120" workbookViewId="0">
      <pane xSplit="1" ySplit="1" topLeftCell="B2" activePane="bottomRight" state="frozen"/>
      <selection pane="topRight" activeCell="B1" sqref="B1"/>
      <selection pane="bottomLeft" activeCell="A3" sqref="A3"/>
      <selection pane="bottomRight"/>
    </sheetView>
  </sheetViews>
  <sheetFormatPr defaultRowHeight="15.75" x14ac:dyDescent="0.25"/>
  <cols>
    <col min="1" max="1" width="13.7109375" style="93" customWidth="1"/>
    <col min="2" max="16" width="9.140625" style="19"/>
    <col min="17" max="17" width="10.28515625" style="19" customWidth="1"/>
    <col min="18" max="18" width="19.42578125" style="19" customWidth="1"/>
    <col min="19" max="16384" width="9.140625" style="19"/>
  </cols>
  <sheetData>
    <row r="1" spans="1:18" ht="23.25" customHeight="1" x14ac:dyDescent="0.25">
      <c r="A1" s="46"/>
      <c r="B1" s="94" t="s">
        <v>665</v>
      </c>
      <c r="C1" s="84"/>
      <c r="D1" s="84"/>
      <c r="E1" s="84"/>
      <c r="F1" s="84"/>
      <c r="G1" s="84"/>
      <c r="H1" s="84"/>
      <c r="I1" s="84"/>
      <c r="J1" s="84"/>
      <c r="K1" s="84"/>
      <c r="L1" s="85"/>
      <c r="M1" s="86"/>
      <c r="N1" s="86"/>
      <c r="O1" s="86"/>
      <c r="P1" s="86"/>
      <c r="Q1" s="87"/>
    </row>
    <row r="2" spans="1:18" ht="23.1" customHeight="1" x14ac:dyDescent="0.25">
      <c r="A2" s="52" t="s">
        <v>11</v>
      </c>
      <c r="B2" s="48" t="s">
        <v>666</v>
      </c>
      <c r="C2" s="48"/>
      <c r="D2" s="48"/>
      <c r="E2" s="48"/>
      <c r="F2" s="48"/>
      <c r="G2" s="48"/>
      <c r="H2" s="48"/>
      <c r="I2" s="48"/>
      <c r="J2" s="48"/>
      <c r="K2" s="48"/>
      <c r="L2" s="48"/>
      <c r="M2" s="48"/>
      <c r="N2" s="48"/>
      <c r="O2" s="48"/>
      <c r="P2" s="48"/>
      <c r="Q2" s="89"/>
    </row>
    <row r="3" spans="1:18" ht="23.1" customHeight="1" x14ac:dyDescent="0.25">
      <c r="A3" s="52" t="s">
        <v>551</v>
      </c>
      <c r="B3" s="48" t="s">
        <v>667</v>
      </c>
      <c r="C3" s="48"/>
      <c r="D3" s="48"/>
      <c r="E3" s="48"/>
      <c r="F3" s="48"/>
      <c r="G3" s="48"/>
      <c r="H3" s="48"/>
      <c r="I3" s="48"/>
      <c r="J3" s="48"/>
      <c r="K3" s="48"/>
      <c r="L3" s="48"/>
      <c r="M3" s="48"/>
      <c r="N3" s="48"/>
      <c r="O3" s="48"/>
      <c r="P3" s="48"/>
      <c r="Q3" s="89"/>
    </row>
    <row r="4" spans="1:18" ht="23.1" customHeight="1" x14ac:dyDescent="0.25">
      <c r="A4" s="52" t="s">
        <v>605</v>
      </c>
      <c r="B4" s="53" t="s">
        <v>604</v>
      </c>
      <c r="C4" s="53"/>
      <c r="D4" s="48"/>
      <c r="E4" s="48"/>
      <c r="F4" s="48"/>
      <c r="G4" s="48"/>
      <c r="H4" s="48"/>
      <c r="I4" s="48"/>
      <c r="J4" s="48"/>
      <c r="K4" s="48"/>
      <c r="L4" s="48"/>
      <c r="M4" s="48"/>
      <c r="N4" s="48"/>
      <c r="O4" s="48"/>
      <c r="P4" s="48"/>
      <c r="Q4" s="89"/>
    </row>
    <row r="5" spans="1:18" ht="39.75" customHeight="1" x14ac:dyDescent="0.25">
      <c r="A5" s="51" t="s">
        <v>206</v>
      </c>
      <c r="B5" s="460" t="s">
        <v>668</v>
      </c>
      <c r="C5" s="460"/>
      <c r="D5" s="460"/>
      <c r="E5" s="460"/>
      <c r="F5" s="460"/>
      <c r="G5" s="460"/>
      <c r="H5" s="460"/>
      <c r="I5" s="460"/>
      <c r="J5" s="460"/>
      <c r="K5" s="460"/>
      <c r="L5" s="460"/>
      <c r="M5" s="460"/>
      <c r="N5" s="460"/>
      <c r="O5" s="460"/>
      <c r="P5" s="460"/>
      <c r="Q5" s="461"/>
    </row>
    <row r="6" spans="1:18" ht="23.1" customHeight="1" x14ac:dyDescent="0.25">
      <c r="A6" s="51" t="s">
        <v>138</v>
      </c>
      <c r="B6" s="53" t="s">
        <v>669</v>
      </c>
      <c r="C6" s="53"/>
      <c r="D6" s="53"/>
      <c r="E6" s="53"/>
      <c r="F6" s="53"/>
      <c r="G6" s="53"/>
      <c r="H6" s="53"/>
      <c r="I6" s="53"/>
      <c r="J6" s="53"/>
      <c r="K6" s="53"/>
      <c r="L6" s="53"/>
      <c r="M6" s="53"/>
      <c r="N6" s="53"/>
      <c r="O6" s="53"/>
      <c r="P6" s="53"/>
      <c r="Q6" s="90"/>
    </row>
    <row r="7" spans="1:18" ht="23.1" customHeight="1" x14ac:dyDescent="0.25">
      <c r="A7" s="51" t="s">
        <v>139</v>
      </c>
      <c r="B7" s="70" t="s">
        <v>719</v>
      </c>
      <c r="C7" s="53"/>
      <c r="D7" s="53"/>
      <c r="E7" s="53"/>
      <c r="F7" s="53"/>
      <c r="G7" s="53"/>
      <c r="H7" s="53"/>
      <c r="I7" s="53"/>
      <c r="J7" s="53"/>
      <c r="K7" s="53"/>
      <c r="L7" s="53"/>
      <c r="M7" s="53"/>
      <c r="N7" s="53"/>
      <c r="O7" s="53"/>
      <c r="P7" s="53"/>
      <c r="Q7" s="90"/>
    </row>
    <row r="8" spans="1:18" ht="23.1" customHeight="1" x14ac:dyDescent="0.25">
      <c r="A8" s="47" t="s">
        <v>140</v>
      </c>
      <c r="B8" s="45" t="s">
        <v>670</v>
      </c>
      <c r="C8" s="45"/>
      <c r="D8" s="45"/>
      <c r="E8" s="45"/>
      <c r="F8" s="45"/>
      <c r="G8" s="45"/>
      <c r="H8" s="45"/>
      <c r="I8" s="45"/>
      <c r="J8" s="45"/>
      <c r="K8" s="45"/>
      <c r="L8" s="45"/>
      <c r="M8" s="45"/>
      <c r="N8" s="45"/>
      <c r="O8" s="45"/>
      <c r="P8" s="45"/>
      <c r="Q8" s="88"/>
    </row>
    <row r="9" spans="1:18" ht="23.1" customHeight="1" x14ac:dyDescent="0.25">
      <c r="A9" s="51" t="s">
        <v>141</v>
      </c>
      <c r="B9" s="53" t="s">
        <v>671</v>
      </c>
      <c r="C9" s="53"/>
      <c r="D9" s="53"/>
      <c r="E9" s="53"/>
      <c r="F9" s="53"/>
      <c r="G9" s="53"/>
      <c r="H9" s="53"/>
      <c r="I9" s="53"/>
      <c r="J9" s="53"/>
      <c r="K9" s="53"/>
      <c r="L9" s="53"/>
      <c r="M9" s="53"/>
      <c r="N9" s="53"/>
      <c r="O9" s="53"/>
      <c r="P9" s="53"/>
      <c r="Q9" s="90"/>
    </row>
    <row r="10" spans="1:18" ht="23.1" customHeight="1" x14ac:dyDescent="0.25">
      <c r="A10" s="51" t="s">
        <v>142</v>
      </c>
      <c r="B10" s="53" t="s">
        <v>672</v>
      </c>
      <c r="C10" s="53"/>
      <c r="D10" s="53"/>
      <c r="E10" s="53"/>
      <c r="F10" s="53"/>
      <c r="G10" s="53"/>
      <c r="H10" s="53"/>
      <c r="I10" s="53"/>
      <c r="J10" s="53"/>
      <c r="K10" s="53"/>
      <c r="L10" s="53"/>
      <c r="M10" s="53"/>
      <c r="N10" s="53"/>
      <c r="O10" s="53"/>
      <c r="P10" s="53"/>
      <c r="Q10" s="90"/>
    </row>
    <row r="11" spans="1:18" ht="23.1" customHeight="1" x14ac:dyDescent="0.25">
      <c r="A11" s="47" t="s">
        <v>612</v>
      </c>
      <c r="B11" s="45" t="s">
        <v>673</v>
      </c>
      <c r="C11" s="45"/>
      <c r="D11" s="45"/>
      <c r="E11" s="45"/>
      <c r="F11" s="45"/>
      <c r="G11" s="45"/>
      <c r="H11" s="45"/>
      <c r="I11" s="45"/>
      <c r="J11" s="45"/>
      <c r="K11" s="45"/>
      <c r="L11" s="45"/>
      <c r="M11" s="45"/>
      <c r="N11" s="45"/>
      <c r="O11" s="45"/>
      <c r="P11" s="45"/>
      <c r="Q11" s="88"/>
    </row>
    <row r="12" spans="1:18" ht="23.1" customHeight="1" x14ac:dyDescent="0.25">
      <c r="A12" s="51" t="s">
        <v>143</v>
      </c>
      <c r="B12" s="53" t="s">
        <v>674</v>
      </c>
      <c r="C12" s="53"/>
      <c r="D12" s="53"/>
      <c r="E12" s="53"/>
      <c r="F12" s="53"/>
      <c r="G12" s="53"/>
      <c r="H12" s="53"/>
      <c r="I12" s="53"/>
      <c r="J12" s="53"/>
      <c r="K12" s="53"/>
      <c r="L12" s="53"/>
      <c r="M12" s="53"/>
      <c r="N12" s="53"/>
      <c r="O12" s="53"/>
      <c r="P12" s="53"/>
      <c r="Q12" s="90"/>
      <c r="R12" s="66"/>
    </row>
    <row r="13" spans="1:18" ht="23.1" customHeight="1" x14ac:dyDescent="0.25">
      <c r="A13" s="47" t="s">
        <v>127</v>
      </c>
      <c r="B13" s="45" t="s">
        <v>675</v>
      </c>
      <c r="C13" s="45"/>
      <c r="D13" s="45"/>
      <c r="E13" s="45"/>
      <c r="F13" s="45"/>
      <c r="G13" s="45"/>
      <c r="H13" s="45"/>
      <c r="I13" s="45"/>
      <c r="J13" s="45"/>
      <c r="K13" s="45"/>
      <c r="L13" s="45"/>
      <c r="M13" s="45"/>
      <c r="N13" s="45"/>
      <c r="O13" s="45"/>
      <c r="P13" s="45"/>
      <c r="Q13" s="88"/>
    </row>
    <row r="14" spans="1:18" ht="23.1" customHeight="1" x14ac:dyDescent="0.25">
      <c r="A14" s="51" t="s">
        <v>0</v>
      </c>
      <c r="B14" s="53" t="s">
        <v>676</v>
      </c>
      <c r="C14" s="53"/>
      <c r="D14" s="53"/>
      <c r="E14" s="53"/>
      <c r="F14" s="53"/>
      <c r="G14" s="53"/>
      <c r="H14" s="53"/>
      <c r="I14" s="53"/>
      <c r="J14" s="53"/>
      <c r="K14" s="53"/>
      <c r="L14" s="53"/>
      <c r="M14" s="53"/>
      <c r="N14" s="53"/>
      <c r="O14" s="53"/>
      <c r="P14" s="53"/>
      <c r="Q14" s="90"/>
    </row>
    <row r="15" spans="1:18" ht="23.1" customHeight="1" x14ac:dyDescent="0.25">
      <c r="A15" s="47" t="s">
        <v>1</v>
      </c>
      <c r="B15" s="45" t="s">
        <v>677</v>
      </c>
      <c r="C15" s="45"/>
      <c r="D15" s="45"/>
      <c r="E15" s="45"/>
      <c r="F15" s="45"/>
      <c r="G15" s="45"/>
      <c r="H15" s="45"/>
      <c r="I15" s="45"/>
      <c r="J15" s="45"/>
      <c r="K15" s="45"/>
      <c r="L15" s="45"/>
      <c r="M15" s="45"/>
      <c r="N15" s="45"/>
      <c r="O15" s="45"/>
      <c r="P15" s="45"/>
      <c r="Q15" s="88"/>
    </row>
    <row r="16" spans="1:18" ht="23.1" customHeight="1" x14ac:dyDescent="0.25">
      <c r="A16" s="51" t="s">
        <v>2</v>
      </c>
      <c r="B16" s="53" t="s">
        <v>678</v>
      </c>
      <c r="C16" s="53"/>
      <c r="D16" s="53"/>
      <c r="E16" s="53"/>
      <c r="F16" s="53"/>
      <c r="G16" s="53"/>
      <c r="H16" s="53"/>
      <c r="I16" s="53"/>
      <c r="J16" s="53"/>
      <c r="K16" s="53"/>
      <c r="L16" s="53"/>
      <c r="M16" s="53"/>
      <c r="N16" s="53"/>
      <c r="O16" s="53"/>
      <c r="P16" s="53"/>
      <c r="Q16" s="90"/>
    </row>
    <row r="17" spans="1:17" ht="23.1" customHeight="1" x14ac:dyDescent="0.25">
      <c r="A17" s="47" t="s">
        <v>3</v>
      </c>
      <c r="B17" s="45" t="s">
        <v>679</v>
      </c>
      <c r="C17" s="45"/>
      <c r="D17" s="45"/>
      <c r="E17" s="45"/>
      <c r="F17" s="45"/>
      <c r="G17" s="45"/>
      <c r="H17" s="45"/>
      <c r="I17" s="45"/>
      <c r="J17" s="45"/>
      <c r="K17" s="45"/>
      <c r="L17" s="45"/>
      <c r="M17" s="45"/>
      <c r="N17" s="45"/>
      <c r="O17" s="45"/>
      <c r="P17" s="45"/>
      <c r="Q17" s="88"/>
    </row>
    <row r="18" spans="1:17" ht="23.1" customHeight="1" x14ac:dyDescent="0.25">
      <c r="A18" s="51" t="s">
        <v>4</v>
      </c>
      <c r="B18" s="53" t="s">
        <v>680</v>
      </c>
      <c r="C18" s="53"/>
      <c r="D18" s="53"/>
      <c r="E18" s="53"/>
      <c r="F18" s="53"/>
      <c r="G18" s="53"/>
      <c r="H18" s="53"/>
      <c r="I18" s="53"/>
      <c r="J18" s="53"/>
      <c r="K18" s="53"/>
      <c r="L18" s="53"/>
      <c r="M18" s="53"/>
      <c r="N18" s="53"/>
      <c r="O18" s="53"/>
      <c r="P18" s="53"/>
      <c r="Q18" s="90"/>
    </row>
    <row r="19" spans="1:17" ht="23.1" customHeight="1" x14ac:dyDescent="0.25">
      <c r="A19" s="47" t="s">
        <v>5</v>
      </c>
      <c r="B19" s="45" t="s">
        <v>681</v>
      </c>
      <c r="C19" s="45"/>
      <c r="D19" s="45"/>
      <c r="E19" s="45"/>
      <c r="F19" s="45"/>
      <c r="G19" s="45"/>
      <c r="H19" s="45"/>
      <c r="I19" s="45"/>
      <c r="J19" s="45"/>
      <c r="K19" s="45"/>
      <c r="L19" s="45"/>
      <c r="M19" s="45"/>
      <c r="N19" s="45"/>
      <c r="O19" s="45"/>
      <c r="P19" s="45"/>
      <c r="Q19" s="88"/>
    </row>
    <row r="20" spans="1:17" ht="32.450000000000003" customHeight="1" x14ac:dyDescent="0.25">
      <c r="A20" s="51" t="s">
        <v>43</v>
      </c>
      <c r="B20" s="464" t="s">
        <v>682</v>
      </c>
      <c r="C20" s="464"/>
      <c r="D20" s="464"/>
      <c r="E20" s="464"/>
      <c r="F20" s="464"/>
      <c r="G20" s="464"/>
      <c r="H20" s="464"/>
      <c r="I20" s="464"/>
      <c r="J20" s="464"/>
      <c r="K20" s="464"/>
      <c r="L20" s="464"/>
      <c r="M20" s="464"/>
      <c r="N20" s="464"/>
      <c r="O20" s="464"/>
      <c r="P20" s="464"/>
      <c r="Q20" s="465"/>
    </row>
    <row r="21" spans="1:17" ht="33.6" customHeight="1" x14ac:dyDescent="0.25">
      <c r="A21" s="47" t="s">
        <v>6</v>
      </c>
      <c r="B21" s="462" t="s">
        <v>683</v>
      </c>
      <c r="C21" s="462"/>
      <c r="D21" s="462"/>
      <c r="E21" s="462"/>
      <c r="F21" s="462"/>
      <c r="G21" s="462"/>
      <c r="H21" s="462"/>
      <c r="I21" s="462"/>
      <c r="J21" s="462"/>
      <c r="K21" s="462"/>
      <c r="L21" s="462"/>
      <c r="M21" s="462"/>
      <c r="N21" s="462"/>
      <c r="O21" s="462"/>
      <c r="P21" s="462"/>
      <c r="Q21" s="463"/>
    </row>
    <row r="22" spans="1:17" ht="23.1" customHeight="1" x14ac:dyDescent="0.25">
      <c r="A22" s="51" t="s">
        <v>7</v>
      </c>
      <c r="B22" s="53" t="s">
        <v>684</v>
      </c>
      <c r="C22" s="53"/>
      <c r="D22" s="53"/>
      <c r="E22" s="53"/>
      <c r="F22" s="53"/>
      <c r="G22" s="53"/>
      <c r="H22" s="53"/>
      <c r="I22" s="53"/>
      <c r="J22" s="53"/>
      <c r="K22" s="53"/>
      <c r="L22" s="53"/>
      <c r="M22" s="53"/>
      <c r="N22" s="53"/>
      <c r="O22" s="53"/>
      <c r="P22" s="53"/>
      <c r="Q22" s="90"/>
    </row>
    <row r="23" spans="1:17" ht="23.1" customHeight="1" x14ac:dyDescent="0.25">
      <c r="A23" s="51" t="s">
        <v>8</v>
      </c>
      <c r="B23" s="45" t="s">
        <v>685</v>
      </c>
      <c r="C23" s="45"/>
      <c r="D23" s="45"/>
      <c r="E23" s="45"/>
      <c r="F23" s="45"/>
      <c r="G23" s="45"/>
      <c r="H23" s="45"/>
      <c r="I23" s="45"/>
      <c r="J23" s="45"/>
      <c r="K23" s="45"/>
      <c r="L23" s="45"/>
      <c r="M23" s="45"/>
      <c r="N23" s="45"/>
      <c r="O23" s="45"/>
      <c r="P23" s="45"/>
      <c r="Q23" s="88"/>
    </row>
    <row r="24" spans="1:17" ht="23.1" customHeight="1" x14ac:dyDescent="0.25">
      <c r="A24" s="51" t="s">
        <v>9</v>
      </c>
      <c r="B24" s="53" t="s">
        <v>686</v>
      </c>
      <c r="C24" s="53"/>
      <c r="D24" s="53"/>
      <c r="E24" s="53"/>
      <c r="F24" s="53"/>
      <c r="G24" s="53"/>
      <c r="H24" s="53"/>
      <c r="I24" s="53"/>
      <c r="J24" s="53"/>
      <c r="K24" s="53"/>
      <c r="L24" s="53"/>
      <c r="M24" s="53"/>
      <c r="N24" s="53"/>
      <c r="O24" s="53"/>
      <c r="P24" s="53"/>
      <c r="Q24" s="90"/>
    </row>
    <row r="25" spans="1:17" ht="23.1" customHeight="1" x14ac:dyDescent="0.25">
      <c r="A25" s="51" t="s">
        <v>398</v>
      </c>
      <c r="B25" s="45" t="s">
        <v>687</v>
      </c>
      <c r="C25" s="45"/>
      <c r="D25" s="45"/>
      <c r="E25" s="45"/>
      <c r="F25" s="45"/>
      <c r="G25" s="45"/>
      <c r="H25" s="45"/>
      <c r="I25" s="45"/>
      <c r="J25" s="45"/>
      <c r="K25" s="45"/>
      <c r="L25" s="45"/>
      <c r="M25" s="45"/>
      <c r="N25" s="45"/>
      <c r="O25" s="45"/>
      <c r="P25" s="45"/>
      <c r="Q25" s="88"/>
    </row>
    <row r="26" spans="1:17" ht="23.1" customHeight="1" x14ac:dyDescent="0.25">
      <c r="A26" s="51" t="s">
        <v>399</v>
      </c>
      <c r="B26" s="53" t="s">
        <v>720</v>
      </c>
      <c r="C26" s="83"/>
      <c r="D26" s="83"/>
      <c r="E26" s="83"/>
      <c r="F26" s="83"/>
      <c r="G26" s="83"/>
      <c r="H26" s="83"/>
      <c r="I26" s="83"/>
      <c r="J26" s="83"/>
      <c r="K26" s="83"/>
      <c r="L26" s="83"/>
      <c r="M26" s="83"/>
      <c r="N26" s="83"/>
      <c r="O26" s="83"/>
      <c r="P26" s="83"/>
      <c r="Q26" s="91"/>
    </row>
    <row r="27" spans="1:17" x14ac:dyDescent="0.25">
      <c r="A27" s="92"/>
    </row>
    <row r="28" spans="1:17" x14ac:dyDescent="0.25">
      <c r="A28" s="92"/>
    </row>
  </sheetData>
  <mergeCells count="3">
    <mergeCell ref="B5:Q5"/>
    <mergeCell ref="B21:Q21"/>
    <mergeCell ref="B20:Q20"/>
  </mergeCells>
  <phoneticPr fontId="6" type="noConversion"/>
  <hyperlinks>
    <hyperlink ref="B5" r:id="rId1" display="Tabuľky_VVŠ_2007_prázdne.xls"/>
    <hyperlink ref="A7" location="'T3-Výnosy'!A1" display="Tabuľka 3"/>
    <hyperlink ref="A6" location="'T2-Ostatné dot mimo MŠ SR'!A1" display="Tabuľka 2"/>
    <hyperlink ref="A8" location="'T4-Výnosy zo školného'!A1" display="Tabuľka 4"/>
    <hyperlink ref="A5" location="'T1-Dotácie podľa DZ'!A1" display="Tabuľka 1"/>
    <hyperlink ref="A9" location="'T5 - Analýza nákladov'!A1" display="Tabuľka 5"/>
    <hyperlink ref="A10" location="'T6-Zamestnanci_a_mzdy'!A1" display="Tabuľka 6"/>
    <hyperlink ref="A13" location="'T8-Soc_štipendiá'!A1" display="Tabuľka 8"/>
    <hyperlink ref="A14" location="'T9_ŠD '!A1" display="Tabuľka 9"/>
    <hyperlink ref="A15" location="'T10-ŠJ '!A1" display="Tabuľka 10"/>
    <hyperlink ref="A16" location="'T11-Zdroje KV'!A1" display="Tabuľka 11"/>
    <hyperlink ref="A17" location="'T12-KV'!A1" display="Tabuľka 12"/>
    <hyperlink ref="A18" location="'T13-Fondy'!A1" display="Tabuľka 13"/>
    <hyperlink ref="A19" location="'T16 - Štruktúra hotovosti'!A1" display="Tabuľka 16"/>
    <hyperlink ref="A20" location="'T17-Dotácie zo ŠF EU'!A1" display="Tabuľka 17"/>
    <hyperlink ref="A21" location="'T18-Ostatné dotacie z kap MŠ SR'!A1" display="Tabuľka 18"/>
    <hyperlink ref="A22" location="'T19-Štip_ z vlastných '!A1" display="Tabuľka 19"/>
    <hyperlink ref="A23" location="'T20_motivačné štipendiá_nová'!A1" display="Tabuľka 20"/>
    <hyperlink ref="A24" location="'T21-štruktúra_384'!A1" display="Tabuľka 21"/>
    <hyperlink ref="A3" location="Súvzťažnosti!A1" display="Súvzťažnosti"/>
    <hyperlink ref="A2" location="Vysvetlivky!A1" display="Vysvetlivky"/>
    <hyperlink ref="A25" location="T22_Výnosy_soc_oblasť!Oblasť_tlače" display="Tabuľka_22"/>
    <hyperlink ref="A26" location="T23_Náklady_soc_oblasť!A1" display="Tabuľka_­23"/>
    <hyperlink ref="A12" location="'T7_Doktorandi '!A1" display="Tabuľka 7"/>
    <hyperlink ref="A4" location="'Kódy z CRŠ'!A1" display="Kódy z CRŠ"/>
    <hyperlink ref="A11" location="'T6a-Zamestnanci_a_mzdy (ženy)'!A1" display="Tabuľka 6a"/>
  </hyperlinks>
  <pageMargins left="0.70866141732283472" right="0.43307086614173229" top="0.39" bottom="0.23622047244094491" header="0.23622047244094491" footer="0.19685039370078741"/>
  <pageSetup paperSize="9" scale="71" orientation="landscape"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2">
    <tabColor indexed="42"/>
    <pageSetUpPr fitToPage="1"/>
  </sheetPr>
  <dimension ref="A1:M13"/>
  <sheetViews>
    <sheetView workbookViewId="0">
      <pane xSplit="2" ySplit="5" topLeftCell="C6" activePane="bottomRight" state="frozen"/>
      <selection pane="topRight" activeCell="C1" sqref="C1"/>
      <selection pane="bottomLeft" activeCell="A6" sqref="A6"/>
      <selection pane="bottomRight" activeCell="A18" sqref="A18"/>
    </sheetView>
  </sheetViews>
  <sheetFormatPr defaultRowHeight="15.75" x14ac:dyDescent="0.2"/>
  <cols>
    <col min="1" max="1" width="8.140625" style="95" customWidth="1"/>
    <col min="2" max="2" width="93.140625" style="283" customWidth="1"/>
    <col min="3" max="3" width="17.28515625" style="95" customWidth="1"/>
    <col min="4" max="4" width="17.140625" style="95" customWidth="1"/>
    <col min="5" max="5" width="15.7109375" style="95" customWidth="1"/>
    <col min="6" max="6" width="18" style="95" customWidth="1"/>
    <col min="7" max="7" width="7.5703125" style="95" customWidth="1"/>
    <col min="8" max="16384" width="9.140625" style="95"/>
  </cols>
  <sheetData>
    <row r="1" spans="1:13" ht="50.1" customHeight="1" thickBot="1" x14ac:dyDescent="0.25">
      <c r="A1" s="534" t="s">
        <v>648</v>
      </c>
      <c r="B1" s="535"/>
      <c r="C1" s="535"/>
      <c r="D1" s="535"/>
      <c r="E1" s="535"/>
      <c r="F1" s="536"/>
      <c r="G1" s="276"/>
      <c r="H1" s="277"/>
    </row>
    <row r="2" spans="1:13" ht="36.75" customHeight="1" x14ac:dyDescent="0.2">
      <c r="A2" s="469" t="s">
        <v>724</v>
      </c>
      <c r="B2" s="545"/>
      <c r="C2" s="546" t="s">
        <v>603</v>
      </c>
      <c r="D2" s="546"/>
      <c r="E2" s="546"/>
      <c r="F2" s="547"/>
      <c r="G2" s="265"/>
    </row>
    <row r="3" spans="1:13" ht="33" customHeight="1" x14ac:dyDescent="0.2">
      <c r="A3" s="543" t="s">
        <v>137</v>
      </c>
      <c r="B3" s="541" t="s">
        <v>220</v>
      </c>
      <c r="C3" s="537">
        <v>2015</v>
      </c>
      <c r="D3" s="538"/>
      <c r="E3" s="539">
        <v>2016</v>
      </c>
      <c r="F3" s="540"/>
      <c r="G3" s="265"/>
    </row>
    <row r="4" spans="1:13" ht="69" customHeight="1" x14ac:dyDescent="0.2">
      <c r="A4" s="544"/>
      <c r="B4" s="542"/>
      <c r="C4" s="278" t="s">
        <v>571</v>
      </c>
      <c r="D4" s="278" t="s">
        <v>126</v>
      </c>
      <c r="E4" s="278" t="s">
        <v>571</v>
      </c>
      <c r="F4" s="6" t="s">
        <v>175</v>
      </c>
      <c r="G4" s="265"/>
    </row>
    <row r="5" spans="1:13" x14ac:dyDescent="0.2">
      <c r="A5" s="279"/>
      <c r="B5" s="266"/>
      <c r="C5" s="16" t="s">
        <v>184</v>
      </c>
      <c r="D5" s="16" t="s">
        <v>185</v>
      </c>
      <c r="E5" s="16" t="s">
        <v>186</v>
      </c>
      <c r="F5" s="17" t="s">
        <v>192</v>
      </c>
      <c r="G5" s="265"/>
    </row>
    <row r="6" spans="1:13" ht="38.25" customHeight="1" x14ac:dyDescent="0.2">
      <c r="A6" s="28">
        <v>1</v>
      </c>
      <c r="B6" s="18" t="s">
        <v>44</v>
      </c>
      <c r="C6" s="268">
        <v>1267125</v>
      </c>
      <c r="D6" s="269" t="s">
        <v>207</v>
      </c>
      <c r="E6" s="198">
        <v>1089585</v>
      </c>
      <c r="F6" s="270" t="s">
        <v>207</v>
      </c>
      <c r="G6" s="532"/>
      <c r="H6" s="533"/>
      <c r="I6" s="533"/>
      <c r="J6" s="533"/>
      <c r="K6" s="533"/>
      <c r="L6" s="533"/>
      <c r="M6" s="280"/>
    </row>
    <row r="7" spans="1:13" ht="38.25" customHeight="1" x14ac:dyDescent="0.2">
      <c r="A7" s="28">
        <f>A6+1</f>
        <v>2</v>
      </c>
      <c r="B7" s="18" t="s">
        <v>230</v>
      </c>
      <c r="C7" s="269" t="s">
        <v>207</v>
      </c>
      <c r="D7" s="161">
        <v>6047</v>
      </c>
      <c r="E7" s="269" t="s">
        <v>207</v>
      </c>
      <c r="F7" s="142">
        <v>5195</v>
      </c>
      <c r="G7" s="265"/>
    </row>
    <row r="8" spans="1:13" ht="38.25" customHeight="1" x14ac:dyDescent="0.2">
      <c r="A8" s="28">
        <f>A7+1</f>
        <v>3</v>
      </c>
      <c r="B8" s="18" t="s">
        <v>854</v>
      </c>
      <c r="C8" s="269" t="s">
        <v>207</v>
      </c>
      <c r="D8" s="161">
        <v>864</v>
      </c>
      <c r="E8" s="269" t="s">
        <v>207</v>
      </c>
      <c r="F8" s="142">
        <v>707</v>
      </c>
      <c r="G8" s="265"/>
    </row>
    <row r="9" spans="1:13" ht="35.25" customHeight="1" x14ac:dyDescent="0.2">
      <c r="A9" s="28">
        <f>A8+1</f>
        <v>4</v>
      </c>
      <c r="B9" s="18" t="s">
        <v>553</v>
      </c>
      <c r="C9" s="268">
        <v>231811.81000000006</v>
      </c>
      <c r="D9" s="269" t="s">
        <v>207</v>
      </c>
      <c r="E9" s="271">
        <f>+C11</f>
        <v>190216.81000000006</v>
      </c>
      <c r="F9" s="270">
        <v>0</v>
      </c>
      <c r="G9" s="265"/>
    </row>
    <row r="10" spans="1:13" ht="37.5" customHeight="1" x14ac:dyDescent="0.2">
      <c r="A10" s="28">
        <f>A9+1</f>
        <v>5</v>
      </c>
      <c r="B10" s="18" t="s">
        <v>575</v>
      </c>
      <c r="C10" s="272">
        <v>1225530</v>
      </c>
      <c r="D10" s="269" t="s">
        <v>207</v>
      </c>
      <c r="E10" s="271">
        <v>1179297</v>
      </c>
      <c r="F10" s="270" t="s">
        <v>207</v>
      </c>
      <c r="G10" s="265"/>
    </row>
    <row r="11" spans="1:13" ht="33" customHeight="1" x14ac:dyDescent="0.2">
      <c r="A11" s="28">
        <v>6</v>
      </c>
      <c r="B11" s="18" t="s">
        <v>163</v>
      </c>
      <c r="C11" s="198">
        <f>+C9+C10-C6</f>
        <v>190216.81000000006</v>
      </c>
      <c r="D11" s="269" t="s">
        <v>207</v>
      </c>
      <c r="E11" s="271">
        <f>+E9+E10-E6</f>
        <v>279928.81000000006</v>
      </c>
      <c r="F11" s="270" t="s">
        <v>207</v>
      </c>
      <c r="G11" s="265"/>
    </row>
    <row r="12" spans="1:13" ht="36" customHeight="1" thickBot="1" x14ac:dyDescent="0.25">
      <c r="A12" s="281">
        <v>7</v>
      </c>
      <c r="B12" s="23" t="s">
        <v>164</v>
      </c>
      <c r="C12" s="208">
        <f>IF(C6=0,0,C6/D7)</f>
        <v>209.54605589548535</v>
      </c>
      <c r="D12" s="273" t="s">
        <v>207</v>
      </c>
      <c r="E12" s="208">
        <f>IF(E6=0,0,E6/F7)</f>
        <v>209.73724735322426</v>
      </c>
      <c r="F12" s="274" t="s">
        <v>207</v>
      </c>
      <c r="G12" s="265"/>
    </row>
    <row r="13" spans="1:13" x14ac:dyDescent="0.2">
      <c r="B13" s="282"/>
      <c r="G13" s="265"/>
    </row>
  </sheetData>
  <mergeCells count="8">
    <mergeCell ref="G6:L6"/>
    <mergeCell ref="A1:F1"/>
    <mergeCell ref="C3:D3"/>
    <mergeCell ref="E3:F3"/>
    <mergeCell ref="B3:B4"/>
    <mergeCell ref="A3:A4"/>
    <mergeCell ref="A2:B2"/>
    <mergeCell ref="C2:F2"/>
  </mergeCells>
  <phoneticPr fontId="0" type="noConversion"/>
  <pageMargins left="0.5" right="0.39" top="0.98425196850393704" bottom="0.98425196850393704" header="0.51181102362204722" footer="0.51181102362204722"/>
  <pageSetup paperSize="9" scale="83"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3">
    <tabColor indexed="42"/>
    <pageSetUpPr fitToPage="1"/>
  </sheetPr>
  <dimension ref="A1:F18"/>
  <sheetViews>
    <sheetView workbookViewId="0">
      <pane xSplit="2" ySplit="5" topLeftCell="C6" activePane="bottomRight" state="frozen"/>
      <selection pane="topRight" activeCell="C1" sqref="C1"/>
      <selection pane="bottomLeft" activeCell="A6" sqref="A6"/>
      <selection pane="bottomRight" activeCell="E25" sqref="E25"/>
    </sheetView>
  </sheetViews>
  <sheetFormatPr defaultRowHeight="12.75" x14ac:dyDescent="0.2"/>
  <cols>
    <col min="1" max="1" width="8.28515625" style="285" customWidth="1"/>
    <col min="2" max="2" width="77.7109375" style="285" customWidth="1"/>
    <col min="3" max="6" width="14.7109375" style="285" customWidth="1"/>
    <col min="7" max="16384" width="9.140625" style="285"/>
  </cols>
  <sheetData>
    <row r="1" spans="1:6" ht="50.1" customHeight="1" x14ac:dyDescent="0.2">
      <c r="A1" s="548" t="s">
        <v>649</v>
      </c>
      <c r="B1" s="549"/>
      <c r="C1" s="549"/>
      <c r="D1" s="549"/>
      <c r="E1" s="549"/>
      <c r="F1" s="550"/>
    </row>
    <row r="2" spans="1:6" ht="33" customHeight="1" x14ac:dyDescent="0.2">
      <c r="A2" s="554" t="s">
        <v>904</v>
      </c>
      <c r="B2" s="555"/>
      <c r="C2" s="555"/>
      <c r="D2" s="555"/>
      <c r="E2" s="555"/>
      <c r="F2" s="556"/>
    </row>
    <row r="3" spans="1:6" ht="18.75" customHeight="1" x14ac:dyDescent="0.2">
      <c r="A3" s="551" t="s">
        <v>137</v>
      </c>
      <c r="B3" s="496" t="s">
        <v>220</v>
      </c>
      <c r="C3" s="504" t="s">
        <v>579</v>
      </c>
      <c r="D3" s="504"/>
      <c r="E3" s="504" t="s">
        <v>238</v>
      </c>
      <c r="F3" s="553"/>
    </row>
    <row r="4" spans="1:6" ht="18.75" customHeight="1" x14ac:dyDescent="0.2">
      <c r="A4" s="552"/>
      <c r="B4" s="496"/>
      <c r="C4" s="5">
        <v>2015</v>
      </c>
      <c r="D4" s="5">
        <v>2016</v>
      </c>
      <c r="E4" s="121">
        <v>2015</v>
      </c>
      <c r="F4" s="122">
        <v>2016</v>
      </c>
    </row>
    <row r="5" spans="1:6" ht="15.75" x14ac:dyDescent="0.2">
      <c r="A5" s="7"/>
      <c r="B5" s="56"/>
      <c r="C5" s="1" t="s">
        <v>184</v>
      </c>
      <c r="D5" s="1" t="s">
        <v>185</v>
      </c>
      <c r="E5" s="1" t="s">
        <v>186</v>
      </c>
      <c r="F5" s="17" t="s">
        <v>192</v>
      </c>
    </row>
    <row r="6" spans="1:6" ht="31.5" x14ac:dyDescent="0.2">
      <c r="A6" s="7">
        <v>1</v>
      </c>
      <c r="B6" s="11" t="s">
        <v>556</v>
      </c>
      <c r="C6" s="98" t="s">
        <v>207</v>
      </c>
      <c r="D6" s="98" t="s">
        <v>207</v>
      </c>
      <c r="E6" s="176">
        <v>1951</v>
      </c>
      <c r="F6" s="284">
        <v>1951</v>
      </c>
    </row>
    <row r="7" spans="1:6" ht="37.5" x14ac:dyDescent="0.2">
      <c r="A7" s="7">
        <f>A6+1</f>
        <v>2</v>
      </c>
      <c r="B7" s="11" t="s">
        <v>231</v>
      </c>
      <c r="C7" s="98" t="s">
        <v>207</v>
      </c>
      <c r="D7" s="98" t="s">
        <v>207</v>
      </c>
      <c r="E7" s="176">
        <v>19232</v>
      </c>
      <c r="F7" s="284">
        <v>18666</v>
      </c>
    </row>
    <row r="8" spans="1:6" ht="15.75" x14ac:dyDescent="0.2">
      <c r="A8" s="7">
        <v>3</v>
      </c>
      <c r="B8" s="15" t="s">
        <v>855</v>
      </c>
      <c r="C8" s="98" t="s">
        <v>207</v>
      </c>
      <c r="D8" s="98" t="s">
        <v>207</v>
      </c>
      <c r="E8" s="157">
        <f>E7/12</f>
        <v>1602.6666666666667</v>
      </c>
      <c r="F8" s="161">
        <f>F7/12</f>
        <v>1555.5</v>
      </c>
    </row>
    <row r="9" spans="1:6" ht="31.5" x14ac:dyDescent="0.2">
      <c r="A9" s="7">
        <f t="shared" ref="A9:A18" si="0">A8+1</f>
        <v>4</v>
      </c>
      <c r="B9" s="11" t="s">
        <v>240</v>
      </c>
      <c r="C9" s="114">
        <v>778585.91</v>
      </c>
      <c r="D9" s="188">
        <f>842980.42-33340</f>
        <v>809640.42</v>
      </c>
      <c r="E9" s="98" t="s">
        <v>207</v>
      </c>
      <c r="F9" s="286" t="s">
        <v>207</v>
      </c>
    </row>
    <row r="10" spans="1:6" ht="31.5" x14ac:dyDescent="0.2">
      <c r="A10" s="7">
        <f t="shared" si="0"/>
        <v>5</v>
      </c>
      <c r="B10" s="11" t="s">
        <v>247</v>
      </c>
      <c r="C10" s="114">
        <v>49985</v>
      </c>
      <c r="D10" s="114">
        <v>33340</v>
      </c>
      <c r="E10" s="114">
        <v>871</v>
      </c>
      <c r="F10" s="287">
        <v>478</v>
      </c>
    </row>
    <row r="11" spans="1:6" ht="31.5" x14ac:dyDescent="0.2">
      <c r="A11" s="7">
        <f t="shared" si="0"/>
        <v>6</v>
      </c>
      <c r="B11" s="11" t="s">
        <v>856</v>
      </c>
      <c r="C11" s="176">
        <v>706408</v>
      </c>
      <c r="D11" s="176">
        <v>771373</v>
      </c>
      <c r="E11" s="98" t="s">
        <v>207</v>
      </c>
      <c r="F11" s="286" t="s">
        <v>207</v>
      </c>
    </row>
    <row r="12" spans="1:6" ht="15.75" x14ac:dyDescent="0.2">
      <c r="A12" s="7">
        <f t="shared" si="0"/>
        <v>7</v>
      </c>
      <c r="B12" s="11" t="s">
        <v>239</v>
      </c>
      <c r="C12" s="114">
        <v>18343.68</v>
      </c>
      <c r="D12" s="114">
        <v>14415.15</v>
      </c>
      <c r="E12" s="98" t="s">
        <v>207</v>
      </c>
      <c r="F12" s="286" t="s">
        <v>207</v>
      </c>
    </row>
    <row r="13" spans="1:6" ht="15.75" x14ac:dyDescent="0.2">
      <c r="A13" s="7">
        <f t="shared" si="0"/>
        <v>8</v>
      </c>
      <c r="B13" s="11" t="s">
        <v>248</v>
      </c>
      <c r="C13" s="157">
        <f>SUM(C9:C12)</f>
        <v>1553322.59</v>
      </c>
      <c r="D13" s="157">
        <f>SUM(D9:D12)</f>
        <v>1628768.5699999998</v>
      </c>
      <c r="E13" s="98" t="s">
        <v>207</v>
      </c>
      <c r="F13" s="286" t="s">
        <v>207</v>
      </c>
    </row>
    <row r="14" spans="1:6" ht="15.75" x14ac:dyDescent="0.2">
      <c r="A14" s="7">
        <f t="shared" si="0"/>
        <v>9</v>
      </c>
      <c r="B14" s="11" t="s">
        <v>249</v>
      </c>
      <c r="C14" s="157">
        <f>C15+C16</f>
        <v>1234437.6600000001</v>
      </c>
      <c r="D14" s="157">
        <f>D15+D16</f>
        <v>1254111.69</v>
      </c>
      <c r="E14" s="98" t="s">
        <v>207</v>
      </c>
      <c r="F14" s="286" t="s">
        <v>207</v>
      </c>
    </row>
    <row r="15" spans="1:6" ht="15.75" x14ac:dyDescent="0.2">
      <c r="A15" s="7">
        <f t="shared" si="0"/>
        <v>10</v>
      </c>
      <c r="B15" s="10" t="s">
        <v>34</v>
      </c>
      <c r="C15" s="114">
        <v>502000</v>
      </c>
      <c r="D15" s="114">
        <v>536895.73</v>
      </c>
      <c r="E15" s="98" t="s">
        <v>207</v>
      </c>
      <c r="F15" s="286" t="s">
        <v>207</v>
      </c>
    </row>
    <row r="16" spans="1:6" ht="15.75" x14ac:dyDescent="0.2">
      <c r="A16" s="7">
        <f t="shared" si="0"/>
        <v>11</v>
      </c>
      <c r="B16" s="10" t="s">
        <v>35</v>
      </c>
      <c r="C16" s="114">
        <v>732437.66</v>
      </c>
      <c r="D16" s="114">
        <f>694211.82+23004.14</f>
        <v>717215.96</v>
      </c>
      <c r="E16" s="98" t="s">
        <v>207</v>
      </c>
      <c r="F16" s="286" t="s">
        <v>207</v>
      </c>
    </row>
    <row r="17" spans="1:6" ht="31.5" x14ac:dyDescent="0.2">
      <c r="A17" s="7">
        <f t="shared" si="0"/>
        <v>12</v>
      </c>
      <c r="B17" s="11" t="s">
        <v>250</v>
      </c>
      <c r="C17" s="157">
        <f>+C13-C14</f>
        <v>318884.92999999993</v>
      </c>
      <c r="D17" s="157">
        <f>+D13-D14</f>
        <v>374656.87999999989</v>
      </c>
      <c r="E17" s="98" t="s">
        <v>207</v>
      </c>
      <c r="F17" s="286" t="s">
        <v>207</v>
      </c>
    </row>
    <row r="18" spans="1:6" ht="16.5" thickBot="1" x14ac:dyDescent="0.25">
      <c r="A18" s="58">
        <f t="shared" si="0"/>
        <v>13</v>
      </c>
      <c r="B18" s="21" t="s">
        <v>251</v>
      </c>
      <c r="C18" s="96">
        <f>IF(E8=0,0,C14/E8)</f>
        <v>770.23980449251258</v>
      </c>
      <c r="D18" s="96">
        <f>IF(F8=0,0,D14/F8)</f>
        <v>806.2434522661523</v>
      </c>
      <c r="E18" s="99" t="s">
        <v>207</v>
      </c>
      <c r="F18" s="288" t="s">
        <v>207</v>
      </c>
    </row>
  </sheetData>
  <mergeCells count="6">
    <mergeCell ref="A1:F1"/>
    <mergeCell ref="A3:A4"/>
    <mergeCell ref="B3:B4"/>
    <mergeCell ref="C3:D3"/>
    <mergeCell ref="E3:F3"/>
    <mergeCell ref="A2:F2"/>
  </mergeCells>
  <phoneticPr fontId="6" type="noConversion"/>
  <pageMargins left="0.66" right="0.45" top="0.98425196850393704" bottom="0.77" header="0.51181102362204722" footer="0.51181102362204722"/>
  <pageSetup paperSize="9" scale="9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E22"/>
  <sheetViews>
    <sheetView workbookViewId="0">
      <pane xSplit="2" ySplit="4" topLeftCell="C5" activePane="bottomRight" state="frozen"/>
      <selection pane="topRight" activeCell="C1" sqref="C1"/>
      <selection pane="bottomLeft" activeCell="A5" sqref="A5"/>
      <selection pane="bottomRight" activeCell="E8" sqref="E8"/>
    </sheetView>
  </sheetViews>
  <sheetFormatPr defaultRowHeight="15.75" x14ac:dyDescent="0.25"/>
  <cols>
    <col min="1" max="1" width="8.140625" style="104" customWidth="1"/>
    <col min="2" max="2" width="90.28515625" style="298" customWidth="1"/>
    <col min="3" max="3" width="18.7109375" style="104" customWidth="1"/>
    <col min="4" max="4" width="18.5703125" style="104" customWidth="1"/>
    <col min="5" max="5" width="11.42578125" style="103" customWidth="1"/>
    <col min="6" max="16384" width="9.140625" style="104"/>
  </cols>
  <sheetData>
    <row r="1" spans="1:5" ht="50.1" customHeight="1" thickBot="1" x14ac:dyDescent="0.3">
      <c r="A1" s="557" t="s">
        <v>802</v>
      </c>
      <c r="B1" s="558"/>
      <c r="C1" s="558"/>
      <c r="D1" s="559"/>
      <c r="E1" s="289"/>
    </row>
    <row r="2" spans="1:5" ht="29.25" customHeight="1" x14ac:dyDescent="0.25">
      <c r="A2" s="560" t="s">
        <v>725</v>
      </c>
      <c r="B2" s="561"/>
      <c r="C2" s="561"/>
      <c r="D2" s="562"/>
    </row>
    <row r="3" spans="1:5" ht="33" customHeight="1" x14ac:dyDescent="0.25">
      <c r="A3" s="290" t="s">
        <v>137</v>
      </c>
      <c r="B3" s="291" t="s">
        <v>220</v>
      </c>
      <c r="C3" s="292">
        <v>2015</v>
      </c>
      <c r="D3" s="293">
        <v>2016</v>
      </c>
    </row>
    <row r="4" spans="1:5" x14ac:dyDescent="0.25">
      <c r="A4" s="294"/>
      <c r="B4" s="295"/>
      <c r="C4" s="101" t="s">
        <v>184</v>
      </c>
      <c r="D4" s="652" t="s">
        <v>185</v>
      </c>
    </row>
    <row r="5" spans="1:5" ht="18.75" x14ac:dyDescent="0.25">
      <c r="A5" s="106">
        <v>1</v>
      </c>
      <c r="B5" s="296" t="s">
        <v>857</v>
      </c>
      <c r="C5" s="299">
        <f>+C6+C9</f>
        <v>342082.5</v>
      </c>
      <c r="D5" s="653">
        <f>+D6+D9</f>
        <v>387300.72</v>
      </c>
    </row>
    <row r="6" spans="1:5" ht="18.75" customHeight="1" x14ac:dyDescent="0.25">
      <c r="A6" s="106">
        <f t="shared" ref="A6:A13" si="0">A5+1</f>
        <v>2</v>
      </c>
      <c r="B6" s="296" t="s">
        <v>803</v>
      </c>
      <c r="C6" s="299">
        <f>+C7+C8</f>
        <v>207190.5</v>
      </c>
      <c r="D6" s="653">
        <f>+D7+D8</f>
        <v>233480.72</v>
      </c>
    </row>
    <row r="7" spans="1:5" x14ac:dyDescent="0.25">
      <c r="A7" s="106">
        <f t="shared" si="0"/>
        <v>3</v>
      </c>
      <c r="B7" s="105" t="s">
        <v>804</v>
      </c>
      <c r="C7" s="102">
        <v>207190.5</v>
      </c>
      <c r="D7" s="654">
        <v>233480.72</v>
      </c>
    </row>
    <row r="8" spans="1:5" x14ac:dyDescent="0.25">
      <c r="A8" s="106">
        <f t="shared" si="0"/>
        <v>4</v>
      </c>
      <c r="B8" s="105" t="s">
        <v>805</v>
      </c>
      <c r="C8" s="102"/>
      <c r="D8" s="654"/>
    </row>
    <row r="9" spans="1:5" x14ac:dyDescent="0.25">
      <c r="A9" s="106">
        <f t="shared" si="0"/>
        <v>5</v>
      </c>
      <c r="B9" s="296" t="s">
        <v>806</v>
      </c>
      <c r="C9" s="102">
        <f>+C10+C11-C12</f>
        <v>134892</v>
      </c>
      <c r="D9" s="654">
        <f>+D10+D11-D12</f>
        <v>153820</v>
      </c>
    </row>
    <row r="10" spans="1:5" ht="19.5" customHeight="1" x14ac:dyDescent="0.25">
      <c r="A10" s="106">
        <f t="shared" si="0"/>
        <v>6</v>
      </c>
      <c r="B10" s="105" t="s">
        <v>807</v>
      </c>
      <c r="C10" s="102">
        <v>34979.21</v>
      </c>
      <c r="D10" s="654">
        <f>+C12</f>
        <v>34979.21</v>
      </c>
    </row>
    <row r="11" spans="1:5" x14ac:dyDescent="0.25">
      <c r="A11" s="106">
        <f t="shared" si="0"/>
        <v>7</v>
      </c>
      <c r="B11" s="105" t="s">
        <v>808</v>
      </c>
      <c r="C11" s="102">
        <v>134892</v>
      </c>
      <c r="D11" s="654">
        <v>192133</v>
      </c>
    </row>
    <row r="12" spans="1:5" x14ac:dyDescent="0.25">
      <c r="A12" s="106">
        <f t="shared" si="0"/>
        <v>8</v>
      </c>
      <c r="B12" s="105" t="s">
        <v>809</v>
      </c>
      <c r="C12" s="102">
        <v>34979.21</v>
      </c>
      <c r="D12" s="654">
        <f>D10+D11-D20</f>
        <v>73292.209999999992</v>
      </c>
    </row>
    <row r="13" spans="1:5" ht="30" customHeight="1" x14ac:dyDescent="0.25">
      <c r="A13" s="106">
        <f t="shared" si="0"/>
        <v>9</v>
      </c>
      <c r="B13" s="296" t="s">
        <v>810</v>
      </c>
      <c r="C13" s="299">
        <v>385006.13</v>
      </c>
      <c r="D13" s="653">
        <v>396965.97</v>
      </c>
    </row>
    <row r="14" spans="1:5" x14ac:dyDescent="0.25">
      <c r="A14" s="106"/>
      <c r="B14" s="105" t="s">
        <v>198</v>
      </c>
      <c r="C14" s="102"/>
      <c r="D14" s="654"/>
    </row>
    <row r="15" spans="1:5" ht="18.75" x14ac:dyDescent="0.25">
      <c r="A15" s="106">
        <f>A13+1</f>
        <v>10</v>
      </c>
      <c r="B15" s="105" t="s">
        <v>858</v>
      </c>
      <c r="C15" s="102">
        <v>385006.13</v>
      </c>
      <c r="D15" s="654">
        <v>396965.97</v>
      </c>
    </row>
    <row r="16" spans="1:5" ht="30.75" customHeight="1" x14ac:dyDescent="0.25">
      <c r="A16" s="106">
        <f t="shared" ref="A16:A21" si="1">+A15+1</f>
        <v>11</v>
      </c>
      <c r="B16" s="296" t="s">
        <v>859</v>
      </c>
      <c r="C16" s="299">
        <f>C5-C13</f>
        <v>-42923.630000000005</v>
      </c>
      <c r="D16" s="653">
        <f>D5-D13</f>
        <v>-9665.25</v>
      </c>
    </row>
    <row r="17" spans="1:4" ht="18.75" x14ac:dyDescent="0.25">
      <c r="A17" s="106">
        <f t="shared" si="1"/>
        <v>12</v>
      </c>
      <c r="B17" s="296" t="s">
        <v>811</v>
      </c>
      <c r="C17" s="299">
        <f>C18+C19</f>
        <v>134892</v>
      </c>
      <c r="D17" s="653">
        <f>D18+D19</f>
        <v>153820</v>
      </c>
    </row>
    <row r="18" spans="1:4" x14ac:dyDescent="0.25">
      <c r="A18" s="106">
        <f t="shared" si="1"/>
        <v>13</v>
      </c>
      <c r="B18" s="105" t="s">
        <v>812</v>
      </c>
      <c r="C18" s="299">
        <v>134892</v>
      </c>
      <c r="D18" s="654">
        <v>153820</v>
      </c>
    </row>
    <row r="19" spans="1:4" ht="18.75" x14ac:dyDescent="0.25">
      <c r="A19" s="106">
        <f>+A18+1</f>
        <v>14</v>
      </c>
      <c r="B19" s="105" t="s">
        <v>860</v>
      </c>
      <c r="C19" s="299"/>
      <c r="D19" s="654"/>
    </row>
    <row r="20" spans="1:4" x14ac:dyDescent="0.25">
      <c r="A20" s="106">
        <f>+A19+1</f>
        <v>15</v>
      </c>
      <c r="B20" s="296" t="s">
        <v>813</v>
      </c>
      <c r="C20" s="299">
        <f>(C18*1+C19*1)</f>
        <v>134892</v>
      </c>
      <c r="D20" s="653">
        <f>(D18*1+D19*1)</f>
        <v>153820</v>
      </c>
    </row>
    <row r="21" spans="1:4" ht="15" customHeight="1" thickBot="1" x14ac:dyDescent="0.3">
      <c r="A21" s="107">
        <f t="shared" si="1"/>
        <v>16</v>
      </c>
      <c r="B21" s="297" t="s">
        <v>861</v>
      </c>
      <c r="C21" s="300">
        <f>IF(C18=0,0,C15/C18)</f>
        <v>2.854180603742253</v>
      </c>
      <c r="D21" s="655">
        <f>IF(D18=0,0,D15/D18)</f>
        <v>2.5807175269795866</v>
      </c>
    </row>
    <row r="22" spans="1:4" x14ac:dyDescent="0.25">
      <c r="A22" s="108"/>
      <c r="B22" s="109"/>
      <c r="C22" s="301"/>
      <c r="D22" s="301"/>
    </row>
  </sheetData>
  <mergeCells count="2">
    <mergeCell ref="A1:D1"/>
    <mergeCell ref="A2:D2"/>
  </mergeCells>
  <pageMargins left="0.74803149606299213" right="0.74803149606299213" top="0.59055118110236227" bottom="0.59055118110236227" header="0.51181102362204722" footer="0.51181102362204722"/>
  <pageSetup paperSize="9" scale="95"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5">
    <tabColor indexed="42"/>
    <pageSetUpPr fitToPage="1"/>
  </sheetPr>
  <dimension ref="A1:Q23"/>
  <sheetViews>
    <sheetView workbookViewId="0">
      <pane xSplit="2" ySplit="5" topLeftCell="C6" activePane="bottomRight" state="frozen"/>
      <selection pane="topRight" activeCell="C1" sqref="C1"/>
      <selection pane="bottomLeft" activeCell="A6" sqref="A6"/>
      <selection pane="bottomRight" activeCell="G16" sqref="G16"/>
    </sheetView>
  </sheetViews>
  <sheetFormatPr defaultRowHeight="15.75" x14ac:dyDescent="0.25"/>
  <cols>
    <col min="1" max="1" width="9.140625" style="54"/>
    <col min="2" max="2" width="88.7109375" style="304" customWidth="1"/>
    <col min="3" max="3" width="23.42578125" style="54" customWidth="1"/>
    <col min="4" max="4" width="24.42578125" style="54" customWidth="1"/>
    <col min="5" max="5" width="15.28515625" style="305" bestFit="1" customWidth="1"/>
    <col min="6" max="6" width="9.140625" style="305"/>
    <col min="7" max="7" width="61.7109375" style="54" customWidth="1"/>
    <col min="8" max="16384" width="9.140625" style="54"/>
  </cols>
  <sheetData>
    <row r="1" spans="1:6" ht="50.1" customHeight="1" thickBot="1" x14ac:dyDescent="0.3">
      <c r="A1" s="466" t="s">
        <v>650</v>
      </c>
      <c r="B1" s="565"/>
      <c r="C1" s="565"/>
      <c r="D1" s="566"/>
    </row>
    <row r="2" spans="1:6" ht="27.75" customHeight="1" x14ac:dyDescent="0.25">
      <c r="A2" s="568" t="s">
        <v>725</v>
      </c>
      <c r="B2" s="569"/>
      <c r="C2" s="569"/>
      <c r="D2" s="570"/>
    </row>
    <row r="3" spans="1:6" ht="18.75" customHeight="1" x14ac:dyDescent="0.25">
      <c r="A3" s="490" t="s">
        <v>137</v>
      </c>
      <c r="B3" s="496" t="s">
        <v>220</v>
      </c>
      <c r="C3" s="502" t="s">
        <v>202</v>
      </c>
      <c r="D3" s="567"/>
    </row>
    <row r="4" spans="1:6" s="55" customFormat="1" ht="19.5" customHeight="1" x14ac:dyDescent="0.2">
      <c r="A4" s="490"/>
      <c r="B4" s="496"/>
      <c r="C4" s="121">
        <v>2015</v>
      </c>
      <c r="D4" s="122">
        <v>2016</v>
      </c>
      <c r="E4" s="306"/>
      <c r="F4" s="306"/>
    </row>
    <row r="5" spans="1:6" s="55" customFormat="1" x14ac:dyDescent="0.2">
      <c r="A5" s="7"/>
      <c r="B5" s="302"/>
      <c r="C5" s="121" t="s">
        <v>184</v>
      </c>
      <c r="D5" s="122" t="s">
        <v>185</v>
      </c>
      <c r="E5" s="306"/>
      <c r="F5" s="306"/>
    </row>
    <row r="6" spans="1:6" s="55" customFormat="1" x14ac:dyDescent="0.2">
      <c r="A6" s="7">
        <v>1</v>
      </c>
      <c r="B6" s="68" t="s">
        <v>145</v>
      </c>
      <c r="C6" s="128">
        <v>4398207.75</v>
      </c>
      <c r="D6" s="115">
        <v>556078.66</v>
      </c>
      <c r="E6" s="306"/>
      <c r="F6" s="306"/>
    </row>
    <row r="7" spans="1:6" s="55" customFormat="1" x14ac:dyDescent="0.2">
      <c r="A7" s="7">
        <f t="shared" ref="A7:A20" si="0">A6+1</f>
        <v>2</v>
      </c>
      <c r="B7" s="11" t="s">
        <v>106</v>
      </c>
      <c r="C7" s="128">
        <f>SUM(C8:C13)</f>
        <v>1729460.53</v>
      </c>
      <c r="D7" s="115">
        <f>SUM(D8:D13)</f>
        <v>1152995.06</v>
      </c>
      <c r="E7" s="306"/>
      <c r="F7" s="306"/>
    </row>
    <row r="8" spans="1:6" s="55" customFormat="1" ht="18.75" x14ac:dyDescent="0.2">
      <c r="A8" s="7">
        <f t="shared" si="0"/>
        <v>3</v>
      </c>
      <c r="B8" s="67" t="s">
        <v>862</v>
      </c>
      <c r="C8" s="114"/>
      <c r="D8" s="287"/>
      <c r="E8" s="306"/>
      <c r="F8" s="306"/>
    </row>
    <row r="9" spans="1:6" s="55" customFormat="1" x14ac:dyDescent="0.2">
      <c r="A9" s="7">
        <f t="shared" si="0"/>
        <v>4</v>
      </c>
      <c r="B9" s="67" t="s">
        <v>258</v>
      </c>
      <c r="C9" s="114">
        <v>959460.53</v>
      </c>
      <c r="D9" s="287">
        <v>1131005.78</v>
      </c>
      <c r="E9" s="306"/>
      <c r="F9" s="306"/>
    </row>
    <row r="10" spans="1:6" s="55" customFormat="1" x14ac:dyDescent="0.2">
      <c r="A10" s="7">
        <f t="shared" si="0"/>
        <v>5</v>
      </c>
      <c r="B10" s="67" t="s">
        <v>713</v>
      </c>
      <c r="C10" s="114"/>
      <c r="D10" s="287"/>
      <c r="E10" s="306"/>
      <c r="F10" s="306"/>
    </row>
    <row r="11" spans="1:6" s="55" customFormat="1" x14ac:dyDescent="0.2">
      <c r="A11" s="7">
        <f t="shared" si="0"/>
        <v>6</v>
      </c>
      <c r="B11" s="67" t="s">
        <v>256</v>
      </c>
      <c r="C11" s="114">
        <v>770000</v>
      </c>
      <c r="D11" s="287">
        <v>21989.279999999999</v>
      </c>
      <c r="E11" s="306"/>
      <c r="F11" s="306"/>
    </row>
    <row r="12" spans="1:6" s="55" customFormat="1" x14ac:dyDescent="0.2">
      <c r="A12" s="7">
        <f t="shared" si="0"/>
        <v>7</v>
      </c>
      <c r="B12" s="67" t="s">
        <v>257</v>
      </c>
      <c r="C12" s="114"/>
      <c r="D12" s="287"/>
      <c r="E12" s="306"/>
      <c r="F12" s="306"/>
    </row>
    <row r="13" spans="1:6" s="55" customFormat="1" ht="19.5" customHeight="1" x14ac:dyDescent="0.2">
      <c r="A13" s="7">
        <f t="shared" si="0"/>
        <v>8</v>
      </c>
      <c r="B13" s="67" t="s">
        <v>863</v>
      </c>
      <c r="C13" s="114"/>
      <c r="D13" s="287"/>
      <c r="E13" s="306"/>
      <c r="F13" s="306"/>
    </row>
    <row r="14" spans="1:6" s="55" customFormat="1" ht="21.75" customHeight="1" x14ac:dyDescent="0.2">
      <c r="A14" s="7">
        <f t="shared" si="0"/>
        <v>9</v>
      </c>
      <c r="B14" s="11" t="s">
        <v>31</v>
      </c>
      <c r="C14" s="128">
        <f>C6+C7</f>
        <v>6127668.2800000003</v>
      </c>
      <c r="D14" s="115">
        <f>D6+D7</f>
        <v>1709073.7200000002</v>
      </c>
      <c r="E14" s="306"/>
      <c r="F14" s="306"/>
    </row>
    <row r="15" spans="1:6" s="55" customFormat="1" ht="40.5" customHeight="1" x14ac:dyDescent="0.2">
      <c r="A15" s="7">
        <f t="shared" si="0"/>
        <v>10</v>
      </c>
      <c r="B15" s="11" t="s">
        <v>167</v>
      </c>
      <c r="C15" s="128">
        <v>204910</v>
      </c>
      <c r="D15" s="115">
        <v>499965</v>
      </c>
      <c r="E15" s="306"/>
      <c r="F15" s="306"/>
    </row>
    <row r="16" spans="1:6" s="55" customFormat="1" ht="31.5" x14ac:dyDescent="0.2">
      <c r="A16" s="7" t="s">
        <v>560</v>
      </c>
      <c r="B16" s="11" t="s">
        <v>864</v>
      </c>
      <c r="C16" s="128">
        <v>24750382.629999999</v>
      </c>
      <c r="D16" s="115">
        <v>1738565.63</v>
      </c>
      <c r="E16" s="306"/>
      <c r="F16" s="306"/>
    </row>
    <row r="17" spans="1:17" s="55" customFormat="1" ht="28.5" customHeight="1" x14ac:dyDescent="0.2">
      <c r="A17" s="7">
        <f>A15+1</f>
        <v>11</v>
      </c>
      <c r="B17" s="11" t="s">
        <v>865</v>
      </c>
      <c r="C17" s="128">
        <v>1921133.52</v>
      </c>
      <c r="D17" s="115">
        <f>436048.19+17936.76</f>
        <v>453984.95</v>
      </c>
      <c r="E17" s="306"/>
      <c r="F17" s="306"/>
    </row>
    <row r="18" spans="1:17" s="55" customFormat="1" ht="23.25" customHeight="1" x14ac:dyDescent="0.2">
      <c r="A18" s="7">
        <f t="shared" si="0"/>
        <v>12</v>
      </c>
      <c r="B18" s="11" t="s">
        <v>166</v>
      </c>
      <c r="C18" s="128"/>
      <c r="D18" s="115"/>
      <c r="E18" s="306"/>
      <c r="F18" s="306"/>
    </row>
    <row r="19" spans="1:17" s="55" customFormat="1" ht="33" customHeight="1" x14ac:dyDescent="0.2">
      <c r="A19" s="7">
        <f t="shared" si="0"/>
        <v>13</v>
      </c>
      <c r="B19" s="11" t="s">
        <v>866</v>
      </c>
      <c r="C19" s="128">
        <v>2995598.1</v>
      </c>
      <c r="D19" s="115">
        <f>1166117.09+963940.47+2694490.41+23888.78+2000</f>
        <v>4850436.7500000009</v>
      </c>
      <c r="E19" s="307"/>
      <c r="F19" s="306"/>
      <c r="G19" s="563"/>
      <c r="H19" s="563"/>
      <c r="I19" s="563"/>
      <c r="J19" s="563"/>
      <c r="K19" s="563"/>
      <c r="L19" s="563"/>
      <c r="M19" s="563"/>
      <c r="N19" s="563"/>
      <c r="O19" s="563"/>
      <c r="P19" s="563"/>
      <c r="Q19" s="563"/>
    </row>
    <row r="20" spans="1:17" s="55" customFormat="1" ht="21" customHeight="1" thickBot="1" x14ac:dyDescent="0.25">
      <c r="A20" s="58">
        <f t="shared" si="0"/>
        <v>14</v>
      </c>
      <c r="B20" s="12" t="s">
        <v>50</v>
      </c>
      <c r="C20" s="179">
        <f>SUM(C14:C19)</f>
        <v>35999692.530000001</v>
      </c>
      <c r="D20" s="303">
        <f>SUM(D14:D19)</f>
        <v>9252026.0500000007</v>
      </c>
      <c r="E20" s="306"/>
      <c r="F20" s="306"/>
    </row>
    <row r="21" spans="1:17" ht="9" customHeight="1" x14ac:dyDescent="0.25"/>
    <row r="23" spans="1:17" x14ac:dyDescent="0.25">
      <c r="A23" s="564"/>
      <c r="B23" s="564"/>
      <c r="C23" s="564"/>
      <c r="D23" s="564"/>
    </row>
  </sheetData>
  <mergeCells count="7">
    <mergeCell ref="G19:Q19"/>
    <mergeCell ref="A23:D23"/>
    <mergeCell ref="A1:D1"/>
    <mergeCell ref="A3:A4"/>
    <mergeCell ref="B3:B4"/>
    <mergeCell ref="C3:D3"/>
    <mergeCell ref="A2:D2"/>
  </mergeCells>
  <phoneticPr fontId="0" type="noConversion"/>
  <printOptions gridLines="1"/>
  <pageMargins left="0.74803149606299213" right="0.74803149606299213" top="0.98425196850393704" bottom="0.98425196850393704" header="0.51181102362204722" footer="0.51181102362204722"/>
  <pageSetup paperSize="9" scale="91"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6">
    <tabColor indexed="42"/>
    <pageSetUpPr fitToPage="1"/>
  </sheetPr>
  <dimension ref="A1:J82"/>
  <sheetViews>
    <sheetView zoomScaleNormal="100" workbookViewId="0">
      <pane xSplit="2" ySplit="5" topLeftCell="C6" activePane="bottomRight" state="frozen"/>
      <selection pane="topRight" activeCell="C1" sqref="C1"/>
      <selection pane="bottomLeft" activeCell="A6" sqref="A6"/>
      <selection pane="bottomRight" activeCell="A2" sqref="A2:I2"/>
    </sheetView>
  </sheetViews>
  <sheetFormatPr defaultRowHeight="15.75" x14ac:dyDescent="0.25"/>
  <cols>
    <col min="1" max="1" width="7.42578125" style="54" customWidth="1"/>
    <col min="2" max="2" width="51.5703125" style="304" customWidth="1"/>
    <col min="3" max="3" width="17" style="304" customWidth="1"/>
    <col min="4" max="4" width="18.140625" style="54" customWidth="1"/>
    <col min="5" max="5" width="18.5703125" style="54" customWidth="1"/>
    <col min="6" max="6" width="16.28515625" style="54" customWidth="1"/>
    <col min="7" max="7" width="15.28515625" style="54" customWidth="1"/>
    <col min="8" max="8" width="15.7109375" style="54" customWidth="1"/>
    <col min="9" max="9" width="20.140625" style="54" customWidth="1"/>
    <col min="10" max="10" width="9.85546875" style="54" customWidth="1"/>
    <col min="11" max="11" width="11.140625" style="54" customWidth="1"/>
    <col min="12" max="16384" width="9.140625" style="54"/>
  </cols>
  <sheetData>
    <row r="1" spans="1:10" ht="35.1" customHeight="1" thickBot="1" x14ac:dyDescent="0.3">
      <c r="A1" s="574" t="s">
        <v>651</v>
      </c>
      <c r="B1" s="575"/>
      <c r="C1" s="575"/>
      <c r="D1" s="575"/>
      <c r="E1" s="575"/>
      <c r="F1" s="575"/>
      <c r="G1" s="575"/>
      <c r="H1" s="575"/>
      <c r="I1" s="576"/>
    </row>
    <row r="2" spans="1:10" ht="35.1" customHeight="1" x14ac:dyDescent="0.25">
      <c r="A2" s="577" t="s">
        <v>725</v>
      </c>
      <c r="B2" s="578"/>
      <c r="C2" s="578"/>
      <c r="D2" s="578"/>
      <c r="E2" s="578"/>
      <c r="F2" s="578"/>
      <c r="G2" s="578"/>
      <c r="H2" s="578"/>
      <c r="I2" s="579"/>
    </row>
    <row r="3" spans="1:10" s="55" customFormat="1" ht="35.25" customHeight="1" x14ac:dyDescent="0.2">
      <c r="A3" s="580" t="s">
        <v>137</v>
      </c>
      <c r="B3" s="492" t="s">
        <v>220</v>
      </c>
      <c r="C3" s="492" t="s">
        <v>652</v>
      </c>
      <c r="D3" s="492" t="s">
        <v>867</v>
      </c>
      <c r="E3" s="492" t="s">
        <v>653</v>
      </c>
      <c r="F3" s="492" t="s">
        <v>116</v>
      </c>
      <c r="G3" s="492" t="s">
        <v>148</v>
      </c>
      <c r="H3" s="492" t="s">
        <v>566</v>
      </c>
      <c r="I3" s="572" t="s">
        <v>149</v>
      </c>
    </row>
    <row r="4" spans="1:10" s="55" customFormat="1" ht="72" customHeight="1" x14ac:dyDescent="0.2">
      <c r="A4" s="490"/>
      <c r="B4" s="496"/>
      <c r="C4" s="496"/>
      <c r="D4" s="496"/>
      <c r="E4" s="496"/>
      <c r="F4" s="496"/>
      <c r="G4" s="496"/>
      <c r="H4" s="496"/>
      <c r="I4" s="573"/>
    </row>
    <row r="5" spans="1:10" s="55" customFormat="1" x14ac:dyDescent="0.2">
      <c r="A5" s="7"/>
      <c r="B5" s="311"/>
      <c r="C5" s="20" t="s">
        <v>184</v>
      </c>
      <c r="D5" s="20" t="s">
        <v>185</v>
      </c>
      <c r="E5" s="1" t="s">
        <v>186</v>
      </c>
      <c r="F5" s="1" t="s">
        <v>192</v>
      </c>
      <c r="G5" s="1" t="s">
        <v>187</v>
      </c>
      <c r="H5" s="1" t="s">
        <v>188</v>
      </c>
      <c r="I5" s="49" t="s">
        <v>561</v>
      </c>
    </row>
    <row r="6" spans="1:10" s="55" customFormat="1" x14ac:dyDescent="0.2">
      <c r="A6" s="7">
        <v>1</v>
      </c>
      <c r="B6" s="312" t="s">
        <v>253</v>
      </c>
      <c r="C6" s="114"/>
      <c r="D6" s="114">
        <v>9025</v>
      </c>
      <c r="E6" s="114">
        <v>5904</v>
      </c>
      <c r="F6" s="114">
        <v>915591.14</v>
      </c>
      <c r="G6" s="114"/>
      <c r="H6" s="114"/>
      <c r="I6" s="115">
        <f t="shared" ref="I6:I16" si="0">SUM(C6:H6)</f>
        <v>930520.14</v>
      </c>
    </row>
    <row r="7" spans="1:10" s="55" customFormat="1" x14ac:dyDescent="0.2">
      <c r="A7" s="7"/>
      <c r="B7" s="313" t="s">
        <v>198</v>
      </c>
      <c r="C7" s="114"/>
      <c r="D7" s="114"/>
      <c r="E7" s="114"/>
      <c r="F7" s="114"/>
      <c r="G7" s="114"/>
      <c r="H7" s="114"/>
      <c r="I7" s="115"/>
    </row>
    <row r="8" spans="1:10" s="55" customFormat="1" x14ac:dyDescent="0.2">
      <c r="A8" s="7">
        <v>2</v>
      </c>
      <c r="B8" s="10" t="s">
        <v>32</v>
      </c>
      <c r="C8" s="114"/>
      <c r="D8" s="114">
        <v>9025</v>
      </c>
      <c r="E8" s="114">
        <v>5904</v>
      </c>
      <c r="F8" s="114"/>
      <c r="G8" s="114"/>
      <c r="H8" s="114"/>
      <c r="I8" s="115">
        <f t="shared" si="0"/>
        <v>14929</v>
      </c>
    </row>
    <row r="9" spans="1:10" x14ac:dyDescent="0.25">
      <c r="A9" s="7">
        <v>3</v>
      </c>
      <c r="B9" s="312" t="s">
        <v>183</v>
      </c>
      <c r="C9" s="114"/>
      <c r="D9" s="114"/>
      <c r="E9" s="114"/>
      <c r="F9" s="114"/>
      <c r="G9" s="114"/>
      <c r="H9" s="114"/>
      <c r="I9" s="115">
        <f t="shared" si="0"/>
        <v>0</v>
      </c>
    </row>
    <row r="10" spans="1:10" ht="31.5" x14ac:dyDescent="0.25">
      <c r="A10" s="7">
        <v>4</v>
      </c>
      <c r="B10" s="312" t="s">
        <v>162</v>
      </c>
      <c r="C10" s="128">
        <f t="shared" ref="C10:H10" si="1">SUM(C11:C15)</f>
        <v>0</v>
      </c>
      <c r="D10" s="128">
        <f t="shared" si="1"/>
        <v>1016437.96</v>
      </c>
      <c r="E10" s="128">
        <f t="shared" si="1"/>
        <v>249056.4</v>
      </c>
      <c r="F10" s="128">
        <f t="shared" si="1"/>
        <v>584819.96</v>
      </c>
      <c r="G10" s="128">
        <f t="shared" si="1"/>
        <v>0</v>
      </c>
      <c r="H10" s="128">
        <f t="shared" si="1"/>
        <v>11326.12</v>
      </c>
      <c r="I10" s="115">
        <f t="shared" si="0"/>
        <v>1861640.44</v>
      </c>
    </row>
    <row r="11" spans="1:10" x14ac:dyDescent="0.25">
      <c r="A11" s="7">
        <v>5</v>
      </c>
      <c r="B11" s="10" t="s">
        <v>234</v>
      </c>
      <c r="C11" s="114"/>
      <c r="D11" s="114"/>
      <c r="E11" s="114">
        <v>6144</v>
      </c>
      <c r="F11" s="114">
        <v>14143.2</v>
      </c>
      <c r="G11" s="114"/>
      <c r="H11" s="114"/>
      <c r="I11" s="115">
        <f t="shared" si="0"/>
        <v>20287.2</v>
      </c>
    </row>
    <row r="12" spans="1:10" ht="31.5" x14ac:dyDescent="0.25">
      <c r="A12" s="7">
        <v>6</v>
      </c>
      <c r="B12" s="10" t="s">
        <v>801</v>
      </c>
      <c r="C12" s="114"/>
      <c r="D12" s="114">
        <v>31500</v>
      </c>
      <c r="E12" s="114"/>
      <c r="F12" s="114"/>
      <c r="G12" s="114"/>
      <c r="H12" s="114"/>
      <c r="I12" s="115">
        <f t="shared" si="0"/>
        <v>31500</v>
      </c>
    </row>
    <row r="13" spans="1:10" x14ac:dyDescent="0.25">
      <c r="A13" s="7">
        <v>7</v>
      </c>
      <c r="B13" s="10" t="s">
        <v>235</v>
      </c>
      <c r="C13" s="114"/>
      <c r="D13" s="114"/>
      <c r="E13" s="114">
        <v>19445.37</v>
      </c>
      <c r="F13" s="114">
        <v>543021.9</v>
      </c>
      <c r="G13" s="114"/>
      <c r="H13" s="114"/>
      <c r="I13" s="115">
        <f t="shared" si="0"/>
        <v>562467.27</v>
      </c>
    </row>
    <row r="14" spans="1:10" ht="31.5" x14ac:dyDescent="0.25">
      <c r="A14" s="7">
        <v>8</v>
      </c>
      <c r="B14" s="10" t="s">
        <v>236</v>
      </c>
      <c r="C14" s="114"/>
      <c r="D14" s="114">
        <v>984937.96</v>
      </c>
      <c r="E14" s="114">
        <v>223467.03</v>
      </c>
      <c r="F14" s="114">
        <v>22830.86</v>
      </c>
      <c r="G14" s="114"/>
      <c r="H14" s="114">
        <v>11326.12</v>
      </c>
      <c r="I14" s="115">
        <f t="shared" si="0"/>
        <v>1242561.9700000002</v>
      </c>
      <c r="J14" s="124"/>
    </row>
    <row r="15" spans="1:10" ht="31.5" x14ac:dyDescent="0.25">
      <c r="A15" s="7">
        <v>9</v>
      </c>
      <c r="B15" s="10" t="s">
        <v>237</v>
      </c>
      <c r="C15" s="114"/>
      <c r="D15" s="114"/>
      <c r="E15" s="114"/>
      <c r="F15" s="114">
        <v>4824</v>
      </c>
      <c r="G15" s="114"/>
      <c r="H15" s="114"/>
      <c r="I15" s="115">
        <f t="shared" si="0"/>
        <v>4824</v>
      </c>
    </row>
    <row r="16" spans="1:10" x14ac:dyDescent="0.25">
      <c r="A16" s="7">
        <v>10</v>
      </c>
      <c r="B16" s="11" t="s">
        <v>119</v>
      </c>
      <c r="C16" s="114"/>
      <c r="D16" s="114"/>
      <c r="E16" s="114"/>
      <c r="F16" s="114">
        <v>30000</v>
      </c>
      <c r="G16" s="114"/>
      <c r="H16" s="114"/>
      <c r="I16" s="115">
        <f t="shared" si="0"/>
        <v>30000</v>
      </c>
    </row>
    <row r="17" spans="1:10" x14ac:dyDescent="0.25">
      <c r="A17" s="7">
        <v>11</v>
      </c>
      <c r="B17" s="312" t="s">
        <v>120</v>
      </c>
      <c r="C17" s="114"/>
      <c r="D17" s="114">
        <v>22074.22</v>
      </c>
      <c r="E17" s="114">
        <v>72604.399999999994</v>
      </c>
      <c r="F17" s="114">
        <v>82412</v>
      </c>
      <c r="G17" s="114"/>
      <c r="H17" s="114"/>
      <c r="I17" s="115">
        <f>SUM(C17:H17)</f>
        <v>177090.62</v>
      </c>
    </row>
    <row r="18" spans="1:10" x14ac:dyDescent="0.25">
      <c r="A18" s="7">
        <v>12</v>
      </c>
      <c r="B18" s="312" t="s">
        <v>195</v>
      </c>
      <c r="C18" s="114">
        <v>636048.06999999995</v>
      </c>
      <c r="D18" s="114">
        <v>653764.03</v>
      </c>
      <c r="E18" s="114">
        <v>828693.09</v>
      </c>
      <c r="F18" s="114">
        <f>2207657.1+3666.67</f>
        <v>2211323.77</v>
      </c>
      <c r="G18" s="114"/>
      <c r="H18" s="114">
        <v>2000</v>
      </c>
      <c r="I18" s="115">
        <f>SUM(C18:H18)</f>
        <v>4331828.96</v>
      </c>
    </row>
    <row r="19" spans="1:10" x14ac:dyDescent="0.25">
      <c r="A19" s="7">
        <v>13</v>
      </c>
      <c r="B19" s="312" t="s">
        <v>121</v>
      </c>
      <c r="C19" s="114"/>
      <c r="D19" s="114"/>
      <c r="E19" s="114">
        <v>9859.2000000000007</v>
      </c>
      <c r="F19" s="114">
        <v>26400</v>
      </c>
      <c r="G19" s="114"/>
      <c r="H19" s="114"/>
      <c r="I19" s="115">
        <f>SUM(C19:H19)</f>
        <v>36259.199999999997</v>
      </c>
    </row>
    <row r="20" spans="1:10" x14ac:dyDescent="0.25">
      <c r="A20" s="7">
        <v>14</v>
      </c>
      <c r="B20" s="312" t="s">
        <v>203</v>
      </c>
      <c r="C20" s="114"/>
      <c r="D20" s="114"/>
      <c r="E20" s="114"/>
      <c r="F20" s="114">
        <v>30</v>
      </c>
      <c r="G20" s="114"/>
      <c r="H20" s="114"/>
      <c r="I20" s="115">
        <f>SUM(C20:H20)</f>
        <v>30</v>
      </c>
    </row>
    <row r="21" spans="1:10" ht="48" thickBot="1" x14ac:dyDescent="0.3">
      <c r="A21" s="58">
        <v>15</v>
      </c>
      <c r="B21" s="314" t="s">
        <v>33</v>
      </c>
      <c r="C21" s="315">
        <f t="shared" ref="C21:H21" si="2">+C6+C9+C10+C16+C17+C18+C19+C20</f>
        <v>636048.06999999995</v>
      </c>
      <c r="D21" s="315">
        <f t="shared" si="2"/>
        <v>1701301.21</v>
      </c>
      <c r="E21" s="315">
        <f t="shared" si="2"/>
        <v>1166117.0899999999</v>
      </c>
      <c r="F21" s="315">
        <f t="shared" si="2"/>
        <v>3850576.87</v>
      </c>
      <c r="G21" s="315">
        <f t="shared" si="2"/>
        <v>0</v>
      </c>
      <c r="H21" s="315">
        <f t="shared" si="2"/>
        <v>13326.12</v>
      </c>
      <c r="I21" s="316">
        <f>SUM(C21:H21)</f>
        <v>7367369.3600000003</v>
      </c>
      <c r="J21" s="317"/>
    </row>
    <row r="22" spans="1:10" s="318" customFormat="1" x14ac:dyDescent="0.25">
      <c r="B22" s="319" t="s">
        <v>626</v>
      </c>
      <c r="C22" s="320" t="s">
        <v>207</v>
      </c>
      <c r="D22" s="320" t="s">
        <v>207</v>
      </c>
      <c r="E22" s="320" t="s">
        <v>207</v>
      </c>
      <c r="F22" s="320" t="s">
        <v>207</v>
      </c>
      <c r="G22" s="320" t="s">
        <v>207</v>
      </c>
      <c r="H22" s="320" t="s">
        <v>207</v>
      </c>
      <c r="I22" s="321">
        <v>104836.18</v>
      </c>
      <c r="J22" s="322"/>
    </row>
    <row r="23" spans="1:10" x14ac:dyDescent="0.25">
      <c r="C23" s="308"/>
      <c r="D23" s="309"/>
      <c r="E23" s="309"/>
      <c r="F23" s="309"/>
      <c r="G23" s="309"/>
      <c r="H23" s="309"/>
    </row>
    <row r="24" spans="1:10" x14ac:dyDescent="0.25">
      <c r="C24" s="309"/>
      <c r="D24" s="309"/>
      <c r="E24" s="309"/>
      <c r="F24" s="309"/>
      <c r="G24" s="309"/>
      <c r="H24" s="309"/>
    </row>
    <row r="25" spans="1:10" s="310" customFormat="1" ht="15" x14ac:dyDescent="0.25">
      <c r="B25" s="571"/>
      <c r="C25" s="571"/>
      <c r="D25" s="571"/>
      <c r="E25" s="571"/>
      <c r="F25" s="571"/>
      <c r="G25" s="571"/>
      <c r="H25" s="571"/>
      <c r="I25" s="571"/>
    </row>
    <row r="26" spans="1:10" x14ac:dyDescent="0.25">
      <c r="C26" s="309"/>
      <c r="D26" s="309"/>
      <c r="E26" s="309"/>
      <c r="F26" s="309"/>
      <c r="G26" s="309"/>
      <c r="H26" s="309"/>
    </row>
    <row r="27" spans="1:10" x14ac:dyDescent="0.25">
      <c r="C27" s="309"/>
      <c r="D27" s="309"/>
      <c r="E27" s="309"/>
      <c r="F27" s="309"/>
      <c r="G27" s="309"/>
      <c r="H27" s="309"/>
    </row>
    <row r="28" spans="1:10" x14ac:dyDescent="0.25">
      <c r="C28" s="309"/>
      <c r="D28" s="309"/>
      <c r="E28" s="309"/>
      <c r="F28" s="309"/>
      <c r="G28" s="309"/>
      <c r="H28" s="309"/>
    </row>
    <row r="29" spans="1:10" x14ac:dyDescent="0.25">
      <c r="C29" s="309"/>
      <c r="D29" s="309"/>
      <c r="E29" s="309"/>
      <c r="F29" s="309"/>
      <c r="G29" s="309"/>
      <c r="H29" s="309"/>
    </row>
    <row r="30" spans="1:10" x14ac:dyDescent="0.25">
      <c r="C30" s="309"/>
      <c r="D30" s="309"/>
      <c r="E30" s="309"/>
      <c r="F30" s="309"/>
      <c r="G30" s="309"/>
      <c r="H30" s="309"/>
    </row>
    <row r="31" spans="1:10" x14ac:dyDescent="0.25">
      <c r="C31" s="309"/>
      <c r="D31" s="309"/>
      <c r="E31" s="309"/>
      <c r="F31" s="309"/>
      <c r="G31" s="309"/>
      <c r="H31" s="309"/>
    </row>
    <row r="32" spans="1:10" x14ac:dyDescent="0.25">
      <c r="C32" s="309"/>
      <c r="D32" s="309"/>
      <c r="E32" s="309"/>
      <c r="F32" s="309"/>
      <c r="G32" s="309"/>
      <c r="H32" s="309"/>
    </row>
    <row r="33" spans="3:8" x14ac:dyDescent="0.25">
      <c r="C33" s="309"/>
      <c r="D33" s="309"/>
      <c r="E33" s="309"/>
      <c r="F33" s="309"/>
      <c r="G33" s="309"/>
      <c r="H33" s="309"/>
    </row>
    <row r="34" spans="3:8" x14ac:dyDescent="0.25">
      <c r="C34" s="309"/>
      <c r="D34" s="309"/>
      <c r="E34" s="309"/>
      <c r="F34" s="309"/>
      <c r="G34" s="309"/>
      <c r="H34" s="309"/>
    </row>
    <row r="35" spans="3:8" x14ac:dyDescent="0.25">
      <c r="C35" s="309"/>
      <c r="D35" s="309"/>
      <c r="E35" s="309"/>
      <c r="F35" s="309"/>
      <c r="G35" s="309"/>
      <c r="H35" s="309"/>
    </row>
    <row r="36" spans="3:8" x14ac:dyDescent="0.25">
      <c r="C36" s="309"/>
      <c r="D36" s="309"/>
      <c r="E36" s="309"/>
      <c r="F36" s="309"/>
      <c r="G36" s="309"/>
      <c r="H36" s="309"/>
    </row>
    <row r="37" spans="3:8" x14ac:dyDescent="0.25">
      <c r="C37" s="309"/>
      <c r="D37" s="309"/>
      <c r="E37" s="309"/>
      <c r="F37" s="309"/>
      <c r="G37" s="309"/>
      <c r="H37" s="309"/>
    </row>
    <row r="38" spans="3:8" x14ac:dyDescent="0.25">
      <c r="C38" s="309"/>
      <c r="D38" s="309"/>
      <c r="E38" s="309"/>
      <c r="F38" s="309"/>
      <c r="G38" s="309"/>
      <c r="H38" s="309"/>
    </row>
    <row r="39" spans="3:8" x14ac:dyDescent="0.25">
      <c r="C39" s="309"/>
      <c r="D39" s="309"/>
      <c r="E39" s="309"/>
      <c r="F39" s="309"/>
      <c r="G39" s="309"/>
      <c r="H39" s="309"/>
    </row>
    <row r="40" spans="3:8" x14ac:dyDescent="0.25">
      <c r="C40" s="309"/>
      <c r="D40" s="309"/>
      <c r="E40" s="309"/>
      <c r="F40" s="309"/>
      <c r="G40" s="309"/>
      <c r="H40" s="309"/>
    </row>
    <row r="41" spans="3:8" x14ac:dyDescent="0.25">
      <c r="C41" s="309"/>
      <c r="D41" s="309"/>
      <c r="E41" s="309"/>
      <c r="F41" s="309"/>
      <c r="G41" s="309"/>
      <c r="H41" s="309"/>
    </row>
    <row r="42" spans="3:8" x14ac:dyDescent="0.25">
      <c r="C42" s="309"/>
      <c r="D42" s="309"/>
      <c r="E42" s="309"/>
      <c r="F42" s="309"/>
      <c r="G42" s="309"/>
      <c r="H42" s="309"/>
    </row>
    <row r="43" spans="3:8" x14ac:dyDescent="0.25">
      <c r="C43" s="309"/>
      <c r="D43" s="309"/>
      <c r="E43" s="309"/>
      <c r="F43" s="309"/>
      <c r="G43" s="309"/>
      <c r="H43" s="309"/>
    </row>
    <row r="44" spans="3:8" x14ac:dyDescent="0.25">
      <c r="C44" s="309"/>
      <c r="D44" s="309"/>
      <c r="E44" s="309"/>
      <c r="F44" s="309"/>
      <c r="G44" s="309"/>
      <c r="H44" s="309"/>
    </row>
    <row r="45" spans="3:8" x14ac:dyDescent="0.25">
      <c r="C45" s="309"/>
      <c r="D45" s="309"/>
      <c r="E45" s="309"/>
      <c r="F45" s="309"/>
      <c r="G45" s="309"/>
      <c r="H45" s="309"/>
    </row>
    <row r="46" spans="3:8" x14ac:dyDescent="0.25">
      <c r="C46" s="309"/>
      <c r="D46" s="309"/>
      <c r="E46" s="309"/>
      <c r="F46" s="309"/>
      <c r="G46" s="309"/>
      <c r="H46" s="309"/>
    </row>
    <row r="47" spans="3:8" x14ac:dyDescent="0.25">
      <c r="C47" s="309"/>
      <c r="D47" s="309"/>
      <c r="E47" s="309"/>
      <c r="F47" s="309"/>
      <c r="G47" s="309"/>
      <c r="H47" s="309"/>
    </row>
    <row r="48" spans="3:8" x14ac:dyDescent="0.25">
      <c r="C48" s="309"/>
      <c r="D48" s="309"/>
      <c r="E48" s="309"/>
      <c r="F48" s="309"/>
      <c r="G48" s="309"/>
      <c r="H48" s="309"/>
    </row>
    <row r="49" spans="3:8" x14ac:dyDescent="0.25">
      <c r="C49" s="309"/>
      <c r="D49" s="309"/>
      <c r="E49" s="309"/>
      <c r="F49" s="309"/>
      <c r="G49" s="309"/>
      <c r="H49" s="309"/>
    </row>
    <row r="50" spans="3:8" x14ac:dyDescent="0.25">
      <c r="C50" s="309"/>
      <c r="D50" s="309"/>
      <c r="E50" s="309"/>
      <c r="F50" s="309"/>
      <c r="G50" s="309"/>
      <c r="H50" s="309"/>
    </row>
    <row r="51" spans="3:8" x14ac:dyDescent="0.25">
      <c r="C51" s="309"/>
      <c r="D51" s="309"/>
      <c r="E51" s="309"/>
      <c r="F51" s="309"/>
      <c r="G51" s="309"/>
      <c r="H51" s="309"/>
    </row>
    <row r="52" spans="3:8" x14ac:dyDescent="0.25">
      <c r="C52" s="309"/>
      <c r="D52" s="309"/>
      <c r="E52" s="309"/>
      <c r="F52" s="309"/>
      <c r="G52" s="309"/>
      <c r="H52" s="309"/>
    </row>
    <row r="53" spans="3:8" x14ac:dyDescent="0.25">
      <c r="C53" s="309"/>
      <c r="D53" s="309"/>
      <c r="E53" s="309"/>
      <c r="F53" s="309"/>
      <c r="G53" s="309"/>
      <c r="H53" s="309"/>
    </row>
    <row r="54" spans="3:8" x14ac:dyDescent="0.25">
      <c r="C54" s="309"/>
      <c r="D54" s="309"/>
      <c r="E54" s="309"/>
      <c r="F54" s="309"/>
      <c r="G54" s="309"/>
      <c r="H54" s="309"/>
    </row>
    <row r="55" spans="3:8" x14ac:dyDescent="0.25">
      <c r="C55" s="309"/>
      <c r="D55" s="309"/>
      <c r="E55" s="309"/>
      <c r="F55" s="309"/>
      <c r="G55" s="309"/>
      <c r="H55" s="309"/>
    </row>
    <row r="56" spans="3:8" x14ac:dyDescent="0.25">
      <c r="C56" s="309"/>
      <c r="D56" s="309"/>
      <c r="E56" s="309"/>
      <c r="F56" s="309"/>
      <c r="G56" s="309"/>
      <c r="H56" s="309"/>
    </row>
    <row r="57" spans="3:8" x14ac:dyDescent="0.25">
      <c r="C57" s="309"/>
      <c r="D57" s="309"/>
      <c r="E57" s="309"/>
      <c r="F57" s="309"/>
      <c r="G57" s="309"/>
      <c r="H57" s="309"/>
    </row>
    <row r="58" spans="3:8" x14ac:dyDescent="0.25">
      <c r="C58" s="309"/>
      <c r="D58" s="309"/>
      <c r="E58" s="309"/>
      <c r="F58" s="309"/>
      <c r="G58" s="309"/>
      <c r="H58" s="309"/>
    </row>
    <row r="59" spans="3:8" x14ac:dyDescent="0.25">
      <c r="C59" s="309"/>
      <c r="D59" s="309"/>
      <c r="E59" s="309"/>
      <c r="F59" s="309"/>
      <c r="G59" s="309"/>
      <c r="H59" s="309"/>
    </row>
    <row r="60" spans="3:8" x14ac:dyDescent="0.25">
      <c r="C60" s="309"/>
      <c r="D60" s="309"/>
      <c r="E60" s="309"/>
      <c r="F60" s="309"/>
      <c r="G60" s="309"/>
      <c r="H60" s="309"/>
    </row>
    <row r="61" spans="3:8" x14ac:dyDescent="0.25">
      <c r="C61" s="309"/>
      <c r="D61" s="309"/>
      <c r="E61" s="309"/>
      <c r="F61" s="309"/>
      <c r="G61" s="309"/>
      <c r="H61" s="309"/>
    </row>
    <row r="62" spans="3:8" x14ac:dyDescent="0.25">
      <c r="C62" s="309"/>
      <c r="D62" s="309"/>
      <c r="E62" s="309"/>
      <c r="F62" s="309"/>
      <c r="G62" s="309"/>
      <c r="H62" s="309"/>
    </row>
    <row r="63" spans="3:8" x14ac:dyDescent="0.25">
      <c r="C63" s="309"/>
      <c r="D63" s="309"/>
      <c r="E63" s="309"/>
      <c r="F63" s="309"/>
      <c r="G63" s="309"/>
      <c r="H63" s="309"/>
    </row>
    <row r="64" spans="3:8" x14ac:dyDescent="0.25">
      <c r="C64" s="309"/>
      <c r="D64" s="309"/>
      <c r="E64" s="309"/>
      <c r="F64" s="309"/>
      <c r="G64" s="309"/>
      <c r="H64" s="309"/>
    </row>
    <row r="65" spans="3:8" x14ac:dyDescent="0.25">
      <c r="C65" s="309"/>
      <c r="D65" s="309"/>
      <c r="E65" s="309"/>
      <c r="F65" s="309"/>
      <c r="G65" s="309"/>
      <c r="H65" s="309"/>
    </row>
    <row r="66" spans="3:8" x14ac:dyDescent="0.25">
      <c r="C66" s="309"/>
      <c r="D66" s="309"/>
      <c r="E66" s="309"/>
      <c r="F66" s="309"/>
      <c r="G66" s="309"/>
      <c r="H66" s="309"/>
    </row>
    <row r="67" spans="3:8" x14ac:dyDescent="0.25">
      <c r="C67" s="309"/>
      <c r="D67" s="309"/>
      <c r="E67" s="309"/>
      <c r="F67" s="309"/>
      <c r="G67" s="309"/>
      <c r="H67" s="309"/>
    </row>
    <row r="68" spans="3:8" x14ac:dyDescent="0.25">
      <c r="C68" s="309"/>
      <c r="D68" s="309"/>
      <c r="E68" s="309"/>
      <c r="F68" s="309"/>
      <c r="G68" s="309"/>
      <c r="H68" s="309"/>
    </row>
    <row r="69" spans="3:8" x14ac:dyDescent="0.25">
      <c r="C69" s="309"/>
      <c r="D69" s="309"/>
      <c r="E69" s="309"/>
      <c r="F69" s="309"/>
      <c r="G69" s="309"/>
      <c r="H69" s="309"/>
    </row>
    <row r="70" spans="3:8" x14ac:dyDescent="0.25">
      <c r="C70" s="309"/>
      <c r="D70" s="309"/>
      <c r="E70" s="309"/>
      <c r="F70" s="309"/>
      <c r="G70" s="309"/>
      <c r="H70" s="309"/>
    </row>
    <row r="71" spans="3:8" x14ac:dyDescent="0.25">
      <c r="C71" s="309"/>
      <c r="D71" s="309"/>
      <c r="E71" s="309"/>
      <c r="F71" s="309"/>
      <c r="G71" s="309"/>
      <c r="H71" s="309"/>
    </row>
    <row r="72" spans="3:8" x14ac:dyDescent="0.25">
      <c r="C72" s="309"/>
      <c r="D72" s="309"/>
      <c r="E72" s="309"/>
      <c r="F72" s="309"/>
      <c r="G72" s="309"/>
      <c r="H72" s="309"/>
    </row>
    <row r="73" spans="3:8" x14ac:dyDescent="0.25">
      <c r="C73" s="309"/>
      <c r="D73" s="309"/>
      <c r="E73" s="309"/>
      <c r="F73" s="309"/>
      <c r="G73" s="309"/>
      <c r="H73" s="309"/>
    </row>
    <row r="74" spans="3:8" x14ac:dyDescent="0.25">
      <c r="C74" s="309"/>
      <c r="D74" s="309"/>
      <c r="E74" s="309"/>
      <c r="F74" s="309"/>
      <c r="G74" s="309"/>
      <c r="H74" s="309"/>
    </row>
    <row r="75" spans="3:8" x14ac:dyDescent="0.25">
      <c r="C75" s="309"/>
      <c r="D75" s="309"/>
      <c r="E75" s="309"/>
      <c r="F75" s="309"/>
      <c r="G75" s="309"/>
      <c r="H75" s="309"/>
    </row>
    <row r="76" spans="3:8" x14ac:dyDescent="0.25">
      <c r="C76" s="309"/>
      <c r="D76" s="309"/>
      <c r="E76" s="309"/>
      <c r="F76" s="309"/>
      <c r="G76" s="309"/>
      <c r="H76" s="309"/>
    </row>
    <row r="77" spans="3:8" x14ac:dyDescent="0.25">
      <c r="C77" s="309"/>
      <c r="D77" s="309"/>
      <c r="E77" s="309"/>
      <c r="F77" s="309"/>
      <c r="G77" s="309"/>
      <c r="H77" s="309"/>
    </row>
    <row r="78" spans="3:8" x14ac:dyDescent="0.25">
      <c r="C78" s="309"/>
      <c r="D78" s="309"/>
      <c r="E78" s="309"/>
      <c r="F78" s="309"/>
      <c r="G78" s="309"/>
      <c r="H78" s="309"/>
    </row>
    <row r="79" spans="3:8" x14ac:dyDescent="0.25">
      <c r="C79" s="309"/>
      <c r="D79" s="309"/>
      <c r="E79" s="309"/>
      <c r="F79" s="309"/>
      <c r="G79" s="309"/>
      <c r="H79" s="309"/>
    </row>
    <row r="80" spans="3:8" x14ac:dyDescent="0.25">
      <c r="C80" s="309"/>
      <c r="D80" s="309"/>
      <c r="E80" s="309"/>
      <c r="F80" s="309"/>
      <c r="G80" s="309"/>
      <c r="H80" s="309"/>
    </row>
    <row r="81" spans="3:8" x14ac:dyDescent="0.25">
      <c r="C81" s="309"/>
      <c r="D81" s="309"/>
      <c r="E81" s="309"/>
      <c r="F81" s="309"/>
      <c r="G81" s="309"/>
      <c r="H81" s="309"/>
    </row>
    <row r="82" spans="3:8" x14ac:dyDescent="0.25">
      <c r="C82" s="309"/>
      <c r="D82" s="309"/>
      <c r="E82" s="309"/>
      <c r="F82" s="309"/>
      <c r="G82" s="309"/>
      <c r="H82" s="309"/>
    </row>
  </sheetData>
  <mergeCells count="12">
    <mergeCell ref="B25:I25"/>
    <mergeCell ref="E3:E4"/>
    <mergeCell ref="I3:I4"/>
    <mergeCell ref="A1:I1"/>
    <mergeCell ref="A2:I2"/>
    <mergeCell ref="G3:G4"/>
    <mergeCell ref="C3:C4"/>
    <mergeCell ref="H3:H4"/>
    <mergeCell ref="A3:A4"/>
    <mergeCell ref="B3:B4"/>
    <mergeCell ref="D3:D4"/>
    <mergeCell ref="F3:F4"/>
  </mergeCells>
  <phoneticPr fontId="0" type="noConversion"/>
  <printOptions gridLines="1"/>
  <pageMargins left="0.48" right="0.44" top="0.98425196850393704" bottom="0.98425196850393704" header="0.51181102362204722" footer="0.51181102362204722"/>
  <pageSetup paperSize="9" scale="77"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pageSetUpPr fitToPage="1"/>
  </sheetPr>
  <dimension ref="A1:IV25"/>
  <sheetViews>
    <sheetView workbookViewId="0">
      <pane xSplit="2" ySplit="5" topLeftCell="C6" activePane="bottomRight" state="frozen"/>
      <selection pane="topRight" activeCell="C1" sqref="C1"/>
      <selection pane="bottomLeft" activeCell="A6" sqref="A6"/>
      <selection pane="bottomRight" activeCell="A2" sqref="A2:N2"/>
    </sheetView>
  </sheetViews>
  <sheetFormatPr defaultColWidth="9.140625" defaultRowHeight="15.75" x14ac:dyDescent="0.25"/>
  <cols>
    <col min="1" max="1" width="7.28515625" style="54" customWidth="1"/>
    <col min="2" max="2" width="38.85546875" style="59" customWidth="1"/>
    <col min="3" max="3" width="15.7109375" style="54" customWidth="1"/>
    <col min="4" max="4" width="14.5703125" style="54" customWidth="1"/>
    <col min="5" max="6" width="14.42578125" style="54" customWidth="1"/>
    <col min="7" max="7" width="13.28515625" style="54" customWidth="1"/>
    <col min="8" max="9" width="13.42578125" style="54" customWidth="1"/>
    <col min="10" max="10" width="12.42578125" style="54" customWidth="1"/>
    <col min="11" max="11" width="14.5703125" style="54" customWidth="1"/>
    <col min="12" max="12" width="14.42578125" style="54" customWidth="1"/>
    <col min="13" max="13" width="14.85546875" style="54" customWidth="1"/>
    <col min="14" max="14" width="14.7109375" style="54" customWidth="1"/>
    <col min="15" max="15" width="14.140625" style="54" customWidth="1"/>
    <col min="16" max="16" width="14.28515625" style="54" customWidth="1"/>
    <col min="17" max="16384" width="9.140625" style="54"/>
  </cols>
  <sheetData>
    <row r="1" spans="1:256" ht="27.75" customHeight="1" thickBot="1" x14ac:dyDescent="0.3">
      <c r="A1" s="583" t="s">
        <v>654</v>
      </c>
      <c r="B1" s="584"/>
      <c r="C1" s="584"/>
      <c r="D1" s="584"/>
      <c r="E1" s="584"/>
      <c r="F1" s="584"/>
      <c r="G1" s="584"/>
      <c r="H1" s="584"/>
      <c r="I1" s="584"/>
      <c r="J1" s="584"/>
      <c r="K1" s="584"/>
      <c r="L1" s="584"/>
      <c r="M1" s="584"/>
      <c r="N1" s="585"/>
    </row>
    <row r="2" spans="1:256" ht="28.5" customHeight="1" x14ac:dyDescent="0.25">
      <c r="A2" s="577" t="s">
        <v>725</v>
      </c>
      <c r="B2" s="578"/>
      <c r="C2" s="578"/>
      <c r="D2" s="578"/>
      <c r="E2" s="578"/>
      <c r="F2" s="578"/>
      <c r="G2" s="578"/>
      <c r="H2" s="578"/>
      <c r="I2" s="586"/>
      <c r="J2" s="586"/>
      <c r="K2" s="578"/>
      <c r="L2" s="578"/>
      <c r="M2" s="578"/>
      <c r="N2" s="579"/>
    </row>
    <row r="3" spans="1:256" ht="51.75" customHeight="1" x14ac:dyDescent="0.25">
      <c r="A3" s="587" t="s">
        <v>137</v>
      </c>
      <c r="B3" s="491" t="s">
        <v>624</v>
      </c>
      <c r="C3" s="504" t="s">
        <v>223</v>
      </c>
      <c r="D3" s="504"/>
      <c r="E3" s="504" t="s">
        <v>224</v>
      </c>
      <c r="F3" s="504"/>
      <c r="G3" s="504" t="s">
        <v>225</v>
      </c>
      <c r="H3" s="502"/>
      <c r="I3" s="504" t="s">
        <v>576</v>
      </c>
      <c r="J3" s="504"/>
      <c r="K3" s="588" t="s">
        <v>204</v>
      </c>
      <c r="L3" s="504"/>
      <c r="M3" s="504" t="s">
        <v>219</v>
      </c>
      <c r="N3" s="553"/>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5"/>
      <c r="DR3" s="55"/>
      <c r="DS3" s="55"/>
      <c r="DT3" s="55"/>
      <c r="DU3" s="55"/>
      <c r="DV3" s="55"/>
      <c r="DW3" s="55"/>
      <c r="DX3" s="55"/>
      <c r="DY3" s="55"/>
      <c r="DZ3" s="55"/>
      <c r="EA3" s="55"/>
      <c r="EB3" s="55"/>
      <c r="EC3" s="55"/>
      <c r="ED3" s="55"/>
      <c r="EE3" s="55"/>
      <c r="EF3" s="55"/>
      <c r="EG3" s="55"/>
      <c r="EH3" s="55"/>
      <c r="EI3" s="55"/>
      <c r="EJ3" s="55"/>
      <c r="EK3" s="55"/>
      <c r="EL3" s="55"/>
      <c r="EM3" s="55"/>
      <c r="EN3" s="55"/>
      <c r="EO3" s="55"/>
      <c r="EP3" s="55"/>
      <c r="EQ3" s="55"/>
      <c r="ER3" s="55"/>
      <c r="ES3" s="55"/>
      <c r="ET3" s="55"/>
      <c r="EU3" s="55"/>
      <c r="EV3" s="55"/>
      <c r="EW3" s="55"/>
      <c r="EX3" s="55"/>
      <c r="EY3" s="55"/>
      <c r="EZ3" s="55"/>
      <c r="FA3" s="55"/>
      <c r="FB3" s="55"/>
      <c r="FC3" s="55"/>
      <c r="FD3" s="55"/>
      <c r="FE3" s="55"/>
      <c r="FF3" s="55"/>
      <c r="FG3" s="55"/>
      <c r="FH3" s="55"/>
      <c r="FI3" s="55"/>
      <c r="FJ3" s="55"/>
      <c r="FK3" s="55"/>
      <c r="FL3" s="55"/>
      <c r="FM3" s="55"/>
      <c r="FN3" s="55"/>
      <c r="FO3" s="55"/>
      <c r="FP3" s="55"/>
      <c r="FQ3" s="55"/>
      <c r="FR3" s="55"/>
      <c r="FS3" s="55"/>
      <c r="FT3" s="55"/>
      <c r="FU3" s="55"/>
      <c r="FV3" s="55"/>
      <c r="FW3" s="55"/>
      <c r="FX3" s="55"/>
      <c r="FY3" s="55"/>
      <c r="FZ3" s="55"/>
      <c r="GA3" s="55"/>
      <c r="GB3" s="55"/>
      <c r="GC3" s="55"/>
      <c r="GD3" s="55"/>
      <c r="GE3" s="55"/>
      <c r="GF3" s="55"/>
      <c r="GG3" s="55"/>
      <c r="GH3" s="55"/>
      <c r="GI3" s="55"/>
      <c r="GJ3" s="55"/>
      <c r="GK3" s="55"/>
      <c r="GL3" s="55"/>
      <c r="GM3" s="55"/>
      <c r="GN3" s="55"/>
      <c r="GO3" s="55"/>
      <c r="GP3" s="55"/>
      <c r="GQ3" s="55"/>
      <c r="GR3" s="55"/>
      <c r="GS3" s="55"/>
      <c r="GT3" s="55"/>
      <c r="GU3" s="55"/>
      <c r="GV3" s="55"/>
      <c r="GW3" s="55"/>
      <c r="GX3" s="55"/>
      <c r="GY3" s="55"/>
      <c r="GZ3" s="55"/>
      <c r="HA3" s="55"/>
      <c r="HB3" s="55"/>
      <c r="HC3" s="55"/>
      <c r="HD3" s="55"/>
      <c r="HE3" s="55"/>
      <c r="HF3" s="55"/>
      <c r="HG3" s="55"/>
      <c r="HH3" s="55"/>
      <c r="HI3" s="55"/>
      <c r="HJ3" s="55"/>
      <c r="HK3" s="55"/>
      <c r="HL3" s="55"/>
      <c r="HM3" s="55"/>
      <c r="HN3" s="55"/>
      <c r="HO3" s="55"/>
      <c r="HP3" s="55"/>
      <c r="HQ3" s="55"/>
      <c r="HR3" s="55"/>
      <c r="HS3" s="55"/>
      <c r="HT3" s="55"/>
      <c r="HU3" s="55"/>
      <c r="HV3" s="55"/>
      <c r="HW3" s="55"/>
      <c r="HX3" s="55"/>
      <c r="HY3" s="55"/>
      <c r="HZ3" s="55"/>
      <c r="IA3" s="55"/>
      <c r="IB3" s="55"/>
      <c r="IC3" s="55"/>
      <c r="ID3" s="55"/>
      <c r="IE3" s="55"/>
      <c r="IF3" s="55"/>
      <c r="IG3" s="55"/>
      <c r="IH3" s="55"/>
      <c r="II3" s="55"/>
      <c r="IJ3" s="55"/>
      <c r="IK3" s="55"/>
      <c r="IL3" s="55"/>
      <c r="IM3" s="55"/>
      <c r="IN3" s="55"/>
      <c r="IO3" s="55"/>
      <c r="IP3" s="55"/>
      <c r="IQ3" s="55"/>
      <c r="IR3" s="55"/>
      <c r="IS3" s="55"/>
      <c r="IT3" s="55"/>
      <c r="IU3" s="55"/>
      <c r="IV3" s="55"/>
    </row>
    <row r="4" spans="1:256" ht="17.25" customHeight="1" x14ac:dyDescent="0.25">
      <c r="A4" s="587"/>
      <c r="B4" s="492"/>
      <c r="C4" s="121">
        <v>2015</v>
      </c>
      <c r="D4" s="121">
        <v>2016</v>
      </c>
      <c r="E4" s="121">
        <v>2015</v>
      </c>
      <c r="F4" s="121">
        <v>2016</v>
      </c>
      <c r="G4" s="121">
        <v>2015</v>
      </c>
      <c r="H4" s="121">
        <v>2016</v>
      </c>
      <c r="I4" s="121">
        <v>2015</v>
      </c>
      <c r="J4" s="121">
        <v>2016</v>
      </c>
      <c r="K4" s="121">
        <v>2015</v>
      </c>
      <c r="L4" s="121">
        <v>2016</v>
      </c>
      <c r="M4" s="121">
        <v>2015</v>
      </c>
      <c r="N4" s="122">
        <v>2016</v>
      </c>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c r="DQ4" s="55"/>
      <c r="DR4" s="55"/>
      <c r="DS4" s="55"/>
      <c r="DT4" s="55"/>
      <c r="DU4" s="55"/>
      <c r="DV4" s="55"/>
      <c r="DW4" s="55"/>
      <c r="DX4" s="55"/>
      <c r="DY4" s="55"/>
      <c r="DZ4" s="55"/>
      <c r="EA4" s="55"/>
      <c r="EB4" s="55"/>
      <c r="EC4" s="55"/>
      <c r="ED4" s="55"/>
      <c r="EE4" s="55"/>
      <c r="EF4" s="55"/>
      <c r="EG4" s="55"/>
      <c r="EH4" s="55"/>
      <c r="EI4" s="55"/>
      <c r="EJ4" s="55"/>
      <c r="EK4" s="55"/>
      <c r="EL4" s="55"/>
      <c r="EM4" s="55"/>
      <c r="EN4" s="55"/>
      <c r="EO4" s="55"/>
      <c r="EP4" s="55"/>
      <c r="EQ4" s="55"/>
      <c r="ER4" s="55"/>
      <c r="ES4" s="55"/>
      <c r="ET4" s="55"/>
      <c r="EU4" s="55"/>
      <c r="EV4" s="55"/>
      <c r="EW4" s="55"/>
      <c r="EX4" s="55"/>
      <c r="EY4" s="55"/>
      <c r="EZ4" s="55"/>
      <c r="FA4" s="55"/>
      <c r="FB4" s="55"/>
      <c r="FC4" s="55"/>
      <c r="FD4" s="55"/>
      <c r="FE4" s="55"/>
      <c r="FF4" s="55"/>
      <c r="FG4" s="55"/>
      <c r="FH4" s="55"/>
      <c r="FI4" s="55"/>
      <c r="FJ4" s="55"/>
      <c r="FK4" s="55"/>
      <c r="FL4" s="55"/>
      <c r="FM4" s="55"/>
      <c r="FN4" s="55"/>
      <c r="FO4" s="55"/>
      <c r="FP4" s="55"/>
      <c r="FQ4" s="55"/>
      <c r="FR4" s="55"/>
      <c r="FS4" s="55"/>
      <c r="FT4" s="55"/>
      <c r="FU4" s="55"/>
      <c r="FV4" s="55"/>
      <c r="FW4" s="55"/>
      <c r="FX4" s="55"/>
      <c r="FY4" s="55"/>
      <c r="FZ4" s="55"/>
      <c r="GA4" s="55"/>
      <c r="GB4" s="55"/>
      <c r="GC4" s="55"/>
      <c r="GD4" s="55"/>
      <c r="GE4" s="55"/>
      <c r="GF4" s="55"/>
      <c r="GG4" s="55"/>
      <c r="GH4" s="55"/>
      <c r="GI4" s="55"/>
      <c r="GJ4" s="55"/>
      <c r="GK4" s="55"/>
      <c r="GL4" s="55"/>
      <c r="GM4" s="55"/>
      <c r="GN4" s="55"/>
      <c r="GO4" s="55"/>
      <c r="GP4" s="55"/>
      <c r="GQ4" s="55"/>
      <c r="GR4" s="55"/>
      <c r="GS4" s="55"/>
      <c r="GT4" s="55"/>
      <c r="GU4" s="55"/>
      <c r="GV4" s="55"/>
      <c r="GW4" s="55"/>
      <c r="GX4" s="55"/>
      <c r="GY4" s="55"/>
      <c r="GZ4" s="55"/>
      <c r="HA4" s="55"/>
      <c r="HB4" s="55"/>
      <c r="HC4" s="55"/>
      <c r="HD4" s="55"/>
      <c r="HE4" s="55"/>
      <c r="HF4" s="55"/>
      <c r="HG4" s="55"/>
      <c r="HH4" s="55"/>
      <c r="HI4" s="55"/>
      <c r="HJ4" s="55"/>
      <c r="HK4" s="55"/>
      <c r="HL4" s="55"/>
      <c r="HM4" s="55"/>
      <c r="HN4" s="55"/>
      <c r="HO4" s="55"/>
      <c r="HP4" s="55"/>
      <c r="HQ4" s="55"/>
      <c r="HR4" s="55"/>
      <c r="HS4" s="55"/>
      <c r="HT4" s="55"/>
      <c r="HU4" s="55"/>
      <c r="HV4" s="55"/>
      <c r="HW4" s="55"/>
      <c r="HX4" s="55"/>
      <c r="HY4" s="55"/>
      <c r="HZ4" s="55"/>
      <c r="IA4" s="55"/>
      <c r="IB4" s="55"/>
      <c r="IC4" s="55"/>
      <c r="ID4" s="55"/>
      <c r="IE4" s="55"/>
      <c r="IF4" s="55"/>
      <c r="IG4" s="55"/>
      <c r="IH4" s="55"/>
      <c r="II4" s="55"/>
      <c r="IJ4" s="55"/>
      <c r="IK4" s="55"/>
      <c r="IL4" s="55"/>
      <c r="IM4" s="55"/>
      <c r="IN4" s="55"/>
      <c r="IO4" s="55"/>
      <c r="IP4" s="55"/>
      <c r="IQ4" s="55"/>
      <c r="IR4" s="55"/>
      <c r="IS4" s="55"/>
      <c r="IT4" s="55"/>
      <c r="IU4" s="55"/>
      <c r="IV4" s="55"/>
    </row>
    <row r="5" spans="1:256" ht="31.5" customHeight="1" x14ac:dyDescent="0.25">
      <c r="A5" s="7"/>
      <c r="B5" s="56"/>
      <c r="C5" s="1" t="s">
        <v>184</v>
      </c>
      <c r="D5" s="1" t="s">
        <v>185</v>
      </c>
      <c r="E5" s="1" t="s">
        <v>186</v>
      </c>
      <c r="F5" s="1" t="s">
        <v>192</v>
      </c>
      <c r="G5" s="1" t="s">
        <v>187</v>
      </c>
      <c r="H5" s="60" t="s">
        <v>188</v>
      </c>
      <c r="I5" s="1" t="s">
        <v>189</v>
      </c>
      <c r="J5" s="1" t="s">
        <v>190</v>
      </c>
      <c r="K5" s="1" t="s">
        <v>191</v>
      </c>
      <c r="L5" s="1" t="s">
        <v>558</v>
      </c>
      <c r="M5" s="1" t="s">
        <v>868</v>
      </c>
      <c r="N5" s="267" t="s">
        <v>869</v>
      </c>
      <c r="O5" s="55"/>
      <c r="P5" s="55"/>
      <c r="Q5" s="57"/>
      <c r="R5" s="57"/>
      <c r="S5" s="57"/>
      <c r="T5" s="57"/>
      <c r="U5" s="57"/>
      <c r="V5" s="57"/>
      <c r="W5" s="57"/>
      <c r="X5" s="57"/>
      <c r="Y5" s="57"/>
      <c r="Z5" s="57"/>
      <c r="AA5" s="57"/>
      <c r="AB5" s="57"/>
      <c r="AC5" s="57"/>
      <c r="AD5" s="57"/>
      <c r="AE5" s="57"/>
      <c r="AF5" s="57"/>
      <c r="AG5" s="57"/>
      <c r="AH5" s="57"/>
      <c r="AI5" s="57"/>
      <c r="AJ5" s="57"/>
      <c r="AK5" s="57"/>
      <c r="AL5" s="57"/>
      <c r="AM5" s="57"/>
      <c r="AN5" s="57"/>
      <c r="AO5" s="57"/>
      <c r="AP5" s="57"/>
      <c r="AQ5" s="57"/>
      <c r="AR5" s="57"/>
      <c r="AS5" s="57"/>
      <c r="AT5" s="57"/>
      <c r="AU5" s="57"/>
      <c r="AV5" s="57"/>
      <c r="AW5" s="57"/>
      <c r="AX5" s="57"/>
      <c r="AY5" s="57"/>
      <c r="AZ5" s="57"/>
      <c r="BA5" s="57"/>
      <c r="BB5" s="57"/>
      <c r="BC5" s="57"/>
      <c r="BD5" s="57"/>
      <c r="BE5" s="57"/>
      <c r="BF5" s="57"/>
      <c r="BG5" s="57"/>
      <c r="BH5" s="57"/>
      <c r="BI5" s="57"/>
      <c r="BJ5" s="57"/>
      <c r="BK5" s="57"/>
      <c r="BL5" s="57"/>
      <c r="BM5" s="57"/>
      <c r="BN5" s="57"/>
      <c r="BO5" s="57"/>
      <c r="BP5" s="57"/>
      <c r="BQ5" s="57"/>
      <c r="BR5" s="57"/>
      <c r="BS5" s="57"/>
      <c r="BT5" s="57"/>
      <c r="BU5" s="57"/>
      <c r="BV5" s="57"/>
      <c r="BW5" s="57"/>
      <c r="BX5" s="57"/>
      <c r="BY5" s="57"/>
      <c r="BZ5" s="57"/>
      <c r="CA5" s="57"/>
      <c r="CB5" s="57"/>
      <c r="CC5" s="57"/>
      <c r="CD5" s="57"/>
      <c r="CE5" s="57"/>
      <c r="CF5" s="57"/>
      <c r="CG5" s="57"/>
      <c r="CH5" s="57"/>
      <c r="CI5" s="57"/>
      <c r="CJ5" s="57"/>
      <c r="CK5" s="57"/>
      <c r="CL5" s="57"/>
      <c r="CM5" s="57"/>
      <c r="CN5" s="57"/>
      <c r="CO5" s="57"/>
      <c r="CP5" s="57"/>
      <c r="CQ5" s="57"/>
      <c r="CR5" s="57"/>
      <c r="CS5" s="57"/>
      <c r="CT5" s="57"/>
      <c r="CU5" s="57"/>
      <c r="CV5" s="57"/>
      <c r="CW5" s="57"/>
      <c r="CX5" s="57"/>
      <c r="CY5" s="57"/>
      <c r="CZ5" s="57"/>
      <c r="DA5" s="57"/>
      <c r="DB5" s="57"/>
      <c r="DC5" s="57"/>
      <c r="DD5" s="57"/>
      <c r="DE5" s="57"/>
      <c r="DF5" s="57"/>
      <c r="DG5" s="57"/>
      <c r="DH5" s="57"/>
      <c r="DI5" s="57"/>
      <c r="DJ5" s="57"/>
      <c r="DK5" s="57"/>
      <c r="DL5" s="57"/>
      <c r="DM5" s="57"/>
      <c r="DN5" s="57"/>
      <c r="DO5" s="57"/>
      <c r="DP5" s="57"/>
      <c r="DQ5" s="57"/>
      <c r="DR5" s="57"/>
      <c r="DS5" s="57"/>
      <c r="DT5" s="57"/>
      <c r="DU5" s="57"/>
      <c r="DV5" s="57"/>
      <c r="DW5" s="57"/>
      <c r="DX5" s="57"/>
      <c r="DY5" s="57"/>
      <c r="DZ5" s="57"/>
      <c r="EA5" s="57"/>
      <c r="EB5" s="57"/>
      <c r="EC5" s="57"/>
      <c r="ED5" s="57"/>
      <c r="EE5" s="57"/>
      <c r="EF5" s="57"/>
      <c r="EG5" s="57"/>
      <c r="EH5" s="57"/>
      <c r="EI5" s="57"/>
      <c r="EJ5" s="57"/>
      <c r="EK5" s="57"/>
      <c r="EL5" s="57"/>
      <c r="EM5" s="57"/>
      <c r="EN5" s="57"/>
      <c r="EO5" s="57"/>
      <c r="EP5" s="57"/>
      <c r="EQ5" s="57"/>
      <c r="ER5" s="57"/>
      <c r="ES5" s="57"/>
      <c r="ET5" s="57"/>
      <c r="EU5" s="57"/>
      <c r="EV5" s="57"/>
      <c r="EW5" s="57"/>
      <c r="EX5" s="57"/>
      <c r="EY5" s="57"/>
      <c r="EZ5" s="57"/>
      <c r="FA5" s="57"/>
      <c r="FB5" s="57"/>
      <c r="FC5" s="57"/>
      <c r="FD5" s="57"/>
      <c r="FE5" s="57"/>
      <c r="FF5" s="57"/>
      <c r="FG5" s="57"/>
      <c r="FH5" s="57"/>
      <c r="FI5" s="57"/>
      <c r="FJ5" s="57"/>
      <c r="FK5" s="57"/>
      <c r="FL5" s="57"/>
      <c r="FM5" s="57"/>
      <c r="FN5" s="57"/>
      <c r="FO5" s="57"/>
      <c r="FP5" s="57"/>
      <c r="FQ5" s="57"/>
      <c r="FR5" s="57"/>
      <c r="FS5" s="57"/>
      <c r="FT5" s="57"/>
      <c r="FU5" s="57"/>
      <c r="FV5" s="57"/>
      <c r="FW5" s="57"/>
      <c r="FX5" s="57"/>
      <c r="FY5" s="57"/>
      <c r="FZ5" s="57"/>
      <c r="GA5" s="57"/>
      <c r="GB5" s="57"/>
      <c r="GC5" s="57"/>
      <c r="GD5" s="57"/>
      <c r="GE5" s="57"/>
      <c r="GF5" s="57"/>
      <c r="GG5" s="57"/>
      <c r="GH5" s="57"/>
      <c r="GI5" s="57"/>
      <c r="GJ5" s="57"/>
      <c r="GK5" s="57"/>
      <c r="GL5" s="57"/>
      <c r="GM5" s="57"/>
      <c r="GN5" s="57"/>
      <c r="GO5" s="57"/>
      <c r="GP5" s="57"/>
      <c r="GQ5" s="57"/>
      <c r="GR5" s="57"/>
      <c r="GS5" s="57"/>
      <c r="GT5" s="57"/>
      <c r="GU5" s="57"/>
      <c r="GV5" s="57"/>
      <c r="GW5" s="57"/>
      <c r="GX5" s="57"/>
      <c r="GY5" s="57"/>
      <c r="GZ5" s="57"/>
      <c r="HA5" s="57"/>
      <c r="HB5" s="57"/>
      <c r="HC5" s="57"/>
      <c r="HD5" s="57"/>
      <c r="HE5" s="57"/>
      <c r="HF5" s="57"/>
      <c r="HG5" s="57"/>
      <c r="HH5" s="57"/>
      <c r="HI5" s="57"/>
      <c r="HJ5" s="57"/>
      <c r="HK5" s="57"/>
      <c r="HL5" s="57"/>
      <c r="HM5" s="57"/>
      <c r="HN5" s="57"/>
      <c r="HO5" s="57"/>
      <c r="HP5" s="57"/>
      <c r="HQ5" s="57"/>
      <c r="HR5" s="57"/>
      <c r="HS5" s="57"/>
      <c r="HT5" s="57"/>
      <c r="HU5" s="57"/>
      <c r="HV5" s="57"/>
      <c r="HW5" s="57"/>
      <c r="HX5" s="57"/>
      <c r="HY5" s="57"/>
      <c r="HZ5" s="57"/>
      <c r="IA5" s="57"/>
      <c r="IB5" s="57"/>
      <c r="IC5" s="57"/>
      <c r="ID5" s="57"/>
      <c r="IE5" s="57"/>
      <c r="IF5" s="57"/>
      <c r="IG5" s="57"/>
      <c r="IH5" s="57"/>
      <c r="II5" s="57"/>
      <c r="IJ5" s="57"/>
      <c r="IK5" s="57"/>
      <c r="IL5" s="57"/>
      <c r="IM5" s="57"/>
      <c r="IN5" s="57"/>
      <c r="IO5" s="57"/>
      <c r="IP5" s="57"/>
      <c r="IQ5" s="57"/>
      <c r="IR5" s="57"/>
      <c r="IS5" s="57"/>
      <c r="IT5" s="57"/>
      <c r="IU5" s="57"/>
      <c r="IV5" s="57"/>
    </row>
    <row r="6" spans="1:256" ht="31.5" x14ac:dyDescent="0.25">
      <c r="A6" s="7">
        <v>1</v>
      </c>
      <c r="B6" s="71" t="s">
        <v>870</v>
      </c>
      <c r="C6" s="323">
        <v>2931290.29</v>
      </c>
      <c r="D6" s="323">
        <f>C17</f>
        <v>3016377.92</v>
      </c>
      <c r="E6" s="323">
        <v>4398207.75</v>
      </c>
      <c r="F6" s="323">
        <f>E17</f>
        <v>556078.66000000015</v>
      </c>
      <c r="G6" s="323">
        <v>328416.90000000002</v>
      </c>
      <c r="H6" s="323">
        <f>G17</f>
        <v>298207.56000000006</v>
      </c>
      <c r="I6" s="323">
        <v>9960.0400000000009</v>
      </c>
      <c r="J6" s="323">
        <f>SUM(I17)</f>
        <v>0</v>
      </c>
      <c r="K6" s="323"/>
      <c r="L6" s="323">
        <f>SUM(K17)</f>
        <v>0</v>
      </c>
      <c r="M6" s="323">
        <f t="shared" ref="M6:N8" si="0">C6+E6+G6+I6+K6</f>
        <v>7667874.9800000004</v>
      </c>
      <c r="N6" s="324">
        <f t="shared" si="0"/>
        <v>3870664.14</v>
      </c>
      <c r="O6" s="55"/>
      <c r="P6" s="55"/>
    </row>
    <row r="7" spans="1:256" ht="31.5" x14ac:dyDescent="0.25">
      <c r="A7" s="7">
        <v>2</v>
      </c>
      <c r="B7" s="71" t="s">
        <v>871</v>
      </c>
      <c r="C7" s="323">
        <f t="shared" ref="C7:L7" si="1">SUM(C8:C15)</f>
        <v>862585.17</v>
      </c>
      <c r="D7" s="323">
        <f t="shared" si="1"/>
        <v>1761708.2</v>
      </c>
      <c r="E7" s="323">
        <f t="shared" si="1"/>
        <v>1729460.53</v>
      </c>
      <c r="F7" s="323">
        <f t="shared" si="1"/>
        <v>1152995.06</v>
      </c>
      <c r="G7" s="323">
        <f>SUM(G8:G15)</f>
        <v>1614707.6</v>
      </c>
      <c r="H7" s="323">
        <f>SUM(H8:H15)</f>
        <v>1634002.9</v>
      </c>
      <c r="I7" s="323">
        <f t="shared" si="1"/>
        <v>0</v>
      </c>
      <c r="J7" s="323">
        <f t="shared" si="1"/>
        <v>0</v>
      </c>
      <c r="K7" s="323">
        <f t="shared" si="1"/>
        <v>0</v>
      </c>
      <c r="L7" s="323">
        <f t="shared" si="1"/>
        <v>0</v>
      </c>
      <c r="M7" s="323">
        <f t="shared" si="0"/>
        <v>4206753.3000000007</v>
      </c>
      <c r="N7" s="324">
        <f t="shared" si="0"/>
        <v>4548706.16</v>
      </c>
      <c r="O7" s="55"/>
      <c r="P7" s="55"/>
    </row>
    <row r="8" spans="1:256" ht="22.5" customHeight="1" x14ac:dyDescent="0.25">
      <c r="A8" s="7">
        <v>3</v>
      </c>
      <c r="B8" s="72" t="s">
        <v>872</v>
      </c>
      <c r="C8" s="325">
        <v>862585.17</v>
      </c>
      <c r="D8" s="325">
        <v>1761708.2</v>
      </c>
      <c r="E8" s="325"/>
      <c r="F8" s="325">
        <v>0</v>
      </c>
      <c r="G8" s="325"/>
      <c r="H8" s="325"/>
      <c r="I8" s="325">
        <v>0</v>
      </c>
      <c r="J8" s="325"/>
      <c r="K8" s="325"/>
      <c r="L8" s="325"/>
      <c r="M8" s="323">
        <f t="shared" si="0"/>
        <v>862585.17</v>
      </c>
      <c r="N8" s="324">
        <f t="shared" si="0"/>
        <v>1761708.2</v>
      </c>
    </row>
    <row r="9" spans="1:256" ht="21.75" customHeight="1" x14ac:dyDescent="0.25">
      <c r="A9" s="7">
        <v>4</v>
      </c>
      <c r="B9" s="72" t="s">
        <v>208</v>
      </c>
      <c r="C9" s="100" t="s">
        <v>207</v>
      </c>
      <c r="D9" s="100" t="s">
        <v>207</v>
      </c>
      <c r="E9" s="325">
        <v>959460.53</v>
      </c>
      <c r="F9" s="326">
        <v>1131005.78</v>
      </c>
      <c r="G9" s="100" t="s">
        <v>207</v>
      </c>
      <c r="H9" s="100" t="s">
        <v>207</v>
      </c>
      <c r="I9" s="100" t="s">
        <v>207</v>
      </c>
      <c r="J9" s="100" t="s">
        <v>207</v>
      </c>
      <c r="K9" s="100" t="s">
        <v>207</v>
      </c>
      <c r="L9" s="100" t="s">
        <v>207</v>
      </c>
      <c r="M9" s="323">
        <f>E9</f>
        <v>959460.53</v>
      </c>
      <c r="N9" s="324">
        <f>F9</f>
        <v>1131005.78</v>
      </c>
    </row>
    <row r="10" spans="1:256" ht="31.5" x14ac:dyDescent="0.25">
      <c r="A10" s="7">
        <v>5</v>
      </c>
      <c r="B10" s="72" t="s">
        <v>10</v>
      </c>
      <c r="C10" s="100" t="s">
        <v>207</v>
      </c>
      <c r="D10" s="100" t="s">
        <v>207</v>
      </c>
      <c r="E10" s="325"/>
      <c r="F10" s="325"/>
      <c r="G10" s="100" t="s">
        <v>207</v>
      </c>
      <c r="H10" s="100" t="s">
        <v>207</v>
      </c>
      <c r="I10" s="100" t="s">
        <v>207</v>
      </c>
      <c r="J10" s="100" t="s">
        <v>207</v>
      </c>
      <c r="K10" s="100" t="s">
        <v>207</v>
      </c>
      <c r="L10" s="100" t="s">
        <v>207</v>
      </c>
      <c r="M10" s="323">
        <f>E10</f>
        <v>0</v>
      </c>
      <c r="N10" s="324">
        <f>F10</f>
        <v>0</v>
      </c>
      <c r="O10" s="57"/>
      <c r="P10" s="57"/>
      <c r="Q10" s="57"/>
      <c r="R10" s="57"/>
      <c r="S10" s="57"/>
      <c r="T10" s="57"/>
      <c r="U10" s="57"/>
      <c r="V10" s="57"/>
      <c r="W10" s="57"/>
      <c r="X10" s="57"/>
      <c r="Y10" s="57"/>
      <c r="Z10" s="57"/>
      <c r="AA10" s="57"/>
      <c r="AB10" s="57"/>
      <c r="AC10" s="57"/>
      <c r="AD10" s="57"/>
      <c r="AE10" s="57"/>
      <c r="AF10" s="57"/>
      <c r="AG10" s="57"/>
      <c r="AH10" s="57"/>
      <c r="AI10" s="57"/>
      <c r="AJ10" s="57"/>
      <c r="AK10" s="57"/>
      <c r="AL10" s="57"/>
      <c r="AM10" s="57"/>
      <c r="AN10" s="57"/>
      <c r="AO10" s="57"/>
      <c r="AP10" s="57"/>
      <c r="AQ10" s="57"/>
      <c r="AR10" s="57"/>
      <c r="AS10" s="57"/>
      <c r="AT10" s="57"/>
      <c r="AU10" s="57"/>
      <c r="AV10" s="57"/>
      <c r="AW10" s="57"/>
      <c r="AX10" s="57"/>
      <c r="AY10" s="57"/>
      <c r="AZ10" s="57"/>
      <c r="BA10" s="57"/>
      <c r="BB10" s="57"/>
      <c r="BC10" s="57"/>
      <c r="BD10" s="57"/>
      <c r="BE10" s="57"/>
      <c r="BF10" s="57"/>
      <c r="BG10" s="57"/>
      <c r="BH10" s="57"/>
      <c r="BI10" s="57"/>
      <c r="BJ10" s="57"/>
      <c r="BK10" s="57"/>
      <c r="BL10" s="57"/>
      <c r="BM10" s="57"/>
      <c r="BN10" s="57"/>
      <c r="BO10" s="57"/>
      <c r="BP10" s="57"/>
      <c r="BQ10" s="57"/>
      <c r="BR10" s="57"/>
      <c r="BS10" s="57"/>
      <c r="BT10" s="57"/>
      <c r="BU10" s="57"/>
      <c r="BV10" s="57"/>
      <c r="BW10" s="57"/>
      <c r="BX10" s="57"/>
      <c r="BY10" s="57"/>
      <c r="BZ10" s="57"/>
      <c r="CA10" s="57"/>
      <c r="CB10" s="57"/>
      <c r="CC10" s="57"/>
      <c r="CD10" s="57"/>
      <c r="CE10" s="57"/>
      <c r="CF10" s="57"/>
      <c r="CG10" s="57"/>
      <c r="CH10" s="57"/>
      <c r="CI10" s="57"/>
      <c r="CJ10" s="57"/>
      <c r="CK10" s="57"/>
      <c r="CL10" s="57"/>
      <c r="CM10" s="57"/>
      <c r="CN10" s="57"/>
      <c r="CO10" s="57"/>
      <c r="CP10" s="57"/>
      <c r="CQ10" s="57"/>
      <c r="CR10" s="57"/>
      <c r="CS10" s="57"/>
      <c r="CT10" s="57"/>
      <c r="CU10" s="57"/>
      <c r="CV10" s="57"/>
      <c r="CW10" s="57"/>
      <c r="CX10" s="57"/>
      <c r="CY10" s="57"/>
      <c r="CZ10" s="57"/>
      <c r="DA10" s="57"/>
      <c r="DB10" s="57"/>
      <c r="DC10" s="57"/>
      <c r="DD10" s="57"/>
      <c r="DE10" s="57"/>
      <c r="DF10" s="57"/>
      <c r="DG10" s="57"/>
      <c r="DH10" s="57"/>
      <c r="DI10" s="57"/>
      <c r="DJ10" s="57"/>
      <c r="DK10" s="57"/>
      <c r="DL10" s="57"/>
      <c r="DM10" s="57"/>
      <c r="DN10" s="57"/>
      <c r="DO10" s="57"/>
      <c r="DP10" s="57"/>
      <c r="DQ10" s="57"/>
      <c r="DR10" s="57"/>
      <c r="DS10" s="57"/>
      <c r="DT10" s="57"/>
      <c r="DU10" s="57"/>
      <c r="DV10" s="57"/>
      <c r="DW10" s="57"/>
      <c r="DX10" s="57"/>
      <c r="DY10" s="57"/>
      <c r="DZ10" s="57"/>
      <c r="EA10" s="57"/>
      <c r="EB10" s="57"/>
      <c r="EC10" s="57"/>
      <c r="ED10" s="57"/>
      <c r="EE10" s="57"/>
      <c r="EF10" s="57"/>
      <c r="EG10" s="57"/>
      <c r="EH10" s="57"/>
      <c r="EI10" s="57"/>
      <c r="EJ10" s="57"/>
      <c r="EK10" s="57"/>
      <c r="EL10" s="57"/>
      <c r="EM10" s="57"/>
      <c r="EN10" s="57"/>
      <c r="EO10" s="57"/>
      <c r="EP10" s="57"/>
      <c r="EQ10" s="57"/>
      <c r="ER10" s="57"/>
      <c r="ES10" s="57"/>
      <c r="ET10" s="57"/>
      <c r="EU10" s="57"/>
      <c r="EV10" s="57"/>
      <c r="EW10" s="57"/>
      <c r="EX10" s="57"/>
      <c r="EY10" s="57"/>
      <c r="EZ10" s="57"/>
      <c r="FA10" s="57"/>
      <c r="FB10" s="57"/>
      <c r="FC10" s="57"/>
      <c r="FD10" s="57"/>
      <c r="FE10" s="57"/>
      <c r="FF10" s="57"/>
      <c r="FG10" s="57"/>
      <c r="FH10" s="57"/>
      <c r="FI10" s="57"/>
      <c r="FJ10" s="57"/>
      <c r="FK10" s="57"/>
      <c r="FL10" s="57"/>
      <c r="FM10" s="57"/>
      <c r="FN10" s="57"/>
      <c r="FO10" s="57"/>
      <c r="FP10" s="57"/>
      <c r="FQ10" s="57"/>
      <c r="FR10" s="57"/>
      <c r="FS10" s="57"/>
      <c r="FT10" s="57"/>
      <c r="FU10" s="57"/>
      <c r="FV10" s="57"/>
      <c r="FW10" s="57"/>
      <c r="FX10" s="57"/>
      <c r="FY10" s="57"/>
      <c r="FZ10" s="57"/>
      <c r="GA10" s="57"/>
      <c r="GB10" s="57"/>
      <c r="GC10" s="57"/>
      <c r="GD10" s="57"/>
      <c r="GE10" s="57"/>
      <c r="GF10" s="57"/>
      <c r="GG10" s="57"/>
      <c r="GH10" s="57"/>
      <c r="GI10" s="57"/>
      <c r="GJ10" s="57"/>
      <c r="GK10" s="57"/>
      <c r="GL10" s="57"/>
      <c r="GM10" s="57"/>
      <c r="GN10" s="57"/>
      <c r="GO10" s="57"/>
      <c r="GP10" s="57"/>
      <c r="GQ10" s="57"/>
      <c r="GR10" s="57"/>
      <c r="GS10" s="57"/>
      <c r="GT10" s="57"/>
      <c r="GU10" s="57"/>
      <c r="GV10" s="57"/>
      <c r="GW10" s="57"/>
      <c r="GX10" s="57"/>
      <c r="GY10" s="57"/>
      <c r="GZ10" s="57"/>
      <c r="HA10" s="57"/>
      <c r="HB10" s="57"/>
      <c r="HC10" s="57"/>
      <c r="HD10" s="57"/>
      <c r="HE10" s="57"/>
      <c r="HF10" s="57"/>
      <c r="HG10" s="57"/>
      <c r="HH10" s="57"/>
      <c r="HI10" s="57"/>
      <c r="HJ10" s="57"/>
      <c r="HK10" s="57"/>
      <c r="HL10" s="57"/>
      <c r="HM10" s="57"/>
      <c r="HN10" s="57"/>
      <c r="HO10" s="57"/>
      <c r="HP10" s="57"/>
      <c r="HQ10" s="57"/>
      <c r="HR10" s="57"/>
      <c r="HS10" s="57"/>
      <c r="HT10" s="57"/>
      <c r="HU10" s="57"/>
      <c r="HV10" s="57"/>
      <c r="HW10" s="57"/>
      <c r="HX10" s="57"/>
      <c r="HY10" s="57"/>
      <c r="HZ10" s="57"/>
      <c r="IA10" s="57"/>
      <c r="IB10" s="57"/>
      <c r="IC10" s="57"/>
      <c r="ID10" s="57"/>
      <c r="IE10" s="57"/>
      <c r="IF10" s="57"/>
      <c r="IG10" s="57"/>
      <c r="IH10" s="57"/>
      <c r="II10" s="57"/>
      <c r="IJ10" s="57"/>
      <c r="IK10" s="57"/>
      <c r="IL10" s="57"/>
      <c r="IM10" s="57"/>
      <c r="IN10" s="57"/>
      <c r="IO10" s="57"/>
      <c r="IP10" s="57"/>
      <c r="IQ10" s="57"/>
      <c r="IR10" s="57"/>
      <c r="IS10" s="57"/>
      <c r="IT10" s="57"/>
      <c r="IU10" s="57"/>
      <c r="IV10" s="57"/>
    </row>
    <row r="11" spans="1:256" ht="31.5" x14ac:dyDescent="0.25">
      <c r="A11" s="7">
        <v>6</v>
      </c>
      <c r="B11" s="72" t="s">
        <v>209</v>
      </c>
      <c r="C11" s="100" t="s">
        <v>207</v>
      </c>
      <c r="D11" s="100" t="s">
        <v>207</v>
      </c>
      <c r="E11" s="325">
        <v>770000</v>
      </c>
      <c r="F11" s="325">
        <v>21989.279999999999</v>
      </c>
      <c r="G11" s="325"/>
      <c r="H11" s="325"/>
      <c r="I11" s="325"/>
      <c r="J11" s="325"/>
      <c r="K11" s="323"/>
      <c r="L11" s="323"/>
      <c r="M11" s="323">
        <f>E11+G11+I11+K11</f>
        <v>770000</v>
      </c>
      <c r="N11" s="324">
        <f>F11+H11+J11+L11</f>
        <v>21989.279999999999</v>
      </c>
    </row>
    <row r="12" spans="1:256" ht="17.25" customHeight="1" x14ac:dyDescent="0.25">
      <c r="A12" s="7">
        <v>7</v>
      </c>
      <c r="B12" s="72" t="s">
        <v>210</v>
      </c>
      <c r="C12" s="325"/>
      <c r="D12" s="325"/>
      <c r="E12" s="325"/>
      <c r="F12" s="325"/>
      <c r="G12" s="325"/>
      <c r="H12" s="325"/>
      <c r="I12" s="325"/>
      <c r="J12" s="325"/>
      <c r="K12" s="325"/>
      <c r="L12" s="325"/>
      <c r="M12" s="323">
        <f>C12+E12+G12+I12+K12</f>
        <v>0</v>
      </c>
      <c r="N12" s="324">
        <f>D12+F12+H12+J12+L12</f>
        <v>0</v>
      </c>
    </row>
    <row r="13" spans="1:256" ht="18.75" x14ac:dyDescent="0.25">
      <c r="A13" s="7">
        <v>8</v>
      </c>
      <c r="B13" s="72" t="s">
        <v>873</v>
      </c>
      <c r="C13" s="100" t="s">
        <v>207</v>
      </c>
      <c r="D13" s="100" t="s">
        <v>207</v>
      </c>
      <c r="E13" s="100" t="s">
        <v>207</v>
      </c>
      <c r="F13" s="100" t="s">
        <v>207</v>
      </c>
      <c r="G13" s="325">
        <v>1567785</v>
      </c>
      <c r="H13" s="325">
        <v>1585035</v>
      </c>
      <c r="I13" s="100" t="s">
        <v>207</v>
      </c>
      <c r="J13" s="100" t="s">
        <v>207</v>
      </c>
      <c r="K13" s="100" t="s">
        <v>207</v>
      </c>
      <c r="L13" s="100" t="s">
        <v>207</v>
      </c>
      <c r="M13" s="323">
        <f>G13</f>
        <v>1567785</v>
      </c>
      <c r="N13" s="324">
        <f>H13</f>
        <v>1585035</v>
      </c>
    </row>
    <row r="14" spans="1:256" ht="19.5" customHeight="1" x14ac:dyDescent="0.25">
      <c r="A14" s="7">
        <v>9</v>
      </c>
      <c r="B14" s="72" t="s">
        <v>17</v>
      </c>
      <c r="C14" s="100" t="s">
        <v>207</v>
      </c>
      <c r="D14" s="100" t="s">
        <v>207</v>
      </c>
      <c r="E14" s="100" t="s">
        <v>207</v>
      </c>
      <c r="F14" s="100" t="s">
        <v>207</v>
      </c>
      <c r="G14" s="325">
        <v>46922.6</v>
      </c>
      <c r="H14" s="325">
        <v>48967.9</v>
      </c>
      <c r="I14" s="100" t="s">
        <v>207</v>
      </c>
      <c r="J14" s="100" t="s">
        <v>207</v>
      </c>
      <c r="K14" s="100" t="s">
        <v>207</v>
      </c>
      <c r="L14" s="100" t="s">
        <v>207</v>
      </c>
      <c r="M14" s="323">
        <f>G14</f>
        <v>46922.6</v>
      </c>
      <c r="N14" s="324">
        <f>H14</f>
        <v>48967.9</v>
      </c>
    </row>
    <row r="15" spans="1:256" ht="18.75" x14ac:dyDescent="0.25">
      <c r="A15" s="7">
        <v>10</v>
      </c>
      <c r="B15" s="72" t="s">
        <v>874</v>
      </c>
      <c r="C15" s="325"/>
      <c r="D15" s="325"/>
      <c r="E15" s="325"/>
      <c r="F15" s="325"/>
      <c r="G15" s="325"/>
      <c r="H15" s="325"/>
      <c r="I15" s="325"/>
      <c r="J15" s="325"/>
      <c r="K15" s="325"/>
      <c r="L15" s="325"/>
      <c r="M15" s="323">
        <f>C15+E15+G15+I15+K15</f>
        <v>0</v>
      </c>
      <c r="N15" s="324">
        <f>D15+F15+H15+J15+L15</f>
        <v>0</v>
      </c>
    </row>
    <row r="16" spans="1:256" ht="31.5" x14ac:dyDescent="0.25">
      <c r="A16" s="7">
        <v>11</v>
      </c>
      <c r="B16" s="71" t="s">
        <v>134</v>
      </c>
      <c r="C16" s="323">
        <v>777497.54</v>
      </c>
      <c r="D16" s="323">
        <v>43847.32</v>
      </c>
      <c r="E16" s="323">
        <v>5571589.6200000001</v>
      </c>
      <c r="F16" s="323">
        <v>1709073.72</v>
      </c>
      <c r="G16" s="325">
        <v>1644916.94</v>
      </c>
      <c r="H16" s="325">
        <v>1533028.96</v>
      </c>
      <c r="I16" s="323">
        <v>9960.0400000000009</v>
      </c>
      <c r="J16" s="323"/>
      <c r="K16" s="323"/>
      <c r="L16" s="323"/>
      <c r="M16" s="323">
        <f t="shared" ref="M16:N18" si="2">C16+E16+G16+I16+K16</f>
        <v>8003964.1399999997</v>
      </c>
      <c r="N16" s="324">
        <f t="shared" si="2"/>
        <v>3285950</v>
      </c>
    </row>
    <row r="17" spans="1:14" ht="31.5" x14ac:dyDescent="0.25">
      <c r="A17" s="7">
        <v>12</v>
      </c>
      <c r="B17" s="71" t="s">
        <v>18</v>
      </c>
      <c r="C17" s="323">
        <f t="shared" ref="C17:L17" si="3">C6+C7-C16</f>
        <v>3016377.92</v>
      </c>
      <c r="D17" s="323">
        <f t="shared" si="3"/>
        <v>4734238.8</v>
      </c>
      <c r="E17" s="323">
        <f t="shared" si="3"/>
        <v>556078.66000000015</v>
      </c>
      <c r="F17" s="323">
        <f t="shared" si="3"/>
        <v>0</v>
      </c>
      <c r="G17" s="323">
        <f t="shared" si="3"/>
        <v>298207.56000000006</v>
      </c>
      <c r="H17" s="323">
        <f t="shared" si="3"/>
        <v>399181.5</v>
      </c>
      <c r="I17" s="323">
        <f t="shared" si="3"/>
        <v>0</v>
      </c>
      <c r="J17" s="323">
        <f t="shared" si="3"/>
        <v>0</v>
      </c>
      <c r="K17" s="323">
        <f t="shared" si="3"/>
        <v>0</v>
      </c>
      <c r="L17" s="323">
        <f t="shared" si="3"/>
        <v>0</v>
      </c>
      <c r="M17" s="323">
        <f t="shared" si="2"/>
        <v>3870664.14</v>
      </c>
      <c r="N17" s="324">
        <f t="shared" si="2"/>
        <v>5133420.3</v>
      </c>
    </row>
    <row r="18" spans="1:14" ht="48.75" customHeight="1" thickBot="1" x14ac:dyDescent="0.3">
      <c r="A18" s="58">
        <v>13</v>
      </c>
      <c r="B18" s="330" t="s">
        <v>875</v>
      </c>
      <c r="C18" s="327">
        <v>0</v>
      </c>
      <c r="D18" s="327">
        <v>0</v>
      </c>
      <c r="E18" s="327">
        <v>0</v>
      </c>
      <c r="F18" s="327">
        <v>0</v>
      </c>
      <c r="G18" s="327">
        <v>0</v>
      </c>
      <c r="H18" s="327">
        <v>0</v>
      </c>
      <c r="I18" s="327">
        <v>0</v>
      </c>
      <c r="J18" s="327">
        <v>0</v>
      </c>
      <c r="K18" s="327">
        <v>0</v>
      </c>
      <c r="L18" s="327">
        <v>0</v>
      </c>
      <c r="M18" s="328">
        <f t="shared" si="2"/>
        <v>0</v>
      </c>
      <c r="N18" s="329">
        <f t="shared" si="2"/>
        <v>0</v>
      </c>
    </row>
    <row r="19" spans="1:14" x14ac:dyDescent="0.25">
      <c r="H19" s="117"/>
      <c r="I19" s="331"/>
      <c r="J19" s="331"/>
    </row>
    <row r="20" spans="1:14" x14ac:dyDescent="0.25">
      <c r="A20" s="331"/>
      <c r="B20" s="331"/>
      <c r="C20" s="331"/>
      <c r="E20" s="331"/>
      <c r="F20" s="331"/>
      <c r="G20" s="331"/>
      <c r="H20" s="332"/>
      <c r="I20" s="331"/>
      <c r="J20" s="331"/>
      <c r="K20" s="331"/>
      <c r="L20" s="331"/>
      <c r="M20" s="331"/>
      <c r="N20" s="331"/>
    </row>
    <row r="21" spans="1:14" x14ac:dyDescent="0.25">
      <c r="A21" s="331"/>
      <c r="B21" s="331"/>
      <c r="C21" s="331"/>
      <c r="D21" s="331"/>
      <c r="E21" s="331"/>
      <c r="F21" s="331"/>
      <c r="G21" s="331"/>
      <c r="H21" s="332"/>
      <c r="I21" s="331"/>
      <c r="J21" s="331"/>
      <c r="K21" s="331"/>
      <c r="L21" s="331"/>
      <c r="M21" s="331"/>
      <c r="N21" s="331"/>
    </row>
    <row r="22" spans="1:14" ht="33" customHeight="1" x14ac:dyDescent="0.25">
      <c r="A22" s="582"/>
      <c r="B22" s="582"/>
      <c r="C22" s="582"/>
      <c r="D22" s="331"/>
      <c r="E22" s="331"/>
      <c r="F22" s="331"/>
      <c r="G22" s="331"/>
      <c r="H22" s="331"/>
      <c r="I22" s="331"/>
      <c r="J22" s="331"/>
      <c r="K22" s="331"/>
      <c r="L22" s="331"/>
      <c r="M22" s="331"/>
      <c r="N22" s="331"/>
    </row>
    <row r="23" spans="1:14" x14ac:dyDescent="0.25">
      <c r="L23" s="331"/>
    </row>
    <row r="24" spans="1:14" ht="45" customHeight="1" x14ac:dyDescent="0.25">
      <c r="A24" s="581"/>
      <c r="B24" s="581"/>
      <c r="C24" s="581"/>
      <c r="D24" s="581"/>
      <c r="E24" s="581"/>
      <c r="F24" s="581"/>
      <c r="G24" s="581"/>
      <c r="H24" s="581"/>
      <c r="I24" s="581"/>
      <c r="J24" s="581"/>
      <c r="K24" s="581"/>
    </row>
    <row r="25" spans="1:14" hidden="1" x14ac:dyDescent="0.25"/>
  </sheetData>
  <mergeCells count="12">
    <mergeCell ref="A24:K24"/>
    <mergeCell ref="M3:N3"/>
    <mergeCell ref="A22:C22"/>
    <mergeCell ref="A1:N1"/>
    <mergeCell ref="A2:N2"/>
    <mergeCell ref="A3:A4"/>
    <mergeCell ref="B3:B4"/>
    <mergeCell ref="C3:D3"/>
    <mergeCell ref="E3:F3"/>
    <mergeCell ref="G3:H3"/>
    <mergeCell ref="I3:J3"/>
    <mergeCell ref="K3:L3"/>
  </mergeCells>
  <pageMargins left="0.42" right="0.28999999999999998" top="0.74803149606299213" bottom="0.74803149606299213" header="0.31496062992125984" footer="0.31496062992125984"/>
  <pageSetup paperSize="9" scale="7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20">
    <tabColor indexed="42"/>
    <pageSetUpPr fitToPage="1"/>
  </sheetPr>
  <dimension ref="A1:D22"/>
  <sheetViews>
    <sheetView zoomScaleNormal="100" workbookViewId="0">
      <pane xSplit="2" ySplit="4" topLeftCell="C5" activePane="bottomRight" state="frozen"/>
      <selection pane="topRight" activeCell="C1" sqref="C1"/>
      <selection pane="bottomLeft" activeCell="A5" sqref="A5"/>
      <selection pane="bottomRight" activeCell="E11" sqref="E11"/>
    </sheetView>
  </sheetViews>
  <sheetFormatPr defaultRowHeight="15.75" x14ac:dyDescent="0.2"/>
  <cols>
    <col min="1" max="1" width="10.5703125" style="277" customWidth="1"/>
    <col min="2" max="2" width="43.140625" style="22" customWidth="1"/>
    <col min="3" max="3" width="28.42578125" style="95" customWidth="1"/>
    <col min="4" max="4" width="52.7109375" style="95" customWidth="1"/>
    <col min="5" max="16384" width="9.140625" style="95"/>
  </cols>
  <sheetData>
    <row r="1" spans="1:4" ht="50.1" customHeight="1" thickBot="1" x14ac:dyDescent="0.25">
      <c r="A1" s="472" t="s">
        <v>655</v>
      </c>
      <c r="B1" s="473"/>
      <c r="C1" s="473"/>
      <c r="D1" s="474"/>
    </row>
    <row r="2" spans="1:4" ht="35.1" customHeight="1" x14ac:dyDescent="0.2">
      <c r="A2" s="475" t="s">
        <v>726</v>
      </c>
      <c r="B2" s="476"/>
      <c r="C2" s="476"/>
      <c r="D2" s="477"/>
    </row>
    <row r="3" spans="1:4" ht="31.5" x14ac:dyDescent="0.2">
      <c r="A3" s="333" t="s">
        <v>137</v>
      </c>
      <c r="B3" s="5" t="s">
        <v>193</v>
      </c>
      <c r="C3" s="5" t="s">
        <v>656</v>
      </c>
      <c r="D3" s="6" t="s">
        <v>572</v>
      </c>
    </row>
    <row r="4" spans="1:4" s="26" customFormat="1" ht="18" customHeight="1" x14ac:dyDescent="0.2">
      <c r="A4" s="28"/>
      <c r="B4" s="16" t="s">
        <v>184</v>
      </c>
      <c r="C4" s="16" t="s">
        <v>185</v>
      </c>
      <c r="D4" s="17" t="s">
        <v>186</v>
      </c>
    </row>
    <row r="5" spans="1:4" s="26" customFormat="1" ht="31.5" x14ac:dyDescent="0.2">
      <c r="A5" s="28">
        <v>1</v>
      </c>
      <c r="B5" s="18" t="s">
        <v>19</v>
      </c>
      <c r="C5" s="157">
        <f>SUM(C6:C19)</f>
        <v>17780922.970000003</v>
      </c>
      <c r="D5" s="334"/>
    </row>
    <row r="6" spans="1:4" ht="63.75" x14ac:dyDescent="0.2">
      <c r="A6" s="28">
        <v>2</v>
      </c>
      <c r="B6" s="340" t="s">
        <v>128</v>
      </c>
      <c r="C6" s="176">
        <v>0</v>
      </c>
      <c r="D6" s="341" t="s">
        <v>774</v>
      </c>
    </row>
    <row r="7" spans="1:4" ht="63.75" x14ac:dyDescent="0.2">
      <c r="A7" s="28">
        <v>3</v>
      </c>
      <c r="B7" s="340" t="s">
        <v>129</v>
      </c>
      <c r="C7" s="176">
        <v>6134970.6799999997</v>
      </c>
      <c r="D7" s="341" t="s">
        <v>775</v>
      </c>
    </row>
    <row r="8" spans="1:4" x14ac:dyDescent="0.2">
      <c r="A8" s="28">
        <v>4</v>
      </c>
      <c r="B8" s="27" t="s">
        <v>130</v>
      </c>
      <c r="C8" s="176">
        <v>0</v>
      </c>
      <c r="D8" s="341" t="s">
        <v>776</v>
      </c>
    </row>
    <row r="9" spans="1:4" ht="76.5" x14ac:dyDescent="0.2">
      <c r="A9" s="28">
        <v>5</v>
      </c>
      <c r="B9" s="27" t="s">
        <v>108</v>
      </c>
      <c r="C9" s="176">
        <v>6398963.2300000004</v>
      </c>
      <c r="D9" s="341" t="s">
        <v>777</v>
      </c>
    </row>
    <row r="10" spans="1:4" x14ac:dyDescent="0.2">
      <c r="A10" s="28">
        <v>6</v>
      </c>
      <c r="B10" s="27" t="s">
        <v>176</v>
      </c>
      <c r="C10" s="176"/>
      <c r="D10" s="335"/>
    </row>
    <row r="11" spans="1:4" x14ac:dyDescent="0.2">
      <c r="A11" s="28">
        <v>7</v>
      </c>
      <c r="B11" s="27" t="s">
        <v>177</v>
      </c>
      <c r="C11" s="176">
        <v>13080.97</v>
      </c>
      <c r="D11" s="341" t="s">
        <v>778</v>
      </c>
    </row>
    <row r="12" spans="1:4" ht="102" x14ac:dyDescent="0.2">
      <c r="A12" s="28">
        <v>8</v>
      </c>
      <c r="B12" s="27" t="s">
        <v>267</v>
      </c>
      <c r="C12" s="176">
        <v>603603.24</v>
      </c>
      <c r="D12" s="341" t="s">
        <v>786</v>
      </c>
    </row>
    <row r="13" spans="1:4" ht="25.5" x14ac:dyDescent="0.2">
      <c r="A13" s="28">
        <v>9</v>
      </c>
      <c r="B13" s="27" t="s">
        <v>109</v>
      </c>
      <c r="C13" s="176">
        <v>41522.410000000003</v>
      </c>
      <c r="D13" s="341" t="s">
        <v>779</v>
      </c>
    </row>
    <row r="14" spans="1:4" ht="76.5" x14ac:dyDescent="0.2">
      <c r="A14" s="28">
        <v>10</v>
      </c>
      <c r="B14" s="27" t="s">
        <v>110</v>
      </c>
      <c r="C14" s="176">
        <v>0</v>
      </c>
      <c r="D14" s="341" t="s">
        <v>780</v>
      </c>
    </row>
    <row r="15" spans="1:4" ht="76.5" x14ac:dyDescent="0.2">
      <c r="A15" s="28">
        <v>11</v>
      </c>
      <c r="B15" s="27" t="s">
        <v>111</v>
      </c>
      <c r="C15" s="176">
        <v>329942.25</v>
      </c>
      <c r="D15" s="341" t="s">
        <v>781</v>
      </c>
    </row>
    <row r="16" spans="1:4" ht="76.5" x14ac:dyDescent="0.2">
      <c r="A16" s="28">
        <v>12</v>
      </c>
      <c r="B16" s="27" t="s">
        <v>112</v>
      </c>
      <c r="C16" s="176">
        <v>95350.06</v>
      </c>
      <c r="D16" s="341" t="s">
        <v>782</v>
      </c>
    </row>
    <row r="17" spans="1:4" x14ac:dyDescent="0.2">
      <c r="A17" s="28">
        <v>13</v>
      </c>
      <c r="B17" s="27" t="s">
        <v>113</v>
      </c>
      <c r="C17" s="176">
        <v>0</v>
      </c>
      <c r="D17" s="341" t="s">
        <v>783</v>
      </c>
    </row>
    <row r="18" spans="1:4" x14ac:dyDescent="0.2">
      <c r="A18" s="28">
        <v>14</v>
      </c>
      <c r="B18" s="27" t="s">
        <v>114</v>
      </c>
      <c r="C18" s="176">
        <v>451250</v>
      </c>
      <c r="D18" s="341" t="s">
        <v>784</v>
      </c>
    </row>
    <row r="19" spans="1:4" ht="306" x14ac:dyDescent="0.2">
      <c r="A19" s="28">
        <v>15</v>
      </c>
      <c r="B19" s="27" t="s">
        <v>115</v>
      </c>
      <c r="C19" s="176">
        <v>3712240.13</v>
      </c>
      <c r="D19" s="341" t="s">
        <v>785</v>
      </c>
    </row>
    <row r="20" spans="1:4" x14ac:dyDescent="0.2">
      <c r="A20" s="28">
        <v>16</v>
      </c>
      <c r="B20" s="18" t="s">
        <v>205</v>
      </c>
      <c r="C20" s="176"/>
      <c r="D20" s="335"/>
    </row>
    <row r="21" spans="1:4" x14ac:dyDescent="0.2">
      <c r="A21" s="28">
        <v>17</v>
      </c>
      <c r="B21" s="336" t="s">
        <v>565</v>
      </c>
      <c r="C21" s="337"/>
      <c r="D21" s="338"/>
    </row>
    <row r="22" spans="1:4" ht="32.25" thickBot="1" x14ac:dyDescent="0.25">
      <c r="A22" s="281">
        <v>18</v>
      </c>
      <c r="B22" s="23" t="s">
        <v>29</v>
      </c>
      <c r="C22" s="96">
        <f>+C5+C20+C21</f>
        <v>17780922.970000003</v>
      </c>
      <c r="D22" s="339"/>
    </row>
  </sheetData>
  <mergeCells count="2">
    <mergeCell ref="A1:D1"/>
    <mergeCell ref="A2:D2"/>
  </mergeCells>
  <phoneticPr fontId="0" type="noConversion"/>
  <printOptions gridLines="1"/>
  <pageMargins left="0.74803149606299213" right="0.74803149606299213" top="0.98425196850393704" bottom="0.79" header="0.51181102362204722" footer="0.51181102362204722"/>
  <pageSetup paperSize="9" scale="62"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I16"/>
  <sheetViews>
    <sheetView tabSelected="1" workbookViewId="0">
      <pane xSplit="2" ySplit="5" topLeftCell="C6" activePane="bottomRight" state="frozen"/>
      <selection pane="topRight" activeCell="C1" sqref="C1"/>
      <selection pane="bottomLeft" activeCell="A6" sqref="A6"/>
      <selection pane="bottomRight" activeCell="D5" sqref="D5"/>
    </sheetView>
  </sheetViews>
  <sheetFormatPr defaultRowHeight="15.75" x14ac:dyDescent="0.2"/>
  <cols>
    <col min="1" max="1" width="7.7109375" style="131" customWidth="1"/>
    <col min="2" max="2" width="47.5703125" style="204" customWidth="1"/>
    <col min="3" max="3" width="17.85546875" style="133" customWidth="1"/>
    <col min="4" max="4" width="16.85546875" style="133" customWidth="1"/>
    <col min="5" max="5" width="17.140625" style="133" customWidth="1"/>
    <col min="6" max="6" width="18.140625" style="133" customWidth="1"/>
    <col min="7" max="7" width="17.42578125" style="133" customWidth="1"/>
    <col min="8" max="8" width="17" style="133" customWidth="1"/>
    <col min="9" max="9" width="12.85546875" style="133" customWidth="1"/>
    <col min="10" max="16384" width="9.140625" style="133"/>
  </cols>
  <sheetData>
    <row r="1" spans="1:9" s="342" customFormat="1" ht="69" customHeight="1" thickBot="1" x14ac:dyDescent="0.25">
      <c r="A1" s="589" t="s">
        <v>657</v>
      </c>
      <c r="B1" s="590"/>
      <c r="C1" s="590"/>
      <c r="D1" s="590"/>
      <c r="E1" s="590"/>
      <c r="F1" s="590"/>
      <c r="G1" s="590"/>
      <c r="H1" s="591"/>
      <c r="I1" s="352"/>
    </row>
    <row r="2" spans="1:9" s="342" customFormat="1" ht="35.1" customHeight="1" x14ac:dyDescent="0.2">
      <c r="A2" s="577" t="s">
        <v>724</v>
      </c>
      <c r="B2" s="578"/>
      <c r="C2" s="578"/>
      <c r="D2" s="578"/>
      <c r="E2" s="578"/>
      <c r="F2" s="578"/>
      <c r="G2" s="578"/>
      <c r="H2" s="579"/>
    </row>
    <row r="3" spans="1:9" ht="27" customHeight="1" x14ac:dyDescent="0.2">
      <c r="A3" s="580" t="s">
        <v>137</v>
      </c>
      <c r="B3" s="492" t="s">
        <v>220</v>
      </c>
      <c r="C3" s="503" t="s">
        <v>199</v>
      </c>
      <c r="D3" s="503"/>
      <c r="E3" s="503" t="s">
        <v>200</v>
      </c>
      <c r="F3" s="503"/>
      <c r="G3" s="503" t="s">
        <v>146</v>
      </c>
      <c r="H3" s="592"/>
    </row>
    <row r="4" spans="1:9" ht="33" customHeight="1" x14ac:dyDescent="0.2">
      <c r="A4" s="490"/>
      <c r="B4" s="496"/>
      <c r="C4" s="121" t="s">
        <v>45</v>
      </c>
      <c r="D4" s="121" t="s">
        <v>131</v>
      </c>
      <c r="E4" s="121" t="s">
        <v>45</v>
      </c>
      <c r="F4" s="121" t="s">
        <v>131</v>
      </c>
      <c r="G4" s="121" t="s">
        <v>45</v>
      </c>
      <c r="H4" s="122" t="s">
        <v>131</v>
      </c>
    </row>
    <row r="5" spans="1:9" ht="21.6" customHeight="1" x14ac:dyDescent="0.2">
      <c r="A5" s="32"/>
      <c r="B5" s="118"/>
      <c r="C5" s="8" t="s">
        <v>184</v>
      </c>
      <c r="D5" s="8" t="s">
        <v>185</v>
      </c>
      <c r="E5" s="8" t="s">
        <v>186</v>
      </c>
      <c r="F5" s="8" t="s">
        <v>192</v>
      </c>
      <c r="G5" s="8" t="s">
        <v>25</v>
      </c>
      <c r="H5" s="61" t="s">
        <v>26</v>
      </c>
    </row>
    <row r="6" spans="1:9" ht="19.5" customHeight="1" x14ac:dyDescent="0.2">
      <c r="A6" s="343">
        <v>1</v>
      </c>
      <c r="B6" s="353" t="s">
        <v>876</v>
      </c>
      <c r="C6" s="354">
        <f>C7</f>
        <v>496793.49</v>
      </c>
      <c r="D6" s="354">
        <f>D8</f>
        <v>58446.94</v>
      </c>
      <c r="E6" s="354">
        <f>E7</f>
        <v>1554149.46</v>
      </c>
      <c r="F6" s="354">
        <f>F8</f>
        <v>184416.17</v>
      </c>
      <c r="G6" s="354">
        <f>C6+E6</f>
        <v>2050942.95</v>
      </c>
      <c r="H6" s="355">
        <f>D6+F6</f>
        <v>242863.11000000002</v>
      </c>
    </row>
    <row r="7" spans="1:9" ht="19.5" customHeight="1" x14ac:dyDescent="0.2">
      <c r="A7" s="343">
        <v>2</v>
      </c>
      <c r="B7" s="356" t="s">
        <v>877</v>
      </c>
      <c r="C7" s="344">
        <v>496793.49</v>
      </c>
      <c r="D7" s="345" t="s">
        <v>583</v>
      </c>
      <c r="E7" s="344">
        <v>1554149.46</v>
      </c>
      <c r="F7" s="345" t="s">
        <v>583</v>
      </c>
      <c r="G7" s="354">
        <f t="shared" ref="G7:G16" si="0">C7+E7</f>
        <v>2050942.95</v>
      </c>
      <c r="H7" s="357" t="s">
        <v>583</v>
      </c>
    </row>
    <row r="8" spans="1:9" ht="19.5" customHeight="1" x14ac:dyDescent="0.2">
      <c r="A8" s="343">
        <f t="shared" ref="A8:A14" si="1">A7+1</f>
        <v>3</v>
      </c>
      <c r="B8" s="356" t="s">
        <v>878</v>
      </c>
      <c r="C8" s="345" t="s">
        <v>583</v>
      </c>
      <c r="D8" s="344">
        <v>58446.94</v>
      </c>
      <c r="E8" s="345" t="s">
        <v>583</v>
      </c>
      <c r="F8" s="344">
        <v>184416.17</v>
      </c>
      <c r="G8" s="358" t="s">
        <v>583</v>
      </c>
      <c r="H8" s="355">
        <f t="shared" ref="H8:H16" si="2">D8+F8</f>
        <v>242863.11000000002</v>
      </c>
    </row>
    <row r="9" spans="1:9" ht="19.5" customHeight="1" x14ac:dyDescent="0.2">
      <c r="A9" s="343">
        <f t="shared" si="1"/>
        <v>4</v>
      </c>
      <c r="B9" s="353" t="s">
        <v>879</v>
      </c>
      <c r="C9" s="354">
        <f>SUM(C10:C11)</f>
        <v>133033.51999999999</v>
      </c>
      <c r="D9" s="354">
        <f>SUM(D10:D11)</f>
        <v>15651.22</v>
      </c>
      <c r="E9" s="354">
        <f>SUM(E10:E11)</f>
        <v>0</v>
      </c>
      <c r="F9" s="354">
        <f>SUM(F10:F11)</f>
        <v>0</v>
      </c>
      <c r="G9" s="354">
        <f t="shared" si="0"/>
        <v>133033.51999999999</v>
      </c>
      <c r="H9" s="355">
        <f t="shared" si="2"/>
        <v>15651.22</v>
      </c>
    </row>
    <row r="10" spans="1:9" ht="19.5" customHeight="1" x14ac:dyDescent="0.2">
      <c r="A10" s="343">
        <f t="shared" si="1"/>
        <v>5</v>
      </c>
      <c r="B10" s="356" t="s">
        <v>880</v>
      </c>
      <c r="C10" s="344">
        <v>133033.51999999999</v>
      </c>
      <c r="D10" s="345" t="s">
        <v>583</v>
      </c>
      <c r="E10" s="344"/>
      <c r="F10" s="345" t="s">
        <v>583</v>
      </c>
      <c r="G10" s="354">
        <f t="shared" si="0"/>
        <v>133033.51999999999</v>
      </c>
      <c r="H10" s="357" t="s">
        <v>583</v>
      </c>
    </row>
    <row r="11" spans="1:9" ht="19.5" customHeight="1" x14ac:dyDescent="0.2">
      <c r="A11" s="343">
        <f t="shared" si="1"/>
        <v>6</v>
      </c>
      <c r="B11" s="356" t="s">
        <v>881</v>
      </c>
      <c r="C11" s="345" t="s">
        <v>583</v>
      </c>
      <c r="D11" s="344">
        <v>15651.22</v>
      </c>
      <c r="E11" s="345" t="s">
        <v>583</v>
      </c>
      <c r="F11" s="344"/>
      <c r="G11" s="358" t="s">
        <v>583</v>
      </c>
      <c r="H11" s="355">
        <f t="shared" si="2"/>
        <v>15651.22</v>
      </c>
    </row>
    <row r="12" spans="1:9" ht="31.5" x14ac:dyDescent="0.2">
      <c r="A12" s="343">
        <f t="shared" si="1"/>
        <v>7</v>
      </c>
      <c r="B12" s="353" t="s">
        <v>882</v>
      </c>
      <c r="C12" s="354">
        <f t="shared" ref="C12:H12" si="3">C6+C9</f>
        <v>629827.01</v>
      </c>
      <c r="D12" s="354">
        <f t="shared" si="3"/>
        <v>74098.16</v>
      </c>
      <c r="E12" s="354">
        <f t="shared" si="3"/>
        <v>1554149.46</v>
      </c>
      <c r="F12" s="354">
        <f t="shared" si="3"/>
        <v>184416.17</v>
      </c>
      <c r="G12" s="354">
        <f t="shared" si="3"/>
        <v>2183976.4699999997</v>
      </c>
      <c r="H12" s="355">
        <f t="shared" si="3"/>
        <v>258514.33000000002</v>
      </c>
      <c r="I12" s="57"/>
    </row>
    <row r="13" spans="1:9" ht="26.25" customHeight="1" x14ac:dyDescent="0.2">
      <c r="A13" s="343">
        <f t="shared" si="1"/>
        <v>8</v>
      </c>
      <c r="B13" s="353" t="s">
        <v>883</v>
      </c>
      <c r="C13" s="354">
        <f>SUM(C14:C15)</f>
        <v>0</v>
      </c>
      <c r="D13" s="354">
        <f>SUM(D14:D15)</f>
        <v>0</v>
      </c>
      <c r="E13" s="354">
        <f>SUM(E14:E15)</f>
        <v>0</v>
      </c>
      <c r="F13" s="354">
        <f>SUM(F14:F15)</f>
        <v>0</v>
      </c>
      <c r="G13" s="354">
        <f t="shared" si="0"/>
        <v>0</v>
      </c>
      <c r="H13" s="355">
        <f t="shared" si="2"/>
        <v>0</v>
      </c>
    </row>
    <row r="14" spans="1:9" ht="24" customHeight="1" x14ac:dyDescent="0.2">
      <c r="A14" s="343">
        <f t="shared" si="1"/>
        <v>9</v>
      </c>
      <c r="B14" s="346"/>
      <c r="C14" s="347"/>
      <c r="D14" s="347"/>
      <c r="E14" s="347"/>
      <c r="F14" s="347"/>
      <c r="G14" s="354">
        <f t="shared" si="0"/>
        <v>0</v>
      </c>
      <c r="H14" s="355">
        <f t="shared" si="2"/>
        <v>0</v>
      </c>
    </row>
    <row r="15" spans="1:9" ht="24.75" customHeight="1" x14ac:dyDescent="0.2">
      <c r="A15" s="343" t="s">
        <v>584</v>
      </c>
      <c r="B15" s="348"/>
      <c r="C15" s="347"/>
      <c r="D15" s="347"/>
      <c r="E15" s="347"/>
      <c r="F15" s="347"/>
      <c r="G15" s="354">
        <f t="shared" si="0"/>
        <v>0</v>
      </c>
      <c r="H15" s="355">
        <f t="shared" si="2"/>
        <v>0</v>
      </c>
    </row>
    <row r="16" spans="1:9" ht="23.25" customHeight="1" thickBot="1" x14ac:dyDescent="0.25">
      <c r="A16" s="349">
        <v>10</v>
      </c>
      <c r="B16" s="359" t="s">
        <v>884</v>
      </c>
      <c r="C16" s="350">
        <f>C12+C13</f>
        <v>629827.01</v>
      </c>
      <c r="D16" s="350">
        <f>D12+D13</f>
        <v>74098.16</v>
      </c>
      <c r="E16" s="351">
        <f>E12+E13</f>
        <v>1554149.46</v>
      </c>
      <c r="F16" s="351">
        <f>F12+F13</f>
        <v>184416.17</v>
      </c>
      <c r="G16" s="350">
        <f t="shared" si="0"/>
        <v>2183976.4699999997</v>
      </c>
      <c r="H16" s="360">
        <f t="shared" si="2"/>
        <v>258514.33000000002</v>
      </c>
    </row>
  </sheetData>
  <sheetProtection selectLockedCells="1"/>
  <mergeCells count="7">
    <mergeCell ref="A1:H1"/>
    <mergeCell ref="A2:H2"/>
    <mergeCell ref="A3:A4"/>
    <mergeCell ref="B3:B4"/>
    <mergeCell ref="C3:D3"/>
    <mergeCell ref="E3:F3"/>
    <mergeCell ref="G3:H3"/>
  </mergeCells>
  <printOptions gridLines="1"/>
  <pageMargins left="0.74803149606299213" right="0.74803149606299213" top="0.98425196850393704" bottom="0.88" header="0.51181102362204722" footer="0.51181102362204722"/>
  <pageSetup paperSize="9" scale="83"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22">
    <tabColor indexed="42"/>
    <pageSetUpPr fitToPage="1"/>
  </sheetPr>
  <dimension ref="A1:I24"/>
  <sheetViews>
    <sheetView zoomScaleNormal="100" workbookViewId="0">
      <pane xSplit="2" ySplit="4" topLeftCell="C5" activePane="bottomRight" state="frozen"/>
      <selection pane="topRight" activeCell="C1" sqref="C1"/>
      <selection pane="bottomLeft" activeCell="A5" sqref="A5"/>
      <selection pane="bottomRight" activeCell="H15" sqref="H15"/>
    </sheetView>
  </sheetViews>
  <sheetFormatPr defaultRowHeight="15.75" x14ac:dyDescent="0.25"/>
  <cols>
    <col min="1" max="1" width="9.5703125" style="231" customWidth="1"/>
    <col min="2" max="2" width="58.42578125" style="170" customWidth="1"/>
    <col min="3" max="3" width="22.140625" style="95" customWidth="1"/>
    <col min="4" max="4" width="21.140625" style="95" customWidth="1"/>
    <col min="5" max="5" width="24.140625" style="95" customWidth="1"/>
    <col min="6" max="16384" width="9.140625" style="170"/>
  </cols>
  <sheetData>
    <row r="1" spans="1:9" ht="80.25" customHeight="1" thickBot="1" x14ac:dyDescent="0.3">
      <c r="A1" s="593" t="s">
        <v>885</v>
      </c>
      <c r="B1" s="594"/>
      <c r="C1" s="594"/>
      <c r="D1" s="594"/>
      <c r="E1" s="595"/>
      <c r="F1" s="362"/>
      <c r="G1" s="362"/>
    </row>
    <row r="2" spans="1:9" ht="35.1" customHeight="1" x14ac:dyDescent="0.25">
      <c r="A2" s="475" t="s">
        <v>724</v>
      </c>
      <c r="B2" s="476"/>
      <c r="C2" s="476"/>
      <c r="D2" s="476"/>
      <c r="E2" s="477"/>
      <c r="F2" s="362"/>
      <c r="G2" s="362"/>
    </row>
    <row r="3" spans="1:9" s="213" customFormat="1" ht="46.9" customHeight="1" x14ac:dyDescent="0.25">
      <c r="A3" s="214" t="s">
        <v>137</v>
      </c>
      <c r="B3" s="5" t="s">
        <v>220</v>
      </c>
      <c r="C3" s="5" t="s">
        <v>199</v>
      </c>
      <c r="D3" s="5" t="s">
        <v>200</v>
      </c>
      <c r="E3" s="6" t="s">
        <v>144</v>
      </c>
    </row>
    <row r="4" spans="1:9" s="213" customFormat="1" ht="16.5" customHeight="1" x14ac:dyDescent="0.25">
      <c r="A4" s="214"/>
      <c r="B4" s="5"/>
      <c r="C4" s="5" t="s">
        <v>184</v>
      </c>
      <c r="D4" s="5" t="s">
        <v>185</v>
      </c>
      <c r="E4" s="6" t="s">
        <v>22</v>
      </c>
    </row>
    <row r="5" spans="1:9" s="213" customFormat="1" ht="17.45" customHeight="1" x14ac:dyDescent="0.25">
      <c r="A5" s="214"/>
      <c r="B5" s="34" t="s">
        <v>246</v>
      </c>
      <c r="C5" s="145"/>
      <c r="D5" s="145"/>
      <c r="E5" s="142"/>
    </row>
    <row r="6" spans="1:9" s="213" customFormat="1" ht="17.45" customHeight="1" x14ac:dyDescent="0.25">
      <c r="A6" s="28">
        <v>1</v>
      </c>
      <c r="B6" s="18" t="s">
        <v>270</v>
      </c>
      <c r="C6" s="157">
        <f>SUM(C7:C10)</f>
        <v>1112315.79</v>
      </c>
      <c r="D6" s="157">
        <f>SUM(D7:D10)</f>
        <v>0</v>
      </c>
      <c r="E6" s="161">
        <f>C6+D6</f>
        <v>1112315.79</v>
      </c>
    </row>
    <row r="7" spans="1:9" s="95" customFormat="1" x14ac:dyDescent="0.2">
      <c r="A7" s="28">
        <f>A6+1</f>
        <v>2</v>
      </c>
      <c r="B7" s="27" t="s">
        <v>91</v>
      </c>
      <c r="C7" s="176">
        <v>1093315.79</v>
      </c>
      <c r="D7" s="176"/>
      <c r="E7" s="161">
        <f>C7+D7</f>
        <v>1093315.79</v>
      </c>
    </row>
    <row r="8" spans="1:9" s="95" customFormat="1" x14ac:dyDescent="0.2">
      <c r="A8" s="28">
        <f>A7+1</f>
        <v>3</v>
      </c>
      <c r="B8" s="27" t="s">
        <v>268</v>
      </c>
      <c r="C8" s="176">
        <v>19000</v>
      </c>
      <c r="D8" s="176"/>
      <c r="E8" s="161">
        <f t="shared" ref="E8:E16" si="0">C8+D8</f>
        <v>19000</v>
      </c>
      <c r="G8" s="363"/>
    </row>
    <row r="9" spans="1:9" s="95" customFormat="1" x14ac:dyDescent="0.2">
      <c r="A9" s="28">
        <f>A8+1</f>
        <v>4</v>
      </c>
      <c r="B9" s="27"/>
      <c r="C9" s="176"/>
      <c r="D9" s="176"/>
      <c r="E9" s="161"/>
    </row>
    <row r="10" spans="1:9" s="95" customFormat="1" x14ac:dyDescent="0.2">
      <c r="A10" s="28">
        <f>A9+1</f>
        <v>5</v>
      </c>
      <c r="B10" s="27"/>
      <c r="C10" s="176"/>
      <c r="D10" s="176"/>
      <c r="E10" s="161">
        <f t="shared" si="0"/>
        <v>0</v>
      </c>
    </row>
    <row r="11" spans="1:9" s="95" customFormat="1" x14ac:dyDescent="0.2">
      <c r="A11" s="28"/>
      <c r="B11" s="34" t="s">
        <v>564</v>
      </c>
      <c r="C11" s="176"/>
      <c r="D11" s="176"/>
      <c r="E11" s="161"/>
    </row>
    <row r="12" spans="1:9" x14ac:dyDescent="0.25">
      <c r="A12" s="28">
        <v>6</v>
      </c>
      <c r="B12" s="27" t="s">
        <v>15</v>
      </c>
      <c r="C12" s="337">
        <v>2200</v>
      </c>
      <c r="D12" s="337"/>
      <c r="E12" s="161">
        <f t="shared" si="0"/>
        <v>2200</v>
      </c>
    </row>
    <row r="13" spans="1:9" x14ac:dyDescent="0.25">
      <c r="A13" s="28">
        <v>7</v>
      </c>
      <c r="B13" s="27" t="s">
        <v>16</v>
      </c>
      <c r="C13" s="176">
        <v>1230</v>
      </c>
      <c r="D13" s="176"/>
      <c r="E13" s="161">
        <f t="shared" si="0"/>
        <v>1230</v>
      </c>
    </row>
    <row r="14" spans="1:9" x14ac:dyDescent="0.25">
      <c r="A14" s="28"/>
      <c r="B14" s="15"/>
      <c r="C14" s="337"/>
      <c r="D14" s="337"/>
      <c r="E14" s="161"/>
    </row>
    <row r="15" spans="1:9" x14ac:dyDescent="0.25">
      <c r="A15" s="28">
        <v>8</v>
      </c>
      <c r="B15" s="15" t="s">
        <v>271</v>
      </c>
      <c r="C15" s="361">
        <f>SUM(C16:C17)</f>
        <v>0</v>
      </c>
      <c r="D15" s="361">
        <f>SUM(D16:D17)</f>
        <v>0</v>
      </c>
      <c r="E15" s="161">
        <f t="shared" si="0"/>
        <v>0</v>
      </c>
    </row>
    <row r="16" spans="1:9" ht="31.5" x14ac:dyDescent="0.25">
      <c r="A16" s="28" t="s">
        <v>269</v>
      </c>
      <c r="B16" s="27" t="s">
        <v>602</v>
      </c>
      <c r="C16" s="337"/>
      <c r="D16" s="337"/>
      <c r="E16" s="161">
        <f t="shared" si="0"/>
        <v>0</v>
      </c>
      <c r="I16" s="364"/>
    </row>
    <row r="17" spans="1:5" x14ac:dyDescent="0.25">
      <c r="A17" s="28"/>
      <c r="B17" s="15"/>
      <c r="C17" s="337"/>
      <c r="D17" s="337"/>
      <c r="E17" s="161"/>
    </row>
    <row r="18" spans="1:5" ht="16.5" thickBot="1" x14ac:dyDescent="0.3">
      <c r="A18" s="365">
        <v>9</v>
      </c>
      <c r="B18" s="366" t="s">
        <v>886</v>
      </c>
      <c r="C18" s="96">
        <f>C6+C12+C13+C15</f>
        <v>1115745.79</v>
      </c>
      <c r="D18" s="96">
        <f>D6+D12+D13+D15</f>
        <v>0</v>
      </c>
      <c r="E18" s="244">
        <f>E6+E12+E13+E15</f>
        <v>1115745.79</v>
      </c>
    </row>
    <row r="19" spans="1:5" x14ac:dyDescent="0.25">
      <c r="E19" s="367"/>
    </row>
    <row r="21" spans="1:5" x14ac:dyDescent="0.25">
      <c r="B21" s="368"/>
      <c r="C21" s="231"/>
    </row>
    <row r="22" spans="1:5" x14ac:dyDescent="0.25">
      <c r="B22" s="231"/>
      <c r="C22" s="231"/>
    </row>
    <row r="23" spans="1:5" x14ac:dyDescent="0.25">
      <c r="B23" s="231"/>
      <c r="C23" s="231"/>
    </row>
    <row r="24" spans="1:5" x14ac:dyDescent="0.25">
      <c r="D24" s="363"/>
    </row>
  </sheetData>
  <protectedRanges>
    <protectedRange sqref="C8:D10" name="Rozsah2_1"/>
    <protectedRange sqref="C11:D11" name="Rozsah2_2"/>
  </protectedRanges>
  <mergeCells count="2">
    <mergeCell ref="A1:E1"/>
    <mergeCell ref="A2:E2"/>
  </mergeCells>
  <phoneticPr fontId="6" type="noConversion"/>
  <pageMargins left="0.79" right="0.74803149606299213" top="0.98425196850393704" bottom="0.77" header="0.51181102362204722" footer="0.51181102362204722"/>
  <pageSetup paperSize="9" scale="97"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pageSetUpPr fitToPage="1"/>
  </sheetPr>
  <dimension ref="A1:G26"/>
  <sheetViews>
    <sheetView workbookViewId="0">
      <pane xSplit="2" ySplit="5" topLeftCell="C15" activePane="bottomRight" state="frozen"/>
      <selection pane="topRight" activeCell="C1" sqref="C1"/>
      <selection pane="bottomLeft" activeCell="A6" sqref="A6"/>
      <selection pane="bottomRight" activeCell="G19" sqref="G19"/>
    </sheetView>
  </sheetViews>
  <sheetFormatPr defaultRowHeight="15.75" x14ac:dyDescent="0.2"/>
  <cols>
    <col min="1" max="1" width="9.140625" style="24"/>
    <col min="2" max="2" width="75.42578125" style="275" customWidth="1"/>
    <col min="3" max="6" width="17.28515625" style="24" customWidth="1"/>
    <col min="7" max="7" width="66.42578125" style="24" customWidth="1"/>
    <col min="8" max="16384" width="9.140625" style="24"/>
  </cols>
  <sheetData>
    <row r="1" spans="1:7" ht="35.1" customHeight="1" thickBot="1" x14ac:dyDescent="0.25">
      <c r="A1" s="466" t="s">
        <v>658</v>
      </c>
      <c r="B1" s="565"/>
      <c r="C1" s="565"/>
      <c r="D1" s="565"/>
      <c r="E1" s="565"/>
      <c r="F1" s="566"/>
    </row>
    <row r="2" spans="1:7" ht="35.1" customHeight="1" x14ac:dyDescent="0.2">
      <c r="A2" s="577" t="s">
        <v>724</v>
      </c>
      <c r="B2" s="605"/>
      <c r="C2" s="596" t="s">
        <v>625</v>
      </c>
      <c r="D2" s="596"/>
      <c r="E2" s="596"/>
      <c r="F2" s="597"/>
    </row>
    <row r="3" spans="1:7" ht="22.9" customHeight="1" x14ac:dyDescent="0.2">
      <c r="A3" s="490" t="s">
        <v>137</v>
      </c>
      <c r="B3" s="496" t="s">
        <v>220</v>
      </c>
      <c r="C3" s="504">
        <v>2015</v>
      </c>
      <c r="D3" s="504"/>
      <c r="E3" s="504">
        <v>2016</v>
      </c>
      <c r="F3" s="553"/>
    </row>
    <row r="4" spans="1:7" ht="75" customHeight="1" x14ac:dyDescent="0.2">
      <c r="A4" s="490"/>
      <c r="B4" s="496"/>
      <c r="C4" s="121" t="s">
        <v>27</v>
      </c>
      <c r="D4" s="121" t="s">
        <v>132</v>
      </c>
      <c r="E4" s="121" t="s">
        <v>27</v>
      </c>
      <c r="F4" s="122" t="s">
        <v>133</v>
      </c>
    </row>
    <row r="5" spans="1:7" x14ac:dyDescent="0.2">
      <c r="A5" s="7"/>
      <c r="B5" s="71"/>
      <c r="C5" s="121" t="s">
        <v>184</v>
      </c>
      <c r="D5" s="121" t="s">
        <v>185</v>
      </c>
      <c r="E5" s="121" t="s">
        <v>186</v>
      </c>
      <c r="F5" s="122" t="s">
        <v>192</v>
      </c>
    </row>
    <row r="6" spans="1:7" ht="31.5" x14ac:dyDescent="0.2">
      <c r="A6" s="7">
        <v>1</v>
      </c>
      <c r="B6" s="11" t="s">
        <v>887</v>
      </c>
      <c r="C6" s="128">
        <f>C7+C10+C16+C19</f>
        <v>38831.94</v>
      </c>
      <c r="D6" s="115">
        <f>D7+D10+D16+D19</f>
        <v>311</v>
      </c>
      <c r="E6" s="128">
        <f t="shared" ref="E6:F6" si="0">E7+E10+E16+E19+E13</f>
        <v>34413.96</v>
      </c>
      <c r="F6" s="377">
        <f t="shared" si="0"/>
        <v>274</v>
      </c>
      <c r="G6" s="132"/>
    </row>
    <row r="7" spans="1:7" x14ac:dyDescent="0.2">
      <c r="A7" s="7">
        <v>2</v>
      </c>
      <c r="B7" s="11" t="s">
        <v>888</v>
      </c>
      <c r="C7" s="128">
        <f>SUM(C8:C9)</f>
        <v>2390</v>
      </c>
      <c r="D7" s="115">
        <f>SUM(D8:D9)</f>
        <v>23</v>
      </c>
      <c r="E7" s="128">
        <f t="shared" ref="E7:F7" si="1">SUM(E8:E9)</f>
        <v>5890</v>
      </c>
      <c r="F7" s="377">
        <f t="shared" si="1"/>
        <v>24</v>
      </c>
      <c r="G7" s="132"/>
    </row>
    <row r="8" spans="1:7" x14ac:dyDescent="0.2">
      <c r="A8" s="7">
        <v>3</v>
      </c>
      <c r="B8" s="10" t="s">
        <v>30</v>
      </c>
      <c r="C8" s="114">
        <v>2390</v>
      </c>
      <c r="D8" s="287">
        <v>23</v>
      </c>
      <c r="E8" s="114">
        <v>5890</v>
      </c>
      <c r="F8" s="369">
        <v>24</v>
      </c>
      <c r="G8" s="132"/>
    </row>
    <row r="9" spans="1:7" ht="18.75" x14ac:dyDescent="0.2">
      <c r="A9" s="7">
        <v>4</v>
      </c>
      <c r="B9" s="10" t="s">
        <v>889</v>
      </c>
      <c r="C9" s="114"/>
      <c r="D9" s="287"/>
      <c r="E9" s="114"/>
      <c r="F9" s="369"/>
      <c r="G9" s="132"/>
    </row>
    <row r="10" spans="1:7" ht="21" customHeight="1" x14ac:dyDescent="0.2">
      <c r="A10" s="7">
        <v>5</v>
      </c>
      <c r="B10" s="11" t="s">
        <v>637</v>
      </c>
      <c r="C10" s="128">
        <f>SUM(C11:C12)</f>
        <v>30831.94</v>
      </c>
      <c r="D10" s="115">
        <f>SUM(D11:D12)</f>
        <v>208</v>
      </c>
      <c r="E10" s="128">
        <f t="shared" ref="E10:F10" si="2">SUM(E11:E12)</f>
        <v>12323</v>
      </c>
      <c r="F10" s="377">
        <f t="shared" si="2"/>
        <v>64</v>
      </c>
      <c r="G10" s="132"/>
    </row>
    <row r="11" spans="1:7" x14ac:dyDescent="0.2">
      <c r="A11" s="7">
        <v>6</v>
      </c>
      <c r="B11" s="10" t="s">
        <v>30</v>
      </c>
      <c r="C11" s="114">
        <v>30831.94</v>
      </c>
      <c r="D11" s="287">
        <v>208</v>
      </c>
      <c r="E11" s="114">
        <v>12323</v>
      </c>
      <c r="F11" s="369">
        <v>64</v>
      </c>
      <c r="G11" s="132"/>
    </row>
    <row r="12" spans="1:7" ht="18.75" x14ac:dyDescent="0.2">
      <c r="A12" s="7">
        <v>7</v>
      </c>
      <c r="B12" s="10" t="s">
        <v>889</v>
      </c>
      <c r="C12" s="114"/>
      <c r="D12" s="287"/>
      <c r="E12" s="114"/>
      <c r="F12" s="369"/>
      <c r="G12" s="132"/>
    </row>
    <row r="13" spans="1:7" x14ac:dyDescent="0.2">
      <c r="A13" s="7">
        <v>8</v>
      </c>
      <c r="B13" s="11" t="s">
        <v>638</v>
      </c>
      <c r="C13" s="377"/>
      <c r="D13" s="377"/>
      <c r="E13" s="128">
        <f t="shared" ref="E13:F13" si="3">E14+E15</f>
        <v>12255.96</v>
      </c>
      <c r="F13" s="377">
        <f t="shared" si="3"/>
        <v>150</v>
      </c>
      <c r="G13" s="132"/>
    </row>
    <row r="14" spans="1:7" x14ac:dyDescent="0.2">
      <c r="A14" s="7">
        <v>9</v>
      </c>
      <c r="B14" s="10" t="s">
        <v>30</v>
      </c>
      <c r="C14" s="370"/>
      <c r="D14" s="369"/>
      <c r="E14" s="114">
        <v>12255.96</v>
      </c>
      <c r="F14" s="369">
        <v>150</v>
      </c>
      <c r="G14" s="132"/>
    </row>
    <row r="15" spans="1:7" ht="18.75" x14ac:dyDescent="0.2">
      <c r="A15" s="7">
        <v>10</v>
      </c>
      <c r="B15" s="10" t="s">
        <v>889</v>
      </c>
      <c r="C15" s="370"/>
      <c r="D15" s="369"/>
      <c r="E15" s="114"/>
      <c r="F15" s="369"/>
      <c r="G15" s="132"/>
    </row>
    <row r="16" spans="1:7" x14ac:dyDescent="0.2">
      <c r="A16" s="7">
        <v>11</v>
      </c>
      <c r="B16" s="11" t="s">
        <v>890</v>
      </c>
      <c r="C16" s="128">
        <f>SUM(C17:C18)</f>
        <v>3810</v>
      </c>
      <c r="D16" s="115">
        <f>SUM(D17:D18)</f>
        <v>76</v>
      </c>
      <c r="E16" s="128">
        <f t="shared" ref="E16:F16" si="4">SUM(E17:E18)</f>
        <v>975</v>
      </c>
      <c r="F16" s="377">
        <f t="shared" si="4"/>
        <v>19</v>
      </c>
    </row>
    <row r="17" spans="1:6" x14ac:dyDescent="0.2">
      <c r="A17" s="7">
        <v>12</v>
      </c>
      <c r="B17" s="10" t="s">
        <v>30</v>
      </c>
      <c r="C17" s="114">
        <v>3810</v>
      </c>
      <c r="D17" s="287">
        <v>76</v>
      </c>
      <c r="E17" s="114">
        <v>975</v>
      </c>
      <c r="F17" s="369">
        <v>19</v>
      </c>
    </row>
    <row r="18" spans="1:6" ht="18.75" x14ac:dyDescent="0.2">
      <c r="A18" s="7">
        <v>13</v>
      </c>
      <c r="B18" s="10" t="s">
        <v>889</v>
      </c>
      <c r="C18" s="114"/>
      <c r="D18" s="287"/>
      <c r="E18" s="114"/>
      <c r="F18" s="369"/>
    </row>
    <row r="19" spans="1:6" x14ac:dyDescent="0.2">
      <c r="A19" s="7">
        <v>14</v>
      </c>
      <c r="B19" s="11" t="s">
        <v>891</v>
      </c>
      <c r="C19" s="128">
        <f>SUM(C20:C21)</f>
        <v>1800</v>
      </c>
      <c r="D19" s="115">
        <f>SUM(D20:D21)</f>
        <v>4</v>
      </c>
      <c r="E19" s="128">
        <f t="shared" ref="E19:F19" si="5">SUM(E20:E21)</f>
        <v>2970</v>
      </c>
      <c r="F19" s="377">
        <f t="shared" si="5"/>
        <v>17</v>
      </c>
    </row>
    <row r="20" spans="1:6" x14ac:dyDescent="0.2">
      <c r="A20" s="7">
        <v>15</v>
      </c>
      <c r="B20" s="10" t="s">
        <v>30</v>
      </c>
      <c r="C20" s="114">
        <v>1800</v>
      </c>
      <c r="D20" s="287">
        <v>4</v>
      </c>
      <c r="E20" s="114">
        <v>2970</v>
      </c>
      <c r="F20" s="369">
        <v>17</v>
      </c>
    </row>
    <row r="21" spans="1:6" ht="18.75" x14ac:dyDescent="0.2">
      <c r="A21" s="7">
        <v>16</v>
      </c>
      <c r="B21" s="371" t="s">
        <v>889</v>
      </c>
      <c r="C21" s="116"/>
      <c r="D21" s="372"/>
      <c r="E21" s="373"/>
      <c r="F21" s="374"/>
    </row>
    <row r="22" spans="1:6" ht="19.5" thickBot="1" x14ac:dyDescent="0.25">
      <c r="A22" s="7">
        <v>17</v>
      </c>
      <c r="B22" s="378" t="s">
        <v>892</v>
      </c>
      <c r="C22" s="179" t="s">
        <v>207</v>
      </c>
      <c r="D22" s="375">
        <v>311</v>
      </c>
      <c r="E22" s="379" t="s">
        <v>207</v>
      </c>
      <c r="F22" s="376">
        <v>274</v>
      </c>
    </row>
    <row r="23" spans="1:6" x14ac:dyDescent="0.2">
      <c r="A23" s="73"/>
      <c r="B23" s="380"/>
      <c r="C23" s="381"/>
      <c r="D23" s="74"/>
      <c r="E23" s="381"/>
      <c r="F23" s="74"/>
    </row>
    <row r="24" spans="1:6" x14ac:dyDescent="0.2">
      <c r="A24" s="599"/>
      <c r="B24" s="600"/>
      <c r="C24" s="600"/>
      <c r="D24" s="600"/>
      <c r="E24" s="600"/>
      <c r="F24" s="601"/>
    </row>
    <row r="25" spans="1:6" x14ac:dyDescent="0.2">
      <c r="A25" s="602"/>
      <c r="B25" s="603"/>
      <c r="C25" s="603"/>
      <c r="D25" s="603"/>
      <c r="E25" s="603"/>
      <c r="F25" s="604"/>
    </row>
    <row r="26" spans="1:6" x14ac:dyDescent="0.2">
      <c r="A26" s="598"/>
      <c r="B26" s="598"/>
      <c r="C26" s="598"/>
      <c r="D26" s="598"/>
      <c r="E26" s="598"/>
      <c r="F26" s="598"/>
    </row>
  </sheetData>
  <mergeCells count="10">
    <mergeCell ref="C2:F2"/>
    <mergeCell ref="A26:F26"/>
    <mergeCell ref="A24:F24"/>
    <mergeCell ref="A25:F25"/>
    <mergeCell ref="A1:F1"/>
    <mergeCell ref="A3:A4"/>
    <mergeCell ref="B3:B4"/>
    <mergeCell ref="C3:D3"/>
    <mergeCell ref="E3:F3"/>
    <mergeCell ref="A2:B2"/>
  </mergeCells>
  <pageMargins left="0.74803149606299213" right="0.56000000000000005" top="0.98425196850393704" bottom="0.98425196850393704" header="0.51181102362204722" footer="0.51181102362204722"/>
  <pageSetup paperSize="9" scale="84"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5">
    <tabColor indexed="42"/>
    <pageSetUpPr fitToPage="1"/>
  </sheetPr>
  <dimension ref="A1:E23"/>
  <sheetViews>
    <sheetView zoomScaleNormal="100" workbookViewId="0">
      <pane xSplit="2" ySplit="4" topLeftCell="C5" activePane="bottomRight" state="frozen"/>
      <selection pane="topRight" activeCell="C1" sqref="C1"/>
      <selection pane="bottomLeft" activeCell="A5" sqref="A5"/>
      <selection pane="bottomRight" activeCell="B9" sqref="B9"/>
    </sheetView>
  </sheetViews>
  <sheetFormatPr defaultRowHeight="15.75" x14ac:dyDescent="0.2"/>
  <cols>
    <col min="1" max="1" width="9.140625" style="136" customWidth="1"/>
    <col min="2" max="2" width="77.85546875" style="137" customWidth="1"/>
    <col min="3" max="5" width="17.42578125" style="24" customWidth="1"/>
    <col min="6" max="6" width="12.42578125" style="24" customWidth="1"/>
    <col min="7" max="16384" width="9.140625" style="24"/>
  </cols>
  <sheetData>
    <row r="1" spans="1:5" s="127" customFormat="1" ht="87" customHeight="1" thickBot="1" x14ac:dyDescent="0.25">
      <c r="A1" s="466" t="s">
        <v>639</v>
      </c>
      <c r="B1" s="467"/>
      <c r="C1" s="467"/>
      <c r="D1" s="467"/>
      <c r="E1" s="468"/>
    </row>
    <row r="2" spans="1:5" s="127" customFormat="1" ht="35.1" customHeight="1" x14ac:dyDescent="0.2">
      <c r="A2" s="469" t="s">
        <v>721</v>
      </c>
      <c r="B2" s="470"/>
      <c r="C2" s="470"/>
      <c r="D2" s="470"/>
      <c r="E2" s="471"/>
    </row>
    <row r="3" spans="1:5" ht="43.5" customHeight="1" x14ac:dyDescent="0.2">
      <c r="A3" s="32" t="s">
        <v>137</v>
      </c>
      <c r="B3" s="118" t="s">
        <v>136</v>
      </c>
      <c r="C3" s="121" t="s">
        <v>199</v>
      </c>
      <c r="D3" s="121" t="s">
        <v>200</v>
      </c>
      <c r="E3" s="6" t="s">
        <v>146</v>
      </c>
    </row>
    <row r="4" spans="1:5" ht="17.25" customHeight="1" x14ac:dyDescent="0.2">
      <c r="A4" s="7"/>
      <c r="B4" s="11"/>
      <c r="C4" s="2" t="s">
        <v>184</v>
      </c>
      <c r="D4" s="2" t="s">
        <v>185</v>
      </c>
      <c r="E4" s="3" t="s">
        <v>22</v>
      </c>
    </row>
    <row r="5" spans="1:5" x14ac:dyDescent="0.2">
      <c r="A5" s="7">
        <v>1</v>
      </c>
      <c r="B5" s="11" t="s">
        <v>241</v>
      </c>
      <c r="C5" s="128">
        <f>C6</f>
        <v>16767490</v>
      </c>
      <c r="D5" s="128">
        <f>D6</f>
        <v>499965</v>
      </c>
      <c r="E5" s="29">
        <f t="shared" ref="E5:E6" si="0">SUM(C5:D5)</f>
        <v>17267455</v>
      </c>
    </row>
    <row r="6" spans="1:5" x14ac:dyDescent="0.2">
      <c r="A6" s="7">
        <f>A5+1</f>
        <v>2</v>
      </c>
      <c r="B6" s="10" t="s">
        <v>170</v>
      </c>
      <c r="C6" s="114">
        <v>16767490</v>
      </c>
      <c r="D6" s="114">
        <v>499965</v>
      </c>
      <c r="E6" s="29">
        <f t="shared" si="0"/>
        <v>17267455</v>
      </c>
    </row>
    <row r="7" spans="1:5" ht="15.75" customHeight="1" x14ac:dyDescent="0.2">
      <c r="A7" s="7">
        <f>A6+1</f>
        <v>3</v>
      </c>
      <c r="B7" s="11" t="s">
        <v>242</v>
      </c>
      <c r="C7" s="128">
        <f>SUM(C8:C12)</f>
        <v>12931393</v>
      </c>
      <c r="D7" s="128">
        <f>SUM(D8:D12)</f>
        <v>0</v>
      </c>
      <c r="E7" s="29">
        <f>SUM(C7:D7)</f>
        <v>12931393</v>
      </c>
    </row>
    <row r="8" spans="1:5" x14ac:dyDescent="0.2">
      <c r="A8" s="7">
        <f t="shared" ref="A8:A19" si="1">A7+1</f>
        <v>4</v>
      </c>
      <c r="B8" s="10" t="s">
        <v>171</v>
      </c>
      <c r="C8" s="114">
        <v>12005108</v>
      </c>
      <c r="D8" s="98" t="s">
        <v>207</v>
      </c>
      <c r="E8" s="29">
        <f t="shared" ref="E8:E19" si="2">SUM(C8:D8)</f>
        <v>12005108</v>
      </c>
    </row>
    <row r="9" spans="1:5" x14ac:dyDescent="0.2">
      <c r="A9" s="7">
        <f t="shared" si="1"/>
        <v>5</v>
      </c>
      <c r="B9" s="10" t="s">
        <v>172</v>
      </c>
      <c r="C9" s="114">
        <v>792236</v>
      </c>
      <c r="D9" s="98" t="s">
        <v>207</v>
      </c>
      <c r="E9" s="29">
        <f t="shared" si="2"/>
        <v>792236</v>
      </c>
    </row>
    <row r="10" spans="1:5" x14ac:dyDescent="0.2">
      <c r="A10" s="7">
        <f t="shared" si="1"/>
        <v>6</v>
      </c>
      <c r="B10" s="10" t="s">
        <v>173</v>
      </c>
      <c r="C10" s="98" t="s">
        <v>207</v>
      </c>
      <c r="D10" s="98" t="s">
        <v>207</v>
      </c>
      <c r="E10" s="29">
        <f t="shared" si="2"/>
        <v>0</v>
      </c>
    </row>
    <row r="11" spans="1:5" x14ac:dyDescent="0.2">
      <c r="A11" s="7">
        <f t="shared" si="1"/>
        <v>7</v>
      </c>
      <c r="B11" s="10" t="s">
        <v>174</v>
      </c>
      <c r="C11" s="98" t="s">
        <v>207</v>
      </c>
      <c r="D11" s="98" t="s">
        <v>207</v>
      </c>
      <c r="E11" s="29">
        <f t="shared" si="2"/>
        <v>0</v>
      </c>
    </row>
    <row r="12" spans="1:5" x14ac:dyDescent="0.2">
      <c r="A12" s="7">
        <f t="shared" si="1"/>
        <v>8</v>
      </c>
      <c r="B12" s="10" t="s">
        <v>97</v>
      </c>
      <c r="C12" s="114">
        <v>134049</v>
      </c>
      <c r="D12" s="98" t="s">
        <v>207</v>
      </c>
      <c r="E12" s="29">
        <f t="shared" si="2"/>
        <v>134049</v>
      </c>
    </row>
    <row r="13" spans="1:5" ht="15.75" customHeight="1" x14ac:dyDescent="0.2">
      <c r="A13" s="7">
        <f t="shared" si="1"/>
        <v>9</v>
      </c>
      <c r="B13" s="11" t="s">
        <v>243</v>
      </c>
      <c r="C13" s="128">
        <f>C14</f>
        <v>116483</v>
      </c>
      <c r="D13" s="128">
        <f>D14</f>
        <v>0</v>
      </c>
      <c r="E13" s="29">
        <f t="shared" si="2"/>
        <v>116483</v>
      </c>
    </row>
    <row r="14" spans="1:5" x14ac:dyDescent="0.2">
      <c r="A14" s="7">
        <f t="shared" si="1"/>
        <v>10</v>
      </c>
      <c r="B14" s="10" t="s">
        <v>98</v>
      </c>
      <c r="C14" s="114">
        <v>116483</v>
      </c>
      <c r="D14" s="114"/>
      <c r="E14" s="29">
        <f t="shared" si="2"/>
        <v>116483</v>
      </c>
    </row>
    <row r="15" spans="1:5" x14ac:dyDescent="0.2">
      <c r="A15" s="7">
        <f t="shared" si="1"/>
        <v>11</v>
      </c>
      <c r="B15" s="11" t="s">
        <v>244</v>
      </c>
      <c r="C15" s="128">
        <f>SUM(C16:C18)</f>
        <v>2579236</v>
      </c>
      <c r="D15" s="128">
        <f>SUM(D16:D18)</f>
        <v>0</v>
      </c>
      <c r="E15" s="29">
        <f t="shared" si="2"/>
        <v>2579236</v>
      </c>
    </row>
    <row r="16" spans="1:5" x14ac:dyDescent="0.2">
      <c r="A16" s="7">
        <f t="shared" si="1"/>
        <v>12</v>
      </c>
      <c r="B16" s="10" t="s">
        <v>99</v>
      </c>
      <c r="C16" s="114">
        <v>1179297</v>
      </c>
      <c r="D16" s="98" t="s">
        <v>207</v>
      </c>
      <c r="E16" s="29">
        <f t="shared" si="2"/>
        <v>1179297</v>
      </c>
    </row>
    <row r="17" spans="1:5" x14ac:dyDescent="0.2">
      <c r="A17" s="7">
        <f t="shared" si="1"/>
        <v>13</v>
      </c>
      <c r="B17" s="10" t="s">
        <v>100</v>
      </c>
      <c r="C17" s="114">
        <v>405738</v>
      </c>
      <c r="D17" s="98" t="s">
        <v>207</v>
      </c>
      <c r="E17" s="29">
        <f t="shared" si="2"/>
        <v>405738</v>
      </c>
    </row>
    <row r="18" spans="1:5" x14ac:dyDescent="0.2">
      <c r="A18" s="7">
        <f t="shared" si="1"/>
        <v>14</v>
      </c>
      <c r="B18" s="10" t="s">
        <v>101</v>
      </c>
      <c r="C18" s="114">
        <v>994201</v>
      </c>
      <c r="D18" s="98" t="s">
        <v>207</v>
      </c>
      <c r="E18" s="29">
        <f t="shared" si="2"/>
        <v>994201</v>
      </c>
    </row>
    <row r="19" spans="1:5" ht="16.5" thickBot="1" x14ac:dyDescent="0.25">
      <c r="A19" s="58">
        <f t="shared" si="1"/>
        <v>15</v>
      </c>
      <c r="B19" s="12" t="s">
        <v>245</v>
      </c>
      <c r="C19" s="129">
        <f>C5+C7+C13+C15</f>
        <v>32394602</v>
      </c>
      <c r="D19" s="129">
        <f>D5+D7+D13+D15</f>
        <v>499965</v>
      </c>
      <c r="E19" s="130">
        <f t="shared" si="2"/>
        <v>32894567</v>
      </c>
    </row>
    <row r="20" spans="1:5" x14ac:dyDescent="0.2">
      <c r="A20" s="131"/>
      <c r="B20" s="132"/>
      <c r="C20" s="133"/>
      <c r="D20" s="133"/>
    </row>
    <row r="21" spans="1:5" x14ac:dyDescent="0.2">
      <c r="A21" s="134"/>
      <c r="B21" s="135"/>
    </row>
    <row r="23" spans="1:5" x14ac:dyDescent="0.2">
      <c r="B23" s="137" t="s">
        <v>102</v>
      </c>
    </row>
  </sheetData>
  <sheetProtection selectLockedCells="1"/>
  <protectedRanges>
    <protectedRange sqref="C16 C14:D14 C6:D6 C18 C8:D12 D16:D18" name="Rozsah2"/>
    <protectedRange sqref="C19:D19" name="Rozsah1"/>
  </protectedRanges>
  <mergeCells count="2">
    <mergeCell ref="A1:E1"/>
    <mergeCell ref="A2:E2"/>
  </mergeCells>
  <phoneticPr fontId="0" type="noConversion"/>
  <printOptions gridLines="1"/>
  <pageMargins left="0.74803149606299213" right="0.74803149606299213" top="0.98425196850393704" bottom="0.98425196850393704" header="0.51181102362204722" footer="0.51181102362204722"/>
  <pageSetup paperSize="9" scale="95"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L13"/>
  <sheetViews>
    <sheetView zoomScaleNormal="100" workbookViewId="0">
      <pane xSplit="2" ySplit="5" topLeftCell="C6" activePane="bottomRight" state="frozen"/>
      <selection pane="topRight" activeCell="C1" sqref="C1"/>
      <selection pane="bottomLeft" activeCell="A5" sqref="A5"/>
      <selection pane="bottomRight" activeCell="G9" sqref="G9"/>
    </sheetView>
  </sheetViews>
  <sheetFormatPr defaultRowHeight="18.75" x14ac:dyDescent="0.25"/>
  <cols>
    <col min="1" max="1" width="9.140625" style="104"/>
    <col min="2" max="2" width="63.140625" style="298" customWidth="1"/>
    <col min="3" max="3" width="17.140625" style="394" customWidth="1"/>
    <col min="4" max="4" width="20.42578125" style="394" customWidth="1"/>
    <col min="5" max="5" width="18.28515625" style="394" customWidth="1"/>
    <col min="6" max="6" width="16.42578125" style="104" customWidth="1"/>
    <col min="7" max="7" width="16.140625" style="104" customWidth="1"/>
    <col min="8" max="16384" width="9.140625" style="104"/>
  </cols>
  <sheetData>
    <row r="1" spans="1:12" ht="50.1" customHeight="1" thickBot="1" x14ac:dyDescent="0.3">
      <c r="A1" s="557" t="s">
        <v>734</v>
      </c>
      <c r="B1" s="608"/>
      <c r="C1" s="608"/>
      <c r="D1" s="609"/>
      <c r="E1" s="609"/>
      <c r="F1" s="610"/>
    </row>
    <row r="2" spans="1:12" ht="35.1" customHeight="1" thickBot="1" x14ac:dyDescent="0.3">
      <c r="A2" s="611" t="s">
        <v>724</v>
      </c>
      <c r="B2" s="612"/>
      <c r="C2" s="612"/>
      <c r="D2" s="613"/>
      <c r="E2" s="613"/>
      <c r="F2" s="614"/>
    </row>
    <row r="3" spans="1:12" ht="33" customHeight="1" x14ac:dyDescent="0.25">
      <c r="A3" s="615" t="s">
        <v>137</v>
      </c>
      <c r="B3" s="617" t="s">
        <v>220</v>
      </c>
      <c r="C3" s="619">
        <v>2015</v>
      </c>
      <c r="D3" s="620"/>
      <c r="E3" s="621">
        <v>2016</v>
      </c>
      <c r="F3" s="620"/>
    </row>
    <row r="4" spans="1:12" ht="105" customHeight="1" x14ac:dyDescent="0.25">
      <c r="A4" s="616"/>
      <c r="B4" s="618"/>
      <c r="C4" s="395" t="s">
        <v>893</v>
      </c>
      <c r="D4" s="396" t="s">
        <v>894</v>
      </c>
      <c r="E4" s="397" t="s">
        <v>893</v>
      </c>
      <c r="F4" s="396" t="s">
        <v>894</v>
      </c>
    </row>
    <row r="5" spans="1:12" ht="18.75" customHeight="1" x14ac:dyDescent="0.25">
      <c r="A5" s="290"/>
      <c r="B5" s="291"/>
      <c r="C5" s="292" t="s">
        <v>184</v>
      </c>
      <c r="D5" s="293" t="s">
        <v>185</v>
      </c>
      <c r="E5" s="398" t="s">
        <v>186</v>
      </c>
      <c r="F5" s="293" t="s">
        <v>192</v>
      </c>
    </row>
    <row r="6" spans="1:12" s="384" customFormat="1" ht="34.5" customHeight="1" x14ac:dyDescent="0.2">
      <c r="A6" s="106">
        <v>1</v>
      </c>
      <c r="B6" s="399" t="s">
        <v>895</v>
      </c>
      <c r="C6" s="382">
        <v>0</v>
      </c>
      <c r="D6" s="383">
        <v>0</v>
      </c>
      <c r="E6" s="400">
        <f>C9</f>
        <v>0</v>
      </c>
      <c r="F6" s="401">
        <f>D9</f>
        <v>3295</v>
      </c>
      <c r="G6" s="402"/>
    </row>
    <row r="7" spans="1:12" ht="36" customHeight="1" x14ac:dyDescent="0.25">
      <c r="A7" s="106">
        <v>2</v>
      </c>
      <c r="B7" s="399" t="s">
        <v>896</v>
      </c>
      <c r="C7" s="385">
        <v>103380</v>
      </c>
      <c r="D7" s="386">
        <v>238875</v>
      </c>
      <c r="E7" s="387">
        <v>126900</v>
      </c>
      <c r="F7" s="383">
        <v>278838</v>
      </c>
      <c r="G7" s="388"/>
    </row>
    <row r="8" spans="1:12" ht="35.25" customHeight="1" x14ac:dyDescent="0.25">
      <c r="A8" s="106">
        <v>3</v>
      </c>
      <c r="B8" s="399" t="s">
        <v>897</v>
      </c>
      <c r="C8" s="385">
        <v>103380</v>
      </c>
      <c r="D8" s="386">
        <v>235580</v>
      </c>
      <c r="E8" s="387">
        <v>126900</v>
      </c>
      <c r="F8" s="383">
        <v>282130</v>
      </c>
      <c r="G8" s="606"/>
      <c r="H8" s="607"/>
      <c r="I8" s="607"/>
      <c r="J8" s="607"/>
      <c r="K8" s="607"/>
      <c r="L8" s="607"/>
    </row>
    <row r="9" spans="1:12" ht="39.75" customHeight="1" x14ac:dyDescent="0.25">
      <c r="A9" s="106">
        <v>4</v>
      </c>
      <c r="B9" s="399" t="s">
        <v>898</v>
      </c>
      <c r="C9" s="403">
        <f>C6+C7-C8</f>
        <v>0</v>
      </c>
      <c r="D9" s="401">
        <f>D6+D7-D8</f>
        <v>3295</v>
      </c>
      <c r="E9" s="400">
        <f>E6+E7-E8</f>
        <v>0</v>
      </c>
      <c r="F9" s="401">
        <f>F6+F7-F8</f>
        <v>3</v>
      </c>
      <c r="G9" s="389"/>
    </row>
    <row r="10" spans="1:12" ht="36" customHeight="1" thickBot="1" x14ac:dyDescent="0.3">
      <c r="A10" s="107">
        <v>5</v>
      </c>
      <c r="B10" s="404" t="s">
        <v>899</v>
      </c>
      <c r="C10" s="390">
        <v>98</v>
      </c>
      <c r="D10" s="391">
        <v>720</v>
      </c>
      <c r="E10" s="392">
        <v>202</v>
      </c>
      <c r="F10" s="393">
        <v>767</v>
      </c>
      <c r="G10" s="389"/>
    </row>
    <row r="11" spans="1:12" ht="21" customHeight="1" x14ac:dyDescent="0.25">
      <c r="A11" s="108"/>
      <c r="B11" s="405"/>
      <c r="C11" s="104"/>
      <c r="D11" s="104"/>
      <c r="E11" s="104"/>
      <c r="G11" s="384"/>
    </row>
    <row r="13" spans="1:12" x14ac:dyDescent="0.25">
      <c r="C13" s="394" t="s">
        <v>102</v>
      </c>
    </row>
  </sheetData>
  <mergeCells count="7">
    <mergeCell ref="G8:L8"/>
    <mergeCell ref="A1:F1"/>
    <mergeCell ref="A2:F2"/>
    <mergeCell ref="A3:A4"/>
    <mergeCell ref="B3:B4"/>
    <mergeCell ref="C3:D3"/>
    <mergeCell ref="E3:F3"/>
  </mergeCells>
  <printOptions horizontalCentered="1"/>
  <pageMargins left="0.74803149606299213" right="0.74803149606299213" top="0.98425196850393704" bottom="0.98425196850393704" header="0.51181102362204722" footer="0.51181102362204722"/>
  <pageSetup paperSize="9" scale="88"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25">
    <tabColor indexed="42"/>
    <pageSetUpPr fitToPage="1"/>
  </sheetPr>
  <dimension ref="A1:N12"/>
  <sheetViews>
    <sheetView workbookViewId="0">
      <pane xSplit="1" ySplit="5" topLeftCell="B6" activePane="bottomRight" state="frozen"/>
      <selection pane="topRight" activeCell="B1" sqref="B1"/>
      <selection pane="bottomLeft" activeCell="A6" sqref="A6"/>
      <selection pane="bottomRight" activeCell="H15" sqref="H15"/>
    </sheetView>
  </sheetViews>
  <sheetFormatPr defaultRowHeight="15.75" x14ac:dyDescent="0.2"/>
  <cols>
    <col min="1" max="1" width="8.85546875" style="414" customWidth="1"/>
    <col min="2" max="2" width="17.85546875" style="414" customWidth="1"/>
    <col min="3" max="3" width="16.140625" style="414" customWidth="1"/>
    <col min="4" max="5" width="15.7109375" style="414" customWidth="1"/>
    <col min="6" max="6" width="14.5703125" style="414" customWidth="1"/>
    <col min="7" max="7" width="17.28515625" style="414" customWidth="1"/>
    <col min="8" max="8" width="16.140625" style="414" customWidth="1"/>
    <col min="9" max="9" width="16.42578125" style="414" customWidth="1"/>
    <col min="10" max="10" width="12.85546875" style="414" customWidth="1"/>
    <col min="11" max="11" width="15.7109375" style="414" customWidth="1"/>
    <col min="12" max="12" width="14.5703125" style="414" customWidth="1"/>
    <col min="13" max="13" width="15.7109375" style="414" customWidth="1"/>
    <col min="14" max="14" width="82.140625" style="414" customWidth="1"/>
    <col min="15" max="16384" width="9.140625" style="414"/>
  </cols>
  <sheetData>
    <row r="1" spans="1:14" s="406" customFormat="1" ht="35.1" customHeight="1" thickBot="1" x14ac:dyDescent="0.25">
      <c r="A1" s="626" t="s">
        <v>900</v>
      </c>
      <c r="B1" s="627"/>
      <c r="C1" s="627"/>
      <c r="D1" s="627"/>
      <c r="E1" s="627"/>
      <c r="F1" s="627"/>
      <c r="G1" s="627"/>
      <c r="H1" s="627"/>
      <c r="I1" s="627"/>
      <c r="J1" s="627"/>
      <c r="K1" s="627"/>
      <c r="L1" s="627"/>
      <c r="M1" s="628"/>
    </row>
    <row r="2" spans="1:14" s="406" customFormat="1" ht="42.75" customHeight="1" x14ac:dyDescent="0.2">
      <c r="A2" s="469" t="s">
        <v>725</v>
      </c>
      <c r="B2" s="470"/>
      <c r="C2" s="470"/>
      <c r="D2" s="470"/>
      <c r="E2" s="470"/>
      <c r="F2" s="470"/>
      <c r="G2" s="470"/>
      <c r="H2" s="470"/>
      <c r="I2" s="470"/>
      <c r="J2" s="470"/>
      <c r="K2" s="470"/>
      <c r="L2" s="470"/>
      <c r="M2" s="471"/>
    </row>
    <row r="3" spans="1:14" s="406" customFormat="1" ht="45.75" customHeight="1" x14ac:dyDescent="0.2">
      <c r="A3" s="622" t="s">
        <v>137</v>
      </c>
      <c r="B3" s="624" t="s">
        <v>659</v>
      </c>
      <c r="C3" s="624"/>
      <c r="D3" s="624"/>
      <c r="E3" s="624"/>
      <c r="F3" s="624"/>
      <c r="G3" s="624"/>
      <c r="H3" s="624" t="s">
        <v>660</v>
      </c>
      <c r="I3" s="624"/>
      <c r="J3" s="624"/>
      <c r="K3" s="624"/>
      <c r="L3" s="624"/>
      <c r="M3" s="625"/>
    </row>
    <row r="4" spans="1:14" s="409" customFormat="1" ht="171.75" customHeight="1" x14ac:dyDescent="0.2">
      <c r="A4" s="623"/>
      <c r="B4" s="407" t="s">
        <v>578</v>
      </c>
      <c r="C4" s="407" t="s">
        <v>901</v>
      </c>
      <c r="D4" s="407" t="s">
        <v>147</v>
      </c>
      <c r="E4" s="407" t="s">
        <v>47</v>
      </c>
      <c r="F4" s="407" t="s">
        <v>48</v>
      </c>
      <c r="G4" s="407" t="s">
        <v>135</v>
      </c>
      <c r="H4" s="407" t="s">
        <v>578</v>
      </c>
      <c r="I4" s="407" t="s">
        <v>901</v>
      </c>
      <c r="J4" s="407" t="s">
        <v>147</v>
      </c>
      <c r="K4" s="407" t="s">
        <v>47</v>
      </c>
      <c r="L4" s="407" t="s">
        <v>48</v>
      </c>
      <c r="M4" s="408" t="s">
        <v>135</v>
      </c>
    </row>
    <row r="5" spans="1:14" x14ac:dyDescent="0.2">
      <c r="A5" s="410"/>
      <c r="B5" s="411" t="s">
        <v>184</v>
      </c>
      <c r="C5" s="411" t="s">
        <v>185</v>
      </c>
      <c r="D5" s="411" t="s">
        <v>186</v>
      </c>
      <c r="E5" s="411" t="s">
        <v>192</v>
      </c>
      <c r="F5" s="411" t="s">
        <v>187</v>
      </c>
      <c r="G5" s="411" t="s">
        <v>557</v>
      </c>
      <c r="H5" s="411" t="s">
        <v>189</v>
      </c>
      <c r="I5" s="411" t="s">
        <v>190</v>
      </c>
      <c r="J5" s="411" t="s">
        <v>191</v>
      </c>
      <c r="K5" s="411" t="s">
        <v>558</v>
      </c>
      <c r="L5" s="412" t="s">
        <v>559</v>
      </c>
      <c r="M5" s="413" t="s">
        <v>636</v>
      </c>
    </row>
    <row r="6" spans="1:14" ht="36" customHeight="1" thickBot="1" x14ac:dyDescent="0.25">
      <c r="A6" s="415">
        <v>1</v>
      </c>
      <c r="B6" s="263">
        <v>16546751.300000001</v>
      </c>
      <c r="C6" s="263">
        <v>33175979.57</v>
      </c>
      <c r="D6" s="263">
        <v>1041033.74</v>
      </c>
      <c r="E6" s="263">
        <v>1144162.76</v>
      </c>
      <c r="F6" s="263">
        <v>2300266.4900000002</v>
      </c>
      <c r="G6" s="416">
        <f>SUM(B6:F6)</f>
        <v>54208193.860000007</v>
      </c>
      <c r="H6" s="263">
        <f>B6+'[3]T11-Zdroje KV'!D15-'[3]T5 - Analýza nákladov'!E91-0.12</f>
        <v>16584221.360000001</v>
      </c>
      <c r="I6" s="263">
        <f>C6+'[3]T11-Zdroje KV'!D16-'[3]T5 - Analýza nákladov'!E93-36342.68-51795.86</f>
        <v>30036634.670000002</v>
      </c>
      <c r="J6" s="263">
        <f>974890.66</f>
        <v>974890.66</v>
      </c>
      <c r="K6" s="263">
        <f>1974844.76</f>
        <v>1974844.76</v>
      </c>
      <c r="L6" s="263">
        <f>2140325.1</f>
        <v>2140325.1</v>
      </c>
      <c r="M6" s="417">
        <f>SUM(H6:L6)</f>
        <v>51710916.549999997</v>
      </c>
      <c r="N6" s="418"/>
    </row>
    <row r="7" spans="1:14" x14ac:dyDescent="0.2">
      <c r="H7" s="125"/>
      <c r="I7" s="125"/>
      <c r="J7" s="125"/>
      <c r="K7" s="125"/>
      <c r="L7" s="125"/>
      <c r="M7" s="125"/>
    </row>
    <row r="8" spans="1:14" x14ac:dyDescent="0.2">
      <c r="H8" s="419"/>
      <c r="I8" s="419"/>
      <c r="J8" s="419"/>
      <c r="K8" s="419"/>
      <c r="L8" s="419"/>
      <c r="M8" s="419"/>
      <c r="N8" s="420"/>
    </row>
    <row r="9" spans="1:14" ht="15.75" customHeight="1" x14ac:dyDescent="0.2">
      <c r="B9" s="420"/>
      <c r="C9" s="420"/>
      <c r="D9" s="406"/>
      <c r="I9" s="125"/>
    </row>
    <row r="10" spans="1:14" x14ac:dyDescent="0.2">
      <c r="I10" s="125"/>
    </row>
    <row r="11" spans="1:14" x14ac:dyDescent="0.2">
      <c r="B11" s="420"/>
      <c r="C11" s="420"/>
      <c r="D11" s="406"/>
      <c r="E11" s="406"/>
      <c r="F11" s="406"/>
      <c r="G11" s="406"/>
      <c r="I11" s="125"/>
    </row>
    <row r="12" spans="1:14" x14ac:dyDescent="0.2">
      <c r="I12" s="125"/>
    </row>
  </sheetData>
  <mergeCells count="5">
    <mergeCell ref="A3:A4"/>
    <mergeCell ref="B3:G3"/>
    <mergeCell ref="H3:M3"/>
    <mergeCell ref="A1:M1"/>
    <mergeCell ref="A2:M2"/>
  </mergeCells>
  <phoneticPr fontId="23" type="noConversion"/>
  <pageMargins left="0.4" right="0.27" top="0.98425196850393704" bottom="0.98425196850393704" header="0.51181102362204722" footer="0.51181102362204722"/>
  <pageSetup paperSize="9" scale="72"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G46"/>
  <sheetViews>
    <sheetView workbookViewId="0">
      <pane xSplit="3" ySplit="3" topLeftCell="D4" activePane="bottomRight" state="frozen"/>
      <selection pane="topRight" activeCell="D1" sqref="D1"/>
      <selection pane="bottomLeft" activeCell="A4" sqref="A4"/>
      <selection pane="bottomRight" activeCell="G6" sqref="G6"/>
    </sheetView>
  </sheetViews>
  <sheetFormatPr defaultRowHeight="15.75" x14ac:dyDescent="0.2"/>
  <cols>
    <col min="1" max="1" width="7.28515625" style="421" customWidth="1"/>
    <col min="2" max="2" width="39.85546875" style="421" customWidth="1"/>
    <col min="3" max="3" width="9.42578125" style="421" customWidth="1"/>
    <col min="4" max="4" width="18.42578125" style="421" customWidth="1"/>
    <col min="5" max="5" width="16.7109375" style="421" customWidth="1"/>
    <col min="6" max="6" width="15.42578125" style="421" customWidth="1"/>
    <col min="7" max="7" width="5.140625" style="421" customWidth="1"/>
    <col min="8" max="16384" width="9.140625" style="421"/>
  </cols>
  <sheetData>
    <row r="1" spans="1:7" ht="66.75" customHeight="1" thickBot="1" x14ac:dyDescent="0.25">
      <c r="A1" s="634" t="s">
        <v>661</v>
      </c>
      <c r="B1" s="635"/>
      <c r="C1" s="635"/>
      <c r="D1" s="635"/>
      <c r="E1" s="635"/>
      <c r="F1" s="636"/>
    </row>
    <row r="2" spans="1:7" ht="36.75" customHeight="1" thickBot="1" x14ac:dyDescent="0.25">
      <c r="A2" s="637" t="s">
        <v>721</v>
      </c>
      <c r="B2" s="638"/>
      <c r="C2" s="638"/>
      <c r="D2" s="638"/>
      <c r="E2" s="638"/>
      <c r="F2" s="639"/>
    </row>
    <row r="3" spans="1:7" s="425" customFormat="1" ht="69" customHeight="1" x14ac:dyDescent="0.2">
      <c r="A3" s="75" t="s">
        <v>400</v>
      </c>
      <c r="B3" s="75" t="s">
        <v>272</v>
      </c>
      <c r="C3" s="422" t="s">
        <v>137</v>
      </c>
      <c r="D3" s="422" t="s">
        <v>662</v>
      </c>
      <c r="E3" s="423" t="s">
        <v>902</v>
      </c>
      <c r="F3" s="424" t="s">
        <v>642</v>
      </c>
      <c r="G3" s="421"/>
    </row>
    <row r="4" spans="1:7" s="425" customFormat="1" x14ac:dyDescent="0.2">
      <c r="A4" s="77"/>
      <c r="B4" s="76"/>
      <c r="C4" s="426"/>
      <c r="D4" s="426" t="s">
        <v>184</v>
      </c>
      <c r="E4" s="426" t="s">
        <v>185</v>
      </c>
      <c r="F4" s="427" t="s">
        <v>186</v>
      </c>
      <c r="G4" s="421"/>
    </row>
    <row r="5" spans="1:7" s="126" customFormat="1" x14ac:dyDescent="0.25">
      <c r="A5" s="428">
        <v>601</v>
      </c>
      <c r="B5" s="429" t="s">
        <v>474</v>
      </c>
      <c r="C5" s="430" t="s">
        <v>475</v>
      </c>
      <c r="D5" s="110">
        <v>207190.5</v>
      </c>
      <c r="E5" s="110">
        <v>233480.72</v>
      </c>
      <c r="F5" s="431">
        <f>E5-D5</f>
        <v>26290.22</v>
      </c>
      <c r="G5" s="421"/>
    </row>
    <row r="6" spans="1:7" s="126" customFormat="1" x14ac:dyDescent="0.25">
      <c r="A6" s="44">
        <v>602</v>
      </c>
      <c r="B6" s="432" t="s">
        <v>476</v>
      </c>
      <c r="C6" s="433" t="s">
        <v>477</v>
      </c>
      <c r="D6" s="111">
        <v>828570.91</v>
      </c>
      <c r="E6" s="111">
        <v>842980.42</v>
      </c>
      <c r="F6" s="431">
        <f t="shared" ref="F6:F39" si="0">E6-D6</f>
        <v>14409.510000000009</v>
      </c>
      <c r="G6" s="421"/>
    </row>
    <row r="7" spans="1:7" s="126" customFormat="1" x14ac:dyDescent="0.25">
      <c r="A7" s="44">
        <v>604</v>
      </c>
      <c r="B7" s="434" t="s">
        <v>478</v>
      </c>
      <c r="C7" s="433" t="s">
        <v>479</v>
      </c>
      <c r="D7" s="435"/>
      <c r="E7" s="111"/>
      <c r="F7" s="431">
        <f t="shared" si="0"/>
        <v>0</v>
      </c>
      <c r="G7" s="421"/>
    </row>
    <row r="8" spans="1:7" s="126" customFormat="1" x14ac:dyDescent="0.25">
      <c r="A8" s="44">
        <v>611</v>
      </c>
      <c r="B8" s="432" t="s">
        <v>480</v>
      </c>
      <c r="C8" s="433" t="s">
        <v>481</v>
      </c>
      <c r="D8" s="435"/>
      <c r="E8" s="111"/>
      <c r="F8" s="431">
        <f t="shared" si="0"/>
        <v>0</v>
      </c>
      <c r="G8" s="421"/>
    </row>
    <row r="9" spans="1:7" s="126" customFormat="1" x14ac:dyDescent="0.25">
      <c r="A9" s="44">
        <v>612</v>
      </c>
      <c r="B9" s="432" t="s">
        <v>482</v>
      </c>
      <c r="C9" s="433" t="s">
        <v>483</v>
      </c>
      <c r="D9" s="435"/>
      <c r="E9" s="111"/>
      <c r="F9" s="431">
        <f t="shared" si="0"/>
        <v>0</v>
      </c>
      <c r="G9" s="421"/>
    </row>
    <row r="10" spans="1:7" s="126" customFormat="1" x14ac:dyDescent="0.25">
      <c r="A10" s="44">
        <v>613</v>
      </c>
      <c r="B10" s="432" t="s">
        <v>484</v>
      </c>
      <c r="C10" s="433" t="s">
        <v>485</v>
      </c>
      <c r="D10" s="435"/>
      <c r="E10" s="111"/>
      <c r="F10" s="431">
        <f t="shared" si="0"/>
        <v>0</v>
      </c>
      <c r="G10" s="421"/>
    </row>
    <row r="11" spans="1:7" s="126" customFormat="1" x14ac:dyDescent="0.25">
      <c r="A11" s="44">
        <v>614</v>
      </c>
      <c r="B11" s="432" t="s">
        <v>486</v>
      </c>
      <c r="C11" s="433" t="s">
        <v>487</v>
      </c>
      <c r="D11" s="435"/>
      <c r="E11" s="111"/>
      <c r="F11" s="431">
        <f t="shared" si="0"/>
        <v>0</v>
      </c>
      <c r="G11" s="421"/>
    </row>
    <row r="12" spans="1:7" s="126" customFormat="1" x14ac:dyDescent="0.25">
      <c r="A12" s="44">
        <v>621</v>
      </c>
      <c r="B12" s="432" t="s">
        <v>488</v>
      </c>
      <c r="C12" s="433" t="s">
        <v>489</v>
      </c>
      <c r="D12" s="435"/>
      <c r="E12" s="111"/>
      <c r="F12" s="431">
        <f t="shared" si="0"/>
        <v>0</v>
      </c>
      <c r="G12" s="421"/>
    </row>
    <row r="13" spans="1:7" s="126" customFormat="1" x14ac:dyDescent="0.25">
      <c r="A13" s="44">
        <v>622</v>
      </c>
      <c r="B13" s="432" t="s">
        <v>490</v>
      </c>
      <c r="C13" s="433" t="s">
        <v>491</v>
      </c>
      <c r="D13" s="435"/>
      <c r="E13" s="111"/>
      <c r="F13" s="431">
        <f t="shared" si="0"/>
        <v>0</v>
      </c>
      <c r="G13" s="421"/>
    </row>
    <row r="14" spans="1:7" s="126" customFormat="1" x14ac:dyDescent="0.25">
      <c r="A14" s="44">
        <v>623</v>
      </c>
      <c r="B14" s="432" t="s">
        <v>492</v>
      </c>
      <c r="C14" s="433" t="s">
        <v>493</v>
      </c>
      <c r="D14" s="435"/>
      <c r="E14" s="111"/>
      <c r="F14" s="431">
        <f t="shared" si="0"/>
        <v>0</v>
      </c>
    </row>
    <row r="15" spans="1:7" s="126" customFormat="1" x14ac:dyDescent="0.25">
      <c r="A15" s="44">
        <v>624</v>
      </c>
      <c r="B15" s="432" t="s">
        <v>494</v>
      </c>
      <c r="C15" s="433" t="s">
        <v>495</v>
      </c>
      <c r="D15" s="435"/>
      <c r="E15" s="111"/>
      <c r="F15" s="431">
        <f t="shared" si="0"/>
        <v>0</v>
      </c>
    </row>
    <row r="16" spans="1:7" s="126" customFormat="1" x14ac:dyDescent="0.25">
      <c r="A16" s="44">
        <v>641</v>
      </c>
      <c r="B16" s="432" t="s">
        <v>431</v>
      </c>
      <c r="C16" s="433" t="s">
        <v>496</v>
      </c>
      <c r="D16" s="435"/>
      <c r="E16" s="111"/>
      <c r="F16" s="431">
        <f t="shared" si="0"/>
        <v>0</v>
      </c>
    </row>
    <row r="17" spans="1:6" s="126" customFormat="1" x14ac:dyDescent="0.25">
      <c r="A17" s="44">
        <v>642</v>
      </c>
      <c r="B17" s="432" t="s">
        <v>433</v>
      </c>
      <c r="C17" s="433" t="s">
        <v>497</v>
      </c>
      <c r="D17" s="435"/>
      <c r="E17" s="111"/>
      <c r="F17" s="431">
        <f t="shared" si="0"/>
        <v>0</v>
      </c>
    </row>
    <row r="18" spans="1:6" s="126" customFormat="1" x14ac:dyDescent="0.25">
      <c r="A18" s="44">
        <v>643</v>
      </c>
      <c r="B18" s="432" t="s">
        <v>498</v>
      </c>
      <c r="C18" s="433" t="s">
        <v>499</v>
      </c>
      <c r="D18" s="435"/>
      <c r="E18" s="111"/>
      <c r="F18" s="431">
        <f t="shared" si="0"/>
        <v>0</v>
      </c>
    </row>
    <row r="19" spans="1:6" s="126" customFormat="1" x14ac:dyDescent="0.25">
      <c r="A19" s="44">
        <v>644</v>
      </c>
      <c r="B19" s="432" t="s">
        <v>437</v>
      </c>
      <c r="C19" s="433" t="s">
        <v>500</v>
      </c>
      <c r="D19" s="435"/>
      <c r="E19" s="111"/>
      <c r="F19" s="431">
        <f t="shared" si="0"/>
        <v>0</v>
      </c>
    </row>
    <row r="20" spans="1:6" s="126" customFormat="1" x14ac:dyDescent="0.25">
      <c r="A20" s="44">
        <v>645</v>
      </c>
      <c r="B20" s="432" t="s">
        <v>501</v>
      </c>
      <c r="C20" s="433" t="s">
        <v>502</v>
      </c>
      <c r="D20" s="435"/>
      <c r="E20" s="111"/>
      <c r="F20" s="431">
        <f t="shared" si="0"/>
        <v>0</v>
      </c>
    </row>
    <row r="21" spans="1:6" s="126" customFormat="1" x14ac:dyDescent="0.25">
      <c r="A21" s="44">
        <v>646</v>
      </c>
      <c r="B21" s="432" t="s">
        <v>503</v>
      </c>
      <c r="C21" s="433" t="s">
        <v>504</v>
      </c>
      <c r="D21" s="435"/>
      <c r="E21" s="111"/>
      <c r="F21" s="431">
        <f t="shared" si="0"/>
        <v>0</v>
      </c>
    </row>
    <row r="22" spans="1:6" s="126" customFormat="1" x14ac:dyDescent="0.25">
      <c r="A22" s="44">
        <v>647</v>
      </c>
      <c r="B22" s="432" t="s">
        <v>505</v>
      </c>
      <c r="C22" s="433" t="s">
        <v>506</v>
      </c>
      <c r="D22" s="435"/>
      <c r="E22" s="111"/>
      <c r="F22" s="431">
        <f t="shared" si="0"/>
        <v>0</v>
      </c>
    </row>
    <row r="23" spans="1:6" s="126" customFormat="1" x14ac:dyDescent="0.25">
      <c r="A23" s="44">
        <v>648</v>
      </c>
      <c r="B23" s="432" t="s">
        <v>507</v>
      </c>
      <c r="C23" s="433" t="s">
        <v>508</v>
      </c>
      <c r="D23" s="435"/>
      <c r="E23" s="111"/>
      <c r="F23" s="431">
        <f t="shared" si="0"/>
        <v>0</v>
      </c>
    </row>
    <row r="24" spans="1:6" s="126" customFormat="1" x14ac:dyDescent="0.25">
      <c r="A24" s="44">
        <v>649</v>
      </c>
      <c r="B24" s="432" t="s">
        <v>509</v>
      </c>
      <c r="C24" s="433" t="s">
        <v>510</v>
      </c>
      <c r="D24" s="111">
        <f>5363.33+46922.6</f>
        <v>52285.93</v>
      </c>
      <c r="E24" s="111">
        <f>14415.15+48967.9</f>
        <v>63383.05</v>
      </c>
      <c r="F24" s="431">
        <f t="shared" si="0"/>
        <v>11097.120000000003</v>
      </c>
    </row>
    <row r="25" spans="1:6" s="126" customFormat="1" x14ac:dyDescent="0.25">
      <c r="A25" s="44">
        <v>651</v>
      </c>
      <c r="B25" s="432" t="s">
        <v>511</v>
      </c>
      <c r="C25" s="433" t="s">
        <v>512</v>
      </c>
      <c r="D25" s="435"/>
      <c r="E25" s="111"/>
      <c r="F25" s="431">
        <f t="shared" si="0"/>
        <v>0</v>
      </c>
    </row>
    <row r="26" spans="1:6" s="126" customFormat="1" x14ac:dyDescent="0.25">
      <c r="A26" s="44">
        <v>652</v>
      </c>
      <c r="B26" s="432" t="s">
        <v>513</v>
      </c>
      <c r="C26" s="433" t="s">
        <v>514</v>
      </c>
      <c r="D26" s="435"/>
      <c r="E26" s="111"/>
      <c r="F26" s="431">
        <f t="shared" si="0"/>
        <v>0</v>
      </c>
    </row>
    <row r="27" spans="1:6" s="126" customFormat="1" x14ac:dyDescent="0.25">
      <c r="A27" s="44">
        <v>653</v>
      </c>
      <c r="B27" s="432" t="s">
        <v>515</v>
      </c>
      <c r="C27" s="433" t="s">
        <v>516</v>
      </c>
      <c r="D27" s="435"/>
      <c r="E27" s="111"/>
      <c r="F27" s="431">
        <f t="shared" si="0"/>
        <v>0</v>
      </c>
    </row>
    <row r="28" spans="1:6" s="126" customFormat="1" x14ac:dyDescent="0.25">
      <c r="A28" s="44">
        <v>654</v>
      </c>
      <c r="B28" s="432" t="s">
        <v>517</v>
      </c>
      <c r="C28" s="433" t="s">
        <v>518</v>
      </c>
      <c r="D28" s="435"/>
      <c r="E28" s="111"/>
      <c r="F28" s="431">
        <f t="shared" si="0"/>
        <v>0</v>
      </c>
    </row>
    <row r="29" spans="1:6" s="126" customFormat="1" x14ac:dyDescent="0.25">
      <c r="A29" s="44">
        <v>655</v>
      </c>
      <c r="B29" s="432" t="s">
        <v>519</v>
      </c>
      <c r="C29" s="433" t="s">
        <v>520</v>
      </c>
      <c r="D29" s="435"/>
      <c r="E29" s="111"/>
      <c r="F29" s="431">
        <f t="shared" si="0"/>
        <v>0</v>
      </c>
    </row>
    <row r="30" spans="1:6" s="126" customFormat="1" x14ac:dyDescent="0.25">
      <c r="A30" s="44">
        <v>656</v>
      </c>
      <c r="B30" s="432" t="s">
        <v>521</v>
      </c>
      <c r="C30" s="433" t="s">
        <v>522</v>
      </c>
      <c r="D30" s="111">
        <v>38831.94</v>
      </c>
      <c r="E30" s="111">
        <v>34413.96</v>
      </c>
      <c r="F30" s="431">
        <f t="shared" si="0"/>
        <v>-4417.9800000000032</v>
      </c>
    </row>
    <row r="31" spans="1:6" s="126" customFormat="1" x14ac:dyDescent="0.25">
      <c r="A31" s="44">
        <v>657</v>
      </c>
      <c r="B31" s="432" t="s">
        <v>523</v>
      </c>
      <c r="C31" s="433" t="s">
        <v>524</v>
      </c>
      <c r="D31" s="435"/>
      <c r="E31" s="111"/>
      <c r="F31" s="431">
        <f t="shared" si="0"/>
        <v>0</v>
      </c>
    </row>
    <row r="32" spans="1:6" s="126" customFormat="1" x14ac:dyDescent="0.25">
      <c r="A32" s="44">
        <v>658</v>
      </c>
      <c r="B32" s="432" t="s">
        <v>525</v>
      </c>
      <c r="C32" s="433" t="s">
        <v>526</v>
      </c>
      <c r="D32" s="435"/>
      <c r="E32" s="111"/>
      <c r="F32" s="431">
        <f t="shared" si="0"/>
        <v>0</v>
      </c>
    </row>
    <row r="33" spans="1:7" s="126" customFormat="1" x14ac:dyDescent="0.25">
      <c r="A33" s="44">
        <v>661</v>
      </c>
      <c r="B33" s="432" t="s">
        <v>527</v>
      </c>
      <c r="C33" s="433" t="s">
        <v>528</v>
      </c>
      <c r="D33" s="435"/>
      <c r="E33" s="111"/>
      <c r="F33" s="431">
        <f t="shared" si="0"/>
        <v>0</v>
      </c>
    </row>
    <row r="34" spans="1:7" s="126" customFormat="1" x14ac:dyDescent="0.25">
      <c r="A34" s="44">
        <v>662</v>
      </c>
      <c r="B34" s="432" t="s">
        <v>529</v>
      </c>
      <c r="C34" s="433" t="s">
        <v>530</v>
      </c>
      <c r="D34" s="435"/>
      <c r="E34" s="111"/>
      <c r="F34" s="431">
        <f t="shared" si="0"/>
        <v>0</v>
      </c>
    </row>
    <row r="35" spans="1:7" s="126" customFormat="1" x14ac:dyDescent="0.25">
      <c r="A35" s="44">
        <v>663</v>
      </c>
      <c r="B35" s="432" t="s">
        <v>531</v>
      </c>
      <c r="C35" s="433" t="s">
        <v>532</v>
      </c>
      <c r="D35" s="435"/>
      <c r="E35" s="111"/>
      <c r="F35" s="431">
        <f t="shared" si="0"/>
        <v>0</v>
      </c>
    </row>
    <row r="36" spans="1:7" s="126" customFormat="1" x14ac:dyDescent="0.25">
      <c r="A36" s="44">
        <v>664</v>
      </c>
      <c r="B36" s="432" t="s">
        <v>533</v>
      </c>
      <c r="C36" s="433" t="s">
        <v>534</v>
      </c>
      <c r="D36" s="435"/>
      <c r="E36" s="112"/>
      <c r="F36" s="431">
        <f t="shared" si="0"/>
        <v>0</v>
      </c>
      <c r="G36" s="421"/>
    </row>
    <row r="37" spans="1:7" s="126" customFormat="1" x14ac:dyDescent="0.25">
      <c r="A37" s="44">
        <v>665</v>
      </c>
      <c r="B37" s="432" t="s">
        <v>535</v>
      </c>
      <c r="C37" s="433" t="s">
        <v>536</v>
      </c>
      <c r="D37" s="435"/>
      <c r="E37" s="112"/>
      <c r="F37" s="431">
        <f t="shared" si="0"/>
        <v>0</v>
      </c>
      <c r="G37" s="421"/>
    </row>
    <row r="38" spans="1:7" x14ac:dyDescent="0.25">
      <c r="A38" s="44">
        <v>667</v>
      </c>
      <c r="B38" s="432" t="s">
        <v>537</v>
      </c>
      <c r="C38" s="433" t="s">
        <v>538</v>
      </c>
      <c r="D38" s="435"/>
      <c r="E38" s="112"/>
      <c r="F38" s="431">
        <f t="shared" si="0"/>
        <v>0</v>
      </c>
    </row>
    <row r="39" spans="1:7" x14ac:dyDescent="0.25">
      <c r="A39" s="44">
        <v>691</v>
      </c>
      <c r="B39" s="432" t="s">
        <v>539</v>
      </c>
      <c r="C39" s="433" t="s">
        <v>540</v>
      </c>
      <c r="D39" s="112">
        <v>819341.65</v>
      </c>
      <c r="E39" s="112">
        <v>962617.62</v>
      </c>
      <c r="F39" s="431">
        <f t="shared" si="0"/>
        <v>143275.96999999997</v>
      </c>
    </row>
    <row r="40" spans="1:7" x14ac:dyDescent="0.2">
      <c r="A40" s="630" t="s">
        <v>541</v>
      </c>
      <c r="B40" s="631"/>
      <c r="C40" s="436" t="s">
        <v>542</v>
      </c>
      <c r="D40" s="437">
        <f>SUM(D5:D39)</f>
        <v>1946220.9300000002</v>
      </c>
      <c r="E40" s="438">
        <f>SUM(E5:E39)</f>
        <v>2136875.77</v>
      </c>
      <c r="F40" s="431">
        <f>SUM(F5:F39)</f>
        <v>190654.83999999997</v>
      </c>
    </row>
    <row r="41" spans="1:7" x14ac:dyDescent="0.2">
      <c r="A41" s="630" t="s">
        <v>543</v>
      </c>
      <c r="B41" s="631"/>
      <c r="C41" s="436" t="s">
        <v>544</v>
      </c>
      <c r="D41" s="439">
        <f>D40-[3]T23_Náklady_soc_oblasť!D42</f>
        <v>247159.52000000002</v>
      </c>
      <c r="E41" s="440">
        <f>E40-[3]T23_Náklady_soc_oblasť!E42</f>
        <v>406464.81000000029</v>
      </c>
      <c r="F41" s="431">
        <f>F40-[3]T23_Náklady_soc_oblasť!F42</f>
        <v>159305.28999999995</v>
      </c>
    </row>
    <row r="42" spans="1:7" x14ac:dyDescent="0.25">
      <c r="A42" s="44">
        <v>591</v>
      </c>
      <c r="B42" s="432" t="s">
        <v>545</v>
      </c>
      <c r="C42" s="433" t="s">
        <v>546</v>
      </c>
      <c r="D42" s="435"/>
      <c r="E42" s="111"/>
      <c r="F42" s="431">
        <f>E42-D42</f>
        <v>0</v>
      </c>
    </row>
    <row r="43" spans="1:7" x14ac:dyDescent="0.25">
      <c r="A43" s="44">
        <v>595</v>
      </c>
      <c r="B43" s="432" t="s">
        <v>547</v>
      </c>
      <c r="C43" s="433" t="s">
        <v>548</v>
      </c>
      <c r="D43" s="435"/>
      <c r="E43" s="111"/>
      <c r="F43" s="431">
        <f>E43-D43</f>
        <v>0</v>
      </c>
    </row>
    <row r="44" spans="1:7" ht="16.5" thickBot="1" x14ac:dyDescent="0.25">
      <c r="A44" s="632" t="s">
        <v>549</v>
      </c>
      <c r="B44" s="633"/>
      <c r="C44" s="441" t="s">
        <v>550</v>
      </c>
      <c r="D44" s="442">
        <f>D41-D42-D43</f>
        <v>247159.52000000002</v>
      </c>
      <c r="E44" s="442">
        <f>E41-E42-E43</f>
        <v>406464.81000000029</v>
      </c>
      <c r="F44" s="443">
        <f>E44-D44</f>
        <v>159305.29000000027</v>
      </c>
    </row>
    <row r="46" spans="1:7" x14ac:dyDescent="0.2">
      <c r="A46" s="629"/>
      <c r="B46" s="629"/>
      <c r="C46" s="629"/>
      <c r="D46" s="629"/>
      <c r="E46" s="629"/>
      <c r="F46" s="629"/>
    </row>
  </sheetData>
  <mergeCells count="6">
    <mergeCell ref="A46:F46"/>
    <mergeCell ref="A40:B40"/>
    <mergeCell ref="A41:B41"/>
    <mergeCell ref="A44:B44"/>
    <mergeCell ref="A1:F1"/>
    <mergeCell ref="A2:F2"/>
  </mergeCells>
  <pageMargins left="0.55118110236220474" right="0.47244094488188981" top="0.59055118110236227" bottom="0.47244094488188981" header="0.15748031496062992" footer="0.15748031496062992"/>
  <pageSetup paperSize="9" scale="88"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F43"/>
  <sheetViews>
    <sheetView workbookViewId="0">
      <pane xSplit="3" ySplit="3" topLeftCell="D4" activePane="bottomRight" state="frozen"/>
      <selection pane="topRight" activeCell="D1" sqref="D1"/>
      <selection pane="bottomLeft" activeCell="A4" sqref="A4"/>
      <selection pane="bottomRight" activeCell="A2" sqref="A2:F2"/>
    </sheetView>
  </sheetViews>
  <sheetFormatPr defaultRowHeight="12.75" x14ac:dyDescent="0.2"/>
  <cols>
    <col min="1" max="1" width="8.28515625" style="126" customWidth="1"/>
    <col min="2" max="2" width="42.140625" style="126" customWidth="1"/>
    <col min="3" max="3" width="10.140625" style="126" customWidth="1"/>
    <col min="4" max="4" width="17.42578125" style="126" customWidth="1"/>
    <col min="5" max="5" width="17.140625" style="126" customWidth="1"/>
    <col min="6" max="6" width="16.5703125" style="126" customWidth="1"/>
    <col min="7" max="16384" width="9.140625" style="126"/>
  </cols>
  <sheetData>
    <row r="1" spans="1:6" ht="61.5" customHeight="1" thickBot="1" x14ac:dyDescent="0.25">
      <c r="A1" s="643" t="s">
        <v>663</v>
      </c>
      <c r="B1" s="644"/>
      <c r="C1" s="644"/>
      <c r="D1" s="644"/>
      <c r="E1" s="644"/>
      <c r="F1" s="645"/>
    </row>
    <row r="2" spans="1:6" ht="47.25" customHeight="1" thickBot="1" x14ac:dyDescent="0.25">
      <c r="A2" s="640" t="s">
        <v>721</v>
      </c>
      <c r="B2" s="641"/>
      <c r="C2" s="641"/>
      <c r="D2" s="641"/>
      <c r="E2" s="641"/>
      <c r="F2" s="642"/>
    </row>
    <row r="3" spans="1:6" ht="64.5" customHeight="1" x14ac:dyDescent="0.2">
      <c r="A3" s="75" t="s">
        <v>400</v>
      </c>
      <c r="B3" s="78" t="s">
        <v>272</v>
      </c>
      <c r="C3" s="79" t="s">
        <v>137</v>
      </c>
      <c r="D3" s="422" t="s">
        <v>623</v>
      </c>
      <c r="E3" s="423" t="s">
        <v>664</v>
      </c>
      <c r="F3" s="424" t="s">
        <v>903</v>
      </c>
    </row>
    <row r="4" spans="1:6" ht="15.75" x14ac:dyDescent="0.2">
      <c r="A4" s="77"/>
      <c r="B4" s="80"/>
      <c r="C4" s="80"/>
      <c r="D4" s="426" t="s">
        <v>184</v>
      </c>
      <c r="E4" s="426" t="s">
        <v>185</v>
      </c>
      <c r="F4" s="427" t="s">
        <v>186</v>
      </c>
    </row>
    <row r="5" spans="1:6" ht="15.75" x14ac:dyDescent="0.25">
      <c r="A5" s="444">
        <v>501</v>
      </c>
      <c r="B5" s="445" t="s">
        <v>401</v>
      </c>
      <c r="C5" s="446" t="s">
        <v>402</v>
      </c>
      <c r="D5" s="110">
        <v>220390.96</v>
      </c>
      <c r="E5" s="110">
        <v>237922.15</v>
      </c>
      <c r="F5" s="431">
        <f>E5-D5</f>
        <v>17531.190000000002</v>
      </c>
    </row>
    <row r="6" spans="1:6" ht="15.75" x14ac:dyDescent="0.25">
      <c r="A6" s="62">
        <v>502</v>
      </c>
      <c r="B6" s="447" t="s">
        <v>403</v>
      </c>
      <c r="C6" s="448" t="s">
        <v>404</v>
      </c>
      <c r="D6" s="111">
        <v>377008.31</v>
      </c>
      <c r="E6" s="111">
        <v>377756.31</v>
      </c>
      <c r="F6" s="449">
        <f t="shared" ref="F6:F41" si="0">E6-D6</f>
        <v>748</v>
      </c>
    </row>
    <row r="7" spans="1:6" ht="15.75" x14ac:dyDescent="0.25">
      <c r="A7" s="62">
        <v>504</v>
      </c>
      <c r="B7" s="447" t="s">
        <v>405</v>
      </c>
      <c r="C7" s="448" t="s">
        <v>406</v>
      </c>
      <c r="D7" s="111"/>
      <c r="E7" s="111"/>
      <c r="F7" s="449">
        <f t="shared" si="0"/>
        <v>0</v>
      </c>
    </row>
    <row r="8" spans="1:6" ht="15.75" x14ac:dyDescent="0.25">
      <c r="A8" s="62">
        <v>511</v>
      </c>
      <c r="B8" s="447" t="s">
        <v>407</v>
      </c>
      <c r="C8" s="448" t="s">
        <v>408</v>
      </c>
      <c r="D8" s="111">
        <v>118513.35</v>
      </c>
      <c r="E8" s="111">
        <v>74888.94</v>
      </c>
      <c r="F8" s="449">
        <f t="shared" si="0"/>
        <v>-43624.41</v>
      </c>
    </row>
    <row r="9" spans="1:6" ht="15.75" x14ac:dyDescent="0.25">
      <c r="A9" s="62">
        <v>512</v>
      </c>
      <c r="B9" s="447" t="s">
        <v>409</v>
      </c>
      <c r="C9" s="448" t="s">
        <v>410</v>
      </c>
      <c r="D9" s="111">
        <v>1158.55</v>
      </c>
      <c r="E9" s="111">
        <v>830</v>
      </c>
      <c r="F9" s="449">
        <f t="shared" si="0"/>
        <v>-328.54999999999995</v>
      </c>
    </row>
    <row r="10" spans="1:6" ht="15.75" x14ac:dyDescent="0.25">
      <c r="A10" s="62">
        <v>513</v>
      </c>
      <c r="B10" s="447" t="s">
        <v>411</v>
      </c>
      <c r="C10" s="448" t="s">
        <v>412</v>
      </c>
      <c r="D10" s="111">
        <v>355</v>
      </c>
      <c r="E10" s="111">
        <v>738.49</v>
      </c>
      <c r="F10" s="449">
        <f t="shared" si="0"/>
        <v>383.49</v>
      </c>
    </row>
    <row r="11" spans="1:6" ht="15.75" x14ac:dyDescent="0.25">
      <c r="A11" s="62">
        <v>518</v>
      </c>
      <c r="B11" s="447" t="s">
        <v>413</v>
      </c>
      <c r="C11" s="448" t="s">
        <v>414</v>
      </c>
      <c r="D11" s="111">
        <v>89708.84</v>
      </c>
      <c r="E11" s="111">
        <v>67181.279999999999</v>
      </c>
      <c r="F11" s="449">
        <f t="shared" si="0"/>
        <v>-22527.559999999998</v>
      </c>
    </row>
    <row r="12" spans="1:6" ht="15.75" x14ac:dyDescent="0.25">
      <c r="A12" s="62">
        <v>521</v>
      </c>
      <c r="B12" s="447" t="s">
        <v>415</v>
      </c>
      <c r="C12" s="448" t="s">
        <v>416</v>
      </c>
      <c r="D12" s="111">
        <v>462618.47</v>
      </c>
      <c r="E12" s="111">
        <v>522063.15</v>
      </c>
      <c r="F12" s="449">
        <f t="shared" si="0"/>
        <v>59444.680000000051</v>
      </c>
    </row>
    <row r="13" spans="1:6" ht="15.75" x14ac:dyDescent="0.25">
      <c r="A13" s="62">
        <v>524</v>
      </c>
      <c r="B13" s="447" t="s">
        <v>417</v>
      </c>
      <c r="C13" s="448" t="s">
        <v>418</v>
      </c>
      <c r="D13" s="111">
        <v>156949.95000000001</v>
      </c>
      <c r="E13" s="111">
        <v>179421.08</v>
      </c>
      <c r="F13" s="449">
        <f t="shared" si="0"/>
        <v>22471.129999999976</v>
      </c>
    </row>
    <row r="14" spans="1:6" ht="15.75" x14ac:dyDescent="0.25">
      <c r="A14" s="62">
        <v>525</v>
      </c>
      <c r="B14" s="447" t="s">
        <v>419</v>
      </c>
      <c r="C14" s="448" t="s">
        <v>420</v>
      </c>
      <c r="D14" s="111">
        <v>8570.27</v>
      </c>
      <c r="E14" s="111">
        <v>10493.89</v>
      </c>
      <c r="F14" s="449">
        <f t="shared" si="0"/>
        <v>1923.619999999999</v>
      </c>
    </row>
    <row r="15" spans="1:6" ht="15.75" x14ac:dyDescent="0.25">
      <c r="A15" s="62">
        <v>527</v>
      </c>
      <c r="B15" s="447" t="s">
        <v>421</v>
      </c>
      <c r="C15" s="448" t="s">
        <v>422</v>
      </c>
      <c r="D15" s="111">
        <v>37373.25</v>
      </c>
      <c r="E15" s="111">
        <v>36168.639999999999</v>
      </c>
      <c r="F15" s="449">
        <f t="shared" si="0"/>
        <v>-1204.6100000000006</v>
      </c>
    </row>
    <row r="16" spans="1:6" ht="15.75" x14ac:dyDescent="0.25">
      <c r="A16" s="62">
        <v>528</v>
      </c>
      <c r="B16" s="447" t="s">
        <v>423</v>
      </c>
      <c r="C16" s="448" t="s">
        <v>424</v>
      </c>
      <c r="D16" s="111"/>
      <c r="E16" s="111"/>
      <c r="F16" s="449">
        <f t="shared" si="0"/>
        <v>0</v>
      </c>
    </row>
    <row r="17" spans="1:6" ht="15.75" x14ac:dyDescent="0.25">
      <c r="A17" s="62">
        <v>531</v>
      </c>
      <c r="B17" s="447" t="s">
        <v>425</v>
      </c>
      <c r="C17" s="448" t="s">
        <v>426</v>
      </c>
      <c r="D17" s="111"/>
      <c r="E17" s="111"/>
      <c r="F17" s="449">
        <f t="shared" si="0"/>
        <v>0</v>
      </c>
    </row>
    <row r="18" spans="1:6" ht="15.75" x14ac:dyDescent="0.25">
      <c r="A18" s="62">
        <v>532</v>
      </c>
      <c r="B18" s="447" t="s">
        <v>427</v>
      </c>
      <c r="C18" s="448" t="s">
        <v>428</v>
      </c>
      <c r="D18" s="111">
        <v>20269.099999999999</v>
      </c>
      <c r="E18" s="111">
        <v>20269.099999999999</v>
      </c>
      <c r="F18" s="449">
        <f t="shared" si="0"/>
        <v>0</v>
      </c>
    </row>
    <row r="19" spans="1:6" ht="15.75" x14ac:dyDescent="0.25">
      <c r="A19" s="62">
        <v>538</v>
      </c>
      <c r="B19" s="447" t="s">
        <v>429</v>
      </c>
      <c r="C19" s="448" t="s">
        <v>430</v>
      </c>
      <c r="D19" s="111">
        <v>30</v>
      </c>
      <c r="E19" s="111">
        <v>3360.6</v>
      </c>
      <c r="F19" s="449">
        <f t="shared" si="0"/>
        <v>3330.6</v>
      </c>
    </row>
    <row r="20" spans="1:6" ht="15.75" x14ac:dyDescent="0.25">
      <c r="A20" s="62">
        <v>541</v>
      </c>
      <c r="B20" s="447" t="s">
        <v>431</v>
      </c>
      <c r="C20" s="448" t="s">
        <v>432</v>
      </c>
      <c r="D20" s="435"/>
      <c r="E20" s="111"/>
      <c r="F20" s="449">
        <f t="shared" si="0"/>
        <v>0</v>
      </c>
    </row>
    <row r="21" spans="1:6" ht="15.75" x14ac:dyDescent="0.25">
      <c r="A21" s="62">
        <v>542</v>
      </c>
      <c r="B21" s="447" t="s">
        <v>433</v>
      </c>
      <c r="C21" s="448" t="s">
        <v>434</v>
      </c>
      <c r="D21" s="435"/>
      <c r="E21" s="111"/>
      <c r="F21" s="449">
        <f t="shared" si="0"/>
        <v>0</v>
      </c>
    </row>
    <row r="22" spans="1:6" ht="15.75" x14ac:dyDescent="0.25">
      <c r="A22" s="62">
        <v>543</v>
      </c>
      <c r="B22" s="447" t="s">
        <v>435</v>
      </c>
      <c r="C22" s="448" t="s">
        <v>436</v>
      </c>
      <c r="D22" s="435"/>
      <c r="E22" s="111"/>
      <c r="F22" s="449">
        <f t="shared" si="0"/>
        <v>0</v>
      </c>
    </row>
    <row r="23" spans="1:6" ht="15.75" x14ac:dyDescent="0.25">
      <c r="A23" s="62">
        <v>544</v>
      </c>
      <c r="B23" s="447" t="s">
        <v>437</v>
      </c>
      <c r="C23" s="448" t="s">
        <v>438</v>
      </c>
      <c r="D23" s="435"/>
      <c r="E23" s="111"/>
      <c r="F23" s="449">
        <f t="shared" si="0"/>
        <v>0</v>
      </c>
    </row>
    <row r="24" spans="1:6" ht="15.75" x14ac:dyDescent="0.25">
      <c r="A24" s="62">
        <v>545</v>
      </c>
      <c r="B24" s="447" t="s">
        <v>439</v>
      </c>
      <c r="C24" s="448" t="s">
        <v>440</v>
      </c>
      <c r="D24" s="435"/>
      <c r="E24" s="111"/>
      <c r="F24" s="449">
        <f t="shared" si="0"/>
        <v>0</v>
      </c>
    </row>
    <row r="25" spans="1:6" ht="15.75" x14ac:dyDescent="0.25">
      <c r="A25" s="62">
        <v>546</v>
      </c>
      <c r="B25" s="447" t="s">
        <v>441</v>
      </c>
      <c r="C25" s="448" t="s">
        <v>442</v>
      </c>
      <c r="D25" s="435"/>
      <c r="E25" s="111"/>
      <c r="F25" s="449">
        <f t="shared" si="0"/>
        <v>0</v>
      </c>
    </row>
    <row r="26" spans="1:6" ht="15.75" x14ac:dyDescent="0.25">
      <c r="A26" s="62">
        <v>547</v>
      </c>
      <c r="B26" s="447" t="s">
        <v>443</v>
      </c>
      <c r="C26" s="448" t="s">
        <v>444</v>
      </c>
      <c r="D26" s="435"/>
      <c r="E26" s="111"/>
      <c r="F26" s="449">
        <f t="shared" si="0"/>
        <v>0</v>
      </c>
    </row>
    <row r="27" spans="1:6" ht="15.75" x14ac:dyDescent="0.25">
      <c r="A27" s="62">
        <v>548</v>
      </c>
      <c r="B27" s="447" t="s">
        <v>445</v>
      </c>
      <c r="C27" s="448" t="s">
        <v>446</v>
      </c>
      <c r="D27" s="435"/>
      <c r="E27" s="111"/>
      <c r="F27" s="449">
        <f t="shared" si="0"/>
        <v>0</v>
      </c>
    </row>
    <row r="28" spans="1:6" ht="15.75" x14ac:dyDescent="0.25">
      <c r="A28" s="62">
        <v>549</v>
      </c>
      <c r="B28" s="447" t="s">
        <v>447</v>
      </c>
      <c r="C28" s="448" t="s">
        <v>448</v>
      </c>
      <c r="D28" s="111">
        <f>78.6+73390.05</f>
        <v>73468.650000000009</v>
      </c>
      <c r="E28" s="111">
        <f>79.1+80890.29</f>
        <v>80969.39</v>
      </c>
      <c r="F28" s="449">
        <f t="shared" si="0"/>
        <v>7500.7399999999907</v>
      </c>
    </row>
    <row r="29" spans="1:6" ht="15.75" x14ac:dyDescent="0.25">
      <c r="A29" s="62">
        <v>551</v>
      </c>
      <c r="B29" s="447" t="s">
        <v>449</v>
      </c>
      <c r="C29" s="448" t="s">
        <v>450</v>
      </c>
      <c r="D29" s="111">
        <v>63197.11</v>
      </c>
      <c r="E29" s="111">
        <v>52270.04</v>
      </c>
      <c r="F29" s="449">
        <f t="shared" si="0"/>
        <v>-10927.07</v>
      </c>
    </row>
    <row r="30" spans="1:6" ht="15.75" x14ac:dyDescent="0.25">
      <c r="A30" s="62">
        <v>552</v>
      </c>
      <c r="B30" s="447" t="s">
        <v>563</v>
      </c>
      <c r="C30" s="448" t="s">
        <v>451</v>
      </c>
      <c r="D30" s="435"/>
      <c r="E30" s="111"/>
      <c r="F30" s="449">
        <f t="shared" si="0"/>
        <v>0</v>
      </c>
    </row>
    <row r="31" spans="1:6" ht="15.75" x14ac:dyDescent="0.25">
      <c r="A31" s="62">
        <v>553</v>
      </c>
      <c r="B31" s="447" t="s">
        <v>452</v>
      </c>
      <c r="C31" s="448" t="s">
        <v>453</v>
      </c>
      <c r="D31" s="435"/>
      <c r="E31" s="111"/>
      <c r="F31" s="449">
        <f t="shared" si="0"/>
        <v>0</v>
      </c>
    </row>
    <row r="32" spans="1:6" ht="15.75" x14ac:dyDescent="0.25">
      <c r="A32" s="62">
        <v>554</v>
      </c>
      <c r="B32" s="447" t="s">
        <v>454</v>
      </c>
      <c r="C32" s="448" t="s">
        <v>455</v>
      </c>
      <c r="D32" s="435"/>
      <c r="E32" s="111"/>
      <c r="F32" s="449">
        <f t="shared" si="0"/>
        <v>0</v>
      </c>
    </row>
    <row r="33" spans="1:6" ht="15.75" x14ac:dyDescent="0.25">
      <c r="A33" s="62">
        <v>555</v>
      </c>
      <c r="B33" s="447" t="s">
        <v>456</v>
      </c>
      <c r="C33" s="448" t="s">
        <v>457</v>
      </c>
      <c r="D33" s="435"/>
      <c r="E33" s="111"/>
      <c r="F33" s="449">
        <f t="shared" si="0"/>
        <v>0</v>
      </c>
    </row>
    <row r="34" spans="1:6" ht="15.75" x14ac:dyDescent="0.25">
      <c r="A34" s="62">
        <v>556</v>
      </c>
      <c r="B34" s="447" t="s">
        <v>458</v>
      </c>
      <c r="C34" s="448" t="s">
        <v>459</v>
      </c>
      <c r="D34" s="111">
        <v>46922.6</v>
      </c>
      <c r="E34" s="111">
        <v>48967.9</v>
      </c>
      <c r="F34" s="449">
        <f t="shared" si="0"/>
        <v>2045.3000000000029</v>
      </c>
    </row>
    <row r="35" spans="1:6" ht="15.75" x14ac:dyDescent="0.25">
      <c r="A35" s="62">
        <v>557</v>
      </c>
      <c r="B35" s="447" t="s">
        <v>460</v>
      </c>
      <c r="C35" s="448" t="s">
        <v>461</v>
      </c>
      <c r="D35" s="435"/>
      <c r="E35" s="111"/>
      <c r="F35" s="449">
        <f t="shared" si="0"/>
        <v>0</v>
      </c>
    </row>
    <row r="36" spans="1:6" ht="15.75" x14ac:dyDescent="0.25">
      <c r="A36" s="62">
        <v>558</v>
      </c>
      <c r="B36" s="447" t="s">
        <v>462</v>
      </c>
      <c r="C36" s="448" t="s">
        <v>463</v>
      </c>
      <c r="D36" s="435"/>
      <c r="E36" s="111"/>
      <c r="F36" s="449">
        <f t="shared" si="0"/>
        <v>0</v>
      </c>
    </row>
    <row r="37" spans="1:6" ht="20.25" customHeight="1" x14ac:dyDescent="0.25">
      <c r="A37" s="62">
        <v>561</v>
      </c>
      <c r="B37" s="447" t="s">
        <v>465</v>
      </c>
      <c r="C37" s="448" t="s">
        <v>464</v>
      </c>
      <c r="D37" s="435"/>
      <c r="E37" s="111"/>
      <c r="F37" s="449">
        <f t="shared" si="0"/>
        <v>0</v>
      </c>
    </row>
    <row r="38" spans="1:6" ht="15.75" x14ac:dyDescent="0.25">
      <c r="A38" s="62">
        <v>562</v>
      </c>
      <c r="B38" s="447" t="s">
        <v>467</v>
      </c>
      <c r="C38" s="448" t="s">
        <v>466</v>
      </c>
      <c r="D38" s="111">
        <v>22527</v>
      </c>
      <c r="E38" s="111">
        <v>17110</v>
      </c>
      <c r="F38" s="449">
        <f t="shared" si="0"/>
        <v>-5417</v>
      </c>
    </row>
    <row r="39" spans="1:6" ht="15.75" x14ac:dyDescent="0.25">
      <c r="A39" s="62">
        <v>563</v>
      </c>
      <c r="B39" s="447" t="s">
        <v>469</v>
      </c>
      <c r="C39" s="448" t="s">
        <v>468</v>
      </c>
      <c r="D39" s="435"/>
      <c r="E39" s="111"/>
      <c r="F39" s="449">
        <f t="shared" si="0"/>
        <v>0</v>
      </c>
    </row>
    <row r="40" spans="1:6" ht="15.75" x14ac:dyDescent="0.25">
      <c r="A40" s="63">
        <v>565</v>
      </c>
      <c r="B40" s="451" t="s">
        <v>562</v>
      </c>
      <c r="C40" s="448" t="s">
        <v>470</v>
      </c>
      <c r="D40" s="450"/>
      <c r="E40" s="112"/>
      <c r="F40" s="449">
        <f t="shared" si="0"/>
        <v>0</v>
      </c>
    </row>
    <row r="41" spans="1:6" ht="16.5" thickBot="1" x14ac:dyDescent="0.3">
      <c r="A41" s="63">
        <v>567</v>
      </c>
      <c r="B41" s="451" t="s">
        <v>471</v>
      </c>
      <c r="C41" s="452" t="s">
        <v>472</v>
      </c>
      <c r="D41" s="450"/>
      <c r="E41" s="112"/>
      <c r="F41" s="453">
        <f t="shared" si="0"/>
        <v>0</v>
      </c>
    </row>
    <row r="42" spans="1:6" ht="24.75" customHeight="1" thickBot="1" x14ac:dyDescent="0.25">
      <c r="A42" s="646" t="s">
        <v>577</v>
      </c>
      <c r="B42" s="647"/>
      <c r="C42" s="454" t="s">
        <v>473</v>
      </c>
      <c r="D42" s="455">
        <f>SUM(D5:D41)</f>
        <v>1699061.4100000001</v>
      </c>
      <c r="E42" s="456">
        <f>SUM(E5:E41)</f>
        <v>1730410.9599999997</v>
      </c>
      <c r="F42" s="457">
        <f>SUM(F5:F41)</f>
        <v>31349.550000000017</v>
      </c>
    </row>
    <row r="43" spans="1:6" x14ac:dyDescent="0.2">
      <c r="B43" s="458"/>
      <c r="C43" s="458"/>
      <c r="D43" s="458"/>
      <c r="E43" s="458"/>
    </row>
  </sheetData>
  <mergeCells count="3">
    <mergeCell ref="A2:F2"/>
    <mergeCell ref="A1:F1"/>
    <mergeCell ref="A42:B42"/>
  </mergeCells>
  <pageMargins left="0.39370078740157483" right="0.23622047244094491" top="0.59055118110236227" bottom="0.74803149606299213" header="0.31496062992125984" footer="0.31496062992125984"/>
  <pageSetup paperSize="9" scale="88"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7"/>
  <sheetViews>
    <sheetView workbookViewId="0">
      <selection sqref="A1:F1"/>
    </sheetView>
  </sheetViews>
  <sheetFormatPr defaultRowHeight="12.75" x14ac:dyDescent="0.2"/>
  <cols>
    <col min="1" max="1" width="60.85546875" customWidth="1"/>
    <col min="2" max="2" width="8.85546875" customWidth="1"/>
    <col min="3" max="3" width="13.140625" customWidth="1"/>
    <col min="4" max="4" width="14.7109375" customWidth="1"/>
    <col min="5" max="5" width="14.28515625" customWidth="1"/>
    <col min="6" max="6" width="13.7109375" customWidth="1"/>
  </cols>
  <sheetData>
    <row r="1" spans="1:6" ht="45.75" customHeight="1" x14ac:dyDescent="0.2">
      <c r="A1" s="649" t="s">
        <v>395</v>
      </c>
      <c r="B1" s="650"/>
      <c r="C1" s="650"/>
      <c r="D1" s="650"/>
      <c r="E1" s="650"/>
      <c r="F1" s="651"/>
    </row>
    <row r="2" spans="1:6" ht="19.5" customHeight="1" x14ac:dyDescent="0.25">
      <c r="A2" s="648" t="s">
        <v>266</v>
      </c>
      <c r="B2" s="648"/>
      <c r="C2" s="648"/>
      <c r="D2" s="648"/>
      <c r="E2" s="648"/>
      <c r="F2" s="648"/>
    </row>
    <row r="3" spans="1:6" ht="42" customHeight="1" x14ac:dyDescent="0.2">
      <c r="A3" s="35" t="s">
        <v>273</v>
      </c>
      <c r="B3" s="36" t="s">
        <v>274</v>
      </c>
      <c r="C3" s="43" t="s">
        <v>397</v>
      </c>
      <c r="D3" s="36" t="s">
        <v>392</v>
      </c>
      <c r="E3" s="36" t="s">
        <v>393</v>
      </c>
      <c r="F3" s="36" t="s">
        <v>394</v>
      </c>
    </row>
    <row r="4" spans="1:6" ht="15.75" x14ac:dyDescent="0.25">
      <c r="A4" s="37" t="s">
        <v>275</v>
      </c>
      <c r="B4" s="37" t="s">
        <v>276</v>
      </c>
      <c r="C4" s="38"/>
      <c r="D4" s="38"/>
      <c r="E4" s="38"/>
      <c r="F4" s="38"/>
    </row>
    <row r="5" spans="1:6" ht="15.75" x14ac:dyDescent="0.25">
      <c r="A5" s="42" t="s">
        <v>277</v>
      </c>
      <c r="B5" s="37" t="s">
        <v>278</v>
      </c>
      <c r="C5" s="38"/>
      <c r="D5" s="38"/>
      <c r="E5" s="38"/>
      <c r="F5" s="38"/>
    </row>
    <row r="6" spans="1:6" ht="15.75" x14ac:dyDescent="0.25">
      <c r="A6" s="37" t="s">
        <v>279</v>
      </c>
      <c r="B6" s="37" t="s">
        <v>280</v>
      </c>
      <c r="C6" s="38"/>
      <c r="D6" s="38"/>
      <c r="E6" s="38"/>
      <c r="F6" s="38"/>
    </row>
    <row r="7" spans="1:6" ht="15.75" x14ac:dyDescent="0.25">
      <c r="A7" s="37" t="s">
        <v>281</v>
      </c>
      <c r="B7" s="37" t="s">
        <v>282</v>
      </c>
      <c r="C7" s="38"/>
      <c r="D7" s="38"/>
      <c r="E7" s="38"/>
      <c r="F7" s="38"/>
    </row>
    <row r="8" spans="1:6" ht="15.75" x14ac:dyDescent="0.25">
      <c r="A8" s="41" t="s">
        <v>396</v>
      </c>
      <c r="B8" s="37" t="s">
        <v>283</v>
      </c>
      <c r="C8" s="38"/>
      <c r="D8" s="38"/>
      <c r="E8" s="38"/>
      <c r="F8" s="38"/>
    </row>
    <row r="9" spans="1:6" ht="15.75" x14ac:dyDescent="0.25">
      <c r="A9" s="37" t="s">
        <v>284</v>
      </c>
      <c r="B9" s="37" t="s">
        <v>285</v>
      </c>
      <c r="C9" s="38"/>
      <c r="D9" s="38"/>
      <c r="E9" s="38"/>
      <c r="F9" s="38"/>
    </row>
    <row r="10" spans="1:6" ht="15.75" x14ac:dyDescent="0.25">
      <c r="A10" s="37" t="s">
        <v>286</v>
      </c>
      <c r="B10" s="37" t="s">
        <v>287</v>
      </c>
      <c r="C10" s="38"/>
      <c r="D10" s="38"/>
      <c r="E10" s="38"/>
      <c r="F10" s="38"/>
    </row>
    <row r="11" spans="1:6" ht="15.75" x14ac:dyDescent="0.25">
      <c r="A11" s="37" t="s">
        <v>288</v>
      </c>
      <c r="B11" s="37" t="s">
        <v>289</v>
      </c>
      <c r="C11" s="38"/>
      <c r="D11" s="38"/>
      <c r="E11" s="38"/>
      <c r="F11" s="38"/>
    </row>
    <row r="12" spans="1:6" ht="15.75" x14ac:dyDescent="0.25">
      <c r="A12" s="42" t="s">
        <v>290</v>
      </c>
      <c r="B12" s="37" t="s">
        <v>291</v>
      </c>
      <c r="C12" s="38"/>
      <c r="D12" s="38"/>
      <c r="E12" s="38"/>
      <c r="F12" s="38"/>
    </row>
    <row r="13" spans="1:6" ht="15.75" x14ac:dyDescent="0.25">
      <c r="A13" s="37" t="s">
        <v>292</v>
      </c>
      <c r="B13" s="37" t="s">
        <v>293</v>
      </c>
      <c r="C13" s="38"/>
      <c r="D13" s="38"/>
      <c r="E13" s="38"/>
      <c r="F13" s="38"/>
    </row>
    <row r="14" spans="1:6" ht="15.75" x14ac:dyDescent="0.25">
      <c r="A14" s="37" t="s">
        <v>294</v>
      </c>
      <c r="B14" s="37" t="s">
        <v>295</v>
      </c>
      <c r="C14" s="38"/>
      <c r="D14" s="38"/>
      <c r="E14" s="38"/>
      <c r="F14" s="38"/>
    </row>
    <row r="15" spans="1:6" ht="15.75" x14ac:dyDescent="0.25">
      <c r="A15" s="37" t="s">
        <v>296</v>
      </c>
      <c r="B15" s="37" t="s">
        <v>297</v>
      </c>
      <c r="C15" s="38"/>
      <c r="D15" s="38"/>
      <c r="E15" s="38"/>
      <c r="F15" s="38"/>
    </row>
    <row r="16" spans="1:6" ht="15.75" x14ac:dyDescent="0.25">
      <c r="A16" s="37" t="s">
        <v>298</v>
      </c>
      <c r="B16" s="37" t="s">
        <v>299</v>
      </c>
      <c r="C16" s="38"/>
      <c r="D16" s="38"/>
      <c r="E16" s="38"/>
      <c r="F16" s="38"/>
    </row>
    <row r="17" spans="1:6" ht="15.75" x14ac:dyDescent="0.25">
      <c r="A17" s="37" t="s">
        <v>300</v>
      </c>
      <c r="B17" s="37" t="s">
        <v>301</v>
      </c>
      <c r="C17" s="38"/>
      <c r="D17" s="38"/>
      <c r="E17" s="38"/>
      <c r="F17" s="38"/>
    </row>
    <row r="18" spans="1:6" ht="15.75" x14ac:dyDescent="0.25">
      <c r="A18" s="37" t="s">
        <v>302</v>
      </c>
      <c r="B18" s="37" t="s">
        <v>303</v>
      </c>
      <c r="C18" s="38"/>
      <c r="D18" s="38"/>
      <c r="E18" s="38"/>
      <c r="F18" s="38"/>
    </row>
    <row r="19" spans="1:6" ht="15.75" x14ac:dyDescent="0.25">
      <c r="A19" s="37" t="s">
        <v>304</v>
      </c>
      <c r="B19" s="37" t="s">
        <v>305</v>
      </c>
      <c r="C19" s="38"/>
      <c r="D19" s="38"/>
      <c r="E19" s="38"/>
      <c r="F19" s="38"/>
    </row>
    <row r="20" spans="1:6" ht="15.75" x14ac:dyDescent="0.25">
      <c r="A20" s="37" t="s">
        <v>306</v>
      </c>
      <c r="B20" s="37" t="s">
        <v>307</v>
      </c>
      <c r="C20" s="38"/>
      <c r="D20" s="38"/>
      <c r="E20" s="38"/>
      <c r="F20" s="38"/>
    </row>
    <row r="21" spans="1:6" ht="15.75" x14ac:dyDescent="0.25">
      <c r="A21" s="37" t="s">
        <v>308</v>
      </c>
      <c r="B21" s="37" t="s">
        <v>309</v>
      </c>
      <c r="C21" s="38"/>
      <c r="D21" s="38"/>
      <c r="E21" s="38"/>
      <c r="F21" s="38"/>
    </row>
    <row r="22" spans="1:6" ht="15.75" x14ac:dyDescent="0.25">
      <c r="A22" s="37" t="s">
        <v>310</v>
      </c>
      <c r="B22" s="37" t="s">
        <v>311</v>
      </c>
      <c r="C22" s="38"/>
      <c r="D22" s="38"/>
      <c r="E22" s="38"/>
      <c r="F22" s="38"/>
    </row>
    <row r="23" spans="1:6" ht="15.75" x14ac:dyDescent="0.25">
      <c r="A23" s="37" t="s">
        <v>312</v>
      </c>
      <c r="B23" s="37" t="s">
        <v>313</v>
      </c>
      <c r="C23" s="38"/>
      <c r="D23" s="38"/>
      <c r="E23" s="38"/>
      <c r="F23" s="38"/>
    </row>
    <row r="24" spans="1:6" ht="15.75" x14ac:dyDescent="0.25">
      <c r="A24" s="42" t="s">
        <v>314</v>
      </c>
      <c r="B24" s="37" t="s">
        <v>315</v>
      </c>
      <c r="C24" s="38"/>
      <c r="D24" s="38"/>
      <c r="E24" s="38"/>
      <c r="F24" s="38"/>
    </row>
    <row r="25" spans="1:6" ht="15.75" x14ac:dyDescent="0.25">
      <c r="A25" s="37" t="s">
        <v>316</v>
      </c>
      <c r="B25" s="37" t="s">
        <v>317</v>
      </c>
      <c r="C25" s="38"/>
      <c r="D25" s="38"/>
      <c r="E25" s="38"/>
      <c r="F25" s="38"/>
    </row>
    <row r="26" spans="1:6" ht="15.75" x14ac:dyDescent="0.25">
      <c r="A26" s="37" t="s">
        <v>318</v>
      </c>
      <c r="B26" s="37" t="s">
        <v>319</v>
      </c>
      <c r="C26" s="38"/>
      <c r="D26" s="38"/>
      <c r="E26" s="38"/>
      <c r="F26" s="38"/>
    </row>
    <row r="27" spans="1:6" ht="15.75" x14ac:dyDescent="0.25">
      <c r="A27" s="37" t="s">
        <v>320</v>
      </c>
      <c r="B27" s="37" t="s">
        <v>321</v>
      </c>
      <c r="C27" s="38"/>
      <c r="D27" s="38"/>
      <c r="E27" s="38"/>
      <c r="F27" s="38"/>
    </row>
    <row r="28" spans="1:6" ht="15.75" x14ac:dyDescent="0.25">
      <c r="A28" s="37" t="s">
        <v>322</v>
      </c>
      <c r="B28" s="37" t="s">
        <v>323</v>
      </c>
      <c r="C28" s="38"/>
      <c r="D28" s="38"/>
      <c r="E28" s="38"/>
      <c r="F28" s="38"/>
    </row>
    <row r="29" spans="1:6" ht="15.75" x14ac:dyDescent="0.25">
      <c r="A29" s="37" t="s">
        <v>324</v>
      </c>
      <c r="B29" s="37" t="s">
        <v>325</v>
      </c>
      <c r="C29" s="38"/>
      <c r="D29" s="38"/>
      <c r="E29" s="38"/>
      <c r="F29" s="38"/>
    </row>
    <row r="30" spans="1:6" ht="15.75" x14ac:dyDescent="0.25">
      <c r="A30" s="37" t="s">
        <v>326</v>
      </c>
      <c r="B30" s="37" t="s">
        <v>327</v>
      </c>
      <c r="C30" s="38"/>
      <c r="D30" s="38"/>
      <c r="E30" s="38"/>
      <c r="F30" s="38"/>
    </row>
    <row r="31" spans="1:6" ht="15.75" x14ac:dyDescent="0.25">
      <c r="A31" s="37" t="s">
        <v>328</v>
      </c>
      <c r="B31" s="37" t="s">
        <v>329</v>
      </c>
      <c r="C31" s="38"/>
      <c r="D31" s="38"/>
      <c r="E31" s="38"/>
      <c r="F31" s="38"/>
    </row>
    <row r="32" spans="1:6" ht="15.75" x14ac:dyDescent="0.25">
      <c r="A32" s="37" t="s">
        <v>330</v>
      </c>
      <c r="B32" s="37" t="s">
        <v>331</v>
      </c>
      <c r="C32" s="38"/>
      <c r="D32" s="38"/>
      <c r="E32" s="38"/>
      <c r="F32" s="38"/>
    </row>
    <row r="33" spans="1:6" ht="15.75" x14ac:dyDescent="0.25">
      <c r="A33" s="42" t="s">
        <v>332</v>
      </c>
      <c r="B33" s="37" t="s">
        <v>333</v>
      </c>
      <c r="C33" s="38"/>
      <c r="D33" s="38"/>
      <c r="E33" s="38"/>
      <c r="F33" s="38"/>
    </row>
    <row r="34" spans="1:6" ht="15.75" x14ac:dyDescent="0.25">
      <c r="A34" s="37" t="s">
        <v>334</v>
      </c>
      <c r="B34" s="37" t="s">
        <v>335</v>
      </c>
      <c r="C34" s="38"/>
      <c r="D34" s="38"/>
      <c r="E34" s="38"/>
      <c r="F34" s="38"/>
    </row>
    <row r="35" spans="1:6" ht="15.75" x14ac:dyDescent="0.25">
      <c r="A35" s="37" t="s">
        <v>336</v>
      </c>
      <c r="B35" s="37" t="s">
        <v>337</v>
      </c>
      <c r="C35" s="38"/>
      <c r="D35" s="38"/>
      <c r="E35" s="38"/>
      <c r="F35" s="38"/>
    </row>
    <row r="36" spans="1:6" ht="15.75" x14ac:dyDescent="0.25">
      <c r="A36" s="37" t="s">
        <v>338</v>
      </c>
      <c r="B36" s="37" t="s">
        <v>339</v>
      </c>
      <c r="C36" s="38"/>
      <c r="D36" s="38"/>
      <c r="E36" s="38"/>
      <c r="F36" s="38"/>
    </row>
    <row r="37" spans="1:6" ht="15.75" x14ac:dyDescent="0.25">
      <c r="A37" s="37" t="s">
        <v>340</v>
      </c>
      <c r="B37" s="37" t="s">
        <v>341</v>
      </c>
      <c r="C37" s="38"/>
      <c r="D37" s="38"/>
      <c r="E37" s="38"/>
      <c r="F37" s="38"/>
    </row>
    <row r="38" spans="1:6" ht="15.75" x14ac:dyDescent="0.25">
      <c r="A38" s="37" t="s">
        <v>342</v>
      </c>
      <c r="B38" s="37" t="s">
        <v>343</v>
      </c>
      <c r="C38" s="38"/>
      <c r="D38" s="38"/>
      <c r="E38" s="38"/>
      <c r="F38" s="38"/>
    </row>
    <row r="39" spans="1:6" ht="15.75" x14ac:dyDescent="0.25">
      <c r="A39" s="37" t="s">
        <v>344</v>
      </c>
      <c r="B39" s="37" t="s">
        <v>345</v>
      </c>
      <c r="C39" s="38"/>
      <c r="D39" s="38"/>
      <c r="E39" s="38"/>
      <c r="F39" s="38"/>
    </row>
    <row r="40" spans="1:6" ht="15.75" x14ac:dyDescent="0.25">
      <c r="A40" s="42" t="s">
        <v>346</v>
      </c>
      <c r="B40" s="37" t="s">
        <v>347</v>
      </c>
      <c r="C40" s="38"/>
      <c r="D40" s="38"/>
      <c r="E40" s="38"/>
      <c r="F40" s="38"/>
    </row>
    <row r="41" spans="1:6" ht="15.75" x14ac:dyDescent="0.25">
      <c r="A41" s="37" t="s">
        <v>348</v>
      </c>
      <c r="B41" s="37" t="s">
        <v>349</v>
      </c>
      <c r="C41" s="38"/>
      <c r="D41" s="38"/>
      <c r="E41" s="38"/>
      <c r="F41" s="38"/>
    </row>
    <row r="42" spans="1:6" ht="15.75" x14ac:dyDescent="0.25">
      <c r="A42" s="37" t="s">
        <v>350</v>
      </c>
      <c r="B42" s="37" t="s">
        <v>351</v>
      </c>
      <c r="C42" s="38"/>
      <c r="D42" s="38"/>
      <c r="E42" s="38"/>
      <c r="F42" s="38"/>
    </row>
    <row r="43" spans="1:6" ht="15.75" x14ac:dyDescent="0.25">
      <c r="A43" s="37" t="s">
        <v>352</v>
      </c>
      <c r="B43" s="37" t="s">
        <v>353</v>
      </c>
      <c r="C43" s="38"/>
      <c r="D43" s="38"/>
      <c r="E43" s="38"/>
      <c r="F43" s="38"/>
    </row>
    <row r="44" spans="1:6" ht="15.75" x14ac:dyDescent="0.25">
      <c r="A44" s="37" t="s">
        <v>354</v>
      </c>
      <c r="B44" s="37" t="s">
        <v>355</v>
      </c>
      <c r="C44" s="38"/>
      <c r="D44" s="38"/>
      <c r="E44" s="38"/>
      <c r="F44" s="38"/>
    </row>
    <row r="45" spans="1:6" ht="15.75" x14ac:dyDescent="0.25">
      <c r="A45" s="42" t="s">
        <v>356</v>
      </c>
      <c r="B45" s="37" t="s">
        <v>357</v>
      </c>
      <c r="C45" s="38"/>
      <c r="D45" s="38"/>
      <c r="E45" s="38"/>
      <c r="F45" s="38"/>
    </row>
    <row r="46" spans="1:6" ht="15.75" x14ac:dyDescent="0.25">
      <c r="A46" s="37" t="s">
        <v>358</v>
      </c>
      <c r="B46" s="37" t="s">
        <v>359</v>
      </c>
      <c r="C46" s="38"/>
      <c r="D46" s="38"/>
      <c r="E46" s="38"/>
      <c r="F46" s="38"/>
    </row>
    <row r="47" spans="1:6" ht="15.75" x14ac:dyDescent="0.25">
      <c r="A47" s="37" t="s">
        <v>350</v>
      </c>
      <c r="B47" s="37" t="s">
        <v>360</v>
      </c>
      <c r="C47" s="38"/>
      <c r="D47" s="38"/>
      <c r="E47" s="38"/>
      <c r="F47" s="38"/>
    </row>
    <row r="48" spans="1:6" ht="15.75" x14ac:dyDescent="0.25">
      <c r="A48" s="37" t="s">
        <v>361</v>
      </c>
      <c r="B48" s="37" t="s">
        <v>362</v>
      </c>
      <c r="C48" s="38"/>
      <c r="D48" s="38"/>
      <c r="E48" s="38"/>
      <c r="F48" s="38"/>
    </row>
    <row r="49" spans="1:6" ht="15.75" x14ac:dyDescent="0.25">
      <c r="A49" s="37" t="s">
        <v>363</v>
      </c>
      <c r="B49" s="37" t="s">
        <v>364</v>
      </c>
      <c r="C49" s="38"/>
      <c r="D49" s="38"/>
      <c r="E49" s="38"/>
      <c r="F49" s="38"/>
    </row>
    <row r="50" spans="1:6" ht="15.75" x14ac:dyDescent="0.25">
      <c r="A50" s="37" t="s">
        <v>365</v>
      </c>
      <c r="B50" s="37" t="s">
        <v>366</v>
      </c>
      <c r="C50" s="38"/>
      <c r="D50" s="38"/>
      <c r="E50" s="38"/>
      <c r="F50" s="38"/>
    </row>
    <row r="51" spans="1:6" ht="15.75" x14ac:dyDescent="0.25">
      <c r="A51" s="37" t="s">
        <v>352</v>
      </c>
      <c r="B51" s="37" t="s">
        <v>367</v>
      </c>
      <c r="C51" s="38"/>
      <c r="D51" s="38"/>
      <c r="E51" s="38"/>
      <c r="F51" s="38"/>
    </row>
    <row r="52" spans="1:6" ht="15.75" x14ac:dyDescent="0.25">
      <c r="A52" s="37" t="s">
        <v>368</v>
      </c>
      <c r="B52" s="37" t="s">
        <v>369</v>
      </c>
      <c r="C52" s="38"/>
      <c r="D52" s="38"/>
      <c r="E52" s="38"/>
      <c r="F52" s="38"/>
    </row>
    <row r="53" spans="1:6" ht="15.75" x14ac:dyDescent="0.25">
      <c r="A53" s="37" t="s">
        <v>354</v>
      </c>
      <c r="B53" s="37" t="s">
        <v>370</v>
      </c>
      <c r="C53" s="38"/>
      <c r="D53" s="38"/>
      <c r="E53" s="38"/>
      <c r="F53" s="38"/>
    </row>
    <row r="54" spans="1:6" ht="15.75" x14ac:dyDescent="0.25">
      <c r="A54" s="42" t="s">
        <v>371</v>
      </c>
      <c r="B54" s="37" t="s">
        <v>372</v>
      </c>
      <c r="C54" s="38"/>
      <c r="D54" s="38"/>
      <c r="E54" s="38"/>
      <c r="F54" s="38"/>
    </row>
    <row r="55" spans="1:6" ht="15.75" x14ac:dyDescent="0.25">
      <c r="A55" s="37" t="s">
        <v>373</v>
      </c>
      <c r="B55" s="37" t="s">
        <v>374</v>
      </c>
      <c r="C55" s="38"/>
      <c r="D55" s="38"/>
      <c r="E55" s="38"/>
      <c r="F55" s="38"/>
    </row>
    <row r="56" spans="1:6" ht="15.75" x14ac:dyDescent="0.25">
      <c r="A56" s="37" t="s">
        <v>375</v>
      </c>
      <c r="B56" s="37" t="s">
        <v>376</v>
      </c>
      <c r="C56" s="38"/>
      <c r="D56" s="38"/>
      <c r="E56" s="38"/>
      <c r="F56" s="38"/>
    </row>
    <row r="57" spans="1:6" ht="15.75" x14ac:dyDescent="0.25">
      <c r="A57" s="37" t="s">
        <v>377</v>
      </c>
      <c r="B57" s="37" t="s">
        <v>378</v>
      </c>
      <c r="C57" s="38"/>
      <c r="D57" s="38"/>
      <c r="E57" s="38"/>
      <c r="F57" s="38"/>
    </row>
    <row r="58" spans="1:6" ht="15.75" x14ac:dyDescent="0.25">
      <c r="A58" s="37" t="s">
        <v>379</v>
      </c>
      <c r="B58" s="37" t="s">
        <v>380</v>
      </c>
      <c r="C58" s="38"/>
      <c r="D58" s="38"/>
      <c r="E58" s="38"/>
      <c r="F58" s="38"/>
    </row>
    <row r="59" spans="1:6" ht="15.75" x14ac:dyDescent="0.25">
      <c r="A59" s="37" t="s">
        <v>381</v>
      </c>
      <c r="B59" s="37" t="s">
        <v>382</v>
      </c>
      <c r="C59" s="38"/>
      <c r="D59" s="38"/>
      <c r="E59" s="38"/>
      <c r="F59" s="38"/>
    </row>
    <row r="60" spans="1:6" ht="15.75" x14ac:dyDescent="0.25">
      <c r="A60" s="37" t="s">
        <v>383</v>
      </c>
      <c r="B60" s="37" t="s">
        <v>384</v>
      </c>
      <c r="C60" s="38"/>
      <c r="D60" s="38"/>
      <c r="E60" s="38"/>
      <c r="F60" s="38"/>
    </row>
    <row r="61" spans="1:6" ht="15.75" x14ac:dyDescent="0.25">
      <c r="A61" s="42" t="s">
        <v>385</v>
      </c>
      <c r="B61" s="37" t="s">
        <v>386</v>
      </c>
      <c r="C61" s="38"/>
      <c r="D61" s="38"/>
      <c r="E61" s="38"/>
      <c r="F61" s="38"/>
    </row>
    <row r="62" spans="1:6" ht="15.75" x14ac:dyDescent="0.25">
      <c r="A62" s="37" t="s">
        <v>387</v>
      </c>
      <c r="B62" s="37" t="s">
        <v>388</v>
      </c>
      <c r="C62" s="38"/>
      <c r="D62" s="38"/>
      <c r="E62" s="38"/>
      <c r="F62" s="38"/>
    </row>
    <row r="63" spans="1:6" ht="15.75" x14ac:dyDescent="0.25">
      <c r="A63" s="37" t="s">
        <v>389</v>
      </c>
      <c r="B63" s="37" t="s">
        <v>390</v>
      </c>
      <c r="C63" s="38"/>
      <c r="D63" s="38"/>
      <c r="E63" s="38"/>
      <c r="F63" s="38"/>
    </row>
    <row r="64" spans="1:6" ht="15.75" x14ac:dyDescent="0.25">
      <c r="A64" s="39" t="s">
        <v>391</v>
      </c>
      <c r="B64" s="40"/>
      <c r="C64" s="38"/>
      <c r="D64" s="38"/>
      <c r="E64" s="38"/>
      <c r="F64" s="38"/>
    </row>
    <row r="65" spans="1:6" ht="15.75" x14ac:dyDescent="0.25">
      <c r="A65" s="19"/>
      <c r="B65" s="19"/>
      <c r="C65" s="19"/>
      <c r="D65" s="19"/>
      <c r="E65" s="19"/>
      <c r="F65" s="19"/>
    </row>
    <row r="66" spans="1:6" ht="15.75" x14ac:dyDescent="0.25">
      <c r="A66" s="19"/>
      <c r="B66" s="19"/>
      <c r="C66" s="19"/>
      <c r="D66" s="19"/>
      <c r="E66" s="19"/>
      <c r="F66" s="19"/>
    </row>
    <row r="67" spans="1:6" ht="15.75" x14ac:dyDescent="0.25">
      <c r="A67" s="19"/>
      <c r="B67" s="19"/>
      <c r="C67" s="19"/>
      <c r="D67" s="19"/>
      <c r="E67" s="19"/>
      <c r="F67" s="19"/>
    </row>
  </sheetData>
  <mergeCells count="2">
    <mergeCell ref="A2:F2"/>
    <mergeCell ref="A1:F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árok6">
    <tabColor indexed="42"/>
    <pageSetUpPr fitToPage="1"/>
  </sheetPr>
  <dimension ref="A1:G42"/>
  <sheetViews>
    <sheetView workbookViewId="0">
      <pane xSplit="2" ySplit="4" topLeftCell="C23" activePane="bottomRight" state="frozen"/>
      <selection pane="topRight" activeCell="C1" sqref="C1"/>
      <selection pane="bottomLeft" activeCell="A5" sqref="A5"/>
      <selection pane="bottomRight" activeCell="B44" sqref="B44"/>
    </sheetView>
  </sheetViews>
  <sheetFormatPr defaultRowHeight="15.75" x14ac:dyDescent="0.25"/>
  <cols>
    <col min="1" max="1" width="10.140625" style="155" customWidth="1"/>
    <col min="2" max="2" width="83" style="156" customWidth="1"/>
    <col min="3" max="3" width="15.42578125" style="9" customWidth="1"/>
    <col min="4" max="4" width="14.28515625" style="9" customWidth="1"/>
    <col min="5" max="5" width="14.7109375" style="9" customWidth="1"/>
    <col min="6" max="16384" width="9.140625" style="9"/>
  </cols>
  <sheetData>
    <row r="1" spans="1:7" ht="50.1" customHeight="1" thickBot="1" x14ac:dyDescent="0.3">
      <c r="A1" s="472" t="s">
        <v>640</v>
      </c>
      <c r="B1" s="473"/>
      <c r="C1" s="473"/>
      <c r="D1" s="473"/>
      <c r="E1" s="474"/>
      <c r="F1" s="138"/>
      <c r="G1" s="138"/>
    </row>
    <row r="2" spans="1:7" s="127" customFormat="1" ht="38.25" customHeight="1" x14ac:dyDescent="0.2">
      <c r="A2" s="475" t="s">
        <v>721</v>
      </c>
      <c r="B2" s="476"/>
      <c r="C2" s="476"/>
      <c r="D2" s="476"/>
      <c r="E2" s="477"/>
    </row>
    <row r="3" spans="1:7" s="139" customFormat="1" ht="35.25" customHeight="1" x14ac:dyDescent="0.25">
      <c r="A3" s="32" t="s">
        <v>137</v>
      </c>
      <c r="B3" s="121" t="s">
        <v>220</v>
      </c>
      <c r="C3" s="121" t="s">
        <v>199</v>
      </c>
      <c r="D3" s="121" t="s">
        <v>200</v>
      </c>
      <c r="E3" s="6" t="s">
        <v>146</v>
      </c>
    </row>
    <row r="4" spans="1:7" s="24" customFormat="1" ht="17.25" customHeight="1" x14ac:dyDescent="0.2">
      <c r="A4" s="7"/>
      <c r="B4" s="11"/>
      <c r="C4" s="2" t="s">
        <v>184</v>
      </c>
      <c r="D4" s="2" t="s">
        <v>185</v>
      </c>
      <c r="E4" s="3" t="s">
        <v>22</v>
      </c>
    </row>
    <row r="5" spans="1:7" ht="31.5" x14ac:dyDescent="0.25">
      <c r="A5" s="50">
        <v>1</v>
      </c>
      <c r="B5" s="140" t="s">
        <v>574</v>
      </c>
      <c r="C5" s="141">
        <f>SUM(C6:C9)</f>
        <v>1038483.64</v>
      </c>
      <c r="D5" s="141">
        <f>SUM(D6:D7)</f>
        <v>0</v>
      </c>
      <c r="E5" s="142">
        <f>C5+D5</f>
        <v>1038483.64</v>
      </c>
    </row>
    <row r="6" spans="1:7" x14ac:dyDescent="0.25">
      <c r="A6" s="50" t="s">
        <v>211</v>
      </c>
      <c r="B6" s="143" t="s">
        <v>727</v>
      </c>
      <c r="C6" s="13">
        <v>938104.74</v>
      </c>
      <c r="D6" s="13"/>
      <c r="E6" s="142">
        <f t="shared" ref="E6:E40" si="0">C6+D6</f>
        <v>938104.74</v>
      </c>
    </row>
    <row r="7" spans="1:7" x14ac:dyDescent="0.25">
      <c r="A7" s="50" t="s">
        <v>259</v>
      </c>
      <c r="B7" s="143" t="s">
        <v>728</v>
      </c>
      <c r="C7" s="13">
        <v>12828.9</v>
      </c>
      <c r="D7" s="13"/>
      <c r="E7" s="142">
        <f t="shared" si="0"/>
        <v>12828.9</v>
      </c>
    </row>
    <row r="8" spans="1:7" x14ac:dyDescent="0.25">
      <c r="A8" s="50" t="s">
        <v>729</v>
      </c>
      <c r="B8" s="143" t="s">
        <v>730</v>
      </c>
      <c r="C8" s="13">
        <v>82550</v>
      </c>
      <c r="D8" s="13"/>
      <c r="E8" s="142">
        <f t="shared" si="0"/>
        <v>82550</v>
      </c>
    </row>
    <row r="9" spans="1:7" x14ac:dyDescent="0.25">
      <c r="A9" s="50" t="s">
        <v>769</v>
      </c>
      <c r="B9" s="143" t="s">
        <v>770</v>
      </c>
      <c r="C9" s="13">
        <v>5000</v>
      </c>
      <c r="D9" s="13"/>
      <c r="E9" s="142">
        <f t="shared" si="0"/>
        <v>5000</v>
      </c>
    </row>
    <row r="10" spans="1:7" x14ac:dyDescent="0.25">
      <c r="A10" s="50"/>
      <c r="B10" s="143"/>
      <c r="C10" s="13"/>
      <c r="D10" s="13"/>
      <c r="E10" s="142"/>
    </row>
    <row r="11" spans="1:7" x14ac:dyDescent="0.25">
      <c r="A11" s="50">
        <v>2</v>
      </c>
      <c r="B11" s="140" t="s">
        <v>46</v>
      </c>
      <c r="C11" s="141">
        <f>SUM(C12:C14)</f>
        <v>2200</v>
      </c>
      <c r="D11" s="141">
        <f>SUM(D12:D14)</f>
        <v>0</v>
      </c>
      <c r="E11" s="142">
        <f t="shared" si="0"/>
        <v>2200</v>
      </c>
    </row>
    <row r="12" spans="1:7" x14ac:dyDescent="0.25">
      <c r="A12" s="50" t="s">
        <v>212</v>
      </c>
      <c r="B12" s="143" t="s">
        <v>772</v>
      </c>
      <c r="C12" s="13">
        <v>1000</v>
      </c>
      <c r="D12" s="13"/>
      <c r="E12" s="142">
        <f t="shared" si="0"/>
        <v>1000</v>
      </c>
    </row>
    <row r="13" spans="1:7" x14ac:dyDescent="0.25">
      <c r="A13" s="50" t="s">
        <v>260</v>
      </c>
      <c r="B13" s="143" t="s">
        <v>773</v>
      </c>
      <c r="C13" s="13">
        <v>1000</v>
      </c>
      <c r="D13" s="13"/>
      <c r="E13" s="142">
        <f t="shared" si="0"/>
        <v>1000</v>
      </c>
    </row>
    <row r="14" spans="1:7" x14ac:dyDescent="0.25">
      <c r="A14" s="50" t="s">
        <v>771</v>
      </c>
      <c r="B14" s="143" t="s">
        <v>733</v>
      </c>
      <c r="C14" s="13">
        <v>200</v>
      </c>
      <c r="D14" s="13"/>
      <c r="E14" s="142">
        <f t="shared" si="0"/>
        <v>200</v>
      </c>
    </row>
    <row r="15" spans="1:7" x14ac:dyDescent="0.25">
      <c r="A15" s="50"/>
      <c r="B15" s="143"/>
      <c r="C15" s="13"/>
      <c r="D15" s="13"/>
      <c r="E15" s="142">
        <f t="shared" si="0"/>
        <v>0</v>
      </c>
    </row>
    <row r="16" spans="1:7" x14ac:dyDescent="0.25">
      <c r="A16" s="50">
        <v>3</v>
      </c>
      <c r="B16" s="140" t="s">
        <v>168</v>
      </c>
      <c r="C16" s="141">
        <f>SUM(C17:C18)</f>
        <v>10700</v>
      </c>
      <c r="D16" s="141">
        <f>SUM(D17:D18)</f>
        <v>0</v>
      </c>
      <c r="E16" s="142">
        <f t="shared" si="0"/>
        <v>10700</v>
      </c>
    </row>
    <row r="17" spans="1:5" x14ac:dyDescent="0.25">
      <c r="A17" s="50" t="s">
        <v>213</v>
      </c>
      <c r="B17" s="144" t="s">
        <v>731</v>
      </c>
      <c r="C17" s="13">
        <v>9000</v>
      </c>
      <c r="D17" s="13"/>
      <c r="E17" s="142">
        <f t="shared" si="0"/>
        <v>9000</v>
      </c>
    </row>
    <row r="18" spans="1:5" x14ac:dyDescent="0.25">
      <c r="A18" s="50" t="s">
        <v>261</v>
      </c>
      <c r="B18" s="144" t="s">
        <v>732</v>
      </c>
      <c r="C18" s="13">
        <v>1700</v>
      </c>
      <c r="D18" s="13"/>
      <c r="E18" s="142">
        <f t="shared" si="0"/>
        <v>1700</v>
      </c>
    </row>
    <row r="19" spans="1:5" x14ac:dyDescent="0.25">
      <c r="A19" s="50"/>
      <c r="B19" s="143"/>
      <c r="C19" s="13"/>
      <c r="D19" s="13"/>
      <c r="E19" s="142">
        <f t="shared" si="0"/>
        <v>0</v>
      </c>
    </row>
    <row r="20" spans="1:5" x14ac:dyDescent="0.25">
      <c r="A20" s="50">
        <v>4</v>
      </c>
      <c r="B20" s="140" t="s">
        <v>169</v>
      </c>
      <c r="C20" s="141">
        <f>SUM(C21:C38)</f>
        <v>2127458.94</v>
      </c>
      <c r="D20" s="141">
        <f>SUM(D21:D22)</f>
        <v>0</v>
      </c>
      <c r="E20" s="142">
        <f t="shared" si="0"/>
        <v>2127458.94</v>
      </c>
    </row>
    <row r="21" spans="1:5" x14ac:dyDescent="0.25">
      <c r="A21" s="50" t="s">
        <v>160</v>
      </c>
      <c r="B21" s="143" t="s">
        <v>735</v>
      </c>
      <c r="C21" s="145">
        <v>73881</v>
      </c>
      <c r="D21" s="145"/>
      <c r="E21" s="142">
        <f t="shared" si="0"/>
        <v>73881</v>
      </c>
    </row>
    <row r="22" spans="1:5" x14ac:dyDescent="0.25">
      <c r="A22" s="50" t="s">
        <v>262</v>
      </c>
      <c r="B22" s="143" t="s">
        <v>736</v>
      </c>
      <c r="C22" s="145">
        <v>78.38</v>
      </c>
      <c r="D22" s="145"/>
      <c r="E22" s="142">
        <f t="shared" si="0"/>
        <v>78.38</v>
      </c>
    </row>
    <row r="23" spans="1:5" x14ac:dyDescent="0.25">
      <c r="A23" s="50" t="s">
        <v>737</v>
      </c>
      <c r="B23" s="143" t="s">
        <v>743</v>
      </c>
      <c r="C23" s="145">
        <v>19330.59</v>
      </c>
      <c r="D23" s="145"/>
      <c r="E23" s="142">
        <f t="shared" si="0"/>
        <v>19330.59</v>
      </c>
    </row>
    <row r="24" spans="1:5" x14ac:dyDescent="0.25">
      <c r="A24" s="50" t="s">
        <v>738</v>
      </c>
      <c r="B24" s="143" t="s">
        <v>744</v>
      </c>
      <c r="C24" s="145">
        <v>523.80999999999995</v>
      </c>
      <c r="D24" s="145"/>
      <c r="E24" s="142">
        <f t="shared" si="0"/>
        <v>523.80999999999995</v>
      </c>
    </row>
    <row r="25" spans="1:5" x14ac:dyDescent="0.25">
      <c r="A25" s="50" t="s">
        <v>739</v>
      </c>
      <c r="B25" s="143" t="s">
        <v>745</v>
      </c>
      <c r="C25" s="145">
        <v>312964.26</v>
      </c>
      <c r="D25" s="145"/>
      <c r="E25" s="142">
        <f t="shared" si="0"/>
        <v>312964.26</v>
      </c>
    </row>
    <row r="26" spans="1:5" x14ac:dyDescent="0.25">
      <c r="A26" s="50" t="s">
        <v>740</v>
      </c>
      <c r="B26" s="143" t="s">
        <v>746</v>
      </c>
      <c r="C26" s="145">
        <v>210600</v>
      </c>
      <c r="D26" s="145"/>
      <c r="E26" s="142">
        <f t="shared" si="0"/>
        <v>210600</v>
      </c>
    </row>
    <row r="27" spans="1:5" x14ac:dyDescent="0.25">
      <c r="A27" s="50" t="s">
        <v>741</v>
      </c>
      <c r="B27" s="143" t="s">
        <v>747</v>
      </c>
      <c r="C27" s="145">
        <v>165000</v>
      </c>
      <c r="D27" s="145"/>
      <c r="E27" s="142">
        <f t="shared" si="0"/>
        <v>165000</v>
      </c>
    </row>
    <row r="28" spans="1:5" x14ac:dyDescent="0.25">
      <c r="A28" s="50" t="s">
        <v>742</v>
      </c>
      <c r="B28" s="143" t="s">
        <v>748</v>
      </c>
      <c r="C28" s="145">
        <v>17500</v>
      </c>
      <c r="D28" s="145"/>
      <c r="E28" s="142">
        <f t="shared" si="0"/>
        <v>17500</v>
      </c>
    </row>
    <row r="29" spans="1:5" x14ac:dyDescent="0.25">
      <c r="A29" s="50" t="s">
        <v>750</v>
      </c>
      <c r="B29" s="143" t="s">
        <v>749</v>
      </c>
      <c r="C29" s="13">
        <v>8000</v>
      </c>
      <c r="D29" s="13"/>
      <c r="E29" s="142">
        <f t="shared" si="0"/>
        <v>8000</v>
      </c>
    </row>
    <row r="30" spans="1:5" x14ac:dyDescent="0.25">
      <c r="A30" s="146" t="s">
        <v>751</v>
      </c>
      <c r="B30" s="147" t="s">
        <v>754</v>
      </c>
      <c r="C30" s="148">
        <v>7683.5</v>
      </c>
      <c r="D30" s="148"/>
      <c r="E30" s="142">
        <f t="shared" si="0"/>
        <v>7683.5</v>
      </c>
    </row>
    <row r="31" spans="1:5" x14ac:dyDescent="0.25">
      <c r="A31" s="146" t="s">
        <v>752</v>
      </c>
      <c r="B31" s="143" t="s">
        <v>755</v>
      </c>
      <c r="C31" s="148">
        <v>70.77</v>
      </c>
      <c r="D31" s="148"/>
      <c r="E31" s="142">
        <f t="shared" si="0"/>
        <v>70.77</v>
      </c>
    </row>
    <row r="32" spans="1:5" x14ac:dyDescent="0.25">
      <c r="A32" s="146" t="s">
        <v>753</v>
      </c>
      <c r="B32" s="143" t="s">
        <v>756</v>
      </c>
      <c r="C32" s="148">
        <v>50</v>
      </c>
      <c r="D32" s="148"/>
      <c r="E32" s="142">
        <f t="shared" si="0"/>
        <v>50</v>
      </c>
    </row>
    <row r="33" spans="1:5" x14ac:dyDescent="0.25">
      <c r="A33" s="146" t="s">
        <v>759</v>
      </c>
      <c r="B33" s="147" t="s">
        <v>757</v>
      </c>
      <c r="C33" s="148">
        <v>2000</v>
      </c>
      <c r="D33" s="148"/>
      <c r="E33" s="142">
        <f t="shared" si="0"/>
        <v>2000</v>
      </c>
    </row>
    <row r="34" spans="1:5" x14ac:dyDescent="0.25">
      <c r="A34" s="146" t="s">
        <v>760</v>
      </c>
      <c r="B34" s="147" t="s">
        <v>758</v>
      </c>
      <c r="C34" s="148">
        <v>11450</v>
      </c>
      <c r="D34" s="148"/>
      <c r="E34" s="142">
        <f t="shared" si="0"/>
        <v>11450</v>
      </c>
    </row>
    <row r="35" spans="1:5" x14ac:dyDescent="0.25">
      <c r="A35" s="146" t="s">
        <v>763</v>
      </c>
      <c r="B35" s="143" t="s">
        <v>761</v>
      </c>
      <c r="C35" s="148">
        <v>1910.54</v>
      </c>
      <c r="D35" s="148"/>
      <c r="E35" s="142">
        <f t="shared" si="0"/>
        <v>1910.54</v>
      </c>
    </row>
    <row r="36" spans="1:5" x14ac:dyDescent="0.25">
      <c r="A36" s="146" t="s">
        <v>764</v>
      </c>
      <c r="B36" s="147" t="s">
        <v>762</v>
      </c>
      <c r="C36" s="148">
        <v>647021.09</v>
      </c>
      <c r="D36" s="148"/>
      <c r="E36" s="142">
        <f t="shared" si="0"/>
        <v>647021.09</v>
      </c>
    </row>
    <row r="37" spans="1:5" x14ac:dyDescent="0.25">
      <c r="A37" s="146" t="s">
        <v>765</v>
      </c>
      <c r="B37" s="147" t="s">
        <v>767</v>
      </c>
      <c r="C37" s="148">
        <v>533036</v>
      </c>
      <c r="D37" s="148"/>
      <c r="E37" s="142">
        <f t="shared" si="0"/>
        <v>533036</v>
      </c>
    </row>
    <row r="38" spans="1:5" x14ac:dyDescent="0.25">
      <c r="A38" s="146" t="s">
        <v>766</v>
      </c>
      <c r="B38" s="147" t="s">
        <v>768</v>
      </c>
      <c r="C38" s="148">
        <v>116359</v>
      </c>
      <c r="D38" s="148"/>
      <c r="E38" s="142">
        <f t="shared" si="0"/>
        <v>116359</v>
      </c>
    </row>
    <row r="39" spans="1:5" x14ac:dyDescent="0.25">
      <c r="A39" s="146"/>
      <c r="B39" s="147"/>
      <c r="C39" s="148"/>
      <c r="D39" s="148"/>
      <c r="E39" s="149"/>
    </row>
    <row r="40" spans="1:5" ht="16.5" thickBot="1" x14ac:dyDescent="0.3">
      <c r="A40" s="30">
        <v>5</v>
      </c>
      <c r="B40" s="31" t="s">
        <v>201</v>
      </c>
      <c r="C40" s="150">
        <f>C5+C11+C16+C20</f>
        <v>3178842.58</v>
      </c>
      <c r="D40" s="150">
        <f>D5+D11+D16+D20</f>
        <v>0</v>
      </c>
      <c r="E40" s="151">
        <f t="shared" si="0"/>
        <v>3178842.58</v>
      </c>
    </row>
    <row r="42" spans="1:5" s="154" customFormat="1" x14ac:dyDescent="0.25">
      <c r="A42" s="152"/>
      <c r="B42" s="153"/>
    </row>
  </sheetData>
  <mergeCells count="2">
    <mergeCell ref="A1:E1"/>
    <mergeCell ref="A2:E2"/>
  </mergeCells>
  <phoneticPr fontId="0" type="noConversion"/>
  <printOptions gridLines="1"/>
  <pageMargins left="0.74803149606299213" right="0.74803149606299213" top="0.98425196850393704" bottom="0.98425196850393704" header="0.51181102362204722" footer="0.51181102362204722"/>
  <pageSetup paperSize="9" scale="59"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pageSetUpPr fitToPage="1"/>
  </sheetPr>
  <dimension ref="A1:J73"/>
  <sheetViews>
    <sheetView zoomScaleNormal="100" workbookViewId="0">
      <pane xSplit="2" ySplit="5" topLeftCell="C66" activePane="bottomRight" state="frozen"/>
      <selection pane="topRight" activeCell="C1" sqref="C1"/>
      <selection pane="bottomLeft" activeCell="A6" sqref="A6"/>
      <selection pane="bottomRight" activeCell="B77" sqref="B77"/>
    </sheetView>
  </sheetViews>
  <sheetFormatPr defaultRowHeight="15.75" x14ac:dyDescent="0.25"/>
  <cols>
    <col min="1" max="1" width="7.85546875" style="231" customWidth="1"/>
    <col min="2" max="2" width="72.28515625" style="234" customWidth="1"/>
    <col min="3" max="3" width="16.42578125" style="235" customWidth="1"/>
    <col min="4" max="4" width="16.5703125" style="235" customWidth="1"/>
    <col min="5" max="5" width="16.42578125" style="235" customWidth="1"/>
    <col min="6" max="6" width="19.140625" style="235" customWidth="1"/>
    <col min="7" max="7" width="16.85546875" style="235" customWidth="1"/>
    <col min="8" max="8" width="17.28515625" style="235" customWidth="1"/>
    <col min="9" max="9" width="26.42578125" style="170" bestFit="1" customWidth="1"/>
    <col min="10" max="16384" width="9.140625" style="170"/>
  </cols>
  <sheetData>
    <row r="1" spans="1:9" ht="35.1" customHeight="1" thickBot="1" x14ac:dyDescent="0.3">
      <c r="A1" s="478" t="s">
        <v>641</v>
      </c>
      <c r="B1" s="479"/>
      <c r="C1" s="479"/>
      <c r="D1" s="479"/>
      <c r="E1" s="479"/>
      <c r="F1" s="479"/>
      <c r="G1" s="479"/>
      <c r="H1" s="480"/>
    </row>
    <row r="2" spans="1:9" ht="31.9" customHeight="1" x14ac:dyDescent="0.25">
      <c r="A2" s="475" t="s">
        <v>722</v>
      </c>
      <c r="B2" s="476"/>
      <c r="C2" s="476"/>
      <c r="D2" s="476"/>
      <c r="E2" s="476"/>
      <c r="F2" s="476"/>
      <c r="G2" s="476"/>
      <c r="H2" s="477"/>
    </row>
    <row r="3" spans="1:9" ht="24" customHeight="1" x14ac:dyDescent="0.25">
      <c r="A3" s="481" t="s">
        <v>137</v>
      </c>
      <c r="B3" s="482" t="s">
        <v>220</v>
      </c>
      <c r="C3" s="484">
        <v>2015</v>
      </c>
      <c r="D3" s="485"/>
      <c r="E3" s="484">
        <v>2016</v>
      </c>
      <c r="F3" s="485"/>
      <c r="G3" s="484" t="s">
        <v>642</v>
      </c>
      <c r="H3" s="486"/>
    </row>
    <row r="4" spans="1:9" s="213" customFormat="1" ht="31.5" x14ac:dyDescent="0.25">
      <c r="A4" s="481"/>
      <c r="B4" s="483"/>
      <c r="C4" s="5" t="s">
        <v>221</v>
      </c>
      <c r="D4" s="5" t="s">
        <v>222</v>
      </c>
      <c r="E4" s="5" t="s">
        <v>221</v>
      </c>
      <c r="F4" s="5" t="s">
        <v>222</v>
      </c>
      <c r="G4" s="5" t="s">
        <v>221</v>
      </c>
      <c r="H4" s="6" t="s">
        <v>222</v>
      </c>
      <c r="I4" s="170"/>
    </row>
    <row r="5" spans="1:9" s="213" customFormat="1" x14ac:dyDescent="0.25">
      <c r="A5" s="214"/>
      <c r="B5" s="15"/>
      <c r="C5" s="5" t="s">
        <v>184</v>
      </c>
      <c r="D5" s="5" t="s">
        <v>185</v>
      </c>
      <c r="E5" s="5" t="s">
        <v>186</v>
      </c>
      <c r="F5" s="5" t="s">
        <v>192</v>
      </c>
      <c r="G5" s="5" t="s">
        <v>23</v>
      </c>
      <c r="H5" s="6" t="s">
        <v>24</v>
      </c>
      <c r="I5" s="170"/>
    </row>
    <row r="6" spans="1:9" x14ac:dyDescent="0.25">
      <c r="A6" s="215">
        <v>1</v>
      </c>
      <c r="B6" s="216" t="s">
        <v>819</v>
      </c>
      <c r="C6" s="157">
        <f>SUM(C7:C10)</f>
        <v>209371.92</v>
      </c>
      <c r="D6" s="157">
        <f t="shared" ref="D6:F6" si="0">SUM(D7:D10)</f>
        <v>432266.14999999997</v>
      </c>
      <c r="E6" s="157">
        <f t="shared" si="0"/>
        <v>234808.4</v>
      </c>
      <c r="F6" s="157">
        <f t="shared" si="0"/>
        <v>464022.35000000003</v>
      </c>
      <c r="G6" s="158">
        <f>E6-C6</f>
        <v>25436.479999999981</v>
      </c>
      <c r="H6" s="159">
        <f t="shared" ref="G6:H69" si="1">F6-D6</f>
        <v>31756.20000000007</v>
      </c>
    </row>
    <row r="7" spans="1:9" x14ac:dyDescent="0.25">
      <c r="A7" s="215">
        <f>A6+1</f>
        <v>2</v>
      </c>
      <c r="B7" s="217" t="s">
        <v>178</v>
      </c>
      <c r="C7" s="218"/>
      <c r="D7" s="218"/>
      <c r="E7" s="219"/>
      <c r="F7" s="219"/>
      <c r="G7" s="158">
        <f t="shared" si="1"/>
        <v>0</v>
      </c>
      <c r="H7" s="159">
        <f t="shared" si="1"/>
        <v>0</v>
      </c>
    </row>
    <row r="8" spans="1:9" x14ac:dyDescent="0.25">
      <c r="A8" s="215">
        <f t="shared" ref="A8:A69" si="2">A7+1</f>
        <v>3</v>
      </c>
      <c r="B8" s="217" t="s">
        <v>197</v>
      </c>
      <c r="C8" s="218"/>
      <c r="D8" s="218"/>
      <c r="E8" s="219"/>
      <c r="F8" s="219"/>
      <c r="G8" s="158">
        <f t="shared" si="1"/>
        <v>0</v>
      </c>
      <c r="H8" s="159">
        <f t="shared" si="1"/>
        <v>0</v>
      </c>
    </row>
    <row r="9" spans="1:9" x14ac:dyDescent="0.25">
      <c r="A9" s="215">
        <f t="shared" si="2"/>
        <v>4</v>
      </c>
      <c r="B9" s="217" t="s">
        <v>36</v>
      </c>
      <c r="C9" s="219">
        <v>207190.5</v>
      </c>
      <c r="D9" s="219">
        <v>430544.8</v>
      </c>
      <c r="E9" s="219">
        <v>233480.72</v>
      </c>
      <c r="F9" s="219">
        <v>462155.2</v>
      </c>
      <c r="G9" s="158">
        <f t="shared" si="1"/>
        <v>26290.22</v>
      </c>
      <c r="H9" s="159">
        <f t="shared" si="1"/>
        <v>31610.400000000023</v>
      </c>
    </row>
    <row r="10" spans="1:9" x14ac:dyDescent="0.25">
      <c r="A10" s="215">
        <f t="shared" si="2"/>
        <v>5</v>
      </c>
      <c r="B10" s="217" t="s">
        <v>196</v>
      </c>
      <c r="C10" s="219">
        <v>2181.42</v>
      </c>
      <c r="D10" s="219">
        <v>1721.35</v>
      </c>
      <c r="E10" s="219">
        <v>1327.68</v>
      </c>
      <c r="F10" s="219">
        <v>1867.15</v>
      </c>
      <c r="G10" s="158">
        <f t="shared" si="1"/>
        <v>-853.74</v>
      </c>
      <c r="H10" s="159">
        <f t="shared" si="1"/>
        <v>145.80000000000018</v>
      </c>
    </row>
    <row r="11" spans="1:9" x14ac:dyDescent="0.25">
      <c r="A11" s="215">
        <f t="shared" si="2"/>
        <v>6</v>
      </c>
      <c r="B11" s="216" t="s">
        <v>820</v>
      </c>
      <c r="C11" s="157">
        <f>SUM(C12:C15)</f>
        <v>1106104.3400000001</v>
      </c>
      <c r="D11" s="157">
        <f t="shared" ref="D11:F11" si="3">SUM(D12:D15)</f>
        <v>1306786.8700000001</v>
      </c>
      <c r="E11" s="157">
        <f t="shared" si="3"/>
        <v>1062748.58</v>
      </c>
      <c r="F11" s="157">
        <f t="shared" si="3"/>
        <v>811925.2</v>
      </c>
      <c r="G11" s="158">
        <f t="shared" si="1"/>
        <v>-43355.760000000009</v>
      </c>
      <c r="H11" s="159">
        <f t="shared" si="1"/>
        <v>-494861.67000000016</v>
      </c>
    </row>
    <row r="12" spans="1:9" x14ac:dyDescent="0.25">
      <c r="A12" s="215">
        <f t="shared" si="2"/>
        <v>7</v>
      </c>
      <c r="B12" s="217" t="s">
        <v>51</v>
      </c>
      <c r="C12" s="219">
        <v>828570.91</v>
      </c>
      <c r="D12" s="219"/>
      <c r="E12" s="219">
        <v>842980.42</v>
      </c>
      <c r="F12" s="219">
        <v>175</v>
      </c>
      <c r="G12" s="158">
        <f t="shared" si="1"/>
        <v>14409.510000000009</v>
      </c>
      <c r="H12" s="159">
        <f t="shared" si="1"/>
        <v>175</v>
      </c>
    </row>
    <row r="13" spans="1:9" x14ac:dyDescent="0.25">
      <c r="A13" s="215">
        <f t="shared" si="2"/>
        <v>8</v>
      </c>
      <c r="B13" s="217" t="s">
        <v>52</v>
      </c>
      <c r="C13" s="219"/>
      <c r="D13" s="219"/>
      <c r="E13" s="219"/>
      <c r="F13" s="219"/>
      <c r="G13" s="158">
        <f t="shared" si="1"/>
        <v>0</v>
      </c>
      <c r="H13" s="159">
        <f t="shared" si="1"/>
        <v>0</v>
      </c>
    </row>
    <row r="14" spans="1:9" x14ac:dyDescent="0.25">
      <c r="A14" s="215">
        <f>A13+1</f>
        <v>9</v>
      </c>
      <c r="B14" s="217" t="s">
        <v>53</v>
      </c>
      <c r="C14" s="219"/>
      <c r="D14" s="219">
        <v>107930.02</v>
      </c>
      <c r="E14" s="219"/>
      <c r="F14" s="219">
        <v>103605.86</v>
      </c>
      <c r="G14" s="158">
        <f t="shared" si="1"/>
        <v>0</v>
      </c>
      <c r="H14" s="159">
        <f t="shared" si="1"/>
        <v>-4324.1600000000035</v>
      </c>
    </row>
    <row r="15" spans="1:9" ht="31.5" x14ac:dyDescent="0.25">
      <c r="A15" s="220">
        <f t="shared" si="2"/>
        <v>10</v>
      </c>
      <c r="B15" s="217" t="s">
        <v>714</v>
      </c>
      <c r="C15" s="219">
        <v>277533.43</v>
      </c>
      <c r="D15" s="219">
        <v>1198856.8500000001</v>
      </c>
      <c r="E15" s="219">
        <v>219768.16</v>
      </c>
      <c r="F15" s="219">
        <v>708144.34</v>
      </c>
      <c r="G15" s="158">
        <f t="shared" si="1"/>
        <v>-57765.26999999999</v>
      </c>
      <c r="H15" s="159">
        <f t="shared" si="1"/>
        <v>-490712.51000000013</v>
      </c>
    </row>
    <row r="16" spans="1:9" x14ac:dyDescent="0.25">
      <c r="A16" s="215">
        <f t="shared" si="2"/>
        <v>11</v>
      </c>
      <c r="B16" s="216" t="s">
        <v>20</v>
      </c>
      <c r="C16" s="219"/>
      <c r="D16" s="219">
        <v>73906.92</v>
      </c>
      <c r="E16" s="219"/>
      <c r="F16" s="219">
        <v>84170.54</v>
      </c>
      <c r="G16" s="158">
        <f t="shared" si="1"/>
        <v>0</v>
      </c>
      <c r="H16" s="159">
        <f t="shared" si="1"/>
        <v>10263.619999999995</v>
      </c>
    </row>
    <row r="17" spans="1:9" x14ac:dyDescent="0.25">
      <c r="A17" s="215">
        <f t="shared" si="2"/>
        <v>12</v>
      </c>
      <c r="B17" s="216" t="s">
        <v>697</v>
      </c>
      <c r="C17" s="219"/>
      <c r="D17" s="219"/>
      <c r="E17" s="219"/>
      <c r="F17" s="219"/>
      <c r="G17" s="158">
        <f t="shared" si="1"/>
        <v>0</v>
      </c>
      <c r="H17" s="159">
        <f t="shared" si="1"/>
        <v>0</v>
      </c>
    </row>
    <row r="18" spans="1:9" x14ac:dyDescent="0.25">
      <c r="A18" s="215">
        <f t="shared" si="2"/>
        <v>13</v>
      </c>
      <c r="B18" s="216" t="s">
        <v>698</v>
      </c>
      <c r="C18" s="219"/>
      <c r="D18" s="219"/>
      <c r="E18" s="219"/>
      <c r="F18" s="219"/>
      <c r="G18" s="158">
        <f t="shared" si="1"/>
        <v>0</v>
      </c>
      <c r="H18" s="159">
        <f t="shared" si="1"/>
        <v>0</v>
      </c>
    </row>
    <row r="19" spans="1:9" x14ac:dyDescent="0.25">
      <c r="A19" s="215">
        <f t="shared" si="2"/>
        <v>14</v>
      </c>
      <c r="B19" s="216" t="s">
        <v>227</v>
      </c>
      <c r="C19" s="219">
        <v>245.01</v>
      </c>
      <c r="D19" s="219">
        <v>2493.85</v>
      </c>
      <c r="E19" s="219">
        <v>4.96</v>
      </c>
      <c r="F19" s="219">
        <v>120.36</v>
      </c>
      <c r="G19" s="158">
        <f t="shared" si="1"/>
        <v>-240.04999999999998</v>
      </c>
      <c r="H19" s="159">
        <f t="shared" si="1"/>
        <v>-2373.4899999999998</v>
      </c>
    </row>
    <row r="20" spans="1:9" x14ac:dyDescent="0.25">
      <c r="A20" s="215">
        <f t="shared" si="2"/>
        <v>15</v>
      </c>
      <c r="B20" s="216" t="s">
        <v>228</v>
      </c>
      <c r="C20" s="219">
        <v>417.09</v>
      </c>
      <c r="D20" s="219">
        <v>13229.97</v>
      </c>
      <c r="E20" s="219"/>
      <c r="F20" s="219"/>
      <c r="G20" s="158">
        <f t="shared" si="1"/>
        <v>-417.09</v>
      </c>
      <c r="H20" s="159">
        <f t="shared" si="1"/>
        <v>-13229.97</v>
      </c>
    </row>
    <row r="21" spans="1:9" x14ac:dyDescent="0.25">
      <c r="A21" s="215">
        <f t="shared" si="2"/>
        <v>16</v>
      </c>
      <c r="B21" s="216" t="s">
        <v>821</v>
      </c>
      <c r="C21" s="157">
        <f>SUM(C22:C23)</f>
        <v>45.81</v>
      </c>
      <c r="D21" s="157">
        <f t="shared" ref="D21:F21" si="4">SUM(D22:D23)</f>
        <v>39.07</v>
      </c>
      <c r="E21" s="157">
        <f t="shared" si="4"/>
        <v>55.58</v>
      </c>
      <c r="F21" s="157">
        <f t="shared" si="4"/>
        <v>31.15</v>
      </c>
      <c r="G21" s="158">
        <f t="shared" si="1"/>
        <v>9.769999999999996</v>
      </c>
      <c r="H21" s="159">
        <f t="shared" si="1"/>
        <v>-7.9200000000000017</v>
      </c>
    </row>
    <row r="22" spans="1:9" x14ac:dyDescent="0.25">
      <c r="A22" s="215">
        <f t="shared" si="2"/>
        <v>17</v>
      </c>
      <c r="B22" s="217" t="s">
        <v>56</v>
      </c>
      <c r="C22" s="218"/>
      <c r="D22" s="218"/>
      <c r="E22" s="219"/>
      <c r="F22" s="219"/>
      <c r="G22" s="158">
        <f t="shared" si="1"/>
        <v>0</v>
      </c>
      <c r="H22" s="159">
        <f t="shared" si="1"/>
        <v>0</v>
      </c>
    </row>
    <row r="23" spans="1:9" x14ac:dyDescent="0.25">
      <c r="A23" s="215">
        <f t="shared" si="2"/>
        <v>18</v>
      </c>
      <c r="B23" s="217" t="s">
        <v>57</v>
      </c>
      <c r="C23" s="219">
        <v>45.81</v>
      </c>
      <c r="D23" s="221">
        <v>39.07</v>
      </c>
      <c r="E23" s="219">
        <v>55.58</v>
      </c>
      <c r="F23" s="221">
        <v>31.15</v>
      </c>
      <c r="G23" s="158">
        <f t="shared" si="1"/>
        <v>9.769999999999996</v>
      </c>
      <c r="H23" s="159">
        <f t="shared" si="1"/>
        <v>-7.9200000000000017</v>
      </c>
    </row>
    <row r="24" spans="1:9" x14ac:dyDescent="0.25">
      <c r="A24" s="215">
        <f t="shared" si="2"/>
        <v>19</v>
      </c>
      <c r="B24" s="216" t="s">
        <v>229</v>
      </c>
      <c r="C24" s="219">
        <v>69014.52</v>
      </c>
      <c r="D24" s="219"/>
      <c r="E24" s="219">
        <v>3621.62</v>
      </c>
      <c r="F24" s="219"/>
      <c r="G24" s="158">
        <f t="shared" si="1"/>
        <v>-65392.9</v>
      </c>
      <c r="H24" s="159">
        <f t="shared" si="1"/>
        <v>0</v>
      </c>
    </row>
    <row r="25" spans="1:9" x14ac:dyDescent="0.25">
      <c r="A25" s="215">
        <f t="shared" si="2"/>
        <v>20</v>
      </c>
      <c r="B25" s="216" t="s">
        <v>822</v>
      </c>
      <c r="C25" s="157">
        <f>C26+C27+C28+C29</f>
        <v>9268357.2899999991</v>
      </c>
      <c r="D25" s="157">
        <f t="shared" ref="D25:F25" si="5">D26+D27+D28+D29</f>
        <v>0</v>
      </c>
      <c r="E25" s="157">
        <f>E26+E27+E28+E29</f>
        <v>10807697.720000001</v>
      </c>
      <c r="F25" s="157">
        <f t="shared" si="5"/>
        <v>0</v>
      </c>
      <c r="G25" s="158">
        <f t="shared" ref="G25:G34" si="6">E25-C25</f>
        <v>1539340.4300000016</v>
      </c>
      <c r="H25" s="159">
        <f t="shared" ref="H25:H34" si="7">F25-D25</f>
        <v>0</v>
      </c>
      <c r="I25" s="222"/>
    </row>
    <row r="26" spans="1:9" x14ac:dyDescent="0.25">
      <c r="A26" s="215">
        <f t="shared" si="2"/>
        <v>21</v>
      </c>
      <c r="B26" s="217" t="s">
        <v>696</v>
      </c>
      <c r="C26" s="219">
        <v>198331.67</v>
      </c>
      <c r="D26" s="219"/>
      <c r="E26" s="219">
        <v>228352.5</v>
      </c>
      <c r="F26" s="219"/>
      <c r="G26" s="158">
        <f t="shared" si="6"/>
        <v>30020.829999999987</v>
      </c>
      <c r="H26" s="159">
        <f t="shared" si="7"/>
        <v>0</v>
      </c>
    </row>
    <row r="27" spans="1:9" x14ac:dyDescent="0.25">
      <c r="A27" s="215">
        <f t="shared" si="2"/>
        <v>22</v>
      </c>
      <c r="B27" s="217" t="s">
        <v>688</v>
      </c>
      <c r="C27" s="219">
        <v>8713814.0099999998</v>
      </c>
      <c r="D27" s="219"/>
      <c r="E27" s="219">
        <f>10287485</f>
        <v>10287485</v>
      </c>
      <c r="F27" s="219"/>
      <c r="G27" s="158">
        <f t="shared" si="6"/>
        <v>1573670.9900000002</v>
      </c>
      <c r="H27" s="159">
        <f t="shared" si="7"/>
        <v>0</v>
      </c>
    </row>
    <row r="28" spans="1:9" x14ac:dyDescent="0.25">
      <c r="A28" s="215">
        <f t="shared" si="2"/>
        <v>23</v>
      </c>
      <c r="B28" s="217" t="s">
        <v>689</v>
      </c>
      <c r="C28" s="219">
        <v>355611.61</v>
      </c>
      <c r="D28" s="219"/>
      <c r="E28" s="219">
        <v>291860.21999999997</v>
      </c>
      <c r="F28" s="219"/>
      <c r="G28" s="158">
        <f t="shared" si="6"/>
        <v>-63751.390000000014</v>
      </c>
      <c r="H28" s="159">
        <f t="shared" si="7"/>
        <v>0</v>
      </c>
    </row>
    <row r="29" spans="1:9" x14ac:dyDescent="0.25">
      <c r="A29" s="215">
        <f t="shared" si="2"/>
        <v>24</v>
      </c>
      <c r="B29" s="217" t="s">
        <v>690</v>
      </c>
      <c r="C29" s="219">
        <v>600</v>
      </c>
      <c r="D29" s="219"/>
      <c r="E29" s="219">
        <v>0</v>
      </c>
      <c r="F29" s="219"/>
      <c r="G29" s="158">
        <f t="shared" si="6"/>
        <v>-600</v>
      </c>
      <c r="H29" s="159">
        <f t="shared" si="7"/>
        <v>0</v>
      </c>
    </row>
    <row r="30" spans="1:9" x14ac:dyDescent="0.25">
      <c r="A30" s="215">
        <f t="shared" si="2"/>
        <v>25</v>
      </c>
      <c r="B30" s="216" t="s">
        <v>823</v>
      </c>
      <c r="C30" s="157">
        <f>SUM(C31:C36)</f>
        <v>421609.06</v>
      </c>
      <c r="D30" s="157">
        <f t="shared" ref="D30:F30" si="8">SUM(D31:D36)</f>
        <v>0</v>
      </c>
      <c r="E30" s="157">
        <f t="shared" si="8"/>
        <v>341929.42</v>
      </c>
      <c r="F30" s="157">
        <f t="shared" si="8"/>
        <v>19.63</v>
      </c>
      <c r="G30" s="158">
        <f t="shared" si="6"/>
        <v>-79679.640000000014</v>
      </c>
      <c r="H30" s="159">
        <f t="shared" si="7"/>
        <v>19.63</v>
      </c>
    </row>
    <row r="31" spans="1:9" x14ac:dyDescent="0.25">
      <c r="A31" s="215">
        <f t="shared" si="2"/>
        <v>26</v>
      </c>
      <c r="B31" s="217" t="s">
        <v>691</v>
      </c>
      <c r="C31" s="219">
        <v>251324.64</v>
      </c>
      <c r="D31" s="219"/>
      <c r="E31" s="219">
        <v>243760.5</v>
      </c>
      <c r="F31" s="219"/>
      <c r="G31" s="158">
        <f t="shared" si="6"/>
        <v>-7564.140000000014</v>
      </c>
      <c r="H31" s="159">
        <f t="shared" si="7"/>
        <v>0</v>
      </c>
    </row>
    <row r="32" spans="1:9" x14ac:dyDescent="0.25">
      <c r="A32" s="215">
        <f t="shared" si="2"/>
        <v>27</v>
      </c>
      <c r="B32" s="217" t="s">
        <v>695</v>
      </c>
      <c r="C32" s="219">
        <v>118210.92</v>
      </c>
      <c r="D32" s="219"/>
      <c r="E32" s="219">
        <v>47395.09</v>
      </c>
      <c r="F32" s="219"/>
      <c r="G32" s="158">
        <f t="shared" si="6"/>
        <v>-70815.83</v>
      </c>
      <c r="H32" s="159">
        <f t="shared" si="7"/>
        <v>0</v>
      </c>
    </row>
    <row r="33" spans="1:9" x14ac:dyDescent="0.25">
      <c r="A33" s="215">
        <f t="shared" si="2"/>
        <v>28</v>
      </c>
      <c r="B33" s="217" t="s">
        <v>692</v>
      </c>
      <c r="C33" s="219">
        <v>34272</v>
      </c>
      <c r="D33" s="219"/>
      <c r="E33" s="219">
        <v>29804</v>
      </c>
      <c r="F33" s="219"/>
      <c r="G33" s="158">
        <f t="shared" si="6"/>
        <v>-4468</v>
      </c>
      <c r="H33" s="159">
        <f t="shared" si="7"/>
        <v>0</v>
      </c>
    </row>
    <row r="34" spans="1:9" x14ac:dyDescent="0.25">
      <c r="A34" s="215">
        <f t="shared" si="2"/>
        <v>29</v>
      </c>
      <c r="B34" s="217" t="s">
        <v>814</v>
      </c>
      <c r="C34" s="219">
        <v>14567.5</v>
      </c>
      <c r="D34" s="219"/>
      <c r="E34" s="219">
        <f>20969.83</f>
        <v>20969.830000000002</v>
      </c>
      <c r="F34" s="219">
        <v>19.63</v>
      </c>
      <c r="G34" s="158">
        <f t="shared" si="6"/>
        <v>6402.3300000000017</v>
      </c>
      <c r="H34" s="159">
        <f t="shared" si="7"/>
        <v>19.63</v>
      </c>
      <c r="I34" s="223"/>
    </row>
    <row r="35" spans="1:9" x14ac:dyDescent="0.25">
      <c r="A35" s="215">
        <f t="shared" si="2"/>
        <v>30</v>
      </c>
      <c r="B35" s="217" t="s">
        <v>693</v>
      </c>
      <c r="C35" s="219">
        <v>0</v>
      </c>
      <c r="D35" s="219"/>
      <c r="E35" s="219">
        <v>0</v>
      </c>
      <c r="F35" s="219"/>
      <c r="G35" s="157">
        <f t="shared" ref="G35:G36" si="9">G36+G37+G38+G39</f>
        <v>721644.48000000021</v>
      </c>
      <c r="H35" s="161">
        <f t="shared" ref="H35:H36" si="10">H36+H37+H38+H39</f>
        <v>-45120.619999999995</v>
      </c>
    </row>
    <row r="36" spans="1:9" ht="31.5" x14ac:dyDescent="0.25">
      <c r="A36" s="215">
        <f t="shared" si="2"/>
        <v>31</v>
      </c>
      <c r="B36" s="217" t="s">
        <v>694</v>
      </c>
      <c r="C36" s="219">
        <v>3234</v>
      </c>
      <c r="D36" s="219"/>
      <c r="E36" s="219"/>
      <c r="F36" s="219"/>
      <c r="G36" s="157">
        <f t="shared" si="9"/>
        <v>360822.24000000011</v>
      </c>
      <c r="H36" s="161">
        <f t="shared" si="10"/>
        <v>-22560.309999999998</v>
      </c>
    </row>
    <row r="37" spans="1:9" s="224" customFormat="1" ht="15.75" customHeight="1" x14ac:dyDescent="0.3">
      <c r="A37" s="215">
        <f t="shared" si="2"/>
        <v>32</v>
      </c>
      <c r="B37" s="216" t="s">
        <v>824</v>
      </c>
      <c r="C37" s="162">
        <f>SUM(C38:C48)</f>
        <v>5344121.43</v>
      </c>
      <c r="D37" s="163">
        <f>SUM(D38:D48)</f>
        <v>37114.89</v>
      </c>
      <c r="E37" s="164">
        <f>SUM(E38:E48)</f>
        <v>5806630.3700000001</v>
      </c>
      <c r="F37" s="163">
        <f>SUM(F38:F48)</f>
        <v>14554.58</v>
      </c>
      <c r="G37" s="163">
        <f t="shared" ref="G37:H37" si="11">SUM(G38:G48)</f>
        <v>462508.94000000006</v>
      </c>
      <c r="H37" s="165">
        <f t="shared" si="11"/>
        <v>-22560.309999999998</v>
      </c>
    </row>
    <row r="38" spans="1:9" x14ac:dyDescent="0.25">
      <c r="A38" s="215">
        <f t="shared" si="2"/>
        <v>33</v>
      </c>
      <c r="B38" s="217" t="s">
        <v>58</v>
      </c>
      <c r="C38" s="218">
        <v>2310</v>
      </c>
      <c r="D38" s="219"/>
      <c r="E38" s="219">
        <v>22546</v>
      </c>
      <c r="F38" s="219"/>
      <c r="G38" s="158">
        <f t="shared" si="1"/>
        <v>20236</v>
      </c>
      <c r="H38" s="159">
        <f t="shared" si="1"/>
        <v>0</v>
      </c>
    </row>
    <row r="39" spans="1:9" x14ac:dyDescent="0.25">
      <c r="A39" s="215">
        <f t="shared" si="2"/>
        <v>34</v>
      </c>
      <c r="B39" s="217" t="s">
        <v>715</v>
      </c>
      <c r="C39" s="218">
        <v>201181.58</v>
      </c>
      <c r="D39" s="219"/>
      <c r="E39" s="219">
        <v>79258.880000000005</v>
      </c>
      <c r="F39" s="219"/>
      <c r="G39" s="158">
        <f t="shared" si="1"/>
        <v>-121922.69999999998</v>
      </c>
      <c r="H39" s="159">
        <f t="shared" si="1"/>
        <v>0</v>
      </c>
    </row>
    <row r="40" spans="1:9" x14ac:dyDescent="0.25">
      <c r="A40" s="215">
        <f t="shared" si="2"/>
        <v>35</v>
      </c>
      <c r="B40" s="217" t="s">
        <v>59</v>
      </c>
      <c r="C40" s="219">
        <v>0</v>
      </c>
      <c r="D40" s="219"/>
      <c r="E40" s="219">
        <v>0</v>
      </c>
      <c r="F40" s="219"/>
      <c r="G40" s="158">
        <f t="shared" si="1"/>
        <v>0</v>
      </c>
      <c r="H40" s="159">
        <f t="shared" si="1"/>
        <v>0</v>
      </c>
    </row>
    <row r="41" spans="1:9" x14ac:dyDescent="0.25">
      <c r="A41" s="215">
        <f t="shared" si="2"/>
        <v>36</v>
      </c>
      <c r="B41" s="217" t="s">
        <v>60</v>
      </c>
      <c r="C41" s="219">
        <v>0</v>
      </c>
      <c r="D41" s="219"/>
      <c r="E41" s="219">
        <v>0</v>
      </c>
      <c r="F41" s="219"/>
      <c r="G41" s="158">
        <f t="shared" si="1"/>
        <v>0</v>
      </c>
      <c r="H41" s="159">
        <f t="shared" si="1"/>
        <v>0</v>
      </c>
    </row>
    <row r="42" spans="1:9" x14ac:dyDescent="0.25">
      <c r="A42" s="215">
        <f t="shared" si="2"/>
        <v>37</v>
      </c>
      <c r="B42" s="217" t="s">
        <v>61</v>
      </c>
      <c r="C42" s="219">
        <v>-968.75</v>
      </c>
      <c r="D42" s="219">
        <v>200</v>
      </c>
      <c r="E42" s="219">
        <v>-176683.9</v>
      </c>
      <c r="F42" s="219"/>
      <c r="G42" s="158">
        <f t="shared" si="1"/>
        <v>-175715.15</v>
      </c>
      <c r="H42" s="159">
        <f t="shared" si="1"/>
        <v>-200</v>
      </c>
    </row>
    <row r="43" spans="1:9" x14ac:dyDescent="0.25">
      <c r="A43" s="215">
        <f t="shared" si="2"/>
        <v>38</v>
      </c>
      <c r="B43" s="217" t="s">
        <v>62</v>
      </c>
      <c r="C43" s="218">
        <v>623</v>
      </c>
      <c r="D43" s="219">
        <v>335</v>
      </c>
      <c r="E43" s="219">
        <v>623</v>
      </c>
      <c r="F43" s="219">
        <v>335</v>
      </c>
      <c r="G43" s="158">
        <f t="shared" si="1"/>
        <v>0</v>
      </c>
      <c r="H43" s="159">
        <f t="shared" si="1"/>
        <v>0</v>
      </c>
    </row>
    <row r="44" spans="1:9" x14ac:dyDescent="0.25">
      <c r="A44" s="215">
        <f t="shared" si="2"/>
        <v>39</v>
      </c>
      <c r="B44" s="217" t="s">
        <v>63</v>
      </c>
      <c r="C44" s="218">
        <v>1477847.09</v>
      </c>
      <c r="D44" s="219"/>
      <c r="E44" s="219">
        <v>1362304.76</v>
      </c>
      <c r="F44" s="219"/>
      <c r="G44" s="158">
        <f t="shared" si="1"/>
        <v>-115542.33000000007</v>
      </c>
      <c r="H44" s="159">
        <f t="shared" si="1"/>
        <v>0</v>
      </c>
    </row>
    <row r="45" spans="1:9" x14ac:dyDescent="0.25">
      <c r="A45" s="215">
        <f t="shared" si="2"/>
        <v>40</v>
      </c>
      <c r="B45" s="225" t="s">
        <v>585</v>
      </c>
      <c r="C45" s="218">
        <v>0</v>
      </c>
      <c r="D45" s="219"/>
      <c r="E45" s="219">
        <v>0</v>
      </c>
      <c r="F45" s="219"/>
      <c r="G45" s="158">
        <f t="shared" si="1"/>
        <v>0</v>
      </c>
      <c r="H45" s="159">
        <f t="shared" si="1"/>
        <v>0</v>
      </c>
    </row>
    <row r="46" spans="1:9" x14ac:dyDescent="0.25">
      <c r="A46" s="215">
        <f t="shared" si="2"/>
        <v>41</v>
      </c>
      <c r="B46" s="217" t="s">
        <v>64</v>
      </c>
      <c r="C46" s="219">
        <v>0</v>
      </c>
      <c r="D46" s="219"/>
      <c r="E46" s="219">
        <v>0</v>
      </c>
      <c r="F46" s="219"/>
      <c r="G46" s="158">
        <f t="shared" si="1"/>
        <v>0</v>
      </c>
      <c r="H46" s="159">
        <f t="shared" si="1"/>
        <v>0</v>
      </c>
      <c r="I46" s="222"/>
    </row>
    <row r="47" spans="1:9" x14ac:dyDescent="0.25">
      <c r="A47" s="215">
        <f t="shared" si="2"/>
        <v>42</v>
      </c>
      <c r="B47" s="217" t="s">
        <v>716</v>
      </c>
      <c r="C47" s="219">
        <v>2120</v>
      </c>
      <c r="D47" s="219"/>
      <c r="E47" s="219">
        <v>5382</v>
      </c>
      <c r="F47" s="219"/>
      <c r="G47" s="158">
        <f t="shared" si="1"/>
        <v>3262</v>
      </c>
      <c r="H47" s="159"/>
    </row>
    <row r="48" spans="1:9" ht="31.5" x14ac:dyDescent="0.25">
      <c r="A48" s="215">
        <f t="shared" si="2"/>
        <v>43</v>
      </c>
      <c r="B48" s="27" t="s">
        <v>815</v>
      </c>
      <c r="C48" s="219">
        <f>360805.48+3300203.03</f>
        <v>3661008.51</v>
      </c>
      <c r="D48" s="219">
        <f>60.01+36519.88</f>
        <v>36579.89</v>
      </c>
      <c r="E48" s="219">
        <f>249972.09+1644690.54+2618537</f>
        <v>4513199.63</v>
      </c>
      <c r="F48" s="219">
        <v>14219.58</v>
      </c>
      <c r="G48" s="158">
        <f t="shared" si="1"/>
        <v>852191.12000000011</v>
      </c>
      <c r="H48" s="159">
        <f t="shared" si="1"/>
        <v>-22360.309999999998</v>
      </c>
      <c r="I48" s="223"/>
    </row>
    <row r="49" spans="1:8" x14ac:dyDescent="0.25">
      <c r="A49" s="215">
        <f t="shared" si="2"/>
        <v>44</v>
      </c>
      <c r="B49" s="216" t="s">
        <v>232</v>
      </c>
      <c r="C49" s="219">
        <v>6330</v>
      </c>
      <c r="D49" s="219"/>
      <c r="E49" s="219">
        <v>6060</v>
      </c>
      <c r="F49" s="219"/>
      <c r="G49" s="158">
        <f t="shared" si="1"/>
        <v>-270</v>
      </c>
      <c r="H49" s="159">
        <f t="shared" si="1"/>
        <v>0</v>
      </c>
    </row>
    <row r="50" spans="1:8" x14ac:dyDescent="0.25">
      <c r="A50" s="215">
        <f t="shared" si="2"/>
        <v>45</v>
      </c>
      <c r="B50" s="216" t="s">
        <v>94</v>
      </c>
      <c r="C50" s="219"/>
      <c r="D50" s="219"/>
      <c r="E50" s="219"/>
      <c r="F50" s="219"/>
      <c r="G50" s="158">
        <f t="shared" si="1"/>
        <v>0</v>
      </c>
      <c r="H50" s="159">
        <f t="shared" si="1"/>
        <v>0</v>
      </c>
    </row>
    <row r="51" spans="1:8" x14ac:dyDescent="0.25">
      <c r="A51" s="215">
        <f t="shared" si="2"/>
        <v>46</v>
      </c>
      <c r="B51" s="216" t="s">
        <v>92</v>
      </c>
      <c r="C51" s="219"/>
      <c r="D51" s="219"/>
      <c r="E51" s="219"/>
      <c r="F51" s="219"/>
      <c r="G51" s="158">
        <f t="shared" si="1"/>
        <v>0</v>
      </c>
      <c r="H51" s="159">
        <f t="shared" si="1"/>
        <v>0</v>
      </c>
    </row>
    <row r="52" spans="1:8" x14ac:dyDescent="0.25">
      <c r="A52" s="215">
        <f t="shared" si="2"/>
        <v>47</v>
      </c>
      <c r="B52" s="216" t="s">
        <v>216</v>
      </c>
      <c r="C52" s="219"/>
      <c r="D52" s="219">
        <v>312.5</v>
      </c>
      <c r="E52" s="219"/>
      <c r="F52" s="219"/>
      <c r="G52" s="158">
        <f t="shared" si="1"/>
        <v>0</v>
      </c>
      <c r="H52" s="159">
        <f t="shared" si="1"/>
        <v>-312.5</v>
      </c>
    </row>
    <row r="53" spans="1:8" x14ac:dyDescent="0.25">
      <c r="A53" s="215">
        <f t="shared" si="2"/>
        <v>48</v>
      </c>
      <c r="B53" s="216" t="s">
        <v>165</v>
      </c>
      <c r="C53" s="219"/>
      <c r="D53" s="219"/>
      <c r="E53" s="219"/>
      <c r="F53" s="219"/>
      <c r="G53" s="158">
        <f t="shared" si="1"/>
        <v>0</v>
      </c>
      <c r="H53" s="159">
        <f t="shared" si="1"/>
        <v>0</v>
      </c>
    </row>
    <row r="54" spans="1:8" ht="18.75" x14ac:dyDescent="0.25">
      <c r="A54" s="215">
        <f t="shared" si="2"/>
        <v>49</v>
      </c>
      <c r="B54" s="216" t="s">
        <v>825</v>
      </c>
      <c r="C54" s="166">
        <f>SUM(C55:C59)</f>
        <v>49231.98</v>
      </c>
      <c r="D54" s="166">
        <f t="shared" ref="D54:F54" si="12">SUM(D55:D59)</f>
        <v>7497.54</v>
      </c>
      <c r="E54" s="166">
        <f t="shared" si="12"/>
        <v>34413.96</v>
      </c>
      <c r="F54" s="166">
        <f t="shared" si="12"/>
        <v>43847.32</v>
      </c>
      <c r="G54" s="158">
        <f t="shared" si="1"/>
        <v>-14818.020000000004</v>
      </c>
      <c r="H54" s="159">
        <f t="shared" si="1"/>
        <v>36349.78</v>
      </c>
    </row>
    <row r="55" spans="1:8" x14ac:dyDescent="0.25">
      <c r="A55" s="215">
        <f t="shared" si="2"/>
        <v>50</v>
      </c>
      <c r="B55" s="217" t="s">
        <v>158</v>
      </c>
      <c r="C55" s="219">
        <v>440</v>
      </c>
      <c r="D55" s="226">
        <v>7497.54</v>
      </c>
      <c r="E55" s="219">
        <v>0</v>
      </c>
      <c r="F55" s="226">
        <v>43847.32</v>
      </c>
      <c r="G55" s="158">
        <f t="shared" si="1"/>
        <v>-440</v>
      </c>
      <c r="H55" s="159" t="s">
        <v>207</v>
      </c>
    </row>
    <row r="56" spans="1:8" x14ac:dyDescent="0.25">
      <c r="A56" s="215">
        <f t="shared" si="2"/>
        <v>51</v>
      </c>
      <c r="B56" s="217" t="s">
        <v>65</v>
      </c>
      <c r="C56" s="219">
        <v>38831.94</v>
      </c>
      <c r="D56" s="218"/>
      <c r="E56" s="219">
        <v>34413.96</v>
      </c>
      <c r="F56" s="226" t="s">
        <v>207</v>
      </c>
      <c r="G56" s="158">
        <f t="shared" si="1"/>
        <v>-4417.9800000000032</v>
      </c>
      <c r="H56" s="159" t="s">
        <v>207</v>
      </c>
    </row>
    <row r="57" spans="1:8" ht="31.5" x14ac:dyDescent="0.25">
      <c r="A57" s="215">
        <f t="shared" si="2"/>
        <v>52</v>
      </c>
      <c r="B57" s="217" t="s">
        <v>618</v>
      </c>
      <c r="C57" s="219">
        <v>9960.0400000000009</v>
      </c>
      <c r="D57" s="226" t="s">
        <v>207</v>
      </c>
      <c r="E57" s="219"/>
      <c r="F57" s="226" t="s">
        <v>207</v>
      </c>
      <c r="G57" s="158">
        <f t="shared" si="1"/>
        <v>-9960.0400000000009</v>
      </c>
      <c r="H57" s="159" t="s">
        <v>207</v>
      </c>
    </row>
    <row r="58" spans="1:8" ht="18.75" x14ac:dyDescent="0.25">
      <c r="A58" s="215">
        <f t="shared" si="2"/>
        <v>53</v>
      </c>
      <c r="B58" s="217" t="s">
        <v>826</v>
      </c>
      <c r="C58" s="219"/>
      <c r="D58" s="226" t="s">
        <v>207</v>
      </c>
      <c r="E58" s="219"/>
      <c r="F58" s="226" t="s">
        <v>207</v>
      </c>
      <c r="G58" s="158">
        <f>E58-C57</f>
        <v>-9960.0400000000009</v>
      </c>
      <c r="H58" s="159" t="s">
        <v>207</v>
      </c>
    </row>
    <row r="59" spans="1:8" x14ac:dyDescent="0.25">
      <c r="A59" s="215">
        <f t="shared" si="2"/>
        <v>54</v>
      </c>
      <c r="B59" s="217" t="s">
        <v>616</v>
      </c>
      <c r="C59" s="219"/>
      <c r="D59" s="226" t="s">
        <v>207</v>
      </c>
      <c r="E59" s="219"/>
      <c r="F59" s="226" t="s">
        <v>207</v>
      </c>
      <c r="G59" s="158">
        <f t="shared" si="1"/>
        <v>0</v>
      </c>
      <c r="H59" s="159" t="s">
        <v>207</v>
      </c>
    </row>
    <row r="60" spans="1:8" x14ac:dyDescent="0.25">
      <c r="A60" s="215">
        <f t="shared" si="2"/>
        <v>55</v>
      </c>
      <c r="B60" s="216" t="s">
        <v>233</v>
      </c>
      <c r="C60" s="219"/>
      <c r="D60" s="219"/>
      <c r="E60" s="219"/>
      <c r="F60" s="219"/>
      <c r="G60" s="158">
        <f t="shared" si="1"/>
        <v>0</v>
      </c>
      <c r="H60" s="159">
        <f t="shared" si="1"/>
        <v>0</v>
      </c>
    </row>
    <row r="61" spans="1:8" x14ac:dyDescent="0.25">
      <c r="A61" s="215">
        <f t="shared" si="2"/>
        <v>56</v>
      </c>
      <c r="B61" s="216" t="s">
        <v>93</v>
      </c>
      <c r="C61" s="219">
        <v>1661.22</v>
      </c>
      <c r="D61" s="219">
        <v>135383.59</v>
      </c>
      <c r="E61" s="219">
        <v>1428.82</v>
      </c>
      <c r="F61" s="219">
        <v>117485.14</v>
      </c>
      <c r="G61" s="158">
        <f t="shared" si="1"/>
        <v>-232.40000000000009</v>
      </c>
      <c r="H61" s="159">
        <f t="shared" si="1"/>
        <v>-17898.449999999997</v>
      </c>
    </row>
    <row r="62" spans="1:8" x14ac:dyDescent="0.25">
      <c r="A62" s="215">
        <f t="shared" si="2"/>
        <v>57</v>
      </c>
      <c r="B62" s="227" t="s">
        <v>95</v>
      </c>
      <c r="C62" s="219">
        <v>2479.88</v>
      </c>
      <c r="D62" s="219"/>
      <c r="E62" s="219">
        <v>6702.94</v>
      </c>
      <c r="F62" s="219"/>
      <c r="G62" s="158">
        <f t="shared" si="1"/>
        <v>4223.0599999999995</v>
      </c>
      <c r="H62" s="159">
        <f t="shared" si="1"/>
        <v>0</v>
      </c>
    </row>
    <row r="63" spans="1:8" x14ac:dyDescent="0.25">
      <c r="A63" s="215">
        <f t="shared" si="2"/>
        <v>58</v>
      </c>
      <c r="B63" s="227" t="s">
        <v>827</v>
      </c>
      <c r="C63" s="219"/>
      <c r="D63" s="219"/>
      <c r="E63" s="219"/>
      <c r="F63" s="219"/>
      <c r="G63" s="158">
        <f t="shared" ref="G63" si="13">E63-C63</f>
        <v>0</v>
      </c>
      <c r="H63" s="159">
        <f t="shared" ref="H63" si="14">F63-D63</f>
        <v>0</v>
      </c>
    </row>
    <row r="64" spans="1:8" x14ac:dyDescent="0.25">
      <c r="A64" s="215">
        <f t="shared" si="2"/>
        <v>59</v>
      </c>
      <c r="B64" s="227" t="s">
        <v>699</v>
      </c>
      <c r="C64" s="219"/>
      <c r="D64" s="219"/>
      <c r="E64" s="219"/>
      <c r="F64" s="219"/>
      <c r="G64" s="158">
        <f>E64-C64</f>
        <v>0</v>
      </c>
      <c r="H64" s="159">
        <f t="shared" si="1"/>
        <v>0</v>
      </c>
    </row>
    <row r="65" spans="1:10" x14ac:dyDescent="0.25">
      <c r="A65" s="215">
        <f t="shared" si="2"/>
        <v>60</v>
      </c>
      <c r="B65" s="216" t="s">
        <v>717</v>
      </c>
      <c r="C65" s="226"/>
      <c r="D65" s="226"/>
      <c r="E65" s="226"/>
      <c r="F65" s="226"/>
      <c r="G65" s="158">
        <f>E65-C65</f>
        <v>0</v>
      </c>
      <c r="H65" s="159">
        <f t="shared" ref="H65" si="15">F65-D65</f>
        <v>0</v>
      </c>
    </row>
    <row r="66" spans="1:10" x14ac:dyDescent="0.25">
      <c r="A66" s="215">
        <f t="shared" si="2"/>
        <v>61</v>
      </c>
      <c r="B66" s="216" t="s">
        <v>96</v>
      </c>
      <c r="C66" s="219">
        <v>36038355.719999999</v>
      </c>
      <c r="D66" s="219"/>
      <c r="E66" s="219">
        <v>38135993.560000002</v>
      </c>
      <c r="F66" s="219"/>
      <c r="G66" s="158">
        <f t="shared" si="1"/>
        <v>2097637.8400000036</v>
      </c>
      <c r="H66" s="159">
        <f t="shared" si="1"/>
        <v>0</v>
      </c>
    </row>
    <row r="67" spans="1:10" x14ac:dyDescent="0.25">
      <c r="A67" s="215">
        <f t="shared" si="2"/>
        <v>62</v>
      </c>
      <c r="B67" s="228" t="s">
        <v>198</v>
      </c>
      <c r="C67" s="229"/>
      <c r="D67" s="229"/>
      <c r="E67" s="229"/>
      <c r="F67" s="229"/>
      <c r="G67" s="158">
        <f t="shared" si="1"/>
        <v>0</v>
      </c>
      <c r="H67" s="159">
        <f t="shared" si="1"/>
        <v>0</v>
      </c>
    </row>
    <row r="68" spans="1:10" x14ac:dyDescent="0.25">
      <c r="A68" s="215">
        <f t="shared" si="2"/>
        <v>63</v>
      </c>
      <c r="B68" s="228" t="s">
        <v>103</v>
      </c>
      <c r="C68" s="229">
        <v>513833.26</v>
      </c>
      <c r="D68" s="229"/>
      <c r="E68" s="229">
        <v>462494.82</v>
      </c>
      <c r="F68" s="229"/>
      <c r="G68" s="158">
        <f t="shared" si="1"/>
        <v>-51338.44</v>
      </c>
      <c r="H68" s="159">
        <f t="shared" si="1"/>
        <v>0</v>
      </c>
    </row>
    <row r="69" spans="1:10" s="230" customFormat="1" ht="45" thickBot="1" x14ac:dyDescent="0.3">
      <c r="A69" s="215">
        <f t="shared" si="2"/>
        <v>64</v>
      </c>
      <c r="B69" s="113" t="s">
        <v>828</v>
      </c>
      <c r="C69" s="96">
        <f>C6+C11+C16+C17+C18+C19+C20+C21+C24+C25+C30+C37+C49+C50+C51+C52+C53+C54+C60+C61+C62+C63+C64+C65+C66</f>
        <v>52517345.269999996</v>
      </c>
      <c r="D69" s="96">
        <f t="shared" ref="D69:F69" si="16">D6+D11+D16+D17+D18+D19+D20+D21+D24+D25+D30+D37+D49+D50+D51+D52+D53+D54+D60+D61+D62+D63+D64+D65+D66</f>
        <v>2009031.35</v>
      </c>
      <c r="E69" s="96">
        <f t="shared" si="16"/>
        <v>56442095.930000007</v>
      </c>
      <c r="F69" s="96">
        <f t="shared" si="16"/>
        <v>1536176.27</v>
      </c>
      <c r="G69" s="167">
        <f t="shared" si="1"/>
        <v>3924750.6600000113</v>
      </c>
      <c r="H69" s="168">
        <f t="shared" si="1"/>
        <v>-472855.08000000007</v>
      </c>
      <c r="I69" s="170"/>
      <c r="J69" s="170"/>
    </row>
    <row r="70" spans="1:10" ht="21" customHeight="1" x14ac:dyDescent="0.25">
      <c r="B70" s="231"/>
      <c r="C70" s="232"/>
      <c r="D70" s="233"/>
      <c r="E70" s="233"/>
      <c r="F70" s="233"/>
      <c r="G70" s="231"/>
      <c r="H70" s="231"/>
    </row>
    <row r="72" spans="1:10" x14ac:dyDescent="0.25">
      <c r="D72" s="236"/>
    </row>
    <row r="73" spans="1:10" ht="18.75" customHeight="1" x14ac:dyDescent="0.25"/>
  </sheetData>
  <mergeCells count="7">
    <mergeCell ref="A1:H1"/>
    <mergeCell ref="A2:H2"/>
    <mergeCell ref="A3:A4"/>
    <mergeCell ref="B3:B4"/>
    <mergeCell ref="C3:D3"/>
    <mergeCell ref="E3:F3"/>
    <mergeCell ref="G3:H3"/>
  </mergeCells>
  <printOptions gridLines="1"/>
  <pageMargins left="0.51181102362204722" right="0.31496062992125984" top="0.43307086614173229" bottom="0.47244094488188981" header="0.39370078740157483" footer="0.23622047244094491"/>
  <pageSetup paperSize="9" scale="53" orientation="portrait" r:id="rId1"/>
  <headerFooter alignWithMargins="0">
    <oddFooter>&amp;C&amp;P z &amp;N</oddFooter>
  </headerFooter>
  <rowBreaks count="1" manualBreakCount="1">
    <brk id="4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8"/>
  <sheetViews>
    <sheetView zoomScaleNormal="100" workbookViewId="0">
      <selection activeCell="C13" sqref="C13"/>
    </sheetView>
  </sheetViews>
  <sheetFormatPr defaultRowHeight="15.75" x14ac:dyDescent="0.25"/>
  <cols>
    <col min="1" max="1" width="7.85546875" style="155" customWidth="1"/>
    <col min="2" max="2" width="89" style="186" customWidth="1"/>
    <col min="3" max="3" width="16.85546875" style="9" customWidth="1"/>
    <col min="4" max="4" width="17.28515625" style="9" customWidth="1"/>
    <col min="5" max="5" width="10" style="9" customWidth="1"/>
    <col min="6" max="9" width="9.140625" style="9"/>
    <col min="10" max="10" width="37" style="9" customWidth="1"/>
    <col min="11" max="16384" width="9.140625" style="9"/>
  </cols>
  <sheetData>
    <row r="1" spans="1:10" ht="45.75" customHeight="1" thickBot="1" x14ac:dyDescent="0.3">
      <c r="A1" s="472" t="s">
        <v>643</v>
      </c>
      <c r="B1" s="473"/>
      <c r="C1" s="473"/>
      <c r="D1" s="474"/>
    </row>
    <row r="2" spans="1:10" ht="37.5" customHeight="1" x14ac:dyDescent="0.25">
      <c r="A2" s="469" t="s">
        <v>723</v>
      </c>
      <c r="B2" s="470"/>
      <c r="C2" s="470"/>
      <c r="D2" s="471"/>
    </row>
    <row r="3" spans="1:10" s="139" customFormat="1" ht="31.5" x14ac:dyDescent="0.25">
      <c r="A3" s="32" t="s">
        <v>137</v>
      </c>
      <c r="B3" s="118" t="s">
        <v>220</v>
      </c>
      <c r="C3" s="121">
        <v>2015</v>
      </c>
      <c r="D3" s="120">
        <v>2016</v>
      </c>
    </row>
    <row r="4" spans="1:10" s="139" customFormat="1" x14ac:dyDescent="0.25">
      <c r="A4" s="32"/>
      <c r="B4" s="118"/>
      <c r="C4" s="121" t="s">
        <v>184</v>
      </c>
      <c r="D4" s="120" t="s">
        <v>185</v>
      </c>
      <c r="F4" s="170"/>
    </row>
    <row r="5" spans="1:10" x14ac:dyDescent="0.25">
      <c r="A5" s="50">
        <v>1</v>
      </c>
      <c r="B5" s="65" t="s">
        <v>718</v>
      </c>
      <c r="C5" s="128">
        <f>+SUM(C6:C10)</f>
        <v>9268357.2899999991</v>
      </c>
      <c r="D5" s="171">
        <f>+SUM(D6:D10)</f>
        <v>10807697.720000001</v>
      </c>
      <c r="E5" s="139"/>
      <c r="F5" s="172"/>
      <c r="G5" s="173"/>
      <c r="H5" s="173"/>
    </row>
    <row r="6" spans="1:10" x14ac:dyDescent="0.25">
      <c r="A6" s="50">
        <v>2</v>
      </c>
      <c r="B6" s="64" t="s">
        <v>628</v>
      </c>
      <c r="C6" s="174">
        <v>600</v>
      </c>
      <c r="D6" s="174">
        <v>0</v>
      </c>
      <c r="E6" s="82"/>
      <c r="F6" s="139"/>
      <c r="G6" s="173"/>
      <c r="J6" s="81"/>
    </row>
    <row r="7" spans="1:10" x14ac:dyDescent="0.25">
      <c r="A7" s="50">
        <v>3</v>
      </c>
      <c r="B7" s="64" t="s">
        <v>613</v>
      </c>
      <c r="C7" s="175">
        <v>198331.67</v>
      </c>
      <c r="D7" s="175">
        <v>228352.5</v>
      </c>
      <c r="G7" s="173"/>
    </row>
    <row r="8" spans="1:10" x14ac:dyDescent="0.25">
      <c r="A8" s="50">
        <v>4</v>
      </c>
      <c r="B8" s="64" t="s">
        <v>627</v>
      </c>
      <c r="C8" s="175">
        <v>8713814.0099999998</v>
      </c>
      <c r="D8" s="175">
        <v>10287485</v>
      </c>
      <c r="G8" s="173"/>
    </row>
    <row r="9" spans="1:10" x14ac:dyDescent="0.25">
      <c r="A9" s="50">
        <v>5</v>
      </c>
      <c r="B9" s="64" t="s">
        <v>614</v>
      </c>
      <c r="C9" s="175">
        <v>355611.61</v>
      </c>
      <c r="D9" s="175">
        <v>291860.21999999997</v>
      </c>
      <c r="G9" s="173"/>
    </row>
    <row r="10" spans="1:10" ht="18.75" x14ac:dyDescent="0.25">
      <c r="A10" s="50">
        <v>6</v>
      </c>
      <c r="B10" s="64" t="s">
        <v>621</v>
      </c>
      <c r="C10" s="176"/>
      <c r="D10" s="175"/>
      <c r="G10" s="173"/>
    </row>
    <row r="11" spans="1:10" x14ac:dyDescent="0.25">
      <c r="A11" s="50">
        <v>7</v>
      </c>
      <c r="B11" s="11" t="s">
        <v>608</v>
      </c>
      <c r="C11" s="157">
        <f>SUM(C12:C17)</f>
        <v>421609.06</v>
      </c>
      <c r="D11" s="177">
        <f>SUM(D12:D17)</f>
        <v>341929.42</v>
      </c>
    </row>
    <row r="12" spans="1:10" x14ac:dyDescent="0.25">
      <c r="A12" s="50">
        <v>8</v>
      </c>
      <c r="B12" s="10" t="s">
        <v>580</v>
      </c>
      <c r="C12" s="174">
        <v>251324.64</v>
      </c>
      <c r="D12" s="174">
        <v>243760.5</v>
      </c>
    </row>
    <row r="13" spans="1:10" x14ac:dyDescent="0.25">
      <c r="A13" s="50">
        <v>9</v>
      </c>
      <c r="B13" s="10" t="s">
        <v>581</v>
      </c>
      <c r="C13" s="174">
        <v>118210.92</v>
      </c>
      <c r="D13" s="174">
        <v>47395.09</v>
      </c>
    </row>
    <row r="14" spans="1:10" x14ac:dyDescent="0.25">
      <c r="A14" s="50">
        <v>10</v>
      </c>
      <c r="B14" s="10" t="s">
        <v>582</v>
      </c>
      <c r="C14" s="174">
        <v>34272</v>
      </c>
      <c r="D14" s="174">
        <v>29804</v>
      </c>
      <c r="E14" s="81"/>
    </row>
    <row r="15" spans="1:10" x14ac:dyDescent="0.25">
      <c r="A15" s="50">
        <v>11</v>
      </c>
      <c r="B15" s="10" t="s">
        <v>787</v>
      </c>
      <c r="C15" s="174">
        <v>14567.5</v>
      </c>
      <c r="D15" s="174">
        <v>20969.830000000002</v>
      </c>
      <c r="E15" s="81"/>
    </row>
    <row r="16" spans="1:10" ht="31.5" x14ac:dyDescent="0.25">
      <c r="A16" s="50">
        <v>12</v>
      </c>
      <c r="B16" s="10" t="s">
        <v>619</v>
      </c>
      <c r="C16" s="174">
        <v>0</v>
      </c>
      <c r="D16" s="174">
        <v>0</v>
      </c>
      <c r="F16" s="154"/>
      <c r="G16" s="154"/>
      <c r="H16" s="154"/>
      <c r="J16" s="178"/>
    </row>
    <row r="17" spans="1:10" x14ac:dyDescent="0.25">
      <c r="A17" s="50">
        <v>13</v>
      </c>
      <c r="B17" s="10" t="s">
        <v>620</v>
      </c>
      <c r="C17" s="174">
        <v>3234</v>
      </c>
      <c r="D17" s="174">
        <v>0</v>
      </c>
      <c r="F17" s="154"/>
      <c r="G17" s="154"/>
      <c r="H17" s="154"/>
      <c r="J17" s="178"/>
    </row>
    <row r="18" spans="1:10" x14ac:dyDescent="0.25">
      <c r="A18" s="50">
        <v>14</v>
      </c>
      <c r="B18" s="11" t="s">
        <v>161</v>
      </c>
      <c r="C18" s="157">
        <f>(C6+C7)*0.2</f>
        <v>39786.334000000003</v>
      </c>
      <c r="D18" s="177">
        <f>(D6+D7)*0.2</f>
        <v>45670.5</v>
      </c>
    </row>
    <row r="19" spans="1:10" ht="16.5" thickBot="1" x14ac:dyDescent="0.3">
      <c r="A19" s="30">
        <v>15</v>
      </c>
      <c r="B19" s="12" t="s">
        <v>226</v>
      </c>
      <c r="C19" s="179">
        <v>46922.6</v>
      </c>
      <c r="D19" s="180">
        <v>48967.9</v>
      </c>
      <c r="E19" s="181"/>
    </row>
    <row r="20" spans="1:10" x14ac:dyDescent="0.25">
      <c r="B20" s="182"/>
    </row>
    <row r="21" spans="1:10" x14ac:dyDescent="0.25">
      <c r="A21" s="183"/>
      <c r="B21" s="184"/>
    </row>
    <row r="22" spans="1:10" x14ac:dyDescent="0.25">
      <c r="B22" s="185"/>
    </row>
    <row r="23" spans="1:10" x14ac:dyDescent="0.25">
      <c r="B23" s="185"/>
    </row>
    <row r="24" spans="1:10" x14ac:dyDescent="0.25">
      <c r="B24" s="182"/>
    </row>
    <row r="25" spans="1:10" x14ac:dyDescent="0.25">
      <c r="B25" s="182"/>
    </row>
    <row r="26" spans="1:10" x14ac:dyDescent="0.25">
      <c r="B26" s="182"/>
    </row>
    <row r="27" spans="1:10" x14ac:dyDescent="0.25">
      <c r="B27" s="182"/>
    </row>
    <row r="28" spans="1:10" x14ac:dyDescent="0.25">
      <c r="B28" s="182"/>
    </row>
  </sheetData>
  <mergeCells count="2">
    <mergeCell ref="A1:D1"/>
    <mergeCell ref="A2:D2"/>
  </mergeCells>
  <pageMargins left="0.70866141732283472" right="0.2" top="0.74803149606299213" bottom="0.74803149606299213" header="0.31496062992125984" footer="0.31496062992125984"/>
  <pageSetup paperSize="9" scale="9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K991"/>
  <sheetViews>
    <sheetView zoomScaleNormal="100" zoomScaleSheetLayoutView="80" workbookViewId="0">
      <pane xSplit="2" ySplit="5" topLeftCell="C45" activePane="bottomRight" state="frozen"/>
      <selection pane="topRight" activeCell="C1" sqref="C1"/>
      <selection pane="bottomLeft" activeCell="A6" sqref="A6"/>
      <selection pane="bottomRight" activeCell="G58" sqref="G58"/>
    </sheetView>
  </sheetViews>
  <sheetFormatPr defaultRowHeight="15.75" x14ac:dyDescent="0.25"/>
  <cols>
    <col min="1" max="1" width="8.42578125" style="155" customWidth="1"/>
    <col min="2" max="2" width="74.140625" style="193" customWidth="1"/>
    <col min="3" max="3" width="18" style="9" customWidth="1"/>
    <col min="4" max="7" width="17" style="9" customWidth="1"/>
    <col min="8" max="8" width="18" style="9" customWidth="1"/>
    <col min="9" max="9" width="27.28515625" style="9" customWidth="1"/>
    <col min="10" max="10" width="11.28515625" style="9" bestFit="1" customWidth="1"/>
    <col min="11" max="11" width="14.28515625" style="9" bestFit="1" customWidth="1"/>
    <col min="12" max="16384" width="9.140625" style="9"/>
  </cols>
  <sheetData>
    <row r="1" spans="1:8" ht="35.1" customHeight="1" thickBot="1" x14ac:dyDescent="0.3">
      <c r="A1" s="487" t="s">
        <v>644</v>
      </c>
      <c r="B1" s="488"/>
      <c r="C1" s="488"/>
      <c r="D1" s="488"/>
      <c r="E1" s="488"/>
      <c r="F1" s="488"/>
      <c r="G1" s="488"/>
      <c r="H1" s="489"/>
    </row>
    <row r="2" spans="1:8" ht="32.450000000000003" customHeight="1" x14ac:dyDescent="0.25">
      <c r="A2" s="469" t="s">
        <v>724</v>
      </c>
      <c r="B2" s="470"/>
      <c r="C2" s="470"/>
      <c r="D2" s="470"/>
      <c r="E2" s="470"/>
      <c r="F2" s="470"/>
      <c r="G2" s="470"/>
      <c r="H2" s="471"/>
    </row>
    <row r="3" spans="1:8" s="139" customFormat="1" ht="31.5" customHeight="1" x14ac:dyDescent="0.25">
      <c r="A3" s="490" t="s">
        <v>137</v>
      </c>
      <c r="B3" s="491" t="s">
        <v>220</v>
      </c>
      <c r="C3" s="493">
        <v>2015</v>
      </c>
      <c r="D3" s="493"/>
      <c r="E3" s="493">
        <v>2016</v>
      </c>
      <c r="F3" s="493"/>
      <c r="G3" s="494" t="s">
        <v>642</v>
      </c>
      <c r="H3" s="495"/>
    </row>
    <row r="4" spans="1:8" ht="31.5" customHeight="1" x14ac:dyDescent="0.25">
      <c r="A4" s="490"/>
      <c r="B4" s="492"/>
      <c r="C4" s="121" t="s">
        <v>221</v>
      </c>
      <c r="D4" s="121" t="s">
        <v>222</v>
      </c>
      <c r="E4" s="123" t="s">
        <v>221</v>
      </c>
      <c r="F4" s="121" t="s">
        <v>222</v>
      </c>
      <c r="G4" s="121" t="s">
        <v>221</v>
      </c>
      <c r="H4" s="122" t="s">
        <v>222</v>
      </c>
    </row>
    <row r="5" spans="1:8" x14ac:dyDescent="0.25">
      <c r="A5" s="50"/>
      <c r="B5" s="237"/>
      <c r="C5" s="4" t="s">
        <v>184</v>
      </c>
      <c r="D5" s="4" t="s">
        <v>185</v>
      </c>
      <c r="E5" s="4" t="s">
        <v>186</v>
      </c>
      <c r="F5" s="4" t="s">
        <v>192</v>
      </c>
      <c r="G5" s="4" t="s">
        <v>23</v>
      </c>
      <c r="H5" s="14" t="s">
        <v>24</v>
      </c>
    </row>
    <row r="6" spans="1:8" x14ac:dyDescent="0.25">
      <c r="A6" s="50">
        <v>1</v>
      </c>
      <c r="B6" s="68" t="s">
        <v>829</v>
      </c>
      <c r="C6" s="157">
        <f>SUM(C7:C18)</f>
        <v>2452067.1400000006</v>
      </c>
      <c r="D6" s="157">
        <f>SUM(D7:D18)</f>
        <v>366106.44</v>
      </c>
      <c r="E6" s="157">
        <f>SUM(E7:E18)</f>
        <v>2121488.21</v>
      </c>
      <c r="F6" s="157">
        <f>SUM(F7:F18)</f>
        <v>352811.49000000005</v>
      </c>
      <c r="G6" s="141">
        <f>E6-C6</f>
        <v>-330578.93000000063</v>
      </c>
      <c r="H6" s="142">
        <f>F6-D6</f>
        <v>-13294.949999999953</v>
      </c>
    </row>
    <row r="7" spans="1:8" ht="17.25" customHeight="1" x14ac:dyDescent="0.25">
      <c r="A7" s="50">
        <f>A6+1</f>
        <v>2</v>
      </c>
      <c r="B7" s="67" t="s">
        <v>586</v>
      </c>
      <c r="C7" s="114">
        <f>252344.34-140.25</f>
        <v>252204.09</v>
      </c>
      <c r="D7" s="114">
        <v>4930.3999999999996</v>
      </c>
      <c r="E7" s="114">
        <v>154692.44</v>
      </c>
      <c r="F7" s="114">
        <v>3655.73</v>
      </c>
      <c r="G7" s="145">
        <f>E7-C7</f>
        <v>-97511.65</v>
      </c>
      <c r="H7" s="187">
        <f>F7-D7</f>
        <v>-1274.6699999999996</v>
      </c>
    </row>
    <row r="8" spans="1:8" ht="30.6" customHeight="1" x14ac:dyDescent="0.25">
      <c r="A8" s="50">
        <f t="shared" ref="A8:A71" si="0">A7+1</f>
        <v>3</v>
      </c>
      <c r="B8" s="238" t="s">
        <v>706</v>
      </c>
      <c r="C8" s="114">
        <v>882676.98</v>
      </c>
      <c r="D8" s="114">
        <v>389.68</v>
      </c>
      <c r="E8" s="114">
        <v>550784.91</v>
      </c>
      <c r="F8" s="114">
        <v>97.27</v>
      </c>
      <c r="G8" s="145">
        <f t="shared" ref="G8:H71" si="1">E8-C8</f>
        <v>-331892.06999999995</v>
      </c>
      <c r="H8" s="187">
        <f t="shared" si="1"/>
        <v>-292.41000000000003</v>
      </c>
    </row>
    <row r="9" spans="1:8" x14ac:dyDescent="0.25">
      <c r="A9" s="50">
        <f t="shared" si="0"/>
        <v>4</v>
      </c>
      <c r="B9" s="67" t="s">
        <v>587</v>
      </c>
      <c r="C9" s="114">
        <v>202718.1</v>
      </c>
      <c r="D9" s="114">
        <v>8927.5300000000007</v>
      </c>
      <c r="E9" s="114">
        <v>154894.25</v>
      </c>
      <c r="F9" s="114">
        <v>4000.02</v>
      </c>
      <c r="G9" s="145">
        <f t="shared" si="1"/>
        <v>-47823.850000000006</v>
      </c>
      <c r="H9" s="187">
        <f t="shared" si="1"/>
        <v>-4927.51</v>
      </c>
    </row>
    <row r="10" spans="1:8" x14ac:dyDescent="0.25">
      <c r="A10" s="50">
        <f t="shared" si="0"/>
        <v>5</v>
      </c>
      <c r="B10" s="67" t="s">
        <v>588</v>
      </c>
      <c r="C10" s="114">
        <v>21016.09</v>
      </c>
      <c r="D10" s="114">
        <v>4390.76</v>
      </c>
      <c r="E10" s="114">
        <v>10686.6</v>
      </c>
      <c r="F10" s="114">
        <v>226.29</v>
      </c>
      <c r="G10" s="145">
        <f t="shared" si="1"/>
        <v>-10329.49</v>
      </c>
      <c r="H10" s="187">
        <f t="shared" si="1"/>
        <v>-4164.47</v>
      </c>
    </row>
    <row r="11" spans="1:8" x14ac:dyDescent="0.25">
      <c r="A11" s="50">
        <f t="shared" si="0"/>
        <v>6</v>
      </c>
      <c r="B11" s="67" t="s">
        <v>589</v>
      </c>
      <c r="C11" s="114">
        <v>34181.300000000003</v>
      </c>
      <c r="D11" s="114">
        <v>3184.17</v>
      </c>
      <c r="E11" s="114">
        <v>25454.69</v>
      </c>
      <c r="F11" s="114">
        <v>5286.18</v>
      </c>
      <c r="G11" s="145">
        <f t="shared" si="1"/>
        <v>-8726.6100000000042</v>
      </c>
      <c r="H11" s="187">
        <f t="shared" si="1"/>
        <v>2102.0100000000002</v>
      </c>
    </row>
    <row r="12" spans="1:8" x14ac:dyDescent="0.25">
      <c r="A12" s="50">
        <f t="shared" si="0"/>
        <v>7</v>
      </c>
      <c r="B12" s="67" t="s">
        <v>590</v>
      </c>
      <c r="C12" s="114">
        <v>54163.07</v>
      </c>
      <c r="D12" s="114">
        <v>25114.58</v>
      </c>
      <c r="E12" s="114">
        <v>50879.839999999997</v>
      </c>
      <c r="F12" s="114">
        <v>19485.18</v>
      </c>
      <c r="G12" s="145">
        <f t="shared" si="1"/>
        <v>-3283.2300000000032</v>
      </c>
      <c r="H12" s="187">
        <f t="shared" si="1"/>
        <v>-5629.4000000000015</v>
      </c>
    </row>
    <row r="13" spans="1:8" ht="31.5" x14ac:dyDescent="0.25">
      <c r="A13" s="50">
        <f t="shared" si="0"/>
        <v>8</v>
      </c>
      <c r="B13" s="67" t="s">
        <v>66</v>
      </c>
      <c r="C13" s="114">
        <v>91482.16</v>
      </c>
      <c r="D13" s="114">
        <v>6325.02</v>
      </c>
      <c r="E13" s="114">
        <v>105509.24</v>
      </c>
      <c r="F13" s="114">
        <v>3536.39</v>
      </c>
      <c r="G13" s="145">
        <f t="shared" si="1"/>
        <v>14027.080000000002</v>
      </c>
      <c r="H13" s="187">
        <f t="shared" si="1"/>
        <v>-2788.6300000000006</v>
      </c>
    </row>
    <row r="14" spans="1:8" x14ac:dyDescent="0.25">
      <c r="A14" s="50">
        <f t="shared" si="0"/>
        <v>9</v>
      </c>
      <c r="B14" s="67" t="s">
        <v>67</v>
      </c>
      <c r="C14" s="114">
        <v>171638.84</v>
      </c>
      <c r="D14" s="114">
        <v>237640.74</v>
      </c>
      <c r="E14" s="114">
        <v>154328.35</v>
      </c>
      <c r="F14" s="114">
        <v>264781.82</v>
      </c>
      <c r="G14" s="145">
        <f t="shared" si="1"/>
        <v>-17310.489999999991</v>
      </c>
      <c r="H14" s="187">
        <f t="shared" si="1"/>
        <v>27141.080000000016</v>
      </c>
    </row>
    <row r="15" spans="1:8" x14ac:dyDescent="0.25">
      <c r="A15" s="50">
        <f t="shared" si="0"/>
        <v>10</v>
      </c>
      <c r="B15" s="10" t="s">
        <v>68</v>
      </c>
      <c r="C15" s="114">
        <v>324200.01</v>
      </c>
      <c r="D15" s="114">
        <v>20232.73</v>
      </c>
      <c r="E15" s="114">
        <v>307442.93</v>
      </c>
      <c r="F15" s="114">
        <v>7157.51</v>
      </c>
      <c r="G15" s="145">
        <f t="shared" si="1"/>
        <v>-16757.080000000016</v>
      </c>
      <c r="H15" s="187">
        <f t="shared" si="1"/>
        <v>-13075.22</v>
      </c>
    </row>
    <row r="16" spans="1:8" ht="16.149999999999999" customHeight="1" x14ac:dyDescent="0.25">
      <c r="A16" s="50">
        <f t="shared" si="0"/>
        <v>11</v>
      </c>
      <c r="B16" s="67" t="s">
        <v>69</v>
      </c>
      <c r="C16" s="114">
        <v>25907.38</v>
      </c>
      <c r="D16" s="114">
        <v>20908.5</v>
      </c>
      <c r="E16" s="114">
        <v>268334.86</v>
      </c>
      <c r="F16" s="114">
        <v>1332.27</v>
      </c>
      <c r="G16" s="145">
        <f t="shared" si="1"/>
        <v>242427.47999999998</v>
      </c>
      <c r="H16" s="187">
        <f t="shared" si="1"/>
        <v>-19576.23</v>
      </c>
    </row>
    <row r="17" spans="1:8" x14ac:dyDescent="0.25">
      <c r="A17" s="50">
        <f t="shared" si="0"/>
        <v>12</v>
      </c>
      <c r="B17" s="10" t="s">
        <v>554</v>
      </c>
      <c r="C17" s="114">
        <f>238313.44+105827.44</f>
        <v>344140.88</v>
      </c>
      <c r="D17" s="114">
        <v>28248.83</v>
      </c>
      <c r="E17" s="114">
        <f>74360.54+189529.82+4.3</f>
        <v>263894.65999999997</v>
      </c>
      <c r="F17" s="114">
        <v>29825.38</v>
      </c>
      <c r="G17" s="145">
        <f t="shared" si="1"/>
        <v>-80246.22000000003</v>
      </c>
      <c r="H17" s="187">
        <f t="shared" si="1"/>
        <v>1576.5499999999993</v>
      </c>
    </row>
    <row r="18" spans="1:8" x14ac:dyDescent="0.25">
      <c r="A18" s="50">
        <f t="shared" si="0"/>
        <v>13</v>
      </c>
      <c r="B18" s="67" t="s">
        <v>700</v>
      </c>
      <c r="C18" s="114">
        <v>47738.239999999998</v>
      </c>
      <c r="D18" s="114">
        <v>5813.5</v>
      </c>
      <c r="E18" s="114">
        <v>74585.440000000002</v>
      </c>
      <c r="F18" s="114">
        <v>13427.45</v>
      </c>
      <c r="G18" s="145">
        <f t="shared" si="1"/>
        <v>26847.200000000004</v>
      </c>
      <c r="H18" s="187">
        <f t="shared" si="1"/>
        <v>7613.9500000000007</v>
      </c>
    </row>
    <row r="19" spans="1:8" x14ac:dyDescent="0.25">
      <c r="A19" s="50">
        <f t="shared" si="0"/>
        <v>14</v>
      </c>
      <c r="B19" s="68" t="s">
        <v>830</v>
      </c>
      <c r="C19" s="157">
        <f>SUM(C20:C25)</f>
        <v>1734411.2</v>
      </c>
      <c r="D19" s="157">
        <f>SUM(D20:D25)</f>
        <v>70162.42</v>
      </c>
      <c r="E19" s="157">
        <f>SUM(E20:E25)</f>
        <v>1721309.7000000002</v>
      </c>
      <c r="F19" s="157">
        <f>SUM(F20:F25)</f>
        <v>62831.29</v>
      </c>
      <c r="G19" s="141">
        <f t="shared" si="1"/>
        <v>-13101.499999999767</v>
      </c>
      <c r="H19" s="142">
        <f t="shared" si="1"/>
        <v>-7331.1299999999974</v>
      </c>
    </row>
    <row r="20" spans="1:8" x14ac:dyDescent="0.25">
      <c r="A20" s="50">
        <f t="shared" si="0"/>
        <v>15</v>
      </c>
      <c r="B20" s="67" t="s">
        <v>591</v>
      </c>
      <c r="C20" s="114">
        <v>507317.46</v>
      </c>
      <c r="D20" s="114">
        <v>23717.95</v>
      </c>
      <c r="E20" s="114">
        <v>554916.53</v>
      </c>
      <c r="F20" s="114">
        <v>20924.740000000002</v>
      </c>
      <c r="G20" s="145">
        <f t="shared" si="1"/>
        <v>47599.070000000007</v>
      </c>
      <c r="H20" s="187">
        <f t="shared" si="1"/>
        <v>-2793.2099999999991</v>
      </c>
    </row>
    <row r="21" spans="1:8" x14ac:dyDescent="0.25">
      <c r="A21" s="50">
        <f t="shared" si="0"/>
        <v>16</v>
      </c>
      <c r="B21" s="67" t="s">
        <v>592</v>
      </c>
      <c r="C21" s="114">
        <v>927530.63</v>
      </c>
      <c r="D21" s="114">
        <v>19102.34</v>
      </c>
      <c r="E21" s="114">
        <v>888027.79</v>
      </c>
      <c r="F21" s="114">
        <v>16302.31</v>
      </c>
      <c r="G21" s="145">
        <f t="shared" si="1"/>
        <v>-39502.839999999967</v>
      </c>
      <c r="H21" s="187">
        <f t="shared" si="1"/>
        <v>-2800.0300000000007</v>
      </c>
    </row>
    <row r="22" spans="1:8" x14ac:dyDescent="0.25">
      <c r="A22" s="50">
        <f t="shared" si="0"/>
        <v>17</v>
      </c>
      <c r="B22" s="67" t="s">
        <v>593</v>
      </c>
      <c r="C22" s="114">
        <v>165280.4</v>
      </c>
      <c r="D22" s="114">
        <v>20191.96</v>
      </c>
      <c r="E22" s="114">
        <v>166973.97</v>
      </c>
      <c r="F22" s="114">
        <v>19823.060000000001</v>
      </c>
      <c r="G22" s="145">
        <f t="shared" si="1"/>
        <v>1693.570000000007</v>
      </c>
      <c r="H22" s="187">
        <f t="shared" si="1"/>
        <v>-368.89999999999782</v>
      </c>
    </row>
    <row r="23" spans="1:8" x14ac:dyDescent="0.25">
      <c r="A23" s="50">
        <f t="shared" si="0"/>
        <v>18</v>
      </c>
      <c r="B23" s="67" t="s">
        <v>594</v>
      </c>
      <c r="C23" s="114">
        <v>117484.08</v>
      </c>
      <c r="D23" s="114">
        <v>7150.17</v>
      </c>
      <c r="E23" s="114">
        <v>106459.81</v>
      </c>
      <c r="F23" s="114">
        <v>5781.18</v>
      </c>
      <c r="G23" s="145">
        <f t="shared" si="1"/>
        <v>-11024.270000000004</v>
      </c>
      <c r="H23" s="187">
        <f t="shared" si="1"/>
        <v>-1368.9899999999998</v>
      </c>
    </row>
    <row r="24" spans="1:8" x14ac:dyDescent="0.25">
      <c r="A24" s="50">
        <f t="shared" si="0"/>
        <v>19</v>
      </c>
      <c r="B24" s="67" t="s">
        <v>595</v>
      </c>
      <c r="C24" s="114">
        <v>1158.4000000000001</v>
      </c>
      <c r="D24" s="114"/>
      <c r="E24" s="114">
        <v>1275.81</v>
      </c>
      <c r="F24" s="114"/>
      <c r="G24" s="145">
        <f t="shared" si="1"/>
        <v>117.40999999999985</v>
      </c>
      <c r="H24" s="187">
        <f t="shared" si="1"/>
        <v>0</v>
      </c>
    </row>
    <row r="25" spans="1:8" x14ac:dyDescent="0.25">
      <c r="A25" s="50">
        <f t="shared" si="0"/>
        <v>20</v>
      </c>
      <c r="B25" s="67" t="s">
        <v>701</v>
      </c>
      <c r="C25" s="114">
        <v>15640.23</v>
      </c>
      <c r="D25" s="114"/>
      <c r="E25" s="114">
        <v>3655.79</v>
      </c>
      <c r="F25" s="114"/>
      <c r="G25" s="145">
        <f t="shared" si="1"/>
        <v>-11984.439999999999</v>
      </c>
      <c r="H25" s="187">
        <f t="shared" si="1"/>
        <v>0</v>
      </c>
    </row>
    <row r="26" spans="1:8" x14ac:dyDescent="0.25">
      <c r="A26" s="50">
        <f t="shared" si="0"/>
        <v>21</v>
      </c>
      <c r="B26" s="68" t="s">
        <v>217</v>
      </c>
      <c r="C26" s="97" t="s">
        <v>207</v>
      </c>
      <c r="D26" s="97" t="s">
        <v>207</v>
      </c>
      <c r="E26" s="97" t="s">
        <v>207</v>
      </c>
      <c r="F26" s="97" t="s">
        <v>207</v>
      </c>
      <c r="G26" s="13" t="s">
        <v>102</v>
      </c>
      <c r="H26" s="33" t="s">
        <v>102</v>
      </c>
    </row>
    <row r="27" spans="1:8" x14ac:dyDescent="0.25">
      <c r="A27" s="50">
        <f t="shared" si="0"/>
        <v>22</v>
      </c>
      <c r="B27" s="68" t="s">
        <v>831</v>
      </c>
      <c r="C27" s="157">
        <f>SUM(C28:C31)</f>
        <v>415.28</v>
      </c>
      <c r="D27" s="157">
        <f>SUM(D28:D31)</f>
        <v>38822.699999999997</v>
      </c>
      <c r="E27" s="157">
        <f>SUM(E28:E31)</f>
        <v>329.14</v>
      </c>
      <c r="F27" s="157">
        <f>SUM(F28:F31)</f>
        <v>49349.33</v>
      </c>
      <c r="G27" s="141">
        <f t="shared" si="1"/>
        <v>-86.139999999999986</v>
      </c>
      <c r="H27" s="142">
        <f t="shared" si="1"/>
        <v>10526.630000000005</v>
      </c>
    </row>
    <row r="28" spans="1:8" x14ac:dyDescent="0.25">
      <c r="A28" s="50">
        <f t="shared" si="0"/>
        <v>23</v>
      </c>
      <c r="B28" s="67" t="s">
        <v>178</v>
      </c>
      <c r="C28" s="114"/>
      <c r="D28" s="114"/>
      <c r="E28" s="114"/>
      <c r="F28" s="114"/>
      <c r="G28" s="145">
        <f t="shared" si="1"/>
        <v>0</v>
      </c>
      <c r="H28" s="187">
        <f t="shared" si="1"/>
        <v>0</v>
      </c>
    </row>
    <row r="29" spans="1:8" x14ac:dyDescent="0.25">
      <c r="A29" s="50">
        <f t="shared" si="0"/>
        <v>24</v>
      </c>
      <c r="B29" s="238" t="s">
        <v>197</v>
      </c>
      <c r="C29" s="114"/>
      <c r="D29" s="114"/>
      <c r="E29" s="114"/>
      <c r="F29" s="114"/>
      <c r="G29" s="145">
        <f t="shared" si="1"/>
        <v>0</v>
      </c>
      <c r="H29" s="187">
        <f t="shared" si="1"/>
        <v>0</v>
      </c>
    </row>
    <row r="30" spans="1:8" x14ac:dyDescent="0.25">
      <c r="A30" s="50">
        <f t="shared" si="0"/>
        <v>25</v>
      </c>
      <c r="B30" s="238" t="s">
        <v>36</v>
      </c>
      <c r="C30" s="114"/>
      <c r="D30" s="114"/>
      <c r="E30" s="114"/>
      <c r="F30" s="114"/>
      <c r="G30" s="145">
        <f t="shared" si="1"/>
        <v>0</v>
      </c>
      <c r="H30" s="187">
        <f t="shared" si="1"/>
        <v>0</v>
      </c>
    </row>
    <row r="31" spans="1:8" x14ac:dyDescent="0.25">
      <c r="A31" s="50">
        <f t="shared" si="0"/>
        <v>26</v>
      </c>
      <c r="B31" s="67" t="s">
        <v>37</v>
      </c>
      <c r="C31" s="114">
        <v>415.28</v>
      </c>
      <c r="D31" s="114">
        <v>38822.699999999997</v>
      </c>
      <c r="E31" s="114">
        <v>329.14</v>
      </c>
      <c r="F31" s="114">
        <v>49349.33</v>
      </c>
      <c r="G31" s="145">
        <f t="shared" si="1"/>
        <v>-86.139999999999986</v>
      </c>
      <c r="H31" s="187">
        <f t="shared" si="1"/>
        <v>10526.630000000005</v>
      </c>
    </row>
    <row r="32" spans="1:8" x14ac:dyDescent="0.25">
      <c r="A32" s="50">
        <f t="shared" si="0"/>
        <v>27</v>
      </c>
      <c r="B32" s="68" t="s">
        <v>832</v>
      </c>
      <c r="C32" s="157">
        <f>SUM(C33:C39)</f>
        <v>526924.1100000001</v>
      </c>
      <c r="D32" s="157">
        <f>SUM(D33:D39)</f>
        <v>41568.519999999997</v>
      </c>
      <c r="E32" s="157">
        <f>SUM(E33:E39)</f>
        <v>891621.1</v>
      </c>
      <c r="F32" s="157">
        <f>SUM(F33:F39)</f>
        <v>13489.87</v>
      </c>
      <c r="G32" s="141">
        <f t="shared" si="1"/>
        <v>364696.98999999987</v>
      </c>
      <c r="H32" s="142">
        <f t="shared" si="1"/>
        <v>-28078.649999999994</v>
      </c>
    </row>
    <row r="33" spans="1:8" x14ac:dyDescent="0.25">
      <c r="A33" s="50">
        <f t="shared" si="0"/>
        <v>28</v>
      </c>
      <c r="B33" s="67" t="s">
        <v>70</v>
      </c>
      <c r="C33" s="114">
        <v>305008.59000000003</v>
      </c>
      <c r="D33" s="114">
        <v>24336.16</v>
      </c>
      <c r="E33" s="114">
        <v>568105.84</v>
      </c>
      <c r="F33" s="114">
        <v>2118.52</v>
      </c>
      <c r="G33" s="145">
        <f t="shared" si="1"/>
        <v>263097.24999999994</v>
      </c>
      <c r="H33" s="187">
        <f t="shared" si="1"/>
        <v>-22217.64</v>
      </c>
    </row>
    <row r="34" spans="1:8" x14ac:dyDescent="0.25">
      <c r="A34" s="50">
        <f t="shared" si="0"/>
        <v>29</v>
      </c>
      <c r="B34" s="67" t="s">
        <v>71</v>
      </c>
      <c r="C34" s="114">
        <v>97463.02</v>
      </c>
      <c r="D34" s="114">
        <v>7608.35</v>
      </c>
      <c r="E34" s="114">
        <v>219954.73</v>
      </c>
      <c r="F34" s="114">
        <v>7012.61</v>
      </c>
      <c r="G34" s="145">
        <f t="shared" si="1"/>
        <v>122491.71</v>
      </c>
      <c r="H34" s="187">
        <f t="shared" si="1"/>
        <v>-595.74000000000069</v>
      </c>
    </row>
    <row r="35" spans="1:8" x14ac:dyDescent="0.25">
      <c r="A35" s="50">
        <f t="shared" si="0"/>
        <v>30</v>
      </c>
      <c r="B35" s="67" t="s">
        <v>72</v>
      </c>
      <c r="C35" s="114">
        <v>30188</v>
      </c>
      <c r="D35" s="114">
        <v>1769.21</v>
      </c>
      <c r="E35" s="114">
        <v>19366.93</v>
      </c>
      <c r="F35" s="114">
        <v>1621.71</v>
      </c>
      <c r="G35" s="145">
        <f t="shared" si="1"/>
        <v>-10821.07</v>
      </c>
      <c r="H35" s="187">
        <f t="shared" si="1"/>
        <v>-147.5</v>
      </c>
    </row>
    <row r="36" spans="1:8" x14ac:dyDescent="0.25">
      <c r="A36" s="50">
        <f t="shared" si="0"/>
        <v>31</v>
      </c>
      <c r="B36" s="67" t="s">
        <v>73</v>
      </c>
      <c r="C36" s="114">
        <v>31811.61</v>
      </c>
      <c r="D36" s="114">
        <v>6014.04</v>
      </c>
      <c r="E36" s="114">
        <v>45365.34</v>
      </c>
      <c r="F36" s="114">
        <v>2336.83</v>
      </c>
      <c r="G36" s="145">
        <f t="shared" si="1"/>
        <v>13553.729999999996</v>
      </c>
      <c r="H36" s="187">
        <f t="shared" si="1"/>
        <v>-3677.21</v>
      </c>
    </row>
    <row r="37" spans="1:8" x14ac:dyDescent="0.25">
      <c r="A37" s="50">
        <f t="shared" si="0"/>
        <v>32</v>
      </c>
      <c r="B37" s="10" t="s">
        <v>74</v>
      </c>
      <c r="C37" s="114">
        <v>7874.2</v>
      </c>
      <c r="D37" s="114">
        <v>53.2</v>
      </c>
      <c r="E37" s="114">
        <v>3433.67</v>
      </c>
      <c r="F37" s="114">
        <v>0</v>
      </c>
      <c r="G37" s="145">
        <f t="shared" si="1"/>
        <v>-4440.53</v>
      </c>
      <c r="H37" s="187">
        <f t="shared" si="1"/>
        <v>-53.2</v>
      </c>
    </row>
    <row r="38" spans="1:8" x14ac:dyDescent="0.25">
      <c r="A38" s="50">
        <f t="shared" si="0"/>
        <v>33</v>
      </c>
      <c r="B38" s="67" t="s">
        <v>606</v>
      </c>
      <c r="C38" s="114">
        <v>51700.21</v>
      </c>
      <c r="D38" s="114">
        <v>267.02999999999997</v>
      </c>
      <c r="E38" s="114">
        <v>20177.099999999999</v>
      </c>
      <c r="F38" s="114">
        <v>378.58</v>
      </c>
      <c r="G38" s="145">
        <f t="shared" si="1"/>
        <v>-31523.11</v>
      </c>
      <c r="H38" s="187">
        <f t="shared" si="1"/>
        <v>111.55000000000001</v>
      </c>
    </row>
    <row r="39" spans="1:8" x14ac:dyDescent="0.25">
      <c r="A39" s="50">
        <f t="shared" si="0"/>
        <v>34</v>
      </c>
      <c r="B39" s="67" t="s">
        <v>75</v>
      </c>
      <c r="C39" s="114">
        <v>2878.48</v>
      </c>
      <c r="D39" s="114">
        <v>1520.53</v>
      </c>
      <c r="E39" s="114">
        <v>15217.49</v>
      </c>
      <c r="F39" s="114">
        <v>21.62</v>
      </c>
      <c r="G39" s="145">
        <f t="shared" si="1"/>
        <v>12339.01</v>
      </c>
      <c r="H39" s="187">
        <f t="shared" si="1"/>
        <v>-1498.91</v>
      </c>
    </row>
    <row r="40" spans="1:8" x14ac:dyDescent="0.25">
      <c r="A40" s="50">
        <f t="shared" si="0"/>
        <v>35</v>
      </c>
      <c r="B40" s="68" t="s">
        <v>833</v>
      </c>
      <c r="C40" s="157">
        <f>C41+C42</f>
        <v>1376221.44</v>
      </c>
      <c r="D40" s="157">
        <f>D41+D42</f>
        <v>15490.33</v>
      </c>
      <c r="E40" s="157">
        <f>E41+E42</f>
        <v>1098697.68</v>
      </c>
      <c r="F40" s="157">
        <f>F41+F42</f>
        <v>7819.34</v>
      </c>
      <c r="G40" s="141">
        <f t="shared" si="1"/>
        <v>-277523.76</v>
      </c>
      <c r="H40" s="142">
        <f t="shared" si="1"/>
        <v>-7670.99</v>
      </c>
    </row>
    <row r="41" spans="1:8" x14ac:dyDescent="0.25">
      <c r="A41" s="50">
        <f t="shared" si="0"/>
        <v>36</v>
      </c>
      <c r="B41" s="67" t="s">
        <v>596</v>
      </c>
      <c r="C41" s="114">
        <v>154942.51999999999</v>
      </c>
      <c r="D41" s="114">
        <v>15077.11</v>
      </c>
      <c r="E41" s="114">
        <f>139370.82-19134.79</f>
        <v>120236.03</v>
      </c>
      <c r="F41" s="114">
        <v>7819.34</v>
      </c>
      <c r="G41" s="145">
        <f t="shared" si="1"/>
        <v>-34706.489999999991</v>
      </c>
      <c r="H41" s="187">
        <f t="shared" si="1"/>
        <v>-7257.77</v>
      </c>
    </row>
    <row r="42" spans="1:8" x14ac:dyDescent="0.25">
      <c r="A42" s="50">
        <f t="shared" si="0"/>
        <v>37</v>
      </c>
      <c r="B42" s="67" t="s">
        <v>597</v>
      </c>
      <c r="C42" s="114">
        <f>780601.55+440677.37</f>
        <v>1221278.92</v>
      </c>
      <c r="D42" s="114">
        <v>413.22</v>
      </c>
      <c r="E42" s="114">
        <v>978461.65</v>
      </c>
      <c r="F42" s="114">
        <v>0</v>
      </c>
      <c r="G42" s="145">
        <f t="shared" si="1"/>
        <v>-242817.2699999999</v>
      </c>
      <c r="H42" s="187">
        <f t="shared" si="1"/>
        <v>-413.22</v>
      </c>
    </row>
    <row r="43" spans="1:8" x14ac:dyDescent="0.25">
      <c r="A43" s="50">
        <f t="shared" si="0"/>
        <v>38</v>
      </c>
      <c r="B43" s="68" t="s">
        <v>218</v>
      </c>
      <c r="C43" s="157">
        <v>51701.94</v>
      </c>
      <c r="D43" s="157">
        <v>1746.61</v>
      </c>
      <c r="E43" s="157">
        <v>55083.62</v>
      </c>
      <c r="F43" s="157">
        <v>119.29</v>
      </c>
      <c r="G43" s="145">
        <f t="shared" si="1"/>
        <v>3381.6800000000003</v>
      </c>
      <c r="H43" s="187">
        <f t="shared" si="1"/>
        <v>-1627.32</v>
      </c>
    </row>
    <row r="44" spans="1:8" x14ac:dyDescent="0.25">
      <c r="A44" s="50">
        <f t="shared" si="0"/>
        <v>39</v>
      </c>
      <c r="B44" s="68" t="s">
        <v>834</v>
      </c>
      <c r="C44" s="157">
        <f>SUM(C45:C59)</f>
        <v>5175031.49</v>
      </c>
      <c r="D44" s="157">
        <f>SUM(D45:D59)</f>
        <v>325459.7</v>
      </c>
      <c r="E44" s="157">
        <f>SUM(E45:E59)</f>
        <v>5303048.1899999995</v>
      </c>
      <c r="F44" s="157">
        <f>SUM(F45:F59)</f>
        <v>198199.84</v>
      </c>
      <c r="G44" s="141">
        <f t="shared" si="1"/>
        <v>128016.69999999925</v>
      </c>
      <c r="H44" s="142">
        <f t="shared" si="1"/>
        <v>-127259.86000000002</v>
      </c>
    </row>
    <row r="45" spans="1:8" x14ac:dyDescent="0.25">
      <c r="A45" s="50">
        <f t="shared" si="0"/>
        <v>40</v>
      </c>
      <c r="B45" s="67" t="s">
        <v>77</v>
      </c>
      <c r="C45" s="114">
        <v>91187.16</v>
      </c>
      <c r="D45" s="114">
        <v>54215.46</v>
      </c>
      <c r="E45" s="114">
        <v>73483.199999999997</v>
      </c>
      <c r="F45" s="114">
        <v>18160</v>
      </c>
      <c r="G45" s="145">
        <f t="shared" si="1"/>
        <v>-17703.960000000006</v>
      </c>
      <c r="H45" s="187">
        <f t="shared" si="1"/>
        <v>-36055.46</v>
      </c>
    </row>
    <row r="46" spans="1:8" x14ac:dyDescent="0.25">
      <c r="A46" s="50">
        <f t="shared" si="0"/>
        <v>41</v>
      </c>
      <c r="B46" s="67" t="s">
        <v>76</v>
      </c>
      <c r="C46" s="114">
        <v>17000.18</v>
      </c>
      <c r="D46" s="114">
        <v>1501.64</v>
      </c>
      <c r="E46" s="114">
        <v>30373.79</v>
      </c>
      <c r="F46" s="114">
        <v>1142.4000000000001</v>
      </c>
      <c r="G46" s="145">
        <f t="shared" si="1"/>
        <v>13373.61</v>
      </c>
      <c r="H46" s="187">
        <f t="shared" si="1"/>
        <v>-359.24</v>
      </c>
    </row>
    <row r="47" spans="1:8" x14ac:dyDescent="0.25">
      <c r="A47" s="50">
        <f t="shared" si="0"/>
        <v>42</v>
      </c>
      <c r="B47" s="67" t="s">
        <v>78</v>
      </c>
      <c r="C47" s="114">
        <v>157420.26999999999</v>
      </c>
      <c r="D47" s="114">
        <v>222</v>
      </c>
      <c r="E47" s="114">
        <v>131494.17000000001</v>
      </c>
      <c r="F47" s="114">
        <v>135</v>
      </c>
      <c r="G47" s="145">
        <f t="shared" si="1"/>
        <v>-25926.099999999977</v>
      </c>
      <c r="H47" s="187">
        <f t="shared" si="1"/>
        <v>-87</v>
      </c>
    </row>
    <row r="48" spans="1:8" x14ac:dyDescent="0.25">
      <c r="A48" s="50">
        <f t="shared" si="0"/>
        <v>43</v>
      </c>
      <c r="B48" s="67" t="s">
        <v>79</v>
      </c>
      <c r="C48" s="114">
        <v>111582.42</v>
      </c>
      <c r="D48" s="114">
        <v>183681.85</v>
      </c>
      <c r="E48" s="114">
        <v>17254.900000000001</v>
      </c>
      <c r="F48" s="114">
        <v>99975.72</v>
      </c>
      <c r="G48" s="145">
        <f t="shared" si="1"/>
        <v>-94327.51999999999</v>
      </c>
      <c r="H48" s="187">
        <f t="shared" si="1"/>
        <v>-83706.13</v>
      </c>
    </row>
    <row r="49" spans="1:11" x14ac:dyDescent="0.25">
      <c r="A49" s="50">
        <f t="shared" si="0"/>
        <v>44</v>
      </c>
      <c r="B49" s="67" t="s">
        <v>598</v>
      </c>
      <c r="C49" s="114">
        <v>59801.22</v>
      </c>
      <c r="D49" s="114">
        <v>5820.99</v>
      </c>
      <c r="E49" s="114">
        <v>52969.4</v>
      </c>
      <c r="F49" s="114">
        <v>6064.22</v>
      </c>
      <c r="G49" s="145">
        <f t="shared" si="1"/>
        <v>-6831.82</v>
      </c>
      <c r="H49" s="187">
        <f t="shared" si="1"/>
        <v>243.23000000000047</v>
      </c>
    </row>
    <row r="50" spans="1:11" x14ac:dyDescent="0.25">
      <c r="A50" s="50">
        <f t="shared" si="0"/>
        <v>45</v>
      </c>
      <c r="B50" s="67" t="s">
        <v>80</v>
      </c>
      <c r="C50" s="114">
        <v>5135.37</v>
      </c>
      <c r="D50" s="114">
        <v>1531.96</v>
      </c>
      <c r="E50" s="114">
        <v>1369.25</v>
      </c>
      <c r="F50" s="114">
        <v>1463.42</v>
      </c>
      <c r="G50" s="145">
        <f t="shared" si="1"/>
        <v>-3766.12</v>
      </c>
      <c r="H50" s="187">
        <f t="shared" si="1"/>
        <v>-68.539999999999964</v>
      </c>
    </row>
    <row r="51" spans="1:11" x14ac:dyDescent="0.25">
      <c r="A51" s="50">
        <f t="shared" si="0"/>
        <v>46</v>
      </c>
      <c r="B51" s="67" t="s">
        <v>599</v>
      </c>
      <c r="C51" s="114">
        <v>49257.96</v>
      </c>
      <c r="D51" s="114">
        <v>2409.0100000000002</v>
      </c>
      <c r="E51" s="114">
        <v>49166.47</v>
      </c>
      <c r="F51" s="114">
        <v>2093</v>
      </c>
      <c r="G51" s="145">
        <f t="shared" si="1"/>
        <v>-91.489999999997963</v>
      </c>
      <c r="H51" s="187">
        <f t="shared" si="1"/>
        <v>-316.01000000000022</v>
      </c>
    </row>
    <row r="52" spans="1:11" x14ac:dyDescent="0.25">
      <c r="A52" s="50">
        <f t="shared" si="0"/>
        <v>47</v>
      </c>
      <c r="B52" s="67" t="s">
        <v>600</v>
      </c>
      <c r="C52" s="114">
        <v>19360.02</v>
      </c>
      <c r="D52" s="114"/>
      <c r="E52" s="114">
        <v>8624.33</v>
      </c>
      <c r="F52" s="114">
        <v>54.1</v>
      </c>
      <c r="G52" s="145">
        <f t="shared" si="1"/>
        <v>-10735.69</v>
      </c>
      <c r="H52" s="187">
        <f t="shared" si="1"/>
        <v>54.1</v>
      </c>
    </row>
    <row r="53" spans="1:11" x14ac:dyDescent="0.25">
      <c r="A53" s="50">
        <f t="shared" si="0"/>
        <v>48</v>
      </c>
      <c r="B53" s="67" t="s">
        <v>81</v>
      </c>
      <c r="C53" s="114">
        <v>41519.019999999997</v>
      </c>
      <c r="D53" s="114">
        <v>1032.6300000000001</v>
      </c>
      <c r="E53" s="114">
        <v>20860.43</v>
      </c>
      <c r="F53" s="114">
        <v>103</v>
      </c>
      <c r="G53" s="145">
        <f t="shared" si="1"/>
        <v>-20658.589999999997</v>
      </c>
      <c r="H53" s="187">
        <f t="shared" si="1"/>
        <v>-929.63000000000011</v>
      </c>
    </row>
    <row r="54" spans="1:11" x14ac:dyDescent="0.25">
      <c r="A54" s="50">
        <f t="shared" si="0"/>
        <v>49</v>
      </c>
      <c r="B54" s="67" t="s">
        <v>82</v>
      </c>
      <c r="C54" s="114"/>
      <c r="D54" s="114"/>
      <c r="E54" s="114"/>
      <c r="F54" s="114"/>
      <c r="G54" s="145">
        <f t="shared" si="1"/>
        <v>0</v>
      </c>
      <c r="H54" s="187">
        <f t="shared" si="1"/>
        <v>0</v>
      </c>
    </row>
    <row r="55" spans="1:11" x14ac:dyDescent="0.25">
      <c r="A55" s="50">
        <f t="shared" si="0"/>
        <v>50</v>
      </c>
      <c r="B55" s="67" t="s">
        <v>702</v>
      </c>
      <c r="C55" s="114">
        <v>11992.85</v>
      </c>
      <c r="D55" s="114">
        <v>178.92</v>
      </c>
      <c r="E55" s="114">
        <v>13236.76</v>
      </c>
      <c r="F55" s="114">
        <v>669.51</v>
      </c>
      <c r="G55" s="145">
        <f t="shared" si="1"/>
        <v>1243.9099999999999</v>
      </c>
      <c r="H55" s="187">
        <f t="shared" si="1"/>
        <v>490.59000000000003</v>
      </c>
    </row>
    <row r="56" spans="1:11" x14ac:dyDescent="0.25">
      <c r="A56" s="50">
        <f t="shared" si="0"/>
        <v>51</v>
      </c>
      <c r="B56" s="67" t="s">
        <v>54</v>
      </c>
      <c r="C56" s="114">
        <v>38123.46</v>
      </c>
      <c r="D56" s="114">
        <v>3257.1</v>
      </c>
      <c r="E56" s="114">
        <v>53502.23</v>
      </c>
      <c r="F56" s="114">
        <v>705.96</v>
      </c>
      <c r="G56" s="145">
        <f t="shared" si="1"/>
        <v>15378.770000000004</v>
      </c>
      <c r="H56" s="187">
        <f t="shared" si="1"/>
        <v>-2551.14</v>
      </c>
    </row>
    <row r="57" spans="1:11" x14ac:dyDescent="0.25">
      <c r="A57" s="50">
        <f t="shared" si="0"/>
        <v>52</v>
      </c>
      <c r="B57" s="67" t="s">
        <v>55</v>
      </c>
      <c r="C57" s="114">
        <v>35</v>
      </c>
      <c r="D57" s="114"/>
      <c r="E57" s="114">
        <v>284.2</v>
      </c>
      <c r="F57" s="114"/>
      <c r="G57" s="145">
        <f t="shared" si="1"/>
        <v>249.2</v>
      </c>
      <c r="H57" s="187">
        <f t="shared" si="1"/>
        <v>0</v>
      </c>
    </row>
    <row r="58" spans="1:11" ht="31.5" x14ac:dyDescent="0.25">
      <c r="A58" s="50">
        <f t="shared" si="0"/>
        <v>53</v>
      </c>
      <c r="B58" s="67" t="s">
        <v>707</v>
      </c>
      <c r="C58" s="114">
        <v>3189522.85</v>
      </c>
      <c r="D58" s="114">
        <f>67371.56</f>
        <v>67371.56</v>
      </c>
      <c r="E58" s="114">
        <v>3224496.92</v>
      </c>
      <c r="F58" s="114">
        <v>63833.02</v>
      </c>
      <c r="G58" s="145">
        <f t="shared" si="1"/>
        <v>34974.069999999832</v>
      </c>
      <c r="H58" s="187">
        <f t="shared" si="1"/>
        <v>-3538.5400000000009</v>
      </c>
    </row>
    <row r="59" spans="1:11" x14ac:dyDescent="0.25">
      <c r="A59" s="50">
        <f t="shared" si="0"/>
        <v>54</v>
      </c>
      <c r="B59" s="67" t="s">
        <v>83</v>
      </c>
      <c r="C59" s="114">
        <v>1383093.71</v>
      </c>
      <c r="D59" s="114">
        <v>4236.58</v>
      </c>
      <c r="E59" s="114">
        <v>1625932.14</v>
      </c>
      <c r="F59" s="114">
        <v>3800.49</v>
      </c>
      <c r="G59" s="145">
        <f t="shared" si="1"/>
        <v>242838.42999999993</v>
      </c>
      <c r="H59" s="187">
        <f t="shared" si="1"/>
        <v>-436.09000000000015</v>
      </c>
    </row>
    <row r="60" spans="1:11" x14ac:dyDescent="0.25">
      <c r="A60" s="50">
        <f t="shared" si="0"/>
        <v>55</v>
      </c>
      <c r="B60" s="68" t="s">
        <v>835</v>
      </c>
      <c r="C60" s="157">
        <f>C61+C62</f>
        <v>20490332.169999998</v>
      </c>
      <c r="D60" s="157">
        <f>D61+D62</f>
        <v>593873.59000000008</v>
      </c>
      <c r="E60" s="157">
        <f>E61+E62</f>
        <v>21774075.59</v>
      </c>
      <c r="F60" s="157">
        <f>F61+F62</f>
        <v>521791.97</v>
      </c>
      <c r="G60" s="141">
        <f t="shared" si="1"/>
        <v>1283743.4200000018</v>
      </c>
      <c r="H60" s="142">
        <f t="shared" si="1"/>
        <v>-72081.620000000112</v>
      </c>
      <c r="I60" s="160"/>
      <c r="J60" s="160"/>
      <c r="K60" s="160"/>
    </row>
    <row r="61" spans="1:11" x14ac:dyDescent="0.25">
      <c r="A61" s="50">
        <f t="shared" si="0"/>
        <v>56</v>
      </c>
      <c r="B61" s="67" t="s">
        <v>836</v>
      </c>
      <c r="C61" s="114">
        <v>20017734.629999999</v>
      </c>
      <c r="D61" s="114">
        <v>534785.41</v>
      </c>
      <c r="E61" s="114">
        <v>21444123.48</v>
      </c>
      <c r="F61" s="114">
        <v>473444.31</v>
      </c>
      <c r="G61" s="145">
        <f t="shared" si="1"/>
        <v>1426388.8500000015</v>
      </c>
      <c r="H61" s="187">
        <f t="shared" si="1"/>
        <v>-61341.100000000035</v>
      </c>
      <c r="I61" s="239"/>
    </row>
    <row r="62" spans="1:11" x14ac:dyDescent="0.25">
      <c r="A62" s="50">
        <f t="shared" si="0"/>
        <v>57</v>
      </c>
      <c r="B62" s="68" t="s">
        <v>837</v>
      </c>
      <c r="C62" s="157">
        <f>SUM(C63:C65)</f>
        <v>472597.54</v>
      </c>
      <c r="D62" s="157">
        <f>SUM(D63:D65)</f>
        <v>59088.179999999993</v>
      </c>
      <c r="E62" s="157">
        <f>SUM(E63:E65)</f>
        <v>329952.11</v>
      </c>
      <c r="F62" s="157">
        <f>SUM(F63:F65)</f>
        <v>48347.659999999996</v>
      </c>
      <c r="G62" s="141">
        <f t="shared" si="1"/>
        <v>-142645.43</v>
      </c>
      <c r="H62" s="142">
        <f t="shared" si="1"/>
        <v>-10740.519999999997</v>
      </c>
    </row>
    <row r="63" spans="1:11" s="169" customFormat="1" ht="16.5" customHeight="1" x14ac:dyDescent="0.2">
      <c r="A63" s="50">
        <f t="shared" si="0"/>
        <v>58</v>
      </c>
      <c r="B63" s="240" t="s">
        <v>12</v>
      </c>
      <c r="C63" s="188"/>
      <c r="D63" s="188"/>
      <c r="E63" s="188"/>
      <c r="F63" s="188"/>
      <c r="G63" s="145">
        <f t="shared" si="1"/>
        <v>0</v>
      </c>
      <c r="H63" s="187">
        <f t="shared" si="1"/>
        <v>0</v>
      </c>
    </row>
    <row r="64" spans="1:11" ht="31.5" x14ac:dyDescent="0.25">
      <c r="A64" s="50">
        <f t="shared" si="0"/>
        <v>59</v>
      </c>
      <c r="B64" s="240" t="s">
        <v>13</v>
      </c>
      <c r="C64" s="114">
        <v>444585.87</v>
      </c>
      <c r="D64" s="114">
        <v>48999.7</v>
      </c>
      <c r="E64" s="114">
        <v>300049.86</v>
      </c>
      <c r="F64" s="114">
        <v>39208.78</v>
      </c>
      <c r="G64" s="145">
        <f t="shared" si="1"/>
        <v>-144536.01</v>
      </c>
      <c r="H64" s="187">
        <f t="shared" si="1"/>
        <v>-9790.9199999999983</v>
      </c>
    </row>
    <row r="65" spans="1:9" x14ac:dyDescent="0.25">
      <c r="A65" s="50">
        <f t="shared" si="0"/>
        <v>60</v>
      </c>
      <c r="B65" s="67" t="s">
        <v>159</v>
      </c>
      <c r="C65" s="114">
        <v>28011.67</v>
      </c>
      <c r="D65" s="114">
        <v>10088.48</v>
      </c>
      <c r="E65" s="114">
        <v>29902.25</v>
      </c>
      <c r="F65" s="114">
        <v>9138.8799999999992</v>
      </c>
      <c r="G65" s="145">
        <f t="shared" si="1"/>
        <v>1890.5800000000017</v>
      </c>
      <c r="H65" s="187">
        <f t="shared" si="1"/>
        <v>-949.60000000000036</v>
      </c>
      <c r="I65" s="459"/>
    </row>
    <row r="66" spans="1:9" x14ac:dyDescent="0.25">
      <c r="A66" s="50">
        <f t="shared" si="0"/>
        <v>61</v>
      </c>
      <c r="B66" s="68" t="s">
        <v>117</v>
      </c>
      <c r="C66" s="157">
        <v>6925661.3899999997</v>
      </c>
      <c r="D66" s="157">
        <v>197335.43</v>
      </c>
      <c r="E66" s="157">
        <v>7359529.7999999998</v>
      </c>
      <c r="F66" s="157">
        <v>175814.38</v>
      </c>
      <c r="G66" s="141">
        <f t="shared" si="1"/>
        <v>433868.41000000015</v>
      </c>
      <c r="H66" s="142">
        <f t="shared" si="1"/>
        <v>-21521.049999999988</v>
      </c>
      <c r="I66" s="160"/>
    </row>
    <row r="67" spans="1:9" x14ac:dyDescent="0.25">
      <c r="A67" s="50">
        <f t="shared" si="0"/>
        <v>62</v>
      </c>
      <c r="B67" s="68" t="s">
        <v>21</v>
      </c>
      <c r="C67" s="157">
        <v>128891.42</v>
      </c>
      <c r="D67" s="157">
        <v>6129.58</v>
      </c>
      <c r="E67" s="157">
        <v>157420.04</v>
      </c>
      <c r="F67" s="157">
        <v>5777.96</v>
      </c>
      <c r="G67" s="141">
        <f t="shared" si="1"/>
        <v>28528.62000000001</v>
      </c>
      <c r="H67" s="142">
        <f t="shared" si="1"/>
        <v>-351.61999999999989</v>
      </c>
      <c r="I67" s="160"/>
    </row>
    <row r="68" spans="1:9" x14ac:dyDescent="0.25">
      <c r="A68" s="50">
        <f t="shared" si="0"/>
        <v>63</v>
      </c>
      <c r="B68" s="68" t="s">
        <v>838</v>
      </c>
      <c r="C68" s="157">
        <f>SUM(C69:C74)</f>
        <v>629674.16</v>
      </c>
      <c r="D68" s="157">
        <f>SUM(D69:D74)</f>
        <v>8122.65</v>
      </c>
      <c r="E68" s="157">
        <f>SUM(E69:E74)</f>
        <v>717502.22</v>
      </c>
      <c r="F68" s="157">
        <f>SUM(F69:F74)</f>
        <v>7309.06</v>
      </c>
      <c r="G68" s="141">
        <f t="shared" si="1"/>
        <v>87828.059999999939</v>
      </c>
      <c r="H68" s="142">
        <f t="shared" si="1"/>
        <v>-813.58999999999924</v>
      </c>
      <c r="I68" s="160"/>
    </row>
    <row r="69" spans="1:9" x14ac:dyDescent="0.25">
      <c r="A69" s="50">
        <f t="shared" si="0"/>
        <v>64</v>
      </c>
      <c r="B69" s="67" t="s">
        <v>49</v>
      </c>
      <c r="C69" s="114">
        <v>217426.12</v>
      </c>
      <c r="D69" s="114">
        <v>5911.51</v>
      </c>
      <c r="E69" s="114">
        <v>232215.96</v>
      </c>
      <c r="F69" s="114">
        <v>5297.81</v>
      </c>
      <c r="G69" s="145">
        <f t="shared" si="1"/>
        <v>14789.839999999997</v>
      </c>
      <c r="H69" s="187">
        <f t="shared" si="1"/>
        <v>-613.69999999999982</v>
      </c>
    </row>
    <row r="70" spans="1:9" x14ac:dyDescent="0.25">
      <c r="A70" s="50">
        <f t="shared" si="0"/>
        <v>65</v>
      </c>
      <c r="B70" s="67" t="s">
        <v>84</v>
      </c>
      <c r="C70" s="114">
        <v>311045.17</v>
      </c>
      <c r="D70" s="114"/>
      <c r="E70" s="114">
        <f>333813.66+550</f>
        <v>334363.65999999997</v>
      </c>
      <c r="F70" s="114"/>
      <c r="G70" s="145">
        <f t="shared" si="1"/>
        <v>23318.489999999991</v>
      </c>
      <c r="H70" s="187">
        <f t="shared" si="1"/>
        <v>0</v>
      </c>
      <c r="I70" s="160"/>
    </row>
    <row r="71" spans="1:9" x14ac:dyDescent="0.25">
      <c r="A71" s="50">
        <f t="shared" si="0"/>
        <v>66</v>
      </c>
      <c r="B71" s="67" t="s">
        <v>85</v>
      </c>
      <c r="C71" s="114">
        <v>49707.23</v>
      </c>
      <c r="D71" s="114"/>
      <c r="E71" s="114">
        <v>91090.84</v>
      </c>
      <c r="F71" s="114"/>
      <c r="G71" s="145">
        <f t="shared" si="1"/>
        <v>41383.609999999993</v>
      </c>
      <c r="H71" s="187">
        <f t="shared" si="1"/>
        <v>0</v>
      </c>
    </row>
    <row r="72" spans="1:9" x14ac:dyDescent="0.25">
      <c r="A72" s="50">
        <f t="shared" ref="A72:A102" si="2">A71+1</f>
        <v>67</v>
      </c>
      <c r="B72" s="67" t="s">
        <v>86</v>
      </c>
      <c r="C72" s="114">
        <v>51495.64</v>
      </c>
      <c r="D72" s="114">
        <v>2211.14</v>
      </c>
      <c r="E72" s="114">
        <v>59831.76</v>
      </c>
      <c r="F72" s="114">
        <v>2011.25</v>
      </c>
      <c r="G72" s="145">
        <f t="shared" ref="G72:H101" si="3">E72-C72</f>
        <v>8336.1200000000026</v>
      </c>
      <c r="H72" s="187">
        <f t="shared" si="3"/>
        <v>-199.88999999999987</v>
      </c>
    </row>
    <row r="73" spans="1:9" x14ac:dyDescent="0.25">
      <c r="A73" s="50">
        <f t="shared" si="2"/>
        <v>68</v>
      </c>
      <c r="B73" s="67" t="s">
        <v>87</v>
      </c>
      <c r="C73" s="114"/>
      <c r="D73" s="114"/>
      <c r="E73" s="114"/>
      <c r="F73" s="114"/>
      <c r="G73" s="145">
        <f t="shared" si="3"/>
        <v>0</v>
      </c>
      <c r="H73" s="187">
        <f t="shared" si="3"/>
        <v>0</v>
      </c>
    </row>
    <row r="74" spans="1:9" x14ac:dyDescent="0.25">
      <c r="A74" s="50">
        <f t="shared" si="2"/>
        <v>69</v>
      </c>
      <c r="B74" s="67" t="s">
        <v>88</v>
      </c>
      <c r="C74" s="114"/>
      <c r="D74" s="114"/>
      <c r="E74" s="114"/>
      <c r="F74" s="114"/>
      <c r="G74" s="145">
        <f t="shared" si="3"/>
        <v>0</v>
      </c>
      <c r="H74" s="187">
        <f t="shared" si="3"/>
        <v>0</v>
      </c>
    </row>
    <row r="75" spans="1:9" x14ac:dyDescent="0.25">
      <c r="A75" s="50">
        <f t="shared" si="2"/>
        <v>70</v>
      </c>
      <c r="B75" s="68" t="s">
        <v>28</v>
      </c>
      <c r="C75" s="114"/>
      <c r="D75" s="114"/>
      <c r="E75" s="114"/>
      <c r="F75" s="114"/>
      <c r="G75" s="145">
        <f t="shared" si="3"/>
        <v>0</v>
      </c>
      <c r="H75" s="187">
        <f t="shared" si="3"/>
        <v>0</v>
      </c>
    </row>
    <row r="76" spans="1:9" x14ac:dyDescent="0.25">
      <c r="A76" s="50">
        <f t="shared" si="2"/>
        <v>71</v>
      </c>
      <c r="B76" s="68" t="s">
        <v>252</v>
      </c>
      <c r="C76" s="114"/>
      <c r="D76" s="114">
        <v>124.15</v>
      </c>
      <c r="E76" s="114"/>
      <c r="F76" s="114">
        <v>224.05</v>
      </c>
      <c r="G76" s="145">
        <f t="shared" si="3"/>
        <v>0</v>
      </c>
      <c r="H76" s="187">
        <f t="shared" si="3"/>
        <v>99.9</v>
      </c>
    </row>
    <row r="77" spans="1:9" x14ac:dyDescent="0.25">
      <c r="A77" s="50">
        <f t="shared" si="2"/>
        <v>72</v>
      </c>
      <c r="B77" s="68" t="s">
        <v>118</v>
      </c>
      <c r="C77" s="114">
        <v>21189.66</v>
      </c>
      <c r="D77" s="114">
        <v>4200.76</v>
      </c>
      <c r="E77" s="114">
        <v>23290.04</v>
      </c>
      <c r="F77" s="114">
        <v>2100.38</v>
      </c>
      <c r="G77" s="145">
        <f t="shared" si="3"/>
        <v>2100.380000000001</v>
      </c>
      <c r="H77" s="187">
        <f t="shared" si="3"/>
        <v>-2100.38</v>
      </c>
    </row>
    <row r="78" spans="1:9" x14ac:dyDescent="0.25">
      <c r="A78" s="50">
        <f t="shared" si="2"/>
        <v>73</v>
      </c>
      <c r="B78" s="68" t="s">
        <v>194</v>
      </c>
      <c r="C78" s="114">
        <v>118997.85</v>
      </c>
      <c r="D78" s="114">
        <v>2986.31</v>
      </c>
      <c r="E78" s="114">
        <v>129013.03</v>
      </c>
      <c r="F78" s="114">
        <v>727.83</v>
      </c>
      <c r="G78" s="145">
        <f t="shared" si="3"/>
        <v>10015.179999999993</v>
      </c>
      <c r="H78" s="187">
        <f t="shared" si="3"/>
        <v>-2258.48</v>
      </c>
    </row>
    <row r="79" spans="1:9" x14ac:dyDescent="0.25">
      <c r="A79" s="50">
        <f t="shared" si="2"/>
        <v>74</v>
      </c>
      <c r="B79" s="68" t="s">
        <v>839</v>
      </c>
      <c r="C79" s="157">
        <f>C80+C81</f>
        <v>5475418.2199999997</v>
      </c>
      <c r="D79" s="157">
        <f>D80+D81</f>
        <v>99793.96</v>
      </c>
      <c r="E79" s="157">
        <f>E80+E81</f>
        <v>7396767.54</v>
      </c>
      <c r="F79" s="157">
        <f>F80+F81</f>
        <v>50893.49</v>
      </c>
      <c r="G79" s="141">
        <f t="shared" si="3"/>
        <v>1921349.3200000003</v>
      </c>
      <c r="H79" s="142">
        <f t="shared" si="3"/>
        <v>-48900.470000000008</v>
      </c>
    </row>
    <row r="80" spans="1:9" x14ac:dyDescent="0.25">
      <c r="A80" s="50">
        <f t="shared" si="2"/>
        <v>75</v>
      </c>
      <c r="B80" s="68" t="s">
        <v>703</v>
      </c>
      <c r="C80" s="157">
        <v>24426.17</v>
      </c>
      <c r="D80" s="157">
        <v>4.99</v>
      </c>
      <c r="E80" s="157">
        <v>2526932.34</v>
      </c>
      <c r="F80" s="157">
        <v>1764.32</v>
      </c>
      <c r="G80" s="145">
        <f t="shared" si="3"/>
        <v>2502506.17</v>
      </c>
      <c r="H80" s="187">
        <f t="shared" si="3"/>
        <v>1759.33</v>
      </c>
      <c r="I80" s="170"/>
    </row>
    <row r="81" spans="1:10" x14ac:dyDescent="0.25">
      <c r="A81" s="50">
        <f t="shared" si="2"/>
        <v>76</v>
      </c>
      <c r="B81" s="68" t="s">
        <v>14</v>
      </c>
      <c r="C81" s="157">
        <f>SUM(C82:C89)</f>
        <v>5450992.0499999998</v>
      </c>
      <c r="D81" s="157">
        <f>SUM(D82:D89)</f>
        <v>99788.97</v>
      </c>
      <c r="E81" s="157">
        <f>SUM(E82:E89)</f>
        <v>4869835.2</v>
      </c>
      <c r="F81" s="157">
        <f>SUM(F82:F89)</f>
        <v>49129.17</v>
      </c>
      <c r="G81" s="141">
        <f t="shared" si="3"/>
        <v>-581156.84999999963</v>
      </c>
      <c r="H81" s="142">
        <f t="shared" si="3"/>
        <v>-50659.8</v>
      </c>
    </row>
    <row r="82" spans="1:10" x14ac:dyDescent="0.25">
      <c r="A82" s="50">
        <f t="shared" si="2"/>
        <v>77</v>
      </c>
      <c r="B82" s="67" t="s">
        <v>573</v>
      </c>
      <c r="C82" s="114">
        <v>2088649.37</v>
      </c>
      <c r="D82" s="114"/>
      <c r="E82" s="114">
        <v>2154547.9700000002</v>
      </c>
      <c r="F82" s="114"/>
      <c r="G82" s="145">
        <f t="shared" si="3"/>
        <v>65898.600000000093</v>
      </c>
      <c r="H82" s="187">
        <f t="shared" si="3"/>
        <v>0</v>
      </c>
    </row>
    <row r="83" spans="1:10" x14ac:dyDescent="0.25">
      <c r="A83" s="50">
        <f t="shared" si="2"/>
        <v>78</v>
      </c>
      <c r="B83" s="67" t="s">
        <v>89</v>
      </c>
      <c r="C83" s="114">
        <v>4447.91</v>
      </c>
      <c r="D83" s="114">
        <v>298.25</v>
      </c>
      <c r="E83" s="114">
        <v>3529.53</v>
      </c>
      <c r="F83" s="114">
        <v>281.55</v>
      </c>
      <c r="G83" s="145">
        <f t="shared" si="3"/>
        <v>-918.37999999999965</v>
      </c>
      <c r="H83" s="187">
        <f t="shared" si="3"/>
        <v>-16.699999999999989</v>
      </c>
    </row>
    <row r="84" spans="1:10" x14ac:dyDescent="0.25">
      <c r="A84" s="50">
        <f t="shared" si="2"/>
        <v>79</v>
      </c>
      <c r="B84" s="67" t="s">
        <v>90</v>
      </c>
      <c r="C84" s="114">
        <v>0</v>
      </c>
      <c r="D84" s="114"/>
      <c r="E84" s="114"/>
      <c r="F84" s="114"/>
      <c r="G84" s="145">
        <f t="shared" si="3"/>
        <v>0</v>
      </c>
      <c r="H84" s="187">
        <f t="shared" si="3"/>
        <v>0</v>
      </c>
    </row>
    <row r="85" spans="1:10" ht="31.5" x14ac:dyDescent="0.25">
      <c r="A85" s="50">
        <f t="shared" si="2"/>
        <v>80</v>
      </c>
      <c r="B85" s="67" t="s">
        <v>607</v>
      </c>
      <c r="C85" s="114">
        <v>56111.05</v>
      </c>
      <c r="D85" s="114">
        <f>-27.04+735.39</f>
        <v>708.35</v>
      </c>
      <c r="E85" s="114">
        <v>52817.54</v>
      </c>
      <c r="F85" s="114">
        <v>844.09</v>
      </c>
      <c r="G85" s="145">
        <f t="shared" si="3"/>
        <v>-3293.510000000002</v>
      </c>
      <c r="H85" s="187">
        <f t="shared" si="3"/>
        <v>135.74</v>
      </c>
      <c r="I85" s="170"/>
      <c r="J85" s="241"/>
    </row>
    <row r="86" spans="1:10" x14ac:dyDescent="0.25">
      <c r="A86" s="50">
        <f t="shared" si="2"/>
        <v>81</v>
      </c>
      <c r="B86" s="67" t="s">
        <v>711</v>
      </c>
      <c r="C86" s="114">
        <v>38831.94</v>
      </c>
      <c r="D86" s="114">
        <v>0</v>
      </c>
      <c r="E86" s="114">
        <v>34413.96</v>
      </c>
      <c r="F86" s="114"/>
      <c r="G86" s="145">
        <f t="shared" si="3"/>
        <v>-4417.9800000000032</v>
      </c>
      <c r="H86" s="187">
        <f t="shared" si="3"/>
        <v>0</v>
      </c>
    </row>
    <row r="87" spans="1:10" x14ac:dyDescent="0.25">
      <c r="A87" s="50" t="s">
        <v>709</v>
      </c>
      <c r="B87" s="189" t="s">
        <v>708</v>
      </c>
      <c r="C87" s="114">
        <v>0</v>
      </c>
      <c r="D87" s="114">
        <v>0</v>
      </c>
      <c r="E87" s="114"/>
      <c r="F87" s="114"/>
      <c r="G87" s="145">
        <f t="shared" ref="G87" si="4">E87-C87</f>
        <v>0</v>
      </c>
      <c r="H87" s="187">
        <f t="shared" ref="H87" si="5">F87-D87</f>
        <v>0</v>
      </c>
    </row>
    <row r="88" spans="1:10" x14ac:dyDescent="0.25">
      <c r="A88" s="50">
        <f>A86+1</f>
        <v>82</v>
      </c>
      <c r="B88" s="67" t="s">
        <v>712</v>
      </c>
      <c r="C88" s="114">
        <v>3630</v>
      </c>
      <c r="D88" s="114">
        <v>0</v>
      </c>
      <c r="E88" s="114">
        <v>4090</v>
      </c>
      <c r="F88" s="114"/>
      <c r="G88" s="145">
        <f t="shared" si="3"/>
        <v>460</v>
      </c>
      <c r="H88" s="187">
        <f t="shared" si="3"/>
        <v>0</v>
      </c>
    </row>
    <row r="89" spans="1:10" x14ac:dyDescent="0.25">
      <c r="A89" s="50">
        <f t="shared" si="2"/>
        <v>83</v>
      </c>
      <c r="B89" s="67" t="s">
        <v>840</v>
      </c>
      <c r="C89" s="114">
        <f>21341+3237980.78</f>
        <v>3259321.78</v>
      </c>
      <c r="D89" s="114">
        <f>39.9+98742.47</f>
        <v>98782.37</v>
      </c>
      <c r="E89" s="114">
        <f>35683.04+2584753.16</f>
        <v>2620436.2000000002</v>
      </c>
      <c r="F89" s="114">
        <f>0.11+48003.42</f>
        <v>48003.53</v>
      </c>
      <c r="G89" s="145">
        <f t="shared" si="3"/>
        <v>-638885.57999999961</v>
      </c>
      <c r="H89" s="187">
        <f t="shared" si="3"/>
        <v>-50778.84</v>
      </c>
    </row>
    <row r="90" spans="1:10" ht="31.5" x14ac:dyDescent="0.25">
      <c r="A90" s="50">
        <f t="shared" si="2"/>
        <v>84</v>
      </c>
      <c r="B90" s="68" t="s">
        <v>841</v>
      </c>
      <c r="C90" s="157">
        <f>SUM(C91:C99)</f>
        <v>5777339.6799999997</v>
      </c>
      <c r="D90" s="157">
        <f>SUM(D91:D99)</f>
        <v>28315.39</v>
      </c>
      <c r="E90" s="157">
        <f>SUM(E91:E99)</f>
        <v>6565877.9700000007</v>
      </c>
      <c r="F90" s="157">
        <f>SUM(F91:F99)</f>
        <v>61186.5</v>
      </c>
      <c r="G90" s="141">
        <f t="shared" si="3"/>
        <v>788538.29000000097</v>
      </c>
      <c r="H90" s="142">
        <f t="shared" si="3"/>
        <v>32871.11</v>
      </c>
    </row>
    <row r="91" spans="1:10" ht="31.5" customHeight="1" x14ac:dyDescent="0.25">
      <c r="A91" s="50">
        <f t="shared" si="2"/>
        <v>85</v>
      </c>
      <c r="B91" s="67" t="s">
        <v>601</v>
      </c>
      <c r="C91" s="114">
        <v>513833.26</v>
      </c>
      <c r="D91" s="114"/>
      <c r="E91" s="114">
        <v>462494.82</v>
      </c>
      <c r="F91" s="114"/>
      <c r="G91" s="145">
        <f t="shared" si="3"/>
        <v>-51338.44</v>
      </c>
      <c r="H91" s="187">
        <f t="shared" si="3"/>
        <v>0</v>
      </c>
    </row>
    <row r="92" spans="1:10" ht="60" customHeight="1" x14ac:dyDescent="0.25">
      <c r="A92" s="50">
        <f t="shared" si="2"/>
        <v>86</v>
      </c>
      <c r="B92" s="67" t="s">
        <v>705</v>
      </c>
      <c r="C92" s="114">
        <v>1127244.1399999999</v>
      </c>
      <c r="D92" s="114">
        <v>28315.39</v>
      </c>
      <c r="E92" s="114">
        <f>1263829.28+707.98</f>
        <v>1264537.26</v>
      </c>
      <c r="F92" s="114">
        <v>61186.5</v>
      </c>
      <c r="G92" s="145">
        <f t="shared" si="3"/>
        <v>137293.12000000011</v>
      </c>
      <c r="H92" s="187">
        <f t="shared" si="3"/>
        <v>32871.11</v>
      </c>
      <c r="I92" s="190"/>
    </row>
    <row r="93" spans="1:10" ht="31.5" x14ac:dyDescent="0.25">
      <c r="A93" s="50" t="s">
        <v>555</v>
      </c>
      <c r="B93" s="67" t="s">
        <v>842</v>
      </c>
      <c r="C93" s="114">
        <v>4083479.68</v>
      </c>
      <c r="D93" s="114"/>
      <c r="E93" s="114">
        <v>4789771.99</v>
      </c>
      <c r="F93" s="114"/>
      <c r="G93" s="145">
        <f>E93-C93</f>
        <v>706292.31</v>
      </c>
      <c r="H93" s="187">
        <f>F93-D93</f>
        <v>0</v>
      </c>
    </row>
    <row r="94" spans="1:10" x14ac:dyDescent="0.25">
      <c r="A94" s="50">
        <f>A92+1</f>
        <v>87</v>
      </c>
      <c r="B94" s="67" t="s">
        <v>704</v>
      </c>
      <c r="C94" s="114">
        <v>5860</v>
      </c>
      <c r="D94" s="114"/>
      <c r="E94" s="114">
        <v>106</v>
      </c>
      <c r="F94" s="114"/>
      <c r="G94" s="145">
        <f t="shared" si="3"/>
        <v>-5754</v>
      </c>
      <c r="H94" s="187">
        <f t="shared" si="3"/>
        <v>0</v>
      </c>
    </row>
    <row r="95" spans="1:10" x14ac:dyDescent="0.25">
      <c r="A95" s="50">
        <f t="shared" si="2"/>
        <v>88</v>
      </c>
      <c r="B95" s="67" t="s">
        <v>104</v>
      </c>
      <c r="C95" s="114"/>
      <c r="D95" s="114"/>
      <c r="E95" s="114"/>
      <c r="F95" s="114"/>
      <c r="G95" s="145">
        <f t="shared" si="3"/>
        <v>0</v>
      </c>
      <c r="H95" s="187">
        <f t="shared" si="3"/>
        <v>0</v>
      </c>
    </row>
    <row r="96" spans="1:10" x14ac:dyDescent="0.25">
      <c r="A96" s="50">
        <f t="shared" si="2"/>
        <v>89</v>
      </c>
      <c r="B96" s="67" t="s">
        <v>105</v>
      </c>
      <c r="C96" s="114">
        <v>46922.6</v>
      </c>
      <c r="D96" s="114"/>
      <c r="E96" s="114">
        <v>48967.9</v>
      </c>
      <c r="F96" s="114"/>
      <c r="G96" s="145">
        <f t="shared" si="3"/>
        <v>2045.3000000000029</v>
      </c>
      <c r="H96" s="187">
        <f t="shared" si="3"/>
        <v>0</v>
      </c>
    </row>
    <row r="97" spans="1:10" ht="31.5" x14ac:dyDescent="0.25">
      <c r="A97" s="50">
        <f t="shared" si="2"/>
        <v>90</v>
      </c>
      <c r="B97" s="242" t="s">
        <v>710</v>
      </c>
      <c r="C97" s="114"/>
      <c r="D97" s="114"/>
      <c r="E97" s="114"/>
      <c r="F97" s="114"/>
      <c r="G97" s="145">
        <f t="shared" si="3"/>
        <v>0</v>
      </c>
      <c r="H97" s="187">
        <f t="shared" si="3"/>
        <v>0</v>
      </c>
      <c r="I97" s="170"/>
      <c r="J97" s="170"/>
    </row>
    <row r="98" spans="1:10" ht="32.25" customHeight="1" x14ac:dyDescent="0.25">
      <c r="A98" s="50">
        <f t="shared" si="2"/>
        <v>91</v>
      </c>
      <c r="B98" s="10" t="s">
        <v>617</v>
      </c>
      <c r="C98" s="114"/>
      <c r="D98" s="114"/>
      <c r="E98" s="114"/>
      <c r="F98" s="114"/>
      <c r="G98" s="145">
        <f t="shared" ref="G98" si="6">E98-C98</f>
        <v>0</v>
      </c>
      <c r="H98" s="187">
        <f t="shared" ref="H98" si="7">F98-D98</f>
        <v>0</v>
      </c>
    </row>
    <row r="99" spans="1:10" x14ac:dyDescent="0.25">
      <c r="A99" s="50">
        <f>A98+1</f>
        <v>92</v>
      </c>
      <c r="B99" s="67" t="s">
        <v>615</v>
      </c>
      <c r="C99" s="114"/>
      <c r="D99" s="114"/>
      <c r="E99" s="114"/>
      <c r="F99" s="114"/>
      <c r="G99" s="145">
        <f t="shared" si="3"/>
        <v>0</v>
      </c>
      <c r="H99" s="187">
        <f t="shared" si="3"/>
        <v>0</v>
      </c>
    </row>
    <row r="100" spans="1:10" x14ac:dyDescent="0.25">
      <c r="A100" s="50">
        <f t="shared" si="2"/>
        <v>93</v>
      </c>
      <c r="B100" s="68" t="s">
        <v>843</v>
      </c>
      <c r="C100" s="114">
        <v>24394</v>
      </c>
      <c r="D100" s="114"/>
      <c r="E100" s="114">
        <v>19905</v>
      </c>
      <c r="F100" s="114"/>
      <c r="G100" s="145">
        <f t="shared" si="3"/>
        <v>-4489</v>
      </c>
      <c r="H100" s="187">
        <f t="shared" si="3"/>
        <v>0</v>
      </c>
    </row>
    <row r="101" spans="1:10" x14ac:dyDescent="0.25">
      <c r="A101" s="50">
        <f>A100+1</f>
        <v>94</v>
      </c>
      <c r="B101" s="68" t="s">
        <v>844</v>
      </c>
      <c r="C101" s="114">
        <v>373.81</v>
      </c>
      <c r="D101" s="114">
        <v>55384.92</v>
      </c>
      <c r="E101" s="114">
        <v>324.58</v>
      </c>
      <c r="F101" s="114">
        <v>14208.87</v>
      </c>
      <c r="G101" s="145">
        <f t="shared" si="3"/>
        <v>-49.230000000000018</v>
      </c>
      <c r="H101" s="187">
        <f t="shared" si="3"/>
        <v>-41176.049999999996</v>
      </c>
    </row>
    <row r="102" spans="1:10" ht="32.25" thickBot="1" x14ac:dyDescent="0.3">
      <c r="A102" s="30">
        <f t="shared" si="2"/>
        <v>95</v>
      </c>
      <c r="B102" s="69" t="s">
        <v>622</v>
      </c>
      <c r="C102" s="96">
        <f>C6+C19+C27+C32+C40+C43+C44+C60+C66+C67+C68+C75+C76+C77+C78+C79+C90+C100+C101</f>
        <v>50909044.959999993</v>
      </c>
      <c r="D102" s="96">
        <f t="shared" ref="D102:F102" si="8">D6+D19+D27+D32+D40+D43+D44+D60+D66+D67+D68+D75+D76+D77+D78+D79+D90+D100+D101</f>
        <v>1855623.4599999997</v>
      </c>
      <c r="E102" s="96">
        <f t="shared" si="8"/>
        <v>55335283.449999996</v>
      </c>
      <c r="F102" s="96">
        <f t="shared" si="8"/>
        <v>1524654.94</v>
      </c>
      <c r="G102" s="191">
        <f>E102-C102</f>
        <v>4426238.4900000021</v>
      </c>
      <c r="H102" s="151">
        <f>F102-D102</f>
        <v>-330968.51999999979</v>
      </c>
    </row>
    <row r="103" spans="1:10" x14ac:dyDescent="0.25">
      <c r="A103" s="192"/>
      <c r="D103" s="194"/>
      <c r="E103" s="194"/>
      <c r="F103" s="194"/>
    </row>
    <row r="105" spans="1:10" x14ac:dyDescent="0.25">
      <c r="C105" s="160"/>
      <c r="D105" s="194"/>
      <c r="E105" s="160"/>
      <c r="F105" s="160"/>
    </row>
    <row r="972" spans="6:6" x14ac:dyDescent="0.25">
      <c r="F972" s="9" t="s">
        <v>255</v>
      </c>
    </row>
    <row r="991" spans="4:4" x14ac:dyDescent="0.25">
      <c r="D991" s="9" t="s">
        <v>254</v>
      </c>
    </row>
  </sheetData>
  <mergeCells count="7">
    <mergeCell ref="A1:H1"/>
    <mergeCell ref="A2:H2"/>
    <mergeCell ref="A3:A4"/>
    <mergeCell ref="B3:B4"/>
    <mergeCell ref="C3:D3"/>
    <mergeCell ref="E3:F3"/>
    <mergeCell ref="G3:H3"/>
  </mergeCells>
  <printOptions gridLines="1"/>
  <pageMargins left="0.74803149606299213" right="0.63" top="0.64" bottom="0.39370078740157483" header="0.39370078740157483" footer="0.23622047244094491"/>
  <pageSetup paperSize="9" scale="70" fitToWidth="3" fitToHeight="3" orientation="landscape" r:id="rId1"/>
  <headerFooter alignWithMargins="0">
    <oddFooter xml:space="preserve">&amp;C &amp;P z &amp;N  </oddFooter>
  </headerFooter>
  <rowBreaks count="2" manualBreakCount="2">
    <brk id="39" max="7" man="1"/>
    <brk id="78"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0">
    <tabColor indexed="42"/>
    <pageSetUpPr fitToPage="1"/>
  </sheetPr>
  <dimension ref="A1:K33"/>
  <sheetViews>
    <sheetView zoomScaleNormal="100" workbookViewId="0">
      <pane xSplit="2" ySplit="6" topLeftCell="C7" activePane="bottomRight" state="frozen"/>
      <selection pane="topRight" activeCell="C1" sqref="C1"/>
      <selection pane="bottomLeft" activeCell="A7" sqref="A7"/>
      <selection pane="bottomRight" activeCell="A2" sqref="A2:K2"/>
    </sheetView>
  </sheetViews>
  <sheetFormatPr defaultRowHeight="15.75" x14ac:dyDescent="0.2"/>
  <cols>
    <col min="1" max="1" width="5.5703125" style="136" customWidth="1"/>
    <col min="2" max="2" width="65.42578125" style="137" customWidth="1"/>
    <col min="3" max="3" width="14.7109375" style="24" customWidth="1"/>
    <col min="4" max="4" width="14" style="24" customWidth="1"/>
    <col min="5" max="5" width="15.85546875" style="24" customWidth="1"/>
    <col min="6" max="6" width="15.7109375" style="24" customWidth="1"/>
    <col min="7" max="7" width="19.140625" style="24" customWidth="1"/>
    <col min="8" max="8" width="18.7109375" style="24" customWidth="1"/>
    <col min="9" max="9" width="16.28515625" style="24" customWidth="1"/>
    <col min="10" max="10" width="18.42578125" style="24" bestFit="1" customWidth="1"/>
    <col min="11" max="11" width="13.28515625" style="24" customWidth="1"/>
    <col min="12" max="16384" width="9.140625" style="24"/>
  </cols>
  <sheetData>
    <row r="1" spans="1:11" ht="35.1" customHeight="1" thickBot="1" x14ac:dyDescent="0.25">
      <c r="A1" s="499" t="s">
        <v>646</v>
      </c>
      <c r="B1" s="500"/>
      <c r="C1" s="500"/>
      <c r="D1" s="500"/>
      <c r="E1" s="500"/>
      <c r="F1" s="500"/>
      <c r="G1" s="500"/>
      <c r="H1" s="500"/>
      <c r="I1" s="500"/>
      <c r="J1" s="500"/>
      <c r="K1" s="500"/>
    </row>
    <row r="2" spans="1:11" ht="35.450000000000003" customHeight="1" x14ac:dyDescent="0.2">
      <c r="A2" s="469" t="s">
        <v>724</v>
      </c>
      <c r="B2" s="470"/>
      <c r="C2" s="470"/>
      <c r="D2" s="470"/>
      <c r="E2" s="470"/>
      <c r="F2" s="470"/>
      <c r="G2" s="470"/>
      <c r="H2" s="470"/>
      <c r="I2" s="470"/>
      <c r="J2" s="470"/>
      <c r="K2" s="471"/>
    </row>
    <row r="3" spans="1:11" ht="42.75" customHeight="1" x14ac:dyDescent="0.2">
      <c r="A3" s="497" t="s">
        <v>137</v>
      </c>
      <c r="B3" s="492" t="s">
        <v>152</v>
      </c>
      <c r="C3" s="503" t="s">
        <v>645</v>
      </c>
      <c r="D3" s="503"/>
      <c r="E3" s="503"/>
      <c r="F3" s="503"/>
      <c r="G3" s="503" t="s">
        <v>567</v>
      </c>
      <c r="H3" s="503" t="s">
        <v>198</v>
      </c>
      <c r="I3" s="503" t="s">
        <v>569</v>
      </c>
      <c r="J3" s="501" t="s">
        <v>570</v>
      </c>
      <c r="K3" s="505" t="s">
        <v>609</v>
      </c>
    </row>
    <row r="4" spans="1:11" ht="34.5" customHeight="1" x14ac:dyDescent="0.2">
      <c r="A4" s="498"/>
      <c r="B4" s="496"/>
      <c r="C4" s="504" t="s">
        <v>150</v>
      </c>
      <c r="D4" s="121" t="s">
        <v>198</v>
      </c>
      <c r="E4" s="504" t="s">
        <v>151</v>
      </c>
      <c r="F4" s="504" t="s">
        <v>122</v>
      </c>
      <c r="G4" s="504"/>
      <c r="H4" s="504"/>
      <c r="I4" s="504"/>
      <c r="J4" s="502"/>
      <c r="K4" s="505"/>
    </row>
    <row r="5" spans="1:11" s="195" customFormat="1" ht="63" x14ac:dyDescent="0.2">
      <c r="A5" s="498"/>
      <c r="B5" s="496"/>
      <c r="C5" s="504"/>
      <c r="D5" s="121" t="s">
        <v>552</v>
      </c>
      <c r="E5" s="504"/>
      <c r="F5" s="504"/>
      <c r="G5" s="504"/>
      <c r="H5" s="121" t="s">
        <v>568</v>
      </c>
      <c r="I5" s="504"/>
      <c r="J5" s="502"/>
      <c r="K5" s="506"/>
    </row>
    <row r="6" spans="1:11" s="197" customFormat="1" ht="18" customHeight="1" x14ac:dyDescent="0.2">
      <c r="A6" s="32"/>
      <c r="B6" s="11"/>
      <c r="C6" s="121" t="s">
        <v>184</v>
      </c>
      <c r="D6" s="121" t="s">
        <v>185</v>
      </c>
      <c r="E6" s="121" t="s">
        <v>186</v>
      </c>
      <c r="F6" s="121" t="s">
        <v>123</v>
      </c>
      <c r="G6" s="121" t="s">
        <v>187</v>
      </c>
      <c r="H6" s="121" t="s">
        <v>188</v>
      </c>
      <c r="I6" s="121" t="s">
        <v>189</v>
      </c>
      <c r="J6" s="119" t="s">
        <v>124</v>
      </c>
      <c r="K6" s="196" t="s">
        <v>610</v>
      </c>
    </row>
    <row r="7" spans="1:11" s="133" customFormat="1" x14ac:dyDescent="0.2">
      <c r="A7" s="7">
        <v>1</v>
      </c>
      <c r="B7" s="11" t="s">
        <v>181</v>
      </c>
      <c r="C7" s="157">
        <f>SUM(C8:C12)</f>
        <v>576.46999999999991</v>
      </c>
      <c r="D7" s="157">
        <f>SUM(D8:D12)</f>
        <v>574.63</v>
      </c>
      <c r="E7" s="157">
        <f>SUM(E8:E12)</f>
        <v>78.790000000000006</v>
      </c>
      <c r="F7" s="157">
        <f t="shared" ref="F7:F13" si="0">C7+E7</f>
        <v>655.25999999999988</v>
      </c>
      <c r="G7" s="157">
        <f>SUM(G8:G12)</f>
        <v>9370090.4900000002</v>
      </c>
      <c r="H7" s="157">
        <f>SUM(H8:H12)</f>
        <v>9187565.2100000009</v>
      </c>
      <c r="I7" s="157">
        <f>SUM(I8:I12)</f>
        <v>3760439.9699999997</v>
      </c>
      <c r="J7" s="198">
        <f t="shared" ref="J7:J13" si="1">G7+I7</f>
        <v>13130530.460000001</v>
      </c>
      <c r="K7" s="199">
        <f>IF(F7=0,0,J7/F7/12)</f>
        <v>1669.8880927672481</v>
      </c>
    </row>
    <row r="8" spans="1:11" x14ac:dyDescent="0.2">
      <c r="A8" s="7">
        <v>2</v>
      </c>
      <c r="B8" s="10" t="s">
        <v>611</v>
      </c>
      <c r="C8" s="200">
        <v>84.24</v>
      </c>
      <c r="D8" s="200">
        <v>84.24</v>
      </c>
      <c r="E8" s="200">
        <v>21.18</v>
      </c>
      <c r="F8" s="157">
        <f t="shared" si="0"/>
        <v>105.41999999999999</v>
      </c>
      <c r="G8" s="200">
        <v>2169800.85</v>
      </c>
      <c r="H8" s="200">
        <v>2120141.31</v>
      </c>
      <c r="I8" s="200">
        <v>1131301.5</v>
      </c>
      <c r="J8" s="198">
        <f t="shared" si="1"/>
        <v>3301102.35</v>
      </c>
      <c r="K8" s="199">
        <f t="shared" ref="K8:K30" si="2">IF(F8=0,0,J8/F8/12)</f>
        <v>2609.4845617529886</v>
      </c>
    </row>
    <row r="9" spans="1:11" x14ac:dyDescent="0.2">
      <c r="A9" s="7">
        <v>3</v>
      </c>
      <c r="B9" s="10" t="s">
        <v>153</v>
      </c>
      <c r="C9" s="200">
        <v>120.8</v>
      </c>
      <c r="D9" s="200">
        <v>120.8</v>
      </c>
      <c r="E9" s="200">
        <v>14.25</v>
      </c>
      <c r="F9" s="157">
        <f t="shared" si="0"/>
        <v>135.05000000000001</v>
      </c>
      <c r="G9" s="200">
        <v>2389208.9</v>
      </c>
      <c r="H9" s="200">
        <v>2347400.12</v>
      </c>
      <c r="I9" s="200">
        <v>706481.56</v>
      </c>
      <c r="J9" s="198">
        <f t="shared" si="1"/>
        <v>3095690.46</v>
      </c>
      <c r="K9" s="199">
        <f t="shared" si="2"/>
        <v>1910.2125509070713</v>
      </c>
    </row>
    <row r="10" spans="1:11" x14ac:dyDescent="0.2">
      <c r="A10" s="7">
        <v>4</v>
      </c>
      <c r="B10" s="10" t="s">
        <v>154</v>
      </c>
      <c r="C10" s="200">
        <v>315.02</v>
      </c>
      <c r="D10" s="200">
        <v>313.2</v>
      </c>
      <c r="E10" s="200">
        <v>34.46</v>
      </c>
      <c r="F10" s="157">
        <f t="shared" si="0"/>
        <v>349.47999999999996</v>
      </c>
      <c r="G10" s="200">
        <v>4260866.41</v>
      </c>
      <c r="H10" s="200">
        <v>4171409.8</v>
      </c>
      <c r="I10" s="200">
        <v>1632230.2</v>
      </c>
      <c r="J10" s="198">
        <f t="shared" si="1"/>
        <v>5893096.6100000003</v>
      </c>
      <c r="K10" s="199">
        <f t="shared" si="2"/>
        <v>1405.2059750677199</v>
      </c>
    </row>
    <row r="11" spans="1:11" x14ac:dyDescent="0.2">
      <c r="A11" s="7">
        <v>5</v>
      </c>
      <c r="B11" s="10" t="s">
        <v>155</v>
      </c>
      <c r="C11" s="200">
        <v>46.62</v>
      </c>
      <c r="D11" s="200">
        <v>46.6</v>
      </c>
      <c r="E11" s="200">
        <v>2.81</v>
      </c>
      <c r="F11" s="157">
        <f t="shared" si="0"/>
        <v>49.43</v>
      </c>
      <c r="G11" s="200">
        <v>443998.03</v>
      </c>
      <c r="H11" s="200">
        <v>442398.1</v>
      </c>
      <c r="I11" s="200">
        <v>219973.52</v>
      </c>
      <c r="J11" s="198">
        <f t="shared" si="1"/>
        <v>663971.55000000005</v>
      </c>
      <c r="K11" s="199">
        <f t="shared" si="2"/>
        <v>1119.3801840987255</v>
      </c>
    </row>
    <row r="12" spans="1:11" x14ac:dyDescent="0.2">
      <c r="A12" s="7">
        <v>6</v>
      </c>
      <c r="B12" s="10" t="s">
        <v>156</v>
      </c>
      <c r="C12" s="200">
        <v>9.7899999999999991</v>
      </c>
      <c r="D12" s="200">
        <v>9.7899999999999991</v>
      </c>
      <c r="E12" s="200">
        <v>6.09</v>
      </c>
      <c r="F12" s="157">
        <f t="shared" si="0"/>
        <v>15.879999999999999</v>
      </c>
      <c r="G12" s="200">
        <v>106216.3</v>
      </c>
      <c r="H12" s="200">
        <v>106215.88</v>
      </c>
      <c r="I12" s="200">
        <v>70453.19</v>
      </c>
      <c r="J12" s="198">
        <f t="shared" si="1"/>
        <v>176669.49</v>
      </c>
      <c r="K12" s="199">
        <f t="shared" si="2"/>
        <v>927.10689546599497</v>
      </c>
    </row>
    <row r="13" spans="1:11" x14ac:dyDescent="0.2">
      <c r="A13" s="7">
        <v>7</v>
      </c>
      <c r="B13" s="11" t="s">
        <v>38</v>
      </c>
      <c r="C13" s="200">
        <v>165.42</v>
      </c>
      <c r="D13" s="200">
        <v>165.42400000000001</v>
      </c>
      <c r="E13" s="200">
        <v>32.15</v>
      </c>
      <c r="F13" s="157">
        <f t="shared" si="0"/>
        <v>197.57</v>
      </c>
      <c r="G13" s="200">
        <v>1695389.55</v>
      </c>
      <c r="H13" s="200">
        <v>1690906.44</v>
      </c>
      <c r="I13" s="200">
        <v>519835.09</v>
      </c>
      <c r="J13" s="198">
        <f t="shared" si="1"/>
        <v>2215224.64</v>
      </c>
      <c r="K13" s="199">
        <f t="shared" si="2"/>
        <v>934.36277437532692</v>
      </c>
    </row>
    <row r="14" spans="1:11" x14ac:dyDescent="0.2">
      <c r="A14" s="7"/>
      <c r="B14" s="10" t="s">
        <v>198</v>
      </c>
      <c r="C14" s="200"/>
      <c r="D14" s="200"/>
      <c r="E14" s="200"/>
      <c r="F14" s="157"/>
      <c r="G14" s="200"/>
      <c r="H14" s="200"/>
      <c r="I14" s="200"/>
      <c r="J14" s="198"/>
      <c r="K14" s="199"/>
    </row>
    <row r="15" spans="1:11" x14ac:dyDescent="0.2">
      <c r="A15" s="7">
        <v>8</v>
      </c>
      <c r="B15" s="10" t="s">
        <v>42</v>
      </c>
      <c r="C15" s="200">
        <v>40.950000000000003</v>
      </c>
      <c r="D15" s="200">
        <v>40.951000000000001</v>
      </c>
      <c r="E15" s="200">
        <v>7.59</v>
      </c>
      <c r="F15" s="157">
        <f t="shared" ref="F15:F21" si="3">C15+E15</f>
        <v>48.540000000000006</v>
      </c>
      <c r="G15" s="200">
        <v>541624.17000000004</v>
      </c>
      <c r="H15" s="200">
        <v>541624.17000000004</v>
      </c>
      <c r="I15" s="200">
        <v>153953.96</v>
      </c>
      <c r="J15" s="198">
        <f t="shared" ref="J15:J21" si="4">G15+I15</f>
        <v>695578.13</v>
      </c>
      <c r="K15" s="199">
        <f t="shared" si="2"/>
        <v>1194.1665464908665</v>
      </c>
    </row>
    <row r="16" spans="1:11" x14ac:dyDescent="0.2">
      <c r="A16" s="7">
        <v>9</v>
      </c>
      <c r="B16" s="11" t="s">
        <v>182</v>
      </c>
      <c r="C16" s="157">
        <f>SUM(C17:C19)</f>
        <v>182.76</v>
      </c>
      <c r="D16" s="157">
        <f>SUM(D17:D19)</f>
        <v>182.74</v>
      </c>
      <c r="E16" s="157">
        <f>SUM(E17:E19)</f>
        <v>35.64</v>
      </c>
      <c r="F16" s="157">
        <f t="shared" si="3"/>
        <v>218.39999999999998</v>
      </c>
      <c r="G16" s="157">
        <f>SUM(G17:G19)</f>
        <v>1903717.5699999998</v>
      </c>
      <c r="H16" s="157">
        <f>SUM(H17:H19)</f>
        <v>1899911</v>
      </c>
      <c r="I16" s="157">
        <f>SUM(I17:I19)</f>
        <v>540352.18000000005</v>
      </c>
      <c r="J16" s="198">
        <f t="shared" si="4"/>
        <v>2444069.75</v>
      </c>
      <c r="K16" s="199">
        <f t="shared" si="2"/>
        <v>932.56629655067172</v>
      </c>
    </row>
    <row r="17" spans="1:11" x14ac:dyDescent="0.2">
      <c r="A17" s="7">
        <v>10</v>
      </c>
      <c r="B17" s="10" t="s">
        <v>157</v>
      </c>
      <c r="C17" s="200">
        <v>73.790000000000006</v>
      </c>
      <c r="D17" s="200">
        <v>73.78</v>
      </c>
      <c r="E17" s="200">
        <v>2.94</v>
      </c>
      <c r="F17" s="157">
        <f t="shared" si="3"/>
        <v>76.73</v>
      </c>
      <c r="G17" s="200">
        <v>855604.83</v>
      </c>
      <c r="H17" s="200">
        <v>851797.26</v>
      </c>
      <c r="I17" s="200">
        <v>37625.480000000003</v>
      </c>
      <c r="J17" s="198">
        <f t="shared" si="4"/>
        <v>893230.30999999994</v>
      </c>
      <c r="K17" s="199">
        <f t="shared" si="2"/>
        <v>970.10112298535978</v>
      </c>
    </row>
    <row r="18" spans="1:11" x14ac:dyDescent="0.2">
      <c r="A18" s="7">
        <v>11</v>
      </c>
      <c r="B18" s="10" t="s">
        <v>125</v>
      </c>
      <c r="C18" s="200">
        <v>67.02</v>
      </c>
      <c r="D18" s="200">
        <v>67.02</v>
      </c>
      <c r="E18" s="200">
        <v>21.14</v>
      </c>
      <c r="F18" s="157">
        <f t="shared" si="3"/>
        <v>88.16</v>
      </c>
      <c r="G18" s="200">
        <v>721944.36</v>
      </c>
      <c r="H18" s="200">
        <v>721945.36</v>
      </c>
      <c r="I18" s="200">
        <v>352645.28</v>
      </c>
      <c r="J18" s="198">
        <f t="shared" si="4"/>
        <v>1074589.6400000001</v>
      </c>
      <c r="K18" s="199">
        <f t="shared" si="2"/>
        <v>1015.7569948578343</v>
      </c>
    </row>
    <row r="19" spans="1:11" x14ac:dyDescent="0.2">
      <c r="A19" s="7">
        <v>12</v>
      </c>
      <c r="B19" s="10" t="s">
        <v>107</v>
      </c>
      <c r="C19" s="200">
        <v>41.95</v>
      </c>
      <c r="D19" s="200">
        <v>41.94</v>
      </c>
      <c r="E19" s="200">
        <v>11.56</v>
      </c>
      <c r="F19" s="157">
        <f t="shared" si="3"/>
        <v>53.510000000000005</v>
      </c>
      <c r="G19" s="200">
        <v>326168.38</v>
      </c>
      <c r="H19" s="200">
        <v>326168.38</v>
      </c>
      <c r="I19" s="200">
        <v>150081.42000000001</v>
      </c>
      <c r="J19" s="198">
        <f t="shared" si="4"/>
        <v>476249.80000000005</v>
      </c>
      <c r="K19" s="199">
        <f t="shared" si="2"/>
        <v>741.68348595278133</v>
      </c>
    </row>
    <row r="20" spans="1:11" x14ac:dyDescent="0.2">
      <c r="A20" s="7">
        <v>13</v>
      </c>
      <c r="B20" s="11" t="s">
        <v>179</v>
      </c>
      <c r="C20" s="200">
        <v>102.31</v>
      </c>
      <c r="D20" s="200">
        <v>98</v>
      </c>
      <c r="E20" s="200">
        <v>19.32</v>
      </c>
      <c r="F20" s="157">
        <f t="shared" si="3"/>
        <v>121.63</v>
      </c>
      <c r="G20" s="200">
        <v>1527953</v>
      </c>
      <c r="H20" s="200">
        <v>1459385.59</v>
      </c>
      <c r="I20" s="200">
        <v>639607.49</v>
      </c>
      <c r="J20" s="198">
        <f t="shared" si="4"/>
        <v>2167560.4900000002</v>
      </c>
      <c r="K20" s="199">
        <f t="shared" si="2"/>
        <v>1485.0780303653157</v>
      </c>
    </row>
    <row r="21" spans="1:11" ht="31.5" x14ac:dyDescent="0.2">
      <c r="A21" s="7">
        <v>14</v>
      </c>
      <c r="B21" s="11" t="s">
        <v>39</v>
      </c>
      <c r="C21" s="200">
        <v>143.02000000000001</v>
      </c>
      <c r="D21" s="200">
        <v>143.02199999999999</v>
      </c>
      <c r="E21" s="200">
        <v>12.42</v>
      </c>
      <c r="F21" s="157">
        <f t="shared" si="3"/>
        <v>155.44</v>
      </c>
      <c r="G21" s="200">
        <v>954481.53</v>
      </c>
      <c r="H21" s="200">
        <v>953782.11</v>
      </c>
      <c r="I21" s="200">
        <v>169852.18</v>
      </c>
      <c r="J21" s="198">
        <f t="shared" si="4"/>
        <v>1124333.71</v>
      </c>
      <c r="K21" s="199">
        <f t="shared" si="2"/>
        <v>602.7694019128495</v>
      </c>
    </row>
    <row r="22" spans="1:11" ht="47.25" x14ac:dyDescent="0.2">
      <c r="A22" s="7">
        <v>15</v>
      </c>
      <c r="B22" s="11" t="s">
        <v>214</v>
      </c>
      <c r="C22" s="157">
        <f>SUM(C23:C26)</f>
        <v>36.090000000000003</v>
      </c>
      <c r="D22" s="157">
        <f>SUM(D23:D26)</f>
        <v>36.090000000000003</v>
      </c>
      <c r="E22" s="157">
        <f>SUM(E23:E26)</f>
        <v>3.44</v>
      </c>
      <c r="F22" s="157">
        <f>SUM(F27:F27)</f>
        <v>0</v>
      </c>
      <c r="G22" s="157">
        <f>SUM(G23:G26)</f>
        <v>265873.74</v>
      </c>
      <c r="H22" s="157">
        <f>SUM(H23:H26)</f>
        <v>265873.74</v>
      </c>
      <c r="I22" s="157">
        <f>SUM(I23:I26)</f>
        <v>35665.97</v>
      </c>
      <c r="J22" s="198">
        <f>SUM(J23:J26)</f>
        <v>301539.70999999996</v>
      </c>
      <c r="K22" s="199">
        <f t="shared" si="2"/>
        <v>0</v>
      </c>
    </row>
    <row r="23" spans="1:11" x14ac:dyDescent="0.2">
      <c r="A23" s="7" t="s">
        <v>180</v>
      </c>
      <c r="B23" s="10" t="s">
        <v>788</v>
      </c>
      <c r="C23" s="201">
        <v>36.090000000000003</v>
      </c>
      <c r="D23" s="201">
        <v>36.090000000000003</v>
      </c>
      <c r="E23" s="201">
        <v>3.44</v>
      </c>
      <c r="F23" s="141">
        <f t="shared" ref="F23:F29" si="5">C23+E23</f>
        <v>39.53</v>
      </c>
      <c r="G23" s="201">
        <v>265873.74</v>
      </c>
      <c r="H23" s="201">
        <v>265873.74</v>
      </c>
      <c r="I23" s="201">
        <v>35665.97</v>
      </c>
      <c r="J23" s="198">
        <f>G23+I23</f>
        <v>301539.70999999996</v>
      </c>
      <c r="K23" s="199">
        <f t="shared" si="2"/>
        <v>635.67693313095526</v>
      </c>
    </row>
    <row r="24" spans="1:11" x14ac:dyDescent="0.2">
      <c r="A24" s="7" t="s">
        <v>263</v>
      </c>
      <c r="B24" s="10"/>
      <c r="C24" s="201"/>
      <c r="D24" s="201"/>
      <c r="E24" s="201"/>
      <c r="F24" s="141">
        <f t="shared" si="5"/>
        <v>0</v>
      </c>
      <c r="G24" s="201"/>
      <c r="H24" s="201"/>
      <c r="I24" s="201"/>
      <c r="J24" s="198">
        <f>G24+I24</f>
        <v>0</v>
      </c>
      <c r="K24" s="199">
        <f t="shared" si="2"/>
        <v>0</v>
      </c>
    </row>
    <row r="25" spans="1:11" x14ac:dyDescent="0.2">
      <c r="A25" s="7" t="s">
        <v>264</v>
      </c>
      <c r="B25" s="10"/>
      <c r="C25" s="201"/>
      <c r="D25" s="201"/>
      <c r="E25" s="201"/>
      <c r="F25" s="141">
        <f t="shared" si="5"/>
        <v>0</v>
      </c>
      <c r="G25" s="201"/>
      <c r="H25" s="201"/>
      <c r="I25" s="201"/>
      <c r="J25" s="198">
        <f>G25+I25</f>
        <v>0</v>
      </c>
      <c r="K25" s="199">
        <f t="shared" si="2"/>
        <v>0</v>
      </c>
    </row>
    <row r="26" spans="1:11" ht="16.5" customHeight="1" x14ac:dyDescent="0.2">
      <c r="A26" s="7" t="s">
        <v>265</v>
      </c>
      <c r="B26" s="10"/>
      <c r="C26" s="201"/>
      <c r="D26" s="201"/>
      <c r="E26" s="201"/>
      <c r="F26" s="141">
        <f t="shared" si="5"/>
        <v>0</v>
      </c>
      <c r="G26" s="201"/>
      <c r="H26" s="201"/>
      <c r="I26" s="201"/>
      <c r="J26" s="198">
        <f>G26+I26</f>
        <v>0</v>
      </c>
      <c r="K26" s="199">
        <f t="shared" si="2"/>
        <v>0</v>
      </c>
    </row>
    <row r="27" spans="1:11" x14ac:dyDescent="0.2">
      <c r="A27" s="7"/>
      <c r="B27" s="10"/>
      <c r="C27" s="201"/>
      <c r="D27" s="201"/>
      <c r="E27" s="201"/>
      <c r="F27" s="141">
        <f t="shared" si="5"/>
        <v>0</v>
      </c>
      <c r="G27" s="201"/>
      <c r="H27" s="201"/>
      <c r="I27" s="201"/>
      <c r="J27" s="198"/>
      <c r="K27" s="199"/>
    </row>
    <row r="28" spans="1:11" x14ac:dyDescent="0.2">
      <c r="A28" s="7">
        <v>16</v>
      </c>
      <c r="B28" s="11" t="s">
        <v>40</v>
      </c>
      <c r="C28" s="201">
        <v>47.86</v>
      </c>
      <c r="D28" s="201">
        <v>47.86</v>
      </c>
      <c r="E28" s="201">
        <v>11.56</v>
      </c>
      <c r="F28" s="141">
        <f t="shared" si="5"/>
        <v>59.42</v>
      </c>
      <c r="G28" s="201">
        <v>346525.16</v>
      </c>
      <c r="H28" s="201">
        <v>346525.02</v>
      </c>
      <c r="I28" s="201">
        <v>116591.37</v>
      </c>
      <c r="J28" s="198">
        <f>G28+I28</f>
        <v>463116.52999999997</v>
      </c>
      <c r="K28" s="199">
        <f t="shared" si="2"/>
        <v>649.49586278469644</v>
      </c>
    </row>
    <row r="29" spans="1:11" x14ac:dyDescent="0.2">
      <c r="A29" s="7">
        <v>17</v>
      </c>
      <c r="B29" s="11" t="s">
        <v>41</v>
      </c>
      <c r="C29" s="201"/>
      <c r="D29" s="201"/>
      <c r="E29" s="201">
        <v>38.869999999999997</v>
      </c>
      <c r="F29" s="141">
        <f t="shared" si="5"/>
        <v>38.869999999999997</v>
      </c>
      <c r="G29" s="201">
        <v>20264.18</v>
      </c>
      <c r="H29" s="201">
        <v>20264</v>
      </c>
      <c r="I29" s="201">
        <v>257796.3</v>
      </c>
      <c r="J29" s="198">
        <f>G29+I29</f>
        <v>278060.48</v>
      </c>
      <c r="K29" s="199">
        <f t="shared" si="2"/>
        <v>596.13343624045967</v>
      </c>
    </row>
    <row r="30" spans="1:11" ht="16.5" thickBot="1" x14ac:dyDescent="0.25">
      <c r="A30" s="58">
        <v>18</v>
      </c>
      <c r="B30" s="12" t="s">
        <v>215</v>
      </c>
      <c r="C30" s="96">
        <f t="shared" ref="C30:J30" si="6">C7+C13+C16+C20+C21+C28+C29</f>
        <v>1217.8399999999997</v>
      </c>
      <c r="D30" s="96">
        <f t="shared" si="6"/>
        <v>1211.6759999999999</v>
      </c>
      <c r="E30" s="96">
        <f t="shared" si="6"/>
        <v>228.74999999999997</v>
      </c>
      <c r="F30" s="96">
        <f t="shared" si="6"/>
        <v>1446.5900000000001</v>
      </c>
      <c r="G30" s="96">
        <f t="shared" si="6"/>
        <v>15818421.48</v>
      </c>
      <c r="H30" s="96">
        <f t="shared" si="6"/>
        <v>15558339.369999999</v>
      </c>
      <c r="I30" s="191">
        <f t="shared" si="6"/>
        <v>6004474.5799999991</v>
      </c>
      <c r="J30" s="202">
        <f t="shared" si="6"/>
        <v>21822896.060000006</v>
      </c>
      <c r="K30" s="203">
        <f t="shared" si="2"/>
        <v>1257.1458890678541</v>
      </c>
    </row>
    <row r="31" spans="1:11" ht="16.5" thickBot="1" x14ac:dyDescent="0.25">
      <c r="A31" s="127"/>
      <c r="B31" s="127"/>
      <c r="C31" s="204"/>
      <c r="D31" s="127"/>
      <c r="E31" s="127"/>
      <c r="F31" s="204"/>
      <c r="G31" s="204"/>
      <c r="H31" s="204"/>
      <c r="I31" s="204"/>
      <c r="J31" s="204"/>
    </row>
    <row r="32" spans="1:11" ht="16.5" thickBot="1" x14ac:dyDescent="0.25">
      <c r="A32" s="205" t="s">
        <v>816</v>
      </c>
      <c r="B32" s="25"/>
    </row>
    <row r="33" spans="1:2" x14ac:dyDescent="0.2">
      <c r="A33" s="181"/>
      <c r="B33" s="126"/>
    </row>
  </sheetData>
  <mergeCells count="13">
    <mergeCell ref="B3:B5"/>
    <mergeCell ref="A3:A5"/>
    <mergeCell ref="A1:K1"/>
    <mergeCell ref="A2:K2"/>
    <mergeCell ref="J3:J5"/>
    <mergeCell ref="C3:F3"/>
    <mergeCell ref="H3:H4"/>
    <mergeCell ref="K3:K5"/>
    <mergeCell ref="G3:G5"/>
    <mergeCell ref="I3:I5"/>
    <mergeCell ref="C4:C5"/>
    <mergeCell ref="E4:E5"/>
    <mergeCell ref="F4:F5"/>
  </mergeCells>
  <phoneticPr fontId="0" type="noConversion"/>
  <printOptions gridLines="1"/>
  <pageMargins left="0.47244094488188981" right="0.31496062992125984" top="0.74803149606299213" bottom="0.39370078740157483" header="0.51181102362204722" footer="0.27559055118110237"/>
  <pageSetup paperSize="9" scale="6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5"/>
  <sheetViews>
    <sheetView zoomScaleNormal="100" workbookViewId="0">
      <pane xSplit="2" ySplit="6" topLeftCell="C7" activePane="bottomRight" state="frozen"/>
      <selection pane="topRight" activeCell="C1" sqref="C1"/>
      <selection pane="bottomLeft" activeCell="A7" sqref="A7"/>
      <selection pane="bottomRight" activeCell="A2" sqref="A2:K2"/>
    </sheetView>
  </sheetViews>
  <sheetFormatPr defaultRowHeight="15.75" x14ac:dyDescent="0.2"/>
  <cols>
    <col min="1" max="1" width="5.5703125" style="136" customWidth="1"/>
    <col min="2" max="2" width="65.42578125" style="137" customWidth="1"/>
    <col min="3" max="3" width="14.7109375" style="24" customWidth="1"/>
    <col min="4" max="4" width="14" style="24" customWidth="1"/>
    <col min="5" max="5" width="15.85546875" style="24" customWidth="1"/>
    <col min="6" max="6" width="15.7109375" style="24" customWidth="1"/>
    <col min="7" max="7" width="19.140625" style="24" customWidth="1"/>
    <col min="8" max="8" width="18.7109375" style="24" customWidth="1"/>
    <col min="9" max="9" width="16.28515625" style="24" customWidth="1"/>
    <col min="10" max="10" width="17.7109375" style="24" bestFit="1" customWidth="1"/>
    <col min="11" max="11" width="13.28515625" style="24" customWidth="1"/>
    <col min="12" max="12" width="13.140625" style="24" customWidth="1"/>
    <col min="13" max="16384" width="9.140625" style="24"/>
  </cols>
  <sheetData>
    <row r="1" spans="1:12" ht="35.1" customHeight="1" thickBot="1" x14ac:dyDescent="0.25">
      <c r="A1" s="499" t="s">
        <v>817</v>
      </c>
      <c r="B1" s="500"/>
      <c r="C1" s="500"/>
      <c r="D1" s="500"/>
      <c r="E1" s="500"/>
      <c r="F1" s="500"/>
      <c r="G1" s="500"/>
      <c r="H1" s="500"/>
      <c r="I1" s="500"/>
      <c r="J1" s="500"/>
      <c r="K1" s="500"/>
    </row>
    <row r="2" spans="1:12" ht="35.450000000000003" customHeight="1" x14ac:dyDescent="0.2">
      <c r="A2" s="469" t="s">
        <v>724</v>
      </c>
      <c r="B2" s="470"/>
      <c r="C2" s="470"/>
      <c r="D2" s="470"/>
      <c r="E2" s="470"/>
      <c r="F2" s="470"/>
      <c r="G2" s="470"/>
      <c r="H2" s="470"/>
      <c r="I2" s="470"/>
      <c r="J2" s="470"/>
      <c r="K2" s="470"/>
      <c r="L2" s="210" t="s">
        <v>629</v>
      </c>
    </row>
    <row r="3" spans="1:12" ht="42.75" customHeight="1" x14ac:dyDescent="0.2">
      <c r="A3" s="497" t="s">
        <v>137</v>
      </c>
      <c r="B3" s="492" t="s">
        <v>818</v>
      </c>
      <c r="C3" s="503" t="s">
        <v>647</v>
      </c>
      <c r="D3" s="503"/>
      <c r="E3" s="503"/>
      <c r="F3" s="503"/>
      <c r="G3" s="503" t="s">
        <v>567</v>
      </c>
      <c r="H3" s="503" t="s">
        <v>198</v>
      </c>
      <c r="I3" s="503" t="s">
        <v>569</v>
      </c>
      <c r="J3" s="501" t="s">
        <v>570</v>
      </c>
      <c r="K3" s="510" t="s">
        <v>631</v>
      </c>
      <c r="L3" s="507" t="s">
        <v>630</v>
      </c>
    </row>
    <row r="4" spans="1:12" ht="34.5" customHeight="1" x14ac:dyDescent="0.2">
      <c r="A4" s="498"/>
      <c r="B4" s="496"/>
      <c r="C4" s="504" t="s">
        <v>632</v>
      </c>
      <c r="D4" s="121" t="s">
        <v>198</v>
      </c>
      <c r="E4" s="504" t="s">
        <v>634</v>
      </c>
      <c r="F4" s="504" t="s">
        <v>635</v>
      </c>
      <c r="G4" s="504"/>
      <c r="H4" s="504"/>
      <c r="I4" s="504"/>
      <c r="J4" s="502"/>
      <c r="K4" s="510"/>
      <c r="L4" s="507"/>
    </row>
    <row r="5" spans="1:12" s="195" customFormat="1" ht="63" x14ac:dyDescent="0.2">
      <c r="A5" s="498"/>
      <c r="B5" s="496"/>
      <c r="C5" s="504"/>
      <c r="D5" s="5" t="s">
        <v>633</v>
      </c>
      <c r="E5" s="504"/>
      <c r="F5" s="504"/>
      <c r="G5" s="504"/>
      <c r="H5" s="121" t="s">
        <v>568</v>
      </c>
      <c r="I5" s="504"/>
      <c r="J5" s="502"/>
      <c r="K5" s="511"/>
      <c r="L5" s="508"/>
    </row>
    <row r="6" spans="1:12" s="197" customFormat="1" ht="18" customHeight="1" x14ac:dyDescent="0.2">
      <c r="A6" s="32"/>
      <c r="B6" s="11"/>
      <c r="C6" s="121" t="s">
        <v>184</v>
      </c>
      <c r="D6" s="121" t="s">
        <v>185</v>
      </c>
      <c r="E6" s="121" t="s">
        <v>186</v>
      </c>
      <c r="F6" s="121" t="s">
        <v>123</v>
      </c>
      <c r="G6" s="121" t="s">
        <v>187</v>
      </c>
      <c r="H6" s="121" t="s">
        <v>188</v>
      </c>
      <c r="I6" s="121" t="s">
        <v>189</v>
      </c>
      <c r="J6" s="119" t="s">
        <v>124</v>
      </c>
      <c r="K6" s="206" t="s">
        <v>610</v>
      </c>
      <c r="L6" s="196" t="s">
        <v>558</v>
      </c>
    </row>
    <row r="7" spans="1:12" s="133" customFormat="1" x14ac:dyDescent="0.2">
      <c r="A7" s="7">
        <v>1</v>
      </c>
      <c r="B7" s="11" t="s">
        <v>181</v>
      </c>
      <c r="C7" s="141">
        <f>SUM(C8:C12)</f>
        <v>287.16999999999996</v>
      </c>
      <c r="D7" s="141">
        <f>SUM(D8:D12)</f>
        <v>287.16999999999996</v>
      </c>
      <c r="E7" s="141">
        <f>SUM(E8:E12)</f>
        <v>41.09</v>
      </c>
      <c r="F7" s="141">
        <f t="shared" ref="F7:F13" si="0">C7+E7</f>
        <v>328.26</v>
      </c>
      <c r="G7" s="141">
        <f>SUM(G8:G12)</f>
        <v>4243491.63</v>
      </c>
      <c r="H7" s="141">
        <f>SUM(H8:H12)</f>
        <v>4243490.95</v>
      </c>
      <c r="I7" s="141">
        <f>SUM(I8:I12)</f>
        <v>1797541.68</v>
      </c>
      <c r="J7" s="198">
        <f t="shared" ref="J7:J13" si="1">G7+I7</f>
        <v>6041033.3099999996</v>
      </c>
      <c r="K7" s="207">
        <f>IF(F7=0,0,J7/F7/12)</f>
        <v>1533.5997151648082</v>
      </c>
      <c r="L7" s="199">
        <f>IF('[2]T6-Zamestnanci_a_mzdy'!F7-'[2]T6a-Zamestnanci_a_mzdy (ženy)'!F7=0,0,('[2]T6-Zamestnanci_a_mzdy'!J7-'[2]T6a-Zamestnanci_a_mzdy (ženy)'!J7)/('[2]T6-Zamestnanci_a_mzdy'!F7-'[2]T6a-Zamestnanci_a_mzdy (ženy)'!F7)/12)</f>
        <v>1806.701618246688</v>
      </c>
    </row>
    <row r="8" spans="1:12" x14ac:dyDescent="0.2">
      <c r="A8" s="7">
        <v>2</v>
      </c>
      <c r="B8" s="10" t="s">
        <v>611</v>
      </c>
      <c r="C8" s="201">
        <v>20.28</v>
      </c>
      <c r="D8" s="201">
        <v>20.28</v>
      </c>
      <c r="E8" s="201">
        <v>7.78</v>
      </c>
      <c r="F8" s="141">
        <f t="shared" si="0"/>
        <v>28.060000000000002</v>
      </c>
      <c r="G8" s="201">
        <v>522134.97</v>
      </c>
      <c r="H8" s="201">
        <v>522134.97</v>
      </c>
      <c r="I8" s="201">
        <v>411654.14</v>
      </c>
      <c r="J8" s="198">
        <f t="shared" si="1"/>
        <v>933789.11</v>
      </c>
      <c r="K8" s="207">
        <f t="shared" ref="K8:K30" si="2">IF(F8=0,0,J8/F8/12)</f>
        <v>2773.1917023045849</v>
      </c>
      <c r="L8" s="199">
        <f>IF('[2]T6-Zamestnanci_a_mzdy'!F8-'[2]T6a-Zamestnanci_a_mzdy (ženy)'!F8=0,0,('[2]T6-Zamestnanci_a_mzdy'!J8-'[2]T6a-Zamestnanci_a_mzdy (ženy)'!J8)/('[2]T6-Zamestnanci_a_mzdy'!F8-'[2]T6a-Zamestnanci_a_mzdy (ženy)'!F8)/12)</f>
        <v>2550.1047483626344</v>
      </c>
    </row>
    <row r="9" spans="1:12" x14ac:dyDescent="0.2">
      <c r="A9" s="7">
        <v>3</v>
      </c>
      <c r="B9" s="10" t="s">
        <v>153</v>
      </c>
      <c r="C9" s="201">
        <v>56.21</v>
      </c>
      <c r="D9" s="201">
        <v>56.21</v>
      </c>
      <c r="E9" s="201">
        <v>7.46</v>
      </c>
      <c r="F9" s="141">
        <f t="shared" si="0"/>
        <v>63.67</v>
      </c>
      <c r="G9" s="201">
        <v>1066838.55</v>
      </c>
      <c r="H9" s="201">
        <v>1066838.53</v>
      </c>
      <c r="I9" s="201">
        <v>346224.24</v>
      </c>
      <c r="J9" s="198">
        <f t="shared" si="1"/>
        <v>1413062.79</v>
      </c>
      <c r="K9" s="207">
        <f t="shared" si="2"/>
        <v>1849.461795193969</v>
      </c>
      <c r="L9" s="199">
        <f>IF('[2]T6-Zamestnanci_a_mzdy'!F9-'[2]T6a-Zamestnanci_a_mzdy (ženy)'!F9=0,0,('[2]T6-Zamestnanci_a_mzdy'!J9-'[2]T6a-Zamestnanci_a_mzdy (ženy)'!J9)/('[2]T6-Zamestnanci_a_mzdy'!F9-'[2]T6a-Zamestnanci_a_mzdy (ženy)'!F9)/12)</f>
        <v>1964.4014079574108</v>
      </c>
    </row>
    <row r="10" spans="1:12" x14ac:dyDescent="0.2">
      <c r="A10" s="7">
        <v>4</v>
      </c>
      <c r="B10" s="10" t="s">
        <v>154</v>
      </c>
      <c r="C10" s="201">
        <v>174.7</v>
      </c>
      <c r="D10" s="201">
        <v>174.7</v>
      </c>
      <c r="E10" s="201">
        <v>17.88</v>
      </c>
      <c r="F10" s="141">
        <f t="shared" si="0"/>
        <v>192.57999999999998</v>
      </c>
      <c r="G10" s="201">
        <v>2318215.9500000002</v>
      </c>
      <c r="H10" s="201">
        <v>2318215.29</v>
      </c>
      <c r="I10" s="201">
        <v>826280.59</v>
      </c>
      <c r="J10" s="198">
        <f t="shared" si="1"/>
        <v>3144496.54</v>
      </c>
      <c r="K10" s="207">
        <f t="shared" si="2"/>
        <v>1360.6884325128951</v>
      </c>
      <c r="L10" s="199">
        <f>IF('[2]T6-Zamestnanci_a_mzdy'!F10-'[2]T6a-Zamestnanci_a_mzdy (ženy)'!F10=0,0,('[2]T6-Zamestnanci_a_mzdy'!J10-'[2]T6a-Zamestnanci_a_mzdy (ženy)'!J10)/('[2]T6-Zamestnanci_a_mzdy'!F10-'[2]T6a-Zamestnanci_a_mzdy (ženy)'!F10)/12)</f>
        <v>1459.8470735075423</v>
      </c>
    </row>
    <row r="11" spans="1:12" x14ac:dyDescent="0.2">
      <c r="A11" s="7">
        <v>5</v>
      </c>
      <c r="B11" s="10" t="s">
        <v>155</v>
      </c>
      <c r="C11" s="201">
        <v>31.84</v>
      </c>
      <c r="D11" s="201">
        <v>31.84</v>
      </c>
      <c r="E11" s="201">
        <v>1.88</v>
      </c>
      <c r="F11" s="141">
        <f t="shared" si="0"/>
        <v>33.72</v>
      </c>
      <c r="G11" s="201">
        <v>293022.15999999997</v>
      </c>
      <c r="H11" s="201">
        <v>293022.15999999997</v>
      </c>
      <c r="I11" s="201">
        <v>144626.74</v>
      </c>
      <c r="J11" s="198">
        <f t="shared" si="1"/>
        <v>437648.89999999997</v>
      </c>
      <c r="K11" s="207">
        <f t="shared" si="2"/>
        <v>1081.5759687623565</v>
      </c>
      <c r="L11" s="199">
        <f>IF('[2]T6-Zamestnanci_a_mzdy'!F11-'[2]T6a-Zamestnanci_a_mzdy (ženy)'!F11=0,0,('[2]T6-Zamestnanci_a_mzdy'!J11-'[2]T6a-Zamestnanci_a_mzdy (ženy)'!J11)/('[2]T6-Zamestnanci_a_mzdy'!F11-'[2]T6a-Zamestnanci_a_mzdy (ženy)'!F11)/12)</f>
        <v>1200.5232866539363</v>
      </c>
    </row>
    <row r="12" spans="1:12" x14ac:dyDescent="0.2">
      <c r="A12" s="7">
        <v>6</v>
      </c>
      <c r="B12" s="10" t="s">
        <v>156</v>
      </c>
      <c r="C12" s="201">
        <v>4.1399999999999997</v>
      </c>
      <c r="D12" s="201">
        <v>4.1399999999999997</v>
      </c>
      <c r="E12" s="201">
        <v>6.09</v>
      </c>
      <c r="F12" s="141">
        <f t="shared" si="0"/>
        <v>10.23</v>
      </c>
      <c r="G12" s="201">
        <v>43280</v>
      </c>
      <c r="H12" s="201">
        <v>43280</v>
      </c>
      <c r="I12" s="201">
        <v>68755.97</v>
      </c>
      <c r="J12" s="198">
        <f t="shared" si="1"/>
        <v>112035.97</v>
      </c>
      <c r="K12" s="207">
        <f t="shared" si="2"/>
        <v>912.64231019876172</v>
      </c>
      <c r="L12" s="199">
        <f>IF('[2]T6-Zamestnanci_a_mzdy'!F12-'[2]T6a-Zamestnanci_a_mzdy (ženy)'!F12=0,0,('[2]T6-Zamestnanci_a_mzdy'!J12-'[2]T6a-Zamestnanci_a_mzdy (ženy)'!J12)/('[2]T6-Zamestnanci_a_mzdy'!F12-'[2]T6a-Zamestnanci_a_mzdy (ženy)'!F12)/12)</f>
        <v>953.29675516224199</v>
      </c>
    </row>
    <row r="13" spans="1:12" x14ac:dyDescent="0.2">
      <c r="A13" s="7">
        <v>7</v>
      </c>
      <c r="B13" s="11" t="s">
        <v>38</v>
      </c>
      <c r="C13" s="201">
        <v>106.88</v>
      </c>
      <c r="D13" s="201">
        <v>106.88</v>
      </c>
      <c r="E13" s="201">
        <v>18.88</v>
      </c>
      <c r="F13" s="141">
        <f t="shared" si="0"/>
        <v>125.75999999999999</v>
      </c>
      <c r="G13" s="201">
        <v>934563.45</v>
      </c>
      <c r="H13" s="201">
        <v>934563.45</v>
      </c>
      <c r="I13" s="201">
        <v>277186.58</v>
      </c>
      <c r="J13" s="198">
        <f t="shared" si="1"/>
        <v>1211750.03</v>
      </c>
      <c r="K13" s="207">
        <f t="shared" si="2"/>
        <v>802.95140876802373</v>
      </c>
      <c r="L13" s="199">
        <f>IF('[2]T6-Zamestnanci_a_mzdy'!F13-'[2]T6a-Zamestnanci_a_mzdy (ženy)'!F13=0,0,('[2]T6-Zamestnanci_a_mzdy'!J13-'[2]T6a-Zamestnanci_a_mzdy (ženy)'!J13)/('[2]T6-Zamestnanci_a_mzdy'!F13-'[2]T6a-Zamestnanci_a_mzdy (ženy)'!F13)/12)</f>
        <v>1164.5019379844962</v>
      </c>
    </row>
    <row r="14" spans="1:12" x14ac:dyDescent="0.2">
      <c r="A14" s="7"/>
      <c r="B14" s="10" t="s">
        <v>198</v>
      </c>
      <c r="C14" s="201"/>
      <c r="D14" s="201"/>
      <c r="E14" s="201"/>
      <c r="F14" s="141"/>
      <c r="G14" s="201"/>
      <c r="H14" s="201"/>
      <c r="I14" s="201"/>
      <c r="J14" s="198"/>
      <c r="K14" s="198"/>
      <c r="L14" s="199"/>
    </row>
    <row r="15" spans="1:12" x14ac:dyDescent="0.2">
      <c r="A15" s="7">
        <v>8</v>
      </c>
      <c r="B15" s="10" t="s">
        <v>42</v>
      </c>
      <c r="C15" s="201">
        <v>11.45</v>
      </c>
      <c r="D15" s="201">
        <v>11.45</v>
      </c>
      <c r="E15" s="201">
        <v>2.5</v>
      </c>
      <c r="F15" s="141">
        <f t="shared" ref="F15:F21" si="3">C15+E15</f>
        <v>13.95</v>
      </c>
      <c r="G15" s="201">
        <v>120502.33</v>
      </c>
      <c r="H15" s="201">
        <v>120502.33</v>
      </c>
      <c r="I15" s="201">
        <v>35671.769999999997</v>
      </c>
      <c r="J15" s="198">
        <f t="shared" ref="J15:J21" si="4">G15+I15</f>
        <v>156174.1</v>
      </c>
      <c r="K15" s="207">
        <f t="shared" si="2"/>
        <v>932.9396654719236</v>
      </c>
      <c r="L15" s="199">
        <f>IF('[2]T6-Zamestnanci_a_mzdy'!F15-'[2]T6a-Zamestnanci_a_mzdy (ženy)'!F15=0,0,('[2]T6-Zamestnanci_a_mzdy'!J15-'[2]T6a-Zamestnanci_a_mzdy (ženy)'!J15)/('[2]T6-Zamestnanci_a_mzdy'!F15-'[2]T6a-Zamestnanci_a_mzdy (ženy)'!F15)/12)</f>
        <v>1299.5182374482026</v>
      </c>
    </row>
    <row r="16" spans="1:12" x14ac:dyDescent="0.2">
      <c r="A16" s="7">
        <v>9</v>
      </c>
      <c r="B16" s="11" t="s">
        <v>182</v>
      </c>
      <c r="C16" s="141">
        <f>SUM(C17:C19)</f>
        <v>174.03000000000003</v>
      </c>
      <c r="D16" s="141">
        <f>SUM(D17:D19)</f>
        <v>174.03000000000003</v>
      </c>
      <c r="E16" s="141">
        <f>SUM(E17:E19)</f>
        <v>35.659000000000006</v>
      </c>
      <c r="F16" s="141">
        <f t="shared" si="3"/>
        <v>209.68900000000002</v>
      </c>
      <c r="G16" s="141">
        <f>SUM(G17:G19)</f>
        <v>1776684.1599999997</v>
      </c>
      <c r="H16" s="141">
        <f>SUM(H17:H19)</f>
        <v>1776684.1599999997</v>
      </c>
      <c r="I16" s="141">
        <f>SUM(I17:I19)</f>
        <v>536703.38</v>
      </c>
      <c r="J16" s="198">
        <f t="shared" si="4"/>
        <v>2313387.5399999996</v>
      </c>
      <c r="K16" s="207">
        <f t="shared" si="2"/>
        <v>919.37247542789544</v>
      </c>
      <c r="L16" s="199">
        <f>IF('[2]T6-Zamestnanci_a_mzdy'!F16-'[2]T6a-Zamestnanci_a_mzdy (ženy)'!F16=0,0,('[2]T6-Zamestnanci_a_mzdy'!J16-'[2]T6a-Zamestnanci_a_mzdy (ženy)'!J16)/('[2]T6-Zamestnanci_a_mzdy'!F16-'[2]T6a-Zamestnanci_a_mzdy (ženy)'!F16)/12)</f>
        <v>1250.1646385795841</v>
      </c>
    </row>
    <row r="17" spans="1:12" x14ac:dyDescent="0.2">
      <c r="A17" s="7">
        <v>10</v>
      </c>
      <c r="B17" s="10" t="s">
        <v>157</v>
      </c>
      <c r="C17" s="201">
        <v>67.430000000000007</v>
      </c>
      <c r="D17" s="201">
        <v>67.430000000000007</v>
      </c>
      <c r="E17" s="201">
        <v>2.94</v>
      </c>
      <c r="F17" s="141">
        <f t="shared" si="3"/>
        <v>70.37</v>
      </c>
      <c r="G17" s="201">
        <v>752842.45</v>
      </c>
      <c r="H17" s="201">
        <v>752842.45</v>
      </c>
      <c r="I17" s="201">
        <v>34276.68</v>
      </c>
      <c r="J17" s="198">
        <f t="shared" si="4"/>
        <v>787119.13</v>
      </c>
      <c r="K17" s="207">
        <f t="shared" si="2"/>
        <v>932.11966510350055</v>
      </c>
      <c r="L17" s="199">
        <f>IF('[2]T6-Zamestnanci_a_mzdy'!F17-'[2]T6a-Zamestnanci_a_mzdy (ženy)'!F17=0,0,('[2]T6-Zamestnanci_a_mzdy'!J17-'[2]T6a-Zamestnanci_a_mzdy (ženy)'!J17)/('[2]T6-Zamestnanci_a_mzdy'!F17-'[2]T6a-Zamestnanci_a_mzdy (ženy)'!F17)/12)</f>
        <v>1390.3456498951775</v>
      </c>
    </row>
    <row r="18" spans="1:12" x14ac:dyDescent="0.2">
      <c r="A18" s="7">
        <v>11</v>
      </c>
      <c r="B18" s="10" t="s">
        <v>125</v>
      </c>
      <c r="C18" s="201">
        <v>64.650000000000006</v>
      </c>
      <c r="D18" s="201">
        <v>64.650000000000006</v>
      </c>
      <c r="E18" s="201">
        <v>21.149000000000001</v>
      </c>
      <c r="F18" s="141">
        <f t="shared" si="3"/>
        <v>85.799000000000007</v>
      </c>
      <c r="G18" s="201">
        <v>697673.33</v>
      </c>
      <c r="H18" s="201">
        <v>697673.33</v>
      </c>
      <c r="I18" s="201">
        <v>352345.28</v>
      </c>
      <c r="J18" s="198">
        <f t="shared" si="4"/>
        <v>1050018.6099999999</v>
      </c>
      <c r="K18" s="207">
        <f t="shared" si="2"/>
        <v>1019.8434810817529</v>
      </c>
      <c r="L18" s="199">
        <f>IF('[2]T6-Zamestnanci_a_mzdy'!F18-'[2]T6a-Zamestnanci_a_mzdy (ženy)'!F18=0,0,('[2]T6-Zamestnanci_a_mzdy'!J18-'[2]T6a-Zamestnanci_a_mzdy (ženy)'!J18)/('[2]T6-Zamestnanci_a_mzdy'!F18-'[2]T6a-Zamestnanci_a_mzdy (ženy)'!F18)/12)</f>
        <v>867.25363546521123</v>
      </c>
    </row>
    <row r="19" spans="1:12" x14ac:dyDescent="0.2">
      <c r="A19" s="7">
        <v>12</v>
      </c>
      <c r="B19" s="10" t="s">
        <v>107</v>
      </c>
      <c r="C19" s="201">
        <v>41.95</v>
      </c>
      <c r="D19" s="201">
        <v>41.95</v>
      </c>
      <c r="E19" s="201">
        <v>11.57</v>
      </c>
      <c r="F19" s="141">
        <f t="shared" si="3"/>
        <v>53.52</v>
      </c>
      <c r="G19" s="201">
        <v>326168.38</v>
      </c>
      <c r="H19" s="201">
        <v>326168.38</v>
      </c>
      <c r="I19" s="201">
        <v>150081.42000000001</v>
      </c>
      <c r="J19" s="198">
        <f t="shared" si="4"/>
        <v>476249.80000000005</v>
      </c>
      <c r="K19" s="207">
        <f t="shared" si="2"/>
        <v>741.54490533134037</v>
      </c>
      <c r="L19" s="199">
        <f>IF('[2]T6-Zamestnanci_a_mzdy'!F19-'[2]T6a-Zamestnanci_a_mzdy (ženy)'!F19=0,0,('[2]T6-Zamestnanci_a_mzdy'!J19-'[2]T6a-Zamestnanci_a_mzdy (ženy)'!J19)/('[2]T6-Zamestnanci_a_mzdy'!F19-'[2]T6a-Zamestnanci_a_mzdy (ženy)'!F19)/12)</f>
        <v>0</v>
      </c>
    </row>
    <row r="20" spans="1:12" x14ac:dyDescent="0.2">
      <c r="A20" s="7">
        <v>13</v>
      </c>
      <c r="B20" s="11" t="s">
        <v>179</v>
      </c>
      <c r="C20" s="201">
        <v>59.13</v>
      </c>
      <c r="D20" s="201">
        <v>59.13</v>
      </c>
      <c r="E20" s="201">
        <v>11.15</v>
      </c>
      <c r="F20" s="141">
        <f t="shared" si="3"/>
        <v>70.28</v>
      </c>
      <c r="G20" s="201">
        <v>802820.53</v>
      </c>
      <c r="H20" s="201">
        <v>802820.53</v>
      </c>
      <c r="I20" s="201">
        <v>350938.28</v>
      </c>
      <c r="J20" s="198">
        <f t="shared" si="4"/>
        <v>1153758.81</v>
      </c>
      <c r="K20" s="207">
        <f t="shared" si="2"/>
        <v>1368.0501920887875</v>
      </c>
      <c r="L20" s="199">
        <f>IF('[2]T6-Zamestnanci_a_mzdy'!F20-'[2]T6a-Zamestnanci_a_mzdy (ženy)'!F20=0,0,('[2]T6-Zamestnanci_a_mzdy'!J20-'[2]T6a-Zamestnanci_a_mzdy (ženy)'!J20)/('[2]T6-Zamestnanci_a_mzdy'!F20-'[2]T6a-Zamestnanci_a_mzdy (ženy)'!F20)/12)</f>
        <v>1645.2477766958784</v>
      </c>
    </row>
    <row r="21" spans="1:12" ht="31.5" x14ac:dyDescent="0.2">
      <c r="A21" s="7">
        <v>14</v>
      </c>
      <c r="B21" s="11" t="s">
        <v>39</v>
      </c>
      <c r="C21" s="201">
        <v>81.709999999999994</v>
      </c>
      <c r="D21" s="201">
        <v>81.709999999999994</v>
      </c>
      <c r="E21" s="201">
        <v>7.09</v>
      </c>
      <c r="F21" s="141">
        <f t="shared" si="3"/>
        <v>88.8</v>
      </c>
      <c r="G21" s="201">
        <v>462608.54</v>
      </c>
      <c r="H21" s="201">
        <v>462608.54</v>
      </c>
      <c r="I21" s="201">
        <v>93007.73</v>
      </c>
      <c r="J21" s="198">
        <f t="shared" si="4"/>
        <v>555616.27</v>
      </c>
      <c r="K21" s="207">
        <f t="shared" si="2"/>
        <v>521.41166478978982</v>
      </c>
      <c r="L21" s="199">
        <f>IF('[2]T6-Zamestnanci_a_mzdy'!F21-'[2]T6a-Zamestnanci_a_mzdy (ženy)'!F21=0,0,('[2]T6-Zamestnanci_a_mzdy'!J21-'[2]T6a-Zamestnanci_a_mzdy (ženy)'!J21)/('[2]T6-Zamestnanci_a_mzdy'!F21-'[2]T6a-Zamestnanci_a_mzdy (ženy)'!F21)/12)</f>
        <v>711.18127250900352</v>
      </c>
    </row>
    <row r="22" spans="1:12" ht="47.25" x14ac:dyDescent="0.2">
      <c r="A22" s="7">
        <v>15</v>
      </c>
      <c r="B22" s="11" t="s">
        <v>214</v>
      </c>
      <c r="C22" s="141">
        <f>SUM(C23:C26)</f>
        <v>18.11</v>
      </c>
      <c r="D22" s="141">
        <f>SUM(D23:D26)</f>
        <v>18.11</v>
      </c>
      <c r="E22" s="141">
        <f>SUM(E23:E26)</f>
        <v>2.6269999999999998</v>
      </c>
      <c r="F22" s="141">
        <f>SUM(F27:F27)</f>
        <v>0</v>
      </c>
      <c r="G22" s="141">
        <f>SUM(G23:G26)</f>
        <v>114126.32</v>
      </c>
      <c r="H22" s="141">
        <f>SUM(H23:H26)</f>
        <v>114126.32</v>
      </c>
      <c r="I22" s="141">
        <f>SUM(I23:I26)</f>
        <v>22027.72</v>
      </c>
      <c r="J22" s="198">
        <f>SUM(J23:J26)</f>
        <v>136154.04</v>
      </c>
      <c r="K22" s="207">
        <f t="shared" si="2"/>
        <v>0</v>
      </c>
      <c r="L22" s="199">
        <f>IF('[2]T6-Zamestnanci_a_mzdy'!F22-'[2]T6a-Zamestnanci_a_mzdy (ženy)'!F22=0,0,('[2]T6-Zamestnanci_a_mzdy'!J22-'[2]T6a-Zamestnanci_a_mzdy (ženy)'!J22)/('[2]T6-Zamestnanci_a_mzdy'!F22-'[2]T6a-Zamestnanci_a_mzdy (ženy)'!F22)/12)</f>
        <v>0</v>
      </c>
    </row>
    <row r="23" spans="1:12" x14ac:dyDescent="0.2">
      <c r="A23" s="7" t="s">
        <v>180</v>
      </c>
      <c r="B23" s="10" t="s">
        <v>788</v>
      </c>
      <c r="C23" s="201">
        <v>18.11</v>
      </c>
      <c r="D23" s="201">
        <v>18.11</v>
      </c>
      <c r="E23" s="201">
        <v>2.6269999999999998</v>
      </c>
      <c r="F23" s="141">
        <f t="shared" ref="F23:F29" si="5">C23+E23</f>
        <v>20.736999999999998</v>
      </c>
      <c r="G23" s="201">
        <v>114126.32</v>
      </c>
      <c r="H23" s="201">
        <v>114126.32</v>
      </c>
      <c r="I23" s="201">
        <v>22027.72</v>
      </c>
      <c r="J23" s="198">
        <f>G23+I23</f>
        <v>136154.04</v>
      </c>
      <c r="K23" s="207">
        <f t="shared" si="2"/>
        <v>547.14616386169655</v>
      </c>
      <c r="L23" s="199">
        <f>IF('[2]T6-Zamestnanci_a_mzdy'!F23-'[2]T6a-Zamestnanci_a_mzdy (ženy)'!F23=0,0,('[2]T6-Zamestnanci_a_mzdy'!J23-'[2]T6a-Zamestnanci_a_mzdy (ženy)'!J23)/('[2]T6-Zamestnanci_a_mzdy'!F23-'[2]T6a-Zamestnanci_a_mzdy (ženy)'!F23)/12)</f>
        <v>733.36557051384352</v>
      </c>
    </row>
    <row r="24" spans="1:12" x14ac:dyDescent="0.2">
      <c r="A24" s="7" t="s">
        <v>263</v>
      </c>
      <c r="B24" s="10"/>
      <c r="C24" s="201"/>
      <c r="D24" s="201"/>
      <c r="E24" s="201"/>
      <c r="F24" s="141">
        <f t="shared" si="5"/>
        <v>0</v>
      </c>
      <c r="G24" s="201"/>
      <c r="H24" s="201"/>
      <c r="I24" s="201"/>
      <c r="J24" s="198">
        <f>G24+I24</f>
        <v>0</v>
      </c>
      <c r="K24" s="207">
        <f t="shared" si="2"/>
        <v>0</v>
      </c>
      <c r="L24" s="199">
        <f>IF('[2]T6-Zamestnanci_a_mzdy'!F24-'[2]T6a-Zamestnanci_a_mzdy (ženy)'!F24=0,0,('[2]T6-Zamestnanci_a_mzdy'!J24-'[2]T6a-Zamestnanci_a_mzdy (ženy)'!J24)/('[2]T6-Zamestnanci_a_mzdy'!F24-'[2]T6a-Zamestnanci_a_mzdy (ženy)'!F24)/12)</f>
        <v>0</v>
      </c>
    </row>
    <row r="25" spans="1:12" x14ac:dyDescent="0.2">
      <c r="A25" s="7" t="s">
        <v>264</v>
      </c>
      <c r="B25" s="10"/>
      <c r="C25" s="201"/>
      <c r="D25" s="201"/>
      <c r="E25" s="201"/>
      <c r="F25" s="141">
        <f t="shared" si="5"/>
        <v>0</v>
      </c>
      <c r="G25" s="201"/>
      <c r="H25" s="201"/>
      <c r="I25" s="201"/>
      <c r="J25" s="198">
        <f>G25+I25</f>
        <v>0</v>
      </c>
      <c r="K25" s="207">
        <f t="shared" si="2"/>
        <v>0</v>
      </c>
      <c r="L25" s="199">
        <f>IF('[2]T6-Zamestnanci_a_mzdy'!F25-'[2]T6a-Zamestnanci_a_mzdy (ženy)'!F25=0,0,('[2]T6-Zamestnanci_a_mzdy'!J25-'[2]T6a-Zamestnanci_a_mzdy (ženy)'!J25)/('[2]T6-Zamestnanci_a_mzdy'!F25-'[2]T6a-Zamestnanci_a_mzdy (ženy)'!F25)/12)</f>
        <v>0</v>
      </c>
    </row>
    <row r="26" spans="1:12" ht="16.5" customHeight="1" x14ac:dyDescent="0.2">
      <c r="A26" s="7" t="s">
        <v>265</v>
      </c>
      <c r="B26" s="10"/>
      <c r="C26" s="201"/>
      <c r="D26" s="201"/>
      <c r="E26" s="201"/>
      <c r="F26" s="141">
        <f t="shared" si="5"/>
        <v>0</v>
      </c>
      <c r="G26" s="201"/>
      <c r="H26" s="201"/>
      <c r="I26" s="201"/>
      <c r="J26" s="198">
        <f>G26+I26</f>
        <v>0</v>
      </c>
      <c r="K26" s="207">
        <f t="shared" si="2"/>
        <v>0</v>
      </c>
      <c r="L26" s="199">
        <f>IF('[2]T6-Zamestnanci_a_mzdy'!F26-'[2]T6a-Zamestnanci_a_mzdy (ženy)'!F26=0,0,('[2]T6-Zamestnanci_a_mzdy'!J26-'[2]T6a-Zamestnanci_a_mzdy (ženy)'!J26)/('[2]T6-Zamestnanci_a_mzdy'!F26-'[2]T6a-Zamestnanci_a_mzdy (ženy)'!F26)/12)</f>
        <v>0</v>
      </c>
    </row>
    <row r="27" spans="1:12" x14ac:dyDescent="0.2">
      <c r="A27" s="7"/>
      <c r="B27" s="10"/>
      <c r="C27" s="201"/>
      <c r="D27" s="201"/>
      <c r="E27" s="201"/>
      <c r="F27" s="141">
        <f t="shared" si="5"/>
        <v>0</v>
      </c>
      <c r="G27" s="201"/>
      <c r="H27" s="201"/>
      <c r="I27" s="201"/>
      <c r="J27" s="198"/>
      <c r="K27" s="198"/>
      <c r="L27" s="199"/>
    </row>
    <row r="28" spans="1:12" x14ac:dyDescent="0.2">
      <c r="A28" s="7">
        <v>16</v>
      </c>
      <c r="B28" s="11" t="s">
        <v>40</v>
      </c>
      <c r="C28" s="201">
        <v>30.93</v>
      </c>
      <c r="D28" s="201">
        <v>30.93</v>
      </c>
      <c r="E28" s="201">
        <v>7.81</v>
      </c>
      <c r="F28" s="141">
        <f t="shared" si="5"/>
        <v>38.74</v>
      </c>
      <c r="G28" s="201">
        <v>214515.44</v>
      </c>
      <c r="H28" s="201">
        <v>214515.44</v>
      </c>
      <c r="I28" s="201">
        <v>76195.179999999993</v>
      </c>
      <c r="J28" s="198">
        <f>G28+I28</f>
        <v>290710.62</v>
      </c>
      <c r="K28" s="207">
        <f t="shared" si="2"/>
        <v>625.34550851832728</v>
      </c>
      <c r="L28" s="199">
        <f>IF('[2]T6-Zamestnanci_a_mzdy'!F28-'[2]T6a-Zamestnanci_a_mzdy (ženy)'!F28=0,0,('[2]T6-Zamestnanci_a_mzdy'!J28-'[2]T6a-Zamestnanci_a_mzdy (ženy)'!J28)/('[2]T6-Zamestnanci_a_mzdy'!F28-'[2]T6a-Zamestnanci_a_mzdy (ženy)'!F28)/12)</f>
        <v>694.73690361057379</v>
      </c>
    </row>
    <row r="29" spans="1:12" x14ac:dyDescent="0.2">
      <c r="A29" s="7">
        <v>17</v>
      </c>
      <c r="B29" s="11" t="s">
        <v>41</v>
      </c>
      <c r="C29" s="201"/>
      <c r="D29" s="201"/>
      <c r="E29" s="201">
        <v>36.44</v>
      </c>
      <c r="F29" s="141">
        <f t="shared" si="5"/>
        <v>36.44</v>
      </c>
      <c r="G29" s="201">
        <v>18830</v>
      </c>
      <c r="H29" s="201">
        <v>18830</v>
      </c>
      <c r="I29" s="201">
        <v>241582.39</v>
      </c>
      <c r="J29" s="198">
        <f>G29+I29</f>
        <v>260412.39</v>
      </c>
      <c r="K29" s="207">
        <f t="shared" si="2"/>
        <v>595.52778540065867</v>
      </c>
      <c r="L29" s="199">
        <f>IF('[2]T6-Zamestnanci_a_mzdy'!F29-'[2]T6a-Zamestnanci_a_mzdy (ženy)'!F29=0,0,('[2]T6-Zamestnanci_a_mzdy'!J29-'[2]T6a-Zamestnanci_a_mzdy (ženy)'!J29)/('[2]T6-Zamestnanci_a_mzdy'!F29-'[2]T6a-Zamestnanci_a_mzdy (ženy)'!F29)/12)</f>
        <v>605.2157064471869</v>
      </c>
    </row>
    <row r="30" spans="1:12" ht="16.5" thickBot="1" x14ac:dyDescent="0.25">
      <c r="A30" s="58">
        <v>18</v>
      </c>
      <c r="B30" s="12" t="s">
        <v>215</v>
      </c>
      <c r="C30" s="191">
        <f t="shared" ref="C30:J30" si="6">C7+C13+C16+C20+C21+C28+C29</f>
        <v>739.84999999999991</v>
      </c>
      <c r="D30" s="191">
        <f t="shared" si="6"/>
        <v>739.84999999999991</v>
      </c>
      <c r="E30" s="191">
        <f t="shared" si="6"/>
        <v>158.11900000000003</v>
      </c>
      <c r="F30" s="191">
        <f t="shared" si="6"/>
        <v>897.96900000000005</v>
      </c>
      <c r="G30" s="191">
        <f t="shared" si="6"/>
        <v>8453513.75</v>
      </c>
      <c r="H30" s="191">
        <f t="shared" si="6"/>
        <v>8453513.0700000003</v>
      </c>
      <c r="I30" s="191">
        <f t="shared" si="6"/>
        <v>3373155.22</v>
      </c>
      <c r="J30" s="208">
        <f t="shared" si="6"/>
        <v>11826668.969999999</v>
      </c>
      <c r="K30" s="209">
        <f t="shared" si="2"/>
        <v>1097.5387207130757</v>
      </c>
      <c r="L30" s="203">
        <f>IF('[2]T6-Zamestnanci_a_mzdy'!F30-'[2]T6a-Zamestnanci_a_mzdy (ženy)'!F30=0,0,('[2]T6-Zamestnanci_a_mzdy'!J30-'[2]T6a-Zamestnanci_a_mzdy (ženy)'!J30)/('[2]T6-Zamestnanci_a_mzdy'!F30-'[2]T6a-Zamestnanci_a_mzdy (ženy)'!F30)/12)</f>
        <v>1518.3868721151159</v>
      </c>
    </row>
    <row r="31" spans="1:12" x14ac:dyDescent="0.2">
      <c r="A31" s="127"/>
      <c r="B31" s="127"/>
      <c r="C31" s="204"/>
      <c r="D31" s="127"/>
      <c r="E31" s="127"/>
      <c r="F31" s="204"/>
      <c r="G31" s="204"/>
      <c r="H31" s="204"/>
      <c r="I31" s="204"/>
      <c r="J31" s="204"/>
    </row>
    <row r="32" spans="1:12" ht="50.25" customHeight="1" x14ac:dyDescent="0.2">
      <c r="B32" s="509"/>
      <c r="C32" s="509"/>
      <c r="D32" s="509"/>
      <c r="E32" s="509"/>
      <c r="F32" s="509"/>
      <c r="G32" s="509"/>
      <c r="H32" s="509"/>
      <c r="I32" s="509"/>
      <c r="J32" s="509"/>
      <c r="L32" s="211"/>
    </row>
    <row r="33" spans="2:2" x14ac:dyDescent="0.2">
      <c r="B33" s="212"/>
    </row>
    <row r="34" spans="2:2" x14ac:dyDescent="0.2">
      <c r="B34" s="212"/>
    </row>
    <row r="35" spans="2:2" x14ac:dyDescent="0.2">
      <c r="B35" s="212"/>
    </row>
  </sheetData>
  <mergeCells count="15">
    <mergeCell ref="F4:F5"/>
    <mergeCell ref="L3:L5"/>
    <mergeCell ref="B32:J32"/>
    <mergeCell ref="A1:K1"/>
    <mergeCell ref="A2:K2"/>
    <mergeCell ref="A3:A5"/>
    <mergeCell ref="B3:B5"/>
    <mergeCell ref="C3:F3"/>
    <mergeCell ref="G3:G5"/>
    <mergeCell ref="H3:H4"/>
    <mergeCell ref="I3:I5"/>
    <mergeCell ref="J3:J5"/>
    <mergeCell ref="K3:K5"/>
    <mergeCell ref="C4:C5"/>
    <mergeCell ref="E4:E5"/>
  </mergeCells>
  <printOptions gridLines="1"/>
  <pageMargins left="0.2" right="0.19" top="0.8" bottom="0.39370078740157483" header="0.51181102362204722" footer="0.27559055118110237"/>
  <pageSetup paperSize="9" scale="64" orientation="landscape"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18"/>
  <sheetViews>
    <sheetView workbookViewId="0">
      <selection activeCell="A2" sqref="A2:G2"/>
    </sheetView>
  </sheetViews>
  <sheetFormatPr defaultRowHeight="15.75" x14ac:dyDescent="0.25"/>
  <cols>
    <col min="1" max="1" width="9.140625" style="245"/>
    <col min="2" max="2" width="70.42578125" style="245" customWidth="1"/>
    <col min="3" max="3" width="23.140625" style="245" customWidth="1"/>
    <col min="4" max="4" width="23.85546875" style="245" customWidth="1"/>
    <col min="5" max="5" width="24.5703125" style="245" bestFit="1" customWidth="1"/>
    <col min="6" max="6" width="24.42578125" style="245" customWidth="1"/>
    <col min="7" max="7" width="24" style="245" customWidth="1"/>
    <col min="8" max="8" width="15.42578125" style="245" customWidth="1"/>
    <col min="9" max="9" width="9.140625" style="245"/>
    <col min="10" max="10" width="17.42578125" style="245" customWidth="1"/>
    <col min="11" max="16384" width="9.140625" style="245"/>
  </cols>
  <sheetData>
    <row r="1" spans="1:10" ht="16.5" thickBot="1" x14ac:dyDescent="0.3">
      <c r="A1" s="512" t="s">
        <v>789</v>
      </c>
      <c r="B1" s="513"/>
      <c r="C1" s="513"/>
      <c r="D1" s="513"/>
      <c r="E1" s="513"/>
      <c r="F1" s="513"/>
      <c r="G1" s="514"/>
    </row>
    <row r="2" spans="1:10" x14ac:dyDescent="0.25">
      <c r="A2" s="515" t="s">
        <v>905</v>
      </c>
      <c r="B2" s="516"/>
      <c r="C2" s="516"/>
      <c r="D2" s="516"/>
      <c r="E2" s="516"/>
      <c r="F2" s="516"/>
      <c r="G2" s="517"/>
    </row>
    <row r="3" spans="1:10" x14ac:dyDescent="0.25">
      <c r="A3" s="518" t="s">
        <v>137</v>
      </c>
      <c r="B3" s="519" t="s">
        <v>220</v>
      </c>
      <c r="C3" s="522" t="s">
        <v>790</v>
      </c>
      <c r="D3" s="523"/>
      <c r="E3" s="524" t="s">
        <v>845</v>
      </c>
      <c r="F3" s="524" t="s">
        <v>846</v>
      </c>
      <c r="G3" s="527" t="s">
        <v>791</v>
      </c>
    </row>
    <row r="4" spans="1:10" x14ac:dyDescent="0.25">
      <c r="A4" s="518"/>
      <c r="B4" s="520"/>
      <c r="C4" s="530" t="s">
        <v>792</v>
      </c>
      <c r="D4" s="531"/>
      <c r="E4" s="525"/>
      <c r="F4" s="525"/>
      <c r="G4" s="528"/>
    </row>
    <row r="5" spans="1:10" ht="47.25" x14ac:dyDescent="0.25">
      <c r="A5" s="518"/>
      <c r="B5" s="521"/>
      <c r="C5" s="246" t="s">
        <v>793</v>
      </c>
      <c r="D5" s="247" t="s">
        <v>847</v>
      </c>
      <c r="E5" s="526"/>
      <c r="F5" s="526"/>
      <c r="G5" s="529"/>
    </row>
    <row r="6" spans="1:10" x14ac:dyDescent="0.25">
      <c r="A6" s="248"/>
      <c r="B6" s="249"/>
      <c r="C6" s="250" t="s">
        <v>184</v>
      </c>
      <c r="D6" s="250" t="s">
        <v>185</v>
      </c>
      <c r="E6" s="250" t="s">
        <v>186</v>
      </c>
      <c r="F6" s="251" t="s">
        <v>192</v>
      </c>
      <c r="G6" s="252" t="s">
        <v>794</v>
      </c>
      <c r="H6" s="253"/>
      <c r="J6" s="254"/>
    </row>
    <row r="7" spans="1:10" ht="18.75" x14ac:dyDescent="0.25">
      <c r="A7" s="255">
        <v>1</v>
      </c>
      <c r="B7" s="256" t="s">
        <v>848</v>
      </c>
      <c r="C7" s="157">
        <f>C8+C11</f>
        <v>44051</v>
      </c>
      <c r="D7" s="157">
        <f>D8+D11</f>
        <v>0</v>
      </c>
      <c r="E7" s="157">
        <f>E8+E11</f>
        <v>0</v>
      </c>
      <c r="F7" s="157">
        <f>F8+F11</f>
        <v>2110496.9700000002</v>
      </c>
      <c r="G7" s="157">
        <f>SUM(C7:F7)</f>
        <v>2154547.9700000002</v>
      </c>
      <c r="H7" s="257"/>
      <c r="J7" s="258"/>
    </row>
    <row r="8" spans="1:10" ht="31.5" x14ac:dyDescent="0.25">
      <c r="A8" s="255">
        <v>2</v>
      </c>
      <c r="B8" s="243" t="s">
        <v>849</v>
      </c>
      <c r="C8" s="157">
        <f>C9</f>
        <v>0</v>
      </c>
      <c r="D8" s="157">
        <f>D10</f>
        <v>0</v>
      </c>
      <c r="E8" s="157">
        <f>SUM(E9:E10)</f>
        <v>0</v>
      </c>
      <c r="F8" s="157">
        <f>SUM(F9:F10)</f>
        <v>1022209.64</v>
      </c>
      <c r="G8" s="161">
        <f t="shared" ref="G8:G17" si="0">SUM(C8:F8)</f>
        <v>1022209.64</v>
      </c>
      <c r="J8" s="258"/>
    </row>
    <row r="9" spans="1:10" ht="31.5" x14ac:dyDescent="0.25">
      <c r="A9" s="255">
        <v>3</v>
      </c>
      <c r="B9" s="243" t="s">
        <v>795</v>
      </c>
      <c r="C9" s="176"/>
      <c r="D9" s="226" t="s">
        <v>207</v>
      </c>
      <c r="E9" s="176"/>
      <c r="F9" s="259">
        <v>998970.92</v>
      </c>
      <c r="G9" s="161">
        <f t="shared" si="0"/>
        <v>998970.92</v>
      </c>
    </row>
    <row r="10" spans="1:10" ht="31.5" x14ac:dyDescent="0.25">
      <c r="A10" s="255">
        <v>4</v>
      </c>
      <c r="B10" s="243" t="s">
        <v>796</v>
      </c>
      <c r="C10" s="226" t="s">
        <v>207</v>
      </c>
      <c r="D10" s="176"/>
      <c r="E10" s="176"/>
      <c r="F10" s="259">
        <v>23238.720000000001</v>
      </c>
      <c r="G10" s="161">
        <f t="shared" si="0"/>
        <v>23238.720000000001</v>
      </c>
    </row>
    <row r="11" spans="1:10" ht="31.5" x14ac:dyDescent="0.25">
      <c r="A11" s="255">
        <v>5</v>
      </c>
      <c r="B11" s="243" t="s">
        <v>850</v>
      </c>
      <c r="C11" s="157">
        <f>C12</f>
        <v>44051</v>
      </c>
      <c r="D11" s="157">
        <f>D13</f>
        <v>0</v>
      </c>
      <c r="E11" s="157">
        <f>SUM(E12:E13)</f>
        <v>0</v>
      </c>
      <c r="F11" s="157">
        <f>SUM(F12:F13)</f>
        <v>1088287.33</v>
      </c>
      <c r="G11" s="161">
        <f>SUM(C11:E11)</f>
        <v>44051</v>
      </c>
    </row>
    <row r="12" spans="1:10" ht="31.5" x14ac:dyDescent="0.25">
      <c r="A12" s="255">
        <v>6</v>
      </c>
      <c r="B12" s="243" t="s">
        <v>797</v>
      </c>
      <c r="C12" s="176">
        <v>44051</v>
      </c>
      <c r="D12" s="226" t="s">
        <v>207</v>
      </c>
      <c r="E12" s="176"/>
      <c r="F12" s="176">
        <v>1041136.43</v>
      </c>
      <c r="G12" s="161">
        <f t="shared" si="0"/>
        <v>1085187.4300000002</v>
      </c>
    </row>
    <row r="13" spans="1:10" s="95" customFormat="1" ht="31.5" x14ac:dyDescent="0.25">
      <c r="A13" s="255">
        <v>7</v>
      </c>
      <c r="B13" s="243" t="s">
        <v>798</v>
      </c>
      <c r="C13" s="226" t="s">
        <v>207</v>
      </c>
      <c r="D13" s="176"/>
      <c r="E13" s="176"/>
      <c r="F13" s="176">
        <v>47150.9</v>
      </c>
      <c r="G13" s="161">
        <f t="shared" si="0"/>
        <v>47150.9</v>
      </c>
      <c r="H13" s="245"/>
    </row>
    <row r="14" spans="1:10" ht="31.5" x14ac:dyDescent="0.25">
      <c r="A14" s="255">
        <v>8</v>
      </c>
      <c r="B14" s="27" t="s">
        <v>799</v>
      </c>
      <c r="C14" s="176">
        <v>0</v>
      </c>
      <c r="D14" s="226" t="s">
        <v>207</v>
      </c>
      <c r="E14" s="226" t="s">
        <v>207</v>
      </c>
      <c r="F14" s="226" t="s">
        <v>207</v>
      </c>
      <c r="G14" s="161">
        <f>SUM(C14:F14)</f>
        <v>0</v>
      </c>
    </row>
    <row r="15" spans="1:10" ht="31.5" x14ac:dyDescent="0.25">
      <c r="A15" s="255">
        <v>9</v>
      </c>
      <c r="B15" s="243" t="s">
        <v>851</v>
      </c>
      <c r="C15" s="176">
        <v>57876</v>
      </c>
      <c r="D15" s="176"/>
      <c r="E15" s="226" t="s">
        <v>207</v>
      </c>
      <c r="F15" s="226" t="s">
        <v>207</v>
      </c>
      <c r="G15" s="161">
        <f t="shared" si="0"/>
        <v>57876</v>
      </c>
    </row>
    <row r="16" spans="1:10" ht="31.5" x14ac:dyDescent="0.25">
      <c r="A16" s="255">
        <v>10</v>
      </c>
      <c r="B16" s="243" t="s">
        <v>852</v>
      </c>
      <c r="C16" s="176">
        <f>C14+C15-C7</f>
        <v>13825</v>
      </c>
      <c r="D16" s="226" t="s">
        <v>207</v>
      </c>
      <c r="E16" s="226" t="s">
        <v>207</v>
      </c>
      <c r="F16" s="226" t="s">
        <v>207</v>
      </c>
      <c r="G16" s="161">
        <f t="shared" si="0"/>
        <v>13825</v>
      </c>
    </row>
    <row r="17" spans="1:7" x14ac:dyDescent="0.25">
      <c r="A17" s="255">
        <v>11</v>
      </c>
      <c r="B17" s="260" t="s">
        <v>853</v>
      </c>
      <c r="C17" s="176">
        <v>80</v>
      </c>
      <c r="D17" s="226" t="s">
        <v>207</v>
      </c>
      <c r="E17" s="176"/>
      <c r="F17" s="259">
        <v>3501</v>
      </c>
      <c r="G17" s="161">
        <f t="shared" si="0"/>
        <v>3581</v>
      </c>
    </row>
    <row r="18" spans="1:7" ht="16.5" thickBot="1" x14ac:dyDescent="0.3">
      <c r="A18" s="261">
        <v>12</v>
      </c>
      <c r="B18" s="262" t="s">
        <v>800</v>
      </c>
      <c r="C18" s="263">
        <f>IF(C17=0,0,+(C7+D7)/C17)</f>
        <v>550.63750000000005</v>
      </c>
      <c r="D18" s="264" t="s">
        <v>207</v>
      </c>
      <c r="E18" s="263">
        <f>IF(E17=0,0,+E7/E17)</f>
        <v>0</v>
      </c>
      <c r="F18" s="263">
        <f>IF(F17=0,0,+F7/F17)</f>
        <v>602.82689802913455</v>
      </c>
      <c r="G18" s="244">
        <f>IF(G17=0,0,+G7/G17)</f>
        <v>601.66098017313607</v>
      </c>
    </row>
  </sheetData>
  <mergeCells count="9">
    <mergeCell ref="A1:G1"/>
    <mergeCell ref="A2:G2"/>
    <mergeCell ref="A3:A5"/>
    <mergeCell ref="B3:B5"/>
    <mergeCell ref="C3:D3"/>
    <mergeCell ref="E3:E5"/>
    <mergeCell ref="F3:F5"/>
    <mergeCell ref="G3:G5"/>
    <mergeCell ref="C4:D4"/>
  </mergeCells>
  <pageMargins left="0.70866141732283472" right="0.70866141732283472" top="0.74803149606299213" bottom="0.74803149606299213" header="0.31496062992125984" footer="0.31496062992125984"/>
  <pageSetup paperSize="9" scale="59"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909021EF4742B343A1D85F8700228882" ma:contentTypeVersion="0" ma:contentTypeDescription="Umožňuje vytvoriť nový dokument." ma:contentTypeScope="" ma:versionID="d5ce656bb9126b90eba25d1deb3ab1ba">
  <xsd:schema xmlns:xsd="http://www.w3.org/2001/XMLSchema" xmlns:xs="http://www.w3.org/2001/XMLSchema" xmlns:p="http://schemas.microsoft.com/office/2006/metadata/properties" targetNamespace="http://schemas.microsoft.com/office/2006/metadata/properties" ma:root="true" ma:fieldsID="dc03bc20b3b442f8046c3eea305e142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78802F3-CAF1-414B-986B-3ACC0176C017}">
  <ds:schemaRefs>
    <ds:schemaRef ds:uri="http://schemas.microsoft.com/office/2006/documentManagement/types"/>
    <ds:schemaRef ds:uri="http://schemas.openxmlformats.org/package/2006/metadata/core-properties"/>
    <ds:schemaRef ds:uri="http://www.w3.org/XML/1998/namespace"/>
    <ds:schemaRef ds:uri="http://purl.org/dc/terms/"/>
    <ds:schemaRef ds:uri="http://schemas.microsoft.com/office/infopath/2007/PartnerControls"/>
    <ds:schemaRef ds:uri="http://purl.org/dc/elements/1.1/"/>
    <ds:schemaRef ds:uri="http://purl.org/dc/dcmitype/"/>
    <ds:schemaRef ds:uri="http://schemas.microsoft.com/office/2006/metadata/properties"/>
  </ds:schemaRefs>
</ds:datastoreItem>
</file>

<file path=customXml/itemProps2.xml><?xml version="1.0" encoding="utf-8"?>
<ds:datastoreItem xmlns:ds="http://schemas.openxmlformats.org/officeDocument/2006/customXml" ds:itemID="{2E69B052-6B58-40C2-8603-8925FD48797D}">
  <ds:schemaRefs>
    <ds:schemaRef ds:uri="http://schemas.microsoft.com/sharepoint/v3/contenttype/forms"/>
  </ds:schemaRefs>
</ds:datastoreItem>
</file>

<file path=customXml/itemProps3.xml><?xml version="1.0" encoding="utf-8"?>
<ds:datastoreItem xmlns:ds="http://schemas.openxmlformats.org/officeDocument/2006/customXml" ds:itemID="{E4C4697A-4BC5-4925-A0CC-1EECB63560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24</vt:i4>
      </vt:variant>
      <vt:variant>
        <vt:lpstr>Pomenované rozsahy</vt:lpstr>
      </vt:variant>
      <vt:variant>
        <vt:i4>21</vt:i4>
      </vt:variant>
    </vt:vector>
  </HeadingPairs>
  <TitlesOfParts>
    <vt:vector size="45" baseType="lpstr">
      <vt:lpstr>Obsah</vt:lpstr>
      <vt:lpstr>T1-Dotácie podľa DZ</vt:lpstr>
      <vt:lpstr>T2-Ostatné dot mimo MŠ SR</vt:lpstr>
      <vt:lpstr>T3-Výnosy</vt:lpstr>
      <vt:lpstr>T4-Výnosy zo školného</vt:lpstr>
      <vt:lpstr>T5 - Analýza nákladov</vt:lpstr>
      <vt:lpstr>T6-Zamestnanci_a_mzdy</vt:lpstr>
      <vt:lpstr>T6a-Zamestnanci_a_mzdy (ženy)</vt:lpstr>
      <vt:lpstr>T7_Doktorandi</vt:lpstr>
      <vt:lpstr>T8-Soc_štipendiá</vt:lpstr>
      <vt:lpstr>T9_ŠD </vt:lpstr>
      <vt:lpstr>T10-ŠJ </vt:lpstr>
      <vt:lpstr>T11-Zdroje KV</vt:lpstr>
      <vt:lpstr>T12-KV</vt:lpstr>
      <vt:lpstr>T13-Fondy</vt:lpstr>
      <vt:lpstr>T16 - Štruktúra hotovosti</vt:lpstr>
      <vt:lpstr>T17-Dotácie zo ŠF EU</vt:lpstr>
      <vt:lpstr>T18-Ostatné dotacie z kap MŠ SR</vt:lpstr>
      <vt:lpstr>T19-Štip_ z vlastných </vt:lpstr>
      <vt:lpstr>T20_motivačné štipendiá_nová</vt:lpstr>
      <vt:lpstr>T21-štruktúra_384</vt:lpstr>
      <vt:lpstr>T22_Výnosy_soc_oblasť</vt:lpstr>
      <vt:lpstr>T23_Náklady_soc_oblasť</vt:lpstr>
      <vt:lpstr>T24__Aktíva</vt:lpstr>
      <vt:lpstr>Obsah!Oblasť_tlače</vt:lpstr>
      <vt:lpstr>'T10-ŠJ '!Oblasť_tlače</vt:lpstr>
      <vt:lpstr>'T11-Zdroje KV'!Oblasť_tlače</vt:lpstr>
      <vt:lpstr>'T12-KV'!Oblasť_tlače</vt:lpstr>
      <vt:lpstr>'T13-Fondy'!Oblasť_tlače</vt:lpstr>
      <vt:lpstr>'T16 - Štruktúra hotovosti'!Oblasť_tlače</vt:lpstr>
      <vt:lpstr>'T17-Dotácie zo ŠF EU'!Oblasť_tlače</vt:lpstr>
      <vt:lpstr>'T18-Ostatné dotacie z kap MŠ SR'!Oblasť_tlače</vt:lpstr>
      <vt:lpstr>'T19-Štip_ z vlastných '!Oblasť_tlače</vt:lpstr>
      <vt:lpstr>'T1-Dotácie podľa DZ'!Oblasť_tlače</vt:lpstr>
      <vt:lpstr>'T20_motivačné štipendiá_nová'!Oblasť_tlače</vt:lpstr>
      <vt:lpstr>'T21-štruktúra_384'!Oblasť_tlače</vt:lpstr>
      <vt:lpstr>T22_Výnosy_soc_oblasť!Oblasť_tlače</vt:lpstr>
      <vt:lpstr>T23_Náklady_soc_oblasť!Oblasť_tlače</vt:lpstr>
      <vt:lpstr>'T3-Výnosy'!Oblasť_tlače</vt:lpstr>
      <vt:lpstr>'T4-Výnosy zo školného'!Oblasť_tlače</vt:lpstr>
      <vt:lpstr>'T5 - Analýza nákladov'!Oblasť_tlače</vt:lpstr>
      <vt:lpstr>'T6a-Zamestnanci_a_mzdy (ženy)'!Oblasť_tlače</vt:lpstr>
      <vt:lpstr>'T6-Zamestnanci_a_mzdy'!Oblasť_tlače</vt:lpstr>
      <vt:lpstr>'T8-Soc_štipendiá'!Oblasť_tlače</vt:lpstr>
      <vt:lpstr>'T9_ŠD '!Oblasť_tlače</vt:lpstr>
    </vt:vector>
  </TitlesOfParts>
  <Company>MSSR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Tabuľky k výročnej správe o hospodárení VVš 2004</dc:title>
  <dc:creator>Viest</dc:creator>
  <cp:lastModifiedBy>Používateľ systému Windows</cp:lastModifiedBy>
  <cp:lastPrinted>2017-05-25T07:57:29Z</cp:lastPrinted>
  <dcterms:created xsi:type="dcterms:W3CDTF">2002-06-05T18:53:25Z</dcterms:created>
  <dcterms:modified xsi:type="dcterms:W3CDTF">2017-05-25T09:02:40Z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0x010100909021EF4742B343A1D85F8700228882</vt:lpwstr>
  </property>
</Properties>
</file>