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700" windowWidth="15480" windowHeight="5760" tabRatio="599"/>
  </bookViews>
  <sheets>
    <sheet name="T1-Dotácie podľa DZ" sheetId="23" r:id="rId1"/>
    <sheet name="T2-Ostatné dot mimo MŠ SR" sheetId="3" r:id="rId2"/>
    <sheet name="T3-Výnosy" sheetId="98" r:id="rId3"/>
    <sheet name="T4-Výnosy zo školného" sheetId="5" r:id="rId4"/>
    <sheet name="T5 - Analýza nákladov" sheetId="7" r:id="rId5"/>
    <sheet name="T6-Zamestnanci_a_mzdy " sheetId="142" r:id="rId6"/>
    <sheet name="T7_Doktorandi" sheetId="140" r:id="rId7"/>
    <sheet name="T8-Soc_štipendiá" sheetId="109" r:id="rId8"/>
    <sheet name="T9_ŠD " sheetId="116" r:id="rId9"/>
    <sheet name="T10-ŠJ " sheetId="118" r:id="rId10"/>
    <sheet name="T11-Zdroje KV" sheetId="90" r:id="rId11"/>
    <sheet name="T12-KV" sheetId="91" r:id="rId12"/>
    <sheet name="T13 - Fondy" sheetId="106" r:id="rId13"/>
    <sheet name="T14 - Zúčtovanie_bežnej_dot" sheetId="113" r:id="rId14"/>
    <sheet name="T15_zúč._kap_dotácie" sheetId="114" r:id="rId15"/>
    <sheet name="T16 - Štruktúra hotovosti" sheetId="64" r:id="rId16"/>
    <sheet name="T17-Dotácie z EÚ" sheetId="95" r:id="rId17"/>
    <sheet name="T18-Ostatné dotacie z kap MŠ SR" sheetId="61" r:id="rId18"/>
    <sheet name="T19-Štip_ z vlastných" sheetId="141" r:id="rId19"/>
    <sheet name="T20_motivačné štipendiá_nová" sheetId="126" r:id="rId20"/>
    <sheet name="T21-štruktúra_384" sheetId="97" r:id="rId21"/>
    <sheet name="T22_Výnosy_soc_oblasť" sheetId="133" r:id="rId22"/>
    <sheet name="T23_Náklady_soc_oblasť" sheetId="134" r:id="rId23"/>
    <sheet name="T24a_Aktíva_1" sheetId="137" r:id="rId24"/>
    <sheet name="T24b_Aktíva_2" sheetId="138" r:id="rId25"/>
    <sheet name="T25_Pasíva " sheetId="139" r:id="rId26"/>
    <sheet name="T24__Aktíva" sheetId="135" state="hidden" r:id="rId27"/>
    <sheet name="Hárok1" sheetId="143" r:id="rId28"/>
  </sheets>
  <externalReferences>
    <externalReference r:id="rId29"/>
    <externalReference r:id="rId30"/>
    <externalReference r:id="rId31"/>
    <externalReference r:id="rId32"/>
    <externalReference r:id="rId33"/>
  </externalReferences>
  <definedNames>
    <definedName name="aaa" hidden="1">3</definedName>
    <definedName name="denní" localSheetId="21">#REF!</definedName>
    <definedName name="denní">#REF!</definedName>
    <definedName name="dokpo" localSheetId="21">#REF!</definedName>
    <definedName name="dokpo">#REF!</definedName>
    <definedName name="dokpred" localSheetId="21">#REF!</definedName>
    <definedName name="dokpred">#REF!</definedName>
    <definedName name="druhý" localSheetId="21">#REF!</definedName>
    <definedName name="druhý">#REF!</definedName>
    <definedName name="exterdruhý" localSheetId="21">#REF!</definedName>
    <definedName name="exterdruhý">#REF!</definedName>
    <definedName name="externeplat" localSheetId="21">#REF!</definedName>
    <definedName name="externeplat">#REF!</definedName>
    <definedName name="exterplat" localSheetId="21">#REF!</definedName>
    <definedName name="exterplat">#REF!</definedName>
    <definedName name="KKS_doc" localSheetId="21">#REF!</definedName>
    <definedName name="KKS_doc">#REF!</definedName>
    <definedName name="KKS_ost" localSheetId="21">#REF!</definedName>
    <definedName name="KKS_ost">#REF!</definedName>
    <definedName name="KKS_phd" localSheetId="21">#REF!</definedName>
    <definedName name="KKS_phd">#REF!</definedName>
    <definedName name="KKS_prof" localSheetId="21">#REF!</definedName>
    <definedName name="KKS_prof">#REF!</definedName>
    <definedName name="_kmp1" localSheetId="21">#REF!</definedName>
    <definedName name="_kmp1">#REF!</definedName>
    <definedName name="_kmp2" localSheetId="5">#REF!</definedName>
    <definedName name="_kmp2">#REF!</definedName>
    <definedName name="_kmt1" localSheetId="21">#REF!</definedName>
    <definedName name="_kmt1">#REF!</definedName>
    <definedName name="koef_gm_mzdy" localSheetId="21">#REF!</definedName>
    <definedName name="koef_gm_mzdy">#REF!</definedName>
    <definedName name="koef_kpn" localSheetId="21">#REF!</definedName>
    <definedName name="koef_kpn">#REF!</definedName>
    <definedName name="koef_prer_nad_gm_mzdy" localSheetId="21">#REF!</definedName>
    <definedName name="koef_prer_nad_gm_mzdy">#REF!</definedName>
    <definedName name="koef_PV" localSheetId="21">#REF!</definedName>
    <definedName name="koef_PV">#REF!</definedName>
    <definedName name="koef_udr_kat1" localSheetId="21">#REF!</definedName>
    <definedName name="koef_udr_kat1" localSheetId="6">#REF!</definedName>
    <definedName name="koef_udr_kat1">#REF!</definedName>
    <definedName name="koef_udr_kat2" localSheetId="21">#REF!</definedName>
    <definedName name="koef_udr_kat2" localSheetId="6">#REF!</definedName>
    <definedName name="koef_udr_kat2">#REF!</definedName>
    <definedName name="koef_udr_kat3" localSheetId="21">#REF!</definedName>
    <definedName name="koef_udr_kat3" localSheetId="6">#REF!</definedName>
    <definedName name="koef_udr_kat3">#REF!</definedName>
    <definedName name="koef_VV" localSheetId="21">#REF!</definedName>
    <definedName name="koef_VV">#REF!</definedName>
    <definedName name="kpn_ca_do" localSheetId="21">#REF!</definedName>
    <definedName name="kpn_ca_do">#REF!</definedName>
    <definedName name="kpn_ca_nad" localSheetId="21">#REF!</definedName>
    <definedName name="kpn_ca_nad">#REF!</definedName>
    <definedName name="kzk" localSheetId="21">#REF!</definedName>
    <definedName name="kzk">#REF!</definedName>
    <definedName name="kzspp" localSheetId="21">#REF!</definedName>
    <definedName name="kzspp">#REF!</definedName>
    <definedName name="_xlnm.Print_Titles" localSheetId="13">'T14 - Zúčtovanie_bežnej_dot'!$A:$B</definedName>
    <definedName name="_xlnm.Print_Titles" localSheetId="2">'T3-Výnosy'!$1:$5</definedName>
    <definedName name="_xlnm.Print_Titles" localSheetId="4">'T5 - Analýza nákladov'!$1:$5</definedName>
    <definedName name="nefinanc">1</definedName>
    <definedName name="_xlnm.Print_Area" localSheetId="9">'T10-ŠJ '!$A$1:$D$26</definedName>
    <definedName name="_xlnm.Print_Area" localSheetId="10">'T11-Zdroje KV'!$A$1:$D$23</definedName>
    <definedName name="_xlnm.Print_Area" localSheetId="11">'T12-KV'!$A$1:$I$21</definedName>
    <definedName name="_xlnm.Print_Area" localSheetId="13">'T14 - Zúčtovanie_bežnej_dot'!$A$1:$O$5</definedName>
    <definedName name="_xlnm.Print_Area" localSheetId="15">'T16 - Štruktúra hotovosti'!$A$1:$D$24</definedName>
    <definedName name="_xlnm.Print_Area" localSheetId="16">'T17-Dotácie z EÚ'!$A$1:$H$25</definedName>
    <definedName name="_xlnm.Print_Area" localSheetId="17">'T18-Ostatné dotacie z kap MŠ SR'!$A$1:$E$19</definedName>
    <definedName name="_xlnm.Print_Area" localSheetId="0">'T1-Dotácie podľa DZ'!$A$1:$E$19</definedName>
    <definedName name="_xlnm.Print_Area" localSheetId="19">'T20_motivačné štipendiá_nová'!$A$1:$D$12</definedName>
    <definedName name="_xlnm.Print_Area" localSheetId="20">'T21-štruktúra_384'!$A$1:$M$12</definedName>
    <definedName name="_xlnm.Print_Area" localSheetId="21">T22_Výnosy_soc_oblasť!$A$1:$F$44</definedName>
    <definedName name="_xlnm.Print_Area" localSheetId="2">'T3-Výnosy'!$A$1:$H$57</definedName>
    <definedName name="_xlnm.Print_Area" localSheetId="3">'T4-Výnosy zo školného'!$A$1:$D$14</definedName>
    <definedName name="_xlnm.Print_Area" localSheetId="4">'T5 - Analýza nákladov'!$A$1:$H$102</definedName>
    <definedName name="_xlnm.Print_Area" localSheetId="5">'T6-Zamestnanci_a_mzdy '!$A$1:$J$30</definedName>
    <definedName name="_xlnm.Print_Area" localSheetId="7">'T8-Soc_štipendiá'!$A$1:$F$15</definedName>
    <definedName name="_xlnm.Print_Area" localSheetId="8">'T9_ŠD '!$A$1:$F$21</definedName>
    <definedName name="pocet_jedal" localSheetId="21">#REF!</definedName>
    <definedName name="pocet_jedal" localSheetId="6">#REF!</definedName>
    <definedName name="pocet_jedal">#REF!</definedName>
    <definedName name="podiel" localSheetId="21">#REF!</definedName>
    <definedName name="podiel">#REF!</definedName>
    <definedName name="poistné" localSheetId="21">#REF!</definedName>
    <definedName name="poistné">#REF!</definedName>
    <definedName name="Pp_DrŠ_exist" localSheetId="21">#REF!</definedName>
    <definedName name="Pp_DrŠ_exist" localSheetId="6">#REF!</definedName>
    <definedName name="Pp_DrŠ_exist">#REF!</definedName>
    <definedName name="Pp_DrŠ_noví" localSheetId="21">#REF!</definedName>
    <definedName name="Pp_DrŠ_noví" localSheetId="6">#REF!</definedName>
    <definedName name="Pp_DrŠ_noví">#REF!</definedName>
    <definedName name="Pp_DrŠ_spolu" localSheetId="21">#REF!</definedName>
    <definedName name="Pp_DrŠ_spolu" localSheetId="6">#REF!</definedName>
    <definedName name="Pp_DrŠ_spolu">#REF!</definedName>
    <definedName name="Pp_klinické_TaS" localSheetId="21">#REF!</definedName>
    <definedName name="Pp_klinické_TaS" localSheetId="6">#REF!</definedName>
    <definedName name="Pp_klinické_TaS">#REF!</definedName>
    <definedName name="Pp_klinické_TaS_rozpísaný" localSheetId="21">#REF!</definedName>
    <definedName name="Pp_klinické_TaS_rozpísaný" localSheetId="6">#REF!</definedName>
    <definedName name="Pp_klinické_TaS_rozpísaný">#REF!</definedName>
    <definedName name="Pp_Rozvoj_BD" localSheetId="21">#REF!</definedName>
    <definedName name="Pp_Rozvoj_BD">#REF!</definedName>
    <definedName name="Pp_Soc_BD" localSheetId="21">#REF!</definedName>
    <definedName name="Pp_Soc_BD">#REF!</definedName>
    <definedName name="Pp_VaT_BD" localSheetId="21">#REF!</definedName>
    <definedName name="Pp_VaT_BD">#REF!</definedName>
    <definedName name="Pp_VaT_mzdy" localSheetId="21">#REF!</definedName>
    <definedName name="Pp_VaT_mzdy">#REF!</definedName>
    <definedName name="Pp_VaT_mzdy_rezerva" localSheetId="21">#REF!</definedName>
    <definedName name="Pp_VaT_mzdy_rezerva">#REF!</definedName>
    <definedName name="Pp_VaT_mzdy_zac_roka" localSheetId="21">#REF!</definedName>
    <definedName name="Pp_VaT_mzdy_zac_roka">#REF!</definedName>
    <definedName name="Pp_Vzdel_BD" localSheetId="21">#REF!</definedName>
    <definedName name="Pp_Vzdel_BD">#REF!</definedName>
    <definedName name="Pp_Vzdel_mzdy" localSheetId="21">#REF!</definedName>
    <definedName name="Pp_Vzdel_mzdy">#REF!</definedName>
    <definedName name="Pp_Vzdel_mzdy_kontr" localSheetId="21">#REF!</definedName>
    <definedName name="Pp_Vzdel_mzdy_kontr">#REF!</definedName>
    <definedName name="Pp_Vzdel_mzdy_na_prer_modif" localSheetId="21">#REF!</definedName>
    <definedName name="Pp_Vzdel_mzdy_na_prer_modif" localSheetId="6">#REF!</definedName>
    <definedName name="Pp_Vzdel_mzdy_na_prer_modif">#REF!</definedName>
    <definedName name="Pp_Vzdel_mzdy_na_prer_nemodif" localSheetId="21">#REF!</definedName>
    <definedName name="Pp_Vzdel_mzdy_na_prer_nemodif" localSheetId="6">#REF!</definedName>
    <definedName name="Pp_Vzdel_mzdy_na_prer_nemodif">#REF!</definedName>
    <definedName name="Pp_Vzdel_mzdy_prevádz" localSheetId="21">#REF!</definedName>
    <definedName name="Pp_Vzdel_mzdy_prevádz">#REF!</definedName>
    <definedName name="Pp_Vzdel_mzdy_rezerva" localSheetId="21">#REF!</definedName>
    <definedName name="Pp_Vzdel_mzdy_rezerva">#REF!</definedName>
    <definedName name="Pp_Vzdel_mzdy_spec" localSheetId="21">#REF!</definedName>
    <definedName name="Pp_Vzdel_mzdy_spec">#REF!</definedName>
    <definedName name="Pp_Vzdel_mzdy_výkon" localSheetId="21">#REF!</definedName>
    <definedName name="Pp_Vzdel_mzdy_výkon">#REF!</definedName>
    <definedName name="Pp_Vzdel_mzdy_výkon_PV" localSheetId="21">#REF!</definedName>
    <definedName name="Pp_Vzdel_mzdy_výkon_PV">#REF!</definedName>
    <definedName name="Pp_Vzdel_mzdy_výkon_PV_bez" localSheetId="21">#REF!</definedName>
    <definedName name="Pp_Vzdel_mzdy_výkon_PV_bez">#REF!</definedName>
    <definedName name="Pp_Vzdel_mzdy_výkon_PV_um" localSheetId="21">#REF!</definedName>
    <definedName name="Pp_Vzdel_mzdy_výkon_PV_um">#REF!</definedName>
    <definedName name="Pp_Vzdel_mzdy_výkon_VV" localSheetId="21">#REF!</definedName>
    <definedName name="Pp_Vzdel_mzdy_výkon_VV">#REF!</definedName>
    <definedName name="Pp_Vzdel_mzdy_výkon_VV_bez" localSheetId="21">#REF!</definedName>
    <definedName name="Pp_Vzdel_mzdy_výkon_VV_bez">#REF!</definedName>
    <definedName name="Pp_Vzdel_mzdy_výkon_VV_um" localSheetId="21">#REF!</definedName>
    <definedName name="Pp_Vzdel_mzdy_výkon_VV_um">#REF!</definedName>
    <definedName name="Pp_Vzdel_spec_prax" localSheetId="21">#REF!</definedName>
    <definedName name="Pp_Vzdel_spec_prax" localSheetId="6">#REF!</definedName>
    <definedName name="Pp_Vzdel_spec_prax">#REF!</definedName>
    <definedName name="Pp_Vzdel_TaS" localSheetId="21">#REF!</definedName>
    <definedName name="Pp_Vzdel_TaS">#REF!</definedName>
    <definedName name="Pp_Vzdel_TaS_rezerva" localSheetId="21">#REF!</definedName>
    <definedName name="Pp_Vzdel_TaS_rezerva">#REF!</definedName>
    <definedName name="Pp_Vzdel_TaS_spec" localSheetId="21">#REF!</definedName>
    <definedName name="Pp_Vzdel_TaS_spec" localSheetId="6">#REF!</definedName>
    <definedName name="Pp_Vzdel_TaS_spec">#REF!</definedName>
    <definedName name="Pp_Vzdel_TaS_stav" localSheetId="21">#REF!</definedName>
    <definedName name="Pp_Vzdel_TaS_stav">#REF!</definedName>
    <definedName name="Pp_Vzdel_TaS_výkon" localSheetId="21">#REF!</definedName>
    <definedName name="Pp_Vzdel_TaS_výkon" localSheetId="6">#REF!</definedName>
    <definedName name="Pp_Vzdel_TaS_výkon">#REF!</definedName>
    <definedName name="Pp_Vzdel_TaS_výkon_PPŠ" localSheetId="21">#REF!</definedName>
    <definedName name="Pp_Vzdel_TaS_výkon_PPŠ" localSheetId="6">#REF!</definedName>
    <definedName name="Pp_Vzdel_TaS_výkon_PPŠ">#REF!</definedName>
    <definedName name="Pp_Vzdel_TaS_výkon_PPŠ_a_zákl" localSheetId="21">#REF!</definedName>
    <definedName name="Pp_Vzdel_TaS_výkon_PPŠ_a_zákl" localSheetId="6">#REF!</definedName>
    <definedName name="Pp_Vzdel_TaS_výkon_PPŠ_a_zákl">#REF!</definedName>
    <definedName name="Pp_Vzdel_TaS_výkon_PPŠ_KEN" localSheetId="21">#REF!</definedName>
    <definedName name="Pp_Vzdel_TaS_výkon_PPŠ_KEN" localSheetId="6">#REF!</definedName>
    <definedName name="Pp_Vzdel_TaS_výkon_PPŠ_KEN">#REF!</definedName>
    <definedName name="Pp_Vzdel_TaS_zahr_granty" localSheetId="21">#REF!</definedName>
    <definedName name="Pp_Vzdel_TaS_zahr_granty">#REF!</definedName>
    <definedName name="Pp_Vzdel_TaS_zákl" localSheetId="21">#REF!</definedName>
    <definedName name="Pp_Vzdel_TaS_zákl" localSheetId="6">#REF!</definedName>
    <definedName name="Pp_Vzdel_TaS_zákl">#REF!</definedName>
    <definedName name="Pr_AV_BD" localSheetId="21">#REF!</definedName>
    <definedName name="Pr_AV_BD">#REF!</definedName>
    <definedName name="Pr_IV_BD" localSheetId="21">#REF!</definedName>
    <definedName name="Pr_IV_BD">#REF!</definedName>
    <definedName name="Pr_IV_KV" localSheetId="21">#REF!</definedName>
    <definedName name="Pr_IV_KV">#REF!</definedName>
    <definedName name="Pr_IV_KV_rezerva" localSheetId="21">#REF!</definedName>
    <definedName name="Pr_IV_KV_rezerva">#REF!</definedName>
    <definedName name="Pr_KEGA_BD" localSheetId="21">#REF!</definedName>
    <definedName name="Pr_KEGA_BD">#REF!</definedName>
    <definedName name="Pr_klinické" localSheetId="21">#REF!</definedName>
    <definedName name="Pr_klinické">#REF!</definedName>
    <definedName name="Pr_KŠ" localSheetId="21">#REF!</definedName>
    <definedName name="Pr_KŠ" localSheetId="6">#REF!</definedName>
    <definedName name="Pr_KŠ">#REF!</definedName>
    <definedName name="Pr_motštip_BD" localSheetId="21">#REF!</definedName>
    <definedName name="Pr_motštip_BD">#REF!</definedName>
    <definedName name="Pr_MVTS_BD" localSheetId="21">#REF!</definedName>
    <definedName name="Pr_MVTS_BD">#REF!</definedName>
    <definedName name="Pr_socštip_BD" localSheetId="21">#REF!</definedName>
    <definedName name="Pr_socštip_BD">#REF!</definedName>
    <definedName name="Pr_ŠD" localSheetId="21">#REF!</definedName>
    <definedName name="Pr_ŠD" localSheetId="6">#REF!</definedName>
    <definedName name="Pr_ŠD">#REF!</definedName>
    <definedName name="Pr_ŠDaJKŠPC_BD" localSheetId="21">#REF!</definedName>
    <definedName name="Pr_ŠDaJKŠPC_BD">#REF!</definedName>
    <definedName name="Pr_VaT_KV_zac_roka" localSheetId="21">#REF!</definedName>
    <definedName name="Pr_VaT_KV_zac_roka">#REF!</definedName>
    <definedName name="Pr_VaT_TaS" localSheetId="21">#REF!</definedName>
    <definedName name="Pr_VaT_TaS">#REF!</definedName>
    <definedName name="Pr_VaT_TaS_rezerva" localSheetId="21">#REF!</definedName>
    <definedName name="Pr_VaT_TaS_rezerva">#REF!</definedName>
    <definedName name="Pr_VaT_TaS_zac_roka" localSheetId="21">#REF!</definedName>
    <definedName name="Pr_VaT_TaS_zac_roka">#REF!</definedName>
    <definedName name="Pr_VEGA_BD" localSheetId="21">#REF!</definedName>
    <definedName name="Pr_VEGA_BD">#REF!</definedName>
    <definedName name="predmety" localSheetId="21">#REF!</definedName>
    <definedName name="predmety">#REF!</definedName>
    <definedName name="prisp_na_1_jedlo" localSheetId="21">#REF!</definedName>
    <definedName name="prisp_na_1_jedlo" localSheetId="6">#REF!</definedName>
    <definedName name="prisp_na_1_jedlo">#REF!</definedName>
    <definedName name="prisp_na_ubyt_stud_SD" localSheetId="21">#REF!</definedName>
    <definedName name="prisp_na_ubyt_stud_SD" localSheetId="6">#REF!</definedName>
    <definedName name="prisp_na_ubyt_stud_SD">#REF!</definedName>
    <definedName name="prisp_na_ubyt_stud_ZZ" localSheetId="21">#REF!</definedName>
    <definedName name="prisp_na_ubyt_stud_ZZ" localSheetId="6">#REF!</definedName>
    <definedName name="prisp_na_ubyt_stud_ZZ">#REF!</definedName>
    <definedName name="prísp_zákl_prev" localSheetId="21">#REF!</definedName>
    <definedName name="prísp_zákl_prev">#REF!</definedName>
    <definedName name="R_vvs" localSheetId="21">#REF!</definedName>
    <definedName name="R_vvs">#REF!</definedName>
    <definedName name="R_vvs_BD" localSheetId="21">#REF!</definedName>
    <definedName name="R_vvs_BD">#REF!</definedName>
    <definedName name="R_vvs_VaT_BD" localSheetId="21">#REF!</definedName>
    <definedName name="R_vvs_VaT_BD">#REF!</definedName>
    <definedName name="Sanet" localSheetId="21">#REF!</definedName>
    <definedName name="Sanet">#REF!</definedName>
    <definedName name="SAPBEXrevision" hidden="1">7</definedName>
    <definedName name="SAPBEXsysID" hidden="1">"BS1"</definedName>
    <definedName name="SAPBEXwbID" hidden="1">"3TG3S316PX9BHXMQEBSXSYZZO"</definedName>
    <definedName name="stavba_ucelova" localSheetId="21">#REF!</definedName>
    <definedName name="stavba_ucelova">#REF!</definedName>
    <definedName name="studenti_vstup" localSheetId="21">#REF!</definedName>
    <definedName name="studenti_vstup">#REF!</definedName>
    <definedName name="sustava" localSheetId="21">#REF!</definedName>
    <definedName name="sustava">#REF!</definedName>
    <definedName name="T_1" localSheetId="21">#REF!</definedName>
    <definedName name="T_1" localSheetId="5">#REF!</definedName>
    <definedName name="T_1">#REF!</definedName>
    <definedName name="T_25_so_štip_2007" localSheetId="21">#REF!</definedName>
    <definedName name="T_25_so_štip_2007" localSheetId="5">#REF!</definedName>
    <definedName name="T_25_so_štip_2007">#REF!</definedName>
    <definedName name="T_M" localSheetId="21">#REF!</definedName>
    <definedName name="T_M" localSheetId="5">#REF!</definedName>
    <definedName name="T_M">#REF!</definedName>
    <definedName name="_T1" localSheetId="21">#REF!</definedName>
    <definedName name="_T1" localSheetId="5">#REF!</definedName>
    <definedName name="_T1">#REF!</definedName>
    <definedName name="váha_absDrš" localSheetId="21">#REF!</definedName>
    <definedName name="váha_absDrš">#REF!</definedName>
    <definedName name="váha_DG" localSheetId="21">#REF!</definedName>
    <definedName name="váha_DG">#REF!</definedName>
    <definedName name="váha_poDs" localSheetId="21">#REF!</definedName>
    <definedName name="váha_poDs">#REF!</definedName>
    <definedName name="váha_Pub" localSheetId="21">#REF!</definedName>
    <definedName name="váha_Pub">#REF!</definedName>
    <definedName name="váha_ZG" localSheetId="21">#REF!</definedName>
    <definedName name="váha_ZG">#REF!</definedName>
    <definedName name="výkon_um" localSheetId="21">#REF!</definedName>
    <definedName name="výkon_um">#REF!</definedName>
    <definedName name="_wd1" localSheetId="21">[4]vahy!$B$1</definedName>
    <definedName name="_wd1">[1]vahy!$B$1</definedName>
    <definedName name="_wd3" localSheetId="21">[4]vahy!$B$3</definedName>
    <definedName name="_wd3">[1]vahy!$B$3</definedName>
    <definedName name="_we1" localSheetId="21">[4]vahy!$B$2</definedName>
    <definedName name="_we1">[1]vahy!$B$2</definedName>
    <definedName name="_we3" localSheetId="21">[4]vahy!$B$4</definedName>
    <definedName name="_we3">[1]vahy!$B$4</definedName>
    <definedName name="x" localSheetId="5">#REF!</definedName>
    <definedName name="x">#REF!</definedName>
    <definedName name="xxx" hidden="1">"3TGMUFSSIAIMK2KTNC9DELQD0"</definedName>
    <definedName name="zakl_prisp_na_prev_SD" localSheetId="21">#REF!</definedName>
    <definedName name="zakl_prisp_na_prev_SD" localSheetId="6">#REF!</definedName>
    <definedName name="zakl_prisp_na_prev_SD">#REF!</definedName>
    <definedName name="záloha" localSheetId="21">#REF!</definedName>
    <definedName name="záloha" localSheetId="6">#REF!</definedName>
    <definedName name="záloha">#REF!</definedName>
  </definedNames>
  <calcPr calcId="124519" fullCalcOnLoad="1"/>
</workbook>
</file>

<file path=xl/calcChain.xml><?xml version="1.0" encoding="utf-8"?>
<calcChain xmlns="http://schemas.openxmlformats.org/spreadsheetml/2006/main">
  <c r="L6" i="97"/>
  <c r="H6"/>
  <c r="J27" i="142"/>
  <c r="F27"/>
  <c r="J26"/>
  <c r="F26"/>
  <c r="F25"/>
  <c r="J24"/>
  <c r="F24"/>
  <c r="J23"/>
  <c r="F23"/>
  <c r="J22"/>
  <c r="I22"/>
  <c r="H22"/>
  <c r="G22"/>
  <c r="F22"/>
  <c r="E22"/>
  <c r="D22"/>
  <c r="C22"/>
  <c r="J21"/>
  <c r="F21"/>
  <c r="J20"/>
  <c r="F20"/>
  <c r="J19"/>
  <c r="F19"/>
  <c r="J18"/>
  <c r="F18"/>
  <c r="J17"/>
  <c r="F17"/>
  <c r="I16"/>
  <c r="H16"/>
  <c r="G16"/>
  <c r="J16"/>
  <c r="F16"/>
  <c r="J15"/>
  <c r="F15"/>
  <c r="J13"/>
  <c r="F13"/>
  <c r="J12"/>
  <c r="F12"/>
  <c r="J11"/>
  <c r="F11"/>
  <c r="J10"/>
  <c r="F10"/>
  <c r="J9"/>
  <c r="F9"/>
  <c r="J8"/>
  <c r="F8"/>
  <c r="I7"/>
  <c r="I28"/>
  <c r="H7"/>
  <c r="H28"/>
  <c r="G7"/>
  <c r="G28"/>
  <c r="E7"/>
  <c r="E28"/>
  <c r="D7"/>
  <c r="D28"/>
  <c r="C7"/>
  <c r="C28"/>
  <c r="H96" i="7"/>
  <c r="D13" i="141"/>
  <c r="G46" i="139"/>
  <c r="F46"/>
  <c r="E46"/>
  <c r="D46"/>
  <c r="G42"/>
  <c r="F42"/>
  <c r="E42"/>
  <c r="D42"/>
  <c r="G32"/>
  <c r="F32"/>
  <c r="E32"/>
  <c r="D32"/>
  <c r="G24"/>
  <c r="F24"/>
  <c r="E24"/>
  <c r="D24"/>
  <c r="G20"/>
  <c r="F20"/>
  <c r="G19"/>
  <c r="F19"/>
  <c r="G13"/>
  <c r="F13"/>
  <c r="E13"/>
  <c r="D13"/>
  <c r="G7"/>
  <c r="F7"/>
  <c r="E7"/>
  <c r="D7"/>
  <c r="G6"/>
  <c r="F6"/>
  <c r="E6"/>
  <c r="D6"/>
  <c r="G37" i="138"/>
  <c r="F37"/>
  <c r="E37"/>
  <c r="D37"/>
  <c r="G34"/>
  <c r="F34"/>
  <c r="E34"/>
  <c r="D34"/>
  <c r="G28"/>
  <c r="F28"/>
  <c r="E28"/>
  <c r="D28"/>
  <c r="G19"/>
  <c r="F19"/>
  <c r="E19"/>
  <c r="D19"/>
  <c r="G14"/>
  <c r="F14"/>
  <c r="E14"/>
  <c r="D14"/>
  <c r="G7"/>
  <c r="F7"/>
  <c r="E7"/>
  <c r="D7"/>
  <c r="G6"/>
  <c r="G38"/>
  <c r="F6"/>
  <c r="F38"/>
  <c r="E6"/>
  <c r="E38"/>
  <c r="D6"/>
  <c r="D38"/>
  <c r="G26" i="137"/>
  <c r="F26"/>
  <c r="E26"/>
  <c r="D26"/>
  <c r="G14"/>
  <c r="F14"/>
  <c r="E14"/>
  <c r="D14"/>
  <c r="G7"/>
  <c r="F7"/>
  <c r="E7"/>
  <c r="D7"/>
  <c r="G6"/>
  <c r="G34"/>
  <c r="F6"/>
  <c r="F34"/>
  <c r="E6"/>
  <c r="E34"/>
  <c r="D6"/>
  <c r="D34"/>
  <c r="F40" i="134"/>
  <c r="F39"/>
  <c r="F38"/>
  <c r="F37"/>
  <c r="F36"/>
  <c r="F35"/>
  <c r="F34"/>
  <c r="F33"/>
  <c r="F32"/>
  <c r="F31"/>
  <c r="F30"/>
  <c r="F29"/>
  <c r="D28"/>
  <c r="F28"/>
  <c r="E27"/>
  <c r="D27"/>
  <c r="F26"/>
  <c r="F25"/>
  <c r="F24"/>
  <c r="F23"/>
  <c r="F22"/>
  <c r="F21"/>
  <c r="F20"/>
  <c r="F19"/>
  <c r="F18"/>
  <c r="F17"/>
  <c r="F16"/>
  <c r="F15"/>
  <c r="D14"/>
  <c r="F14"/>
  <c r="F13"/>
  <c r="F12"/>
  <c r="D11"/>
  <c r="F11"/>
  <c r="D10"/>
  <c r="F10"/>
  <c r="F9"/>
  <c r="D8"/>
  <c r="F8"/>
  <c r="D7"/>
  <c r="F7"/>
  <c r="F6"/>
  <c r="D5"/>
  <c r="F5"/>
  <c r="D4"/>
  <c r="D38" i="133"/>
  <c r="F38"/>
  <c r="F37"/>
  <c r="F36"/>
  <c r="F35"/>
  <c r="F34"/>
  <c r="F33"/>
  <c r="F32"/>
  <c r="F31"/>
  <c r="F30"/>
  <c r="F29"/>
  <c r="F28"/>
  <c r="F27"/>
  <c r="F26"/>
  <c r="F25"/>
  <c r="F24"/>
  <c r="E23"/>
  <c r="F22"/>
  <c r="F21"/>
  <c r="D20"/>
  <c r="F19"/>
  <c r="F18"/>
  <c r="F17"/>
  <c r="F16"/>
  <c r="F15"/>
  <c r="F14"/>
  <c r="F13"/>
  <c r="F12"/>
  <c r="F11"/>
  <c r="F10"/>
  <c r="F9"/>
  <c r="F8"/>
  <c r="F7"/>
  <c r="F6"/>
  <c r="F5"/>
  <c r="F4"/>
  <c r="M6" i="97"/>
  <c r="B6"/>
  <c r="G6"/>
  <c r="E90" i="7"/>
  <c r="E15" i="3"/>
  <c r="E16"/>
  <c r="E15" i="98"/>
  <c r="F99" i="7"/>
  <c r="E22"/>
  <c r="E21"/>
  <c r="E20"/>
  <c r="D15" i="61"/>
  <c r="C15"/>
  <c r="E15"/>
  <c r="E13"/>
  <c r="E12"/>
  <c r="E10"/>
  <c r="E8"/>
  <c r="E7"/>
  <c r="A7"/>
  <c r="A8"/>
  <c r="A9"/>
  <c r="A10"/>
  <c r="D6"/>
  <c r="D18"/>
  <c r="D15" i="90"/>
  <c r="D20" s="1"/>
  <c r="C6" i="61"/>
  <c r="C18"/>
  <c r="C5" i="64"/>
  <c r="C22"/>
  <c r="I20" i="91"/>
  <c r="I19"/>
  <c r="I18"/>
  <c r="I17"/>
  <c r="I16"/>
  <c r="I15"/>
  <c r="I14"/>
  <c r="I13"/>
  <c r="I12"/>
  <c r="I11"/>
  <c r="H10"/>
  <c r="H21"/>
  <c r="G10"/>
  <c r="G21"/>
  <c r="F10"/>
  <c r="F21"/>
  <c r="E10"/>
  <c r="E21"/>
  <c r="D10"/>
  <c r="D21"/>
  <c r="C10"/>
  <c r="C21"/>
  <c r="I9"/>
  <c r="I8"/>
  <c r="I6"/>
  <c r="D7" i="90"/>
  <c r="D14"/>
  <c r="C7"/>
  <c r="C14"/>
  <c r="C20"/>
  <c r="D21" i="118"/>
  <c r="C21"/>
  <c r="D20"/>
  <c r="C20"/>
  <c r="D17"/>
  <c r="C17"/>
  <c r="C12"/>
  <c r="D10"/>
  <c r="C9"/>
  <c r="D6"/>
  <c r="C6"/>
  <c r="C5"/>
  <c r="C16"/>
  <c r="D14" i="116"/>
  <c r="C14"/>
  <c r="C13"/>
  <c r="C17"/>
  <c r="D12"/>
  <c r="D13"/>
  <c r="D17"/>
  <c r="A9"/>
  <c r="A10"/>
  <c r="A11"/>
  <c r="A12"/>
  <c r="A13"/>
  <c r="A14"/>
  <c r="A15"/>
  <c r="A16"/>
  <c r="A17"/>
  <c r="A18"/>
  <c r="F8"/>
  <c r="D18"/>
  <c r="E8"/>
  <c r="C18"/>
  <c r="A7"/>
  <c r="E18" i="23"/>
  <c r="E17"/>
  <c r="E16"/>
  <c r="D15"/>
  <c r="C15"/>
  <c r="E15"/>
  <c r="E14"/>
  <c r="D13"/>
  <c r="C13"/>
  <c r="E13"/>
  <c r="E12"/>
  <c r="E11"/>
  <c r="E10"/>
  <c r="E9"/>
  <c r="E8"/>
  <c r="D7"/>
  <c r="C7"/>
  <c r="E7"/>
  <c r="E6"/>
  <c r="A6"/>
  <c r="A7"/>
  <c r="A8"/>
  <c r="A9"/>
  <c r="A10"/>
  <c r="A11"/>
  <c r="A12"/>
  <c r="A13"/>
  <c r="A14"/>
  <c r="A15"/>
  <c r="A16"/>
  <c r="A17"/>
  <c r="A18"/>
  <c r="A19"/>
  <c r="D5"/>
  <c r="D19"/>
  <c r="C5"/>
  <c r="C19"/>
  <c r="E19"/>
  <c r="E6" i="61"/>
  <c r="E18"/>
  <c r="I10" i="91"/>
  <c r="E5" i="23"/>
  <c r="D89" i="7"/>
  <c r="C89"/>
  <c r="G82"/>
  <c r="H82"/>
  <c r="G83"/>
  <c r="H83"/>
  <c r="G84"/>
  <c r="H84"/>
  <c r="G85"/>
  <c r="H85"/>
  <c r="G86"/>
  <c r="H86"/>
  <c r="G87"/>
  <c r="H87"/>
  <c r="G88"/>
  <c r="H88"/>
  <c r="E89"/>
  <c r="F89"/>
  <c r="G89"/>
  <c r="H89"/>
  <c r="G90"/>
  <c r="H90"/>
  <c r="G91"/>
  <c r="H91"/>
  <c r="G92"/>
  <c r="H92"/>
  <c r="G93"/>
  <c r="H93"/>
  <c r="G94"/>
  <c r="H94"/>
  <c r="G95"/>
  <c r="H95"/>
  <c r="G96"/>
  <c r="G97"/>
  <c r="H97"/>
  <c r="G98"/>
  <c r="H98"/>
  <c r="G99"/>
  <c r="H99"/>
  <c r="C80"/>
  <c r="D68"/>
  <c r="C68"/>
  <c r="C42"/>
  <c r="C41"/>
  <c r="E49"/>
  <c r="F38"/>
  <c r="F17"/>
  <c r="E59"/>
  <c r="E52"/>
  <c r="E42"/>
  <c r="E41"/>
  <c r="E26" i="98"/>
  <c r="E19"/>
  <c r="H20" i="95"/>
  <c r="G20"/>
  <c r="F19"/>
  <c r="E19"/>
  <c r="D19"/>
  <c r="H19"/>
  <c r="C19"/>
  <c r="G19"/>
  <c r="E8" i="3"/>
  <c r="C25"/>
  <c r="E37"/>
  <c r="E36"/>
  <c r="E35"/>
  <c r="E34"/>
  <c r="E33"/>
  <c r="E32"/>
  <c r="E31"/>
  <c r="E30"/>
  <c r="E29"/>
  <c r="E27"/>
  <c r="C18"/>
  <c r="E23"/>
  <c r="C5"/>
  <c r="E22"/>
  <c r="E11"/>
  <c r="E12"/>
  <c r="D5"/>
  <c r="E10"/>
  <c r="E16" i="141"/>
  <c r="D16"/>
  <c r="C16"/>
  <c r="E13"/>
  <c r="C13"/>
  <c r="E10"/>
  <c r="D10"/>
  <c r="C10"/>
  <c r="E7"/>
  <c r="E6"/>
  <c r="D7"/>
  <c r="D6"/>
  <c r="C7"/>
  <c r="C6"/>
  <c r="H53" i="98"/>
  <c r="H54"/>
  <c r="H55"/>
  <c r="H56"/>
  <c r="H52"/>
  <c r="G36"/>
  <c r="H10"/>
  <c r="H12"/>
  <c r="H13"/>
  <c r="H14"/>
  <c r="H15"/>
  <c r="H16"/>
  <c r="H17"/>
  <c r="H18"/>
  <c r="H19"/>
  <c r="H20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48"/>
  <c r="H49"/>
  <c r="H50"/>
  <c r="H9"/>
  <c r="C18" i="140"/>
  <c r="C14"/>
  <c r="C13"/>
  <c r="G13"/>
  <c r="C12"/>
  <c r="G12"/>
  <c r="G11"/>
  <c r="F11"/>
  <c r="E11"/>
  <c r="D11"/>
  <c r="C11"/>
  <c r="C10"/>
  <c r="G10"/>
  <c r="C9"/>
  <c r="G9"/>
  <c r="G8"/>
  <c r="F8"/>
  <c r="F7"/>
  <c r="F19"/>
  <c r="E8"/>
  <c r="E7"/>
  <c r="D8"/>
  <c r="C8"/>
  <c r="C8" i="126"/>
  <c r="D5"/>
  <c r="D8"/>
  <c r="C6" i="95"/>
  <c r="C21"/>
  <c r="D6"/>
  <c r="E6"/>
  <c r="F6"/>
  <c r="F21"/>
  <c r="F25"/>
  <c r="G6"/>
  <c r="H6"/>
  <c r="A7"/>
  <c r="A8"/>
  <c r="A9"/>
  <c r="A10"/>
  <c r="A11"/>
  <c r="A12"/>
  <c r="A13"/>
  <c r="A14"/>
  <c r="A15"/>
  <c r="A16"/>
  <c r="A17"/>
  <c r="A18"/>
  <c r="G7"/>
  <c r="H7"/>
  <c r="G8"/>
  <c r="H8"/>
  <c r="G9"/>
  <c r="H9"/>
  <c r="G10"/>
  <c r="H10"/>
  <c r="C11"/>
  <c r="D11"/>
  <c r="D21"/>
  <c r="E11"/>
  <c r="E21"/>
  <c r="E25"/>
  <c r="F11"/>
  <c r="G11"/>
  <c r="G12"/>
  <c r="H12"/>
  <c r="G13"/>
  <c r="H13"/>
  <c r="C14"/>
  <c r="D14"/>
  <c r="E14"/>
  <c r="F14"/>
  <c r="G14"/>
  <c r="H14"/>
  <c r="G15"/>
  <c r="H15"/>
  <c r="G16"/>
  <c r="H16"/>
  <c r="C17"/>
  <c r="D17"/>
  <c r="E17"/>
  <c r="F17"/>
  <c r="G17"/>
  <c r="H17"/>
  <c r="G18"/>
  <c r="H18"/>
  <c r="C22"/>
  <c r="D22"/>
  <c r="E22"/>
  <c r="F22"/>
  <c r="G22"/>
  <c r="H22"/>
  <c r="G23"/>
  <c r="H23"/>
  <c r="G24"/>
  <c r="H24"/>
  <c r="K6" i="106"/>
  <c r="C7"/>
  <c r="D7"/>
  <c r="E7"/>
  <c r="E17"/>
  <c r="F7"/>
  <c r="G7"/>
  <c r="G17"/>
  <c r="H6"/>
  <c r="H17"/>
  <c r="H7"/>
  <c r="L7"/>
  <c r="I7"/>
  <c r="J7"/>
  <c r="K8"/>
  <c r="L8"/>
  <c r="K9"/>
  <c r="L9"/>
  <c r="K10"/>
  <c r="L10"/>
  <c r="K11"/>
  <c r="L11"/>
  <c r="K12"/>
  <c r="L12"/>
  <c r="K13"/>
  <c r="L13"/>
  <c r="K14"/>
  <c r="L14"/>
  <c r="K15"/>
  <c r="L15"/>
  <c r="K16"/>
  <c r="L16"/>
  <c r="F6"/>
  <c r="F17"/>
  <c r="I17"/>
  <c r="J6"/>
  <c r="J17"/>
  <c r="K18"/>
  <c r="L18"/>
  <c r="A7" i="90"/>
  <c r="A8"/>
  <c r="A9"/>
  <c r="A10"/>
  <c r="A11"/>
  <c r="A12"/>
  <c r="A13"/>
  <c r="A14"/>
  <c r="A15"/>
  <c r="A17"/>
  <c r="A18"/>
  <c r="A19"/>
  <c r="A20"/>
  <c r="A6" i="118"/>
  <c r="A7"/>
  <c r="A8"/>
  <c r="A9"/>
  <c r="A10"/>
  <c r="A11"/>
  <c r="A12"/>
  <c r="A13"/>
  <c r="A15"/>
  <c r="A16"/>
  <c r="A17"/>
  <c r="A18"/>
  <c r="A19"/>
  <c r="A20"/>
  <c r="A21"/>
  <c r="A7" i="109"/>
  <c r="A8"/>
  <c r="A9"/>
  <c r="A10"/>
  <c r="C11"/>
  <c r="E9"/>
  <c r="E11"/>
  <c r="C12"/>
  <c r="E12"/>
  <c r="C6" i="7"/>
  <c r="D6"/>
  <c r="E6"/>
  <c r="F6"/>
  <c r="G6"/>
  <c r="H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9"/>
  <c r="A100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C19"/>
  <c r="D19"/>
  <c r="E19"/>
  <c r="F19"/>
  <c r="G19"/>
  <c r="H19"/>
  <c r="G20"/>
  <c r="H20"/>
  <c r="G21"/>
  <c r="H21"/>
  <c r="G22"/>
  <c r="H22"/>
  <c r="G23"/>
  <c r="H23"/>
  <c r="G24"/>
  <c r="H24"/>
  <c r="G25"/>
  <c r="H25"/>
  <c r="C27"/>
  <c r="D27"/>
  <c r="E27"/>
  <c r="F27"/>
  <c r="G27"/>
  <c r="H27"/>
  <c r="G28"/>
  <c r="H28"/>
  <c r="G29"/>
  <c r="H29"/>
  <c r="G30"/>
  <c r="H30"/>
  <c r="G31"/>
  <c r="H31"/>
  <c r="C32"/>
  <c r="D32"/>
  <c r="E32"/>
  <c r="F32"/>
  <c r="G32"/>
  <c r="H32"/>
  <c r="G33"/>
  <c r="H33"/>
  <c r="G34"/>
  <c r="H34"/>
  <c r="G35"/>
  <c r="H35"/>
  <c r="G36"/>
  <c r="H36"/>
  <c r="G37"/>
  <c r="H37"/>
  <c r="G38"/>
  <c r="H38"/>
  <c r="G39"/>
  <c r="H39"/>
  <c r="C40"/>
  <c r="D40"/>
  <c r="E40"/>
  <c r="F40"/>
  <c r="G40"/>
  <c r="H40"/>
  <c r="G41"/>
  <c r="H41"/>
  <c r="G42"/>
  <c r="H42"/>
  <c r="G43"/>
  <c r="H43"/>
  <c r="C44"/>
  <c r="D44"/>
  <c r="E44"/>
  <c r="F44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1"/>
  <c r="H61"/>
  <c r="C62"/>
  <c r="C60"/>
  <c r="D62"/>
  <c r="D60"/>
  <c r="E62"/>
  <c r="E60"/>
  <c r="F62"/>
  <c r="F60"/>
  <c r="G62"/>
  <c r="G63"/>
  <c r="H63"/>
  <c r="G64"/>
  <c r="H64"/>
  <c r="G65"/>
  <c r="H65"/>
  <c r="G66"/>
  <c r="H66"/>
  <c r="G67"/>
  <c r="H67"/>
  <c r="E68"/>
  <c r="E100"/>
  <c r="F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80"/>
  <c r="H80"/>
  <c r="D81"/>
  <c r="D79"/>
  <c r="D100"/>
  <c r="E81"/>
  <c r="E79"/>
  <c r="F81"/>
  <c r="F79"/>
  <c r="C5" i="5"/>
  <c r="D5"/>
  <c r="C8"/>
  <c r="D8"/>
  <c r="C13"/>
  <c r="D13"/>
  <c r="E6" i="98"/>
  <c r="F6"/>
  <c r="G6"/>
  <c r="H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G7"/>
  <c r="H7"/>
  <c r="G8"/>
  <c r="H8"/>
  <c r="G9"/>
  <c r="G10"/>
  <c r="E11"/>
  <c r="F11"/>
  <c r="H11"/>
  <c r="G11"/>
  <c r="G12"/>
  <c r="G13"/>
  <c r="G14"/>
  <c r="G15"/>
  <c r="G16"/>
  <c r="G17"/>
  <c r="G18"/>
  <c r="G19"/>
  <c r="G20"/>
  <c r="E21"/>
  <c r="G21"/>
  <c r="F21"/>
  <c r="H21"/>
  <c r="G22"/>
  <c r="G23"/>
  <c r="G24"/>
  <c r="E25"/>
  <c r="G25"/>
  <c r="F25"/>
  <c r="H25"/>
  <c r="G26"/>
  <c r="G27"/>
  <c r="G28"/>
  <c r="G29"/>
  <c r="G30"/>
  <c r="G31"/>
  <c r="G32"/>
  <c r="G33"/>
  <c r="G34"/>
  <c r="G35"/>
  <c r="G37"/>
  <c r="G38"/>
  <c r="G39"/>
  <c r="G40"/>
  <c r="G41"/>
  <c r="G42"/>
  <c r="G43"/>
  <c r="E44"/>
  <c r="G44"/>
  <c r="F44"/>
  <c r="H44"/>
  <c r="G45"/>
  <c r="G46"/>
  <c r="G47"/>
  <c r="G48"/>
  <c r="G49"/>
  <c r="G50"/>
  <c r="G52"/>
  <c r="G53"/>
  <c r="G54"/>
  <c r="G55"/>
  <c r="G56"/>
  <c r="E6" i="3"/>
  <c r="E7"/>
  <c r="E9"/>
  <c r="C14"/>
  <c r="D14"/>
  <c r="E14"/>
  <c r="E17"/>
  <c r="D18"/>
  <c r="E18"/>
  <c r="E19"/>
  <c r="E20"/>
  <c r="E21"/>
  <c r="D25"/>
  <c r="E26"/>
  <c r="E28"/>
  <c r="D38"/>
  <c r="H81" i="7"/>
  <c r="G18" i="140"/>
  <c r="H60" i="7"/>
  <c r="G60"/>
  <c r="H62"/>
  <c r="E5" i="3"/>
  <c r="E25"/>
  <c r="C38"/>
  <c r="E38"/>
  <c r="H21" i="95"/>
  <c r="D25"/>
  <c r="H25"/>
  <c r="G21"/>
  <c r="C25"/>
  <c r="G25"/>
  <c r="C81" i="7"/>
  <c r="G81"/>
  <c r="D49" i="139"/>
  <c r="D50"/>
  <c r="E49"/>
  <c r="E50"/>
  <c r="F49"/>
  <c r="F50"/>
  <c r="G49"/>
  <c r="G50"/>
  <c r="F4" i="134"/>
  <c r="F27"/>
  <c r="F41"/>
  <c r="F42"/>
  <c r="D41"/>
  <c r="D42"/>
  <c r="E41"/>
  <c r="E42"/>
  <c r="F20" i="133"/>
  <c r="F23"/>
  <c r="F39"/>
  <c r="F40"/>
  <c r="F41"/>
  <c r="D39"/>
  <c r="D40"/>
  <c r="E39"/>
  <c r="E40"/>
  <c r="C79" i="7"/>
  <c r="E57" i="98"/>
  <c r="G57"/>
  <c r="F57"/>
  <c r="H57"/>
  <c r="A19" i="95"/>
  <c r="A20"/>
  <c r="A21"/>
  <c r="A22"/>
  <c r="D7" i="140"/>
  <c r="I21" i="91"/>
  <c r="K7" i="106"/>
  <c r="C17"/>
  <c r="D12" i="118"/>
  <c r="D9"/>
  <c r="D5"/>
  <c r="D16"/>
  <c r="D6" i="106"/>
  <c r="K17"/>
  <c r="D17" i="140"/>
  <c r="D19"/>
  <c r="C7"/>
  <c r="C100" i="7"/>
  <c r="G100"/>
  <c r="G79"/>
  <c r="C19" i="140"/>
  <c r="G7"/>
  <c r="G19"/>
  <c r="L6" i="106"/>
  <c r="D17"/>
  <c r="L17"/>
  <c r="D43" i="133"/>
  <c r="D44"/>
  <c r="E43"/>
  <c r="E44"/>
  <c r="F100" i="7"/>
  <c r="H100"/>
  <c r="H79"/>
  <c r="G68"/>
  <c r="H11" i="95"/>
  <c r="F7" i="142"/>
  <c r="F28"/>
  <c r="J7"/>
  <c r="J28"/>
  <c r="F44" i="133"/>
  <c r="F42"/>
  <c r="F43"/>
</calcChain>
</file>

<file path=xl/comments1.xml><?xml version="1.0" encoding="utf-8"?>
<comments xmlns="http://schemas.openxmlformats.org/spreadsheetml/2006/main">
  <authors>
    <author>renata.lucanska</author>
  </authors>
  <commentList>
    <comment ref="D20" authorId="0">
      <text>
        <r>
          <rPr>
            <b/>
            <sz val="9"/>
            <color indexed="81"/>
            <rFont val="Tahoma"/>
            <charset val="1"/>
          </rPr>
          <t xml:space="preserve">transfer na partnera SAV, VVŠ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pisarcikova</author>
  </authors>
  <commentList>
    <comment ref="F9" authorId="0">
      <text>
        <r>
          <rPr>
            <b/>
            <sz val="8"/>
            <color indexed="81"/>
            <rFont val="Tahoma"/>
            <family val="2"/>
            <charset val="238"/>
          </rPr>
          <t>pisarcikova:</t>
        </r>
        <r>
          <rPr>
            <sz val="8"/>
            <color indexed="81"/>
            <rFont val="Tahoma"/>
            <family val="2"/>
            <charset val="238"/>
          </rPr>
          <t xml:space="preserve">
1 422 874,24 z T5, lebo 551002 + 551004</t>
        </r>
      </text>
    </comment>
  </commentList>
</comments>
</file>

<file path=xl/sharedStrings.xml><?xml version="1.0" encoding="utf-8"?>
<sst xmlns="http://schemas.openxmlformats.org/spreadsheetml/2006/main" count="1440" uniqueCount="1059">
  <si>
    <r>
      <t xml:space="preserve">Nárok na príspevok zo štátneho rozpočtu na jedlá podľa metodiky </t>
    </r>
    <r>
      <rPr>
        <sz val="12"/>
        <rFont val="Times New Roman"/>
        <family val="1"/>
      </rPr>
      <t xml:space="preserve"> [R13+ R14]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</rPr>
      <t xml:space="preserve">                                      </t>
    </r>
  </si>
  <si>
    <r>
      <t xml:space="preserve">Počet vydaných jedál študentom </t>
    </r>
    <r>
      <rPr>
        <b/>
        <vertAlign val="superscript"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v kalendárnom roku  </t>
    </r>
  </si>
  <si>
    <r>
      <t>- počet vydaných jedál študentom v zmluvných zariadeniach</t>
    </r>
    <r>
      <rPr>
        <vertAlign val="superscript"/>
        <sz val="12"/>
        <rFont val="Times New Roman"/>
        <family val="1"/>
        <charset val="238"/>
      </rPr>
      <t xml:space="preserve"> 4)</t>
    </r>
  </si>
  <si>
    <r>
      <t xml:space="preserve">3) uvádzajú sa </t>
    </r>
    <r>
      <rPr>
        <b/>
        <sz val="11"/>
        <rFont val="Times New Roman"/>
        <family val="1"/>
        <charset val="238"/>
      </rPr>
      <t>jedlá vydané študentom len vo vlastnej jedálni</t>
    </r>
    <r>
      <rPr>
        <sz val="11"/>
        <rFont val="Times New Roman"/>
        <family val="1"/>
        <charset val="238"/>
      </rPr>
      <t xml:space="preserve"> , na ktoré sa poskytuje dotácia</t>
    </r>
  </si>
  <si>
    <r>
      <t xml:space="preserve">4) uvádzajú sa </t>
    </r>
    <r>
      <rPr>
        <b/>
        <sz val="11"/>
        <rFont val="Times New Roman"/>
        <family val="1"/>
        <charset val="238"/>
      </rPr>
      <t>všetky jedlá vydané študentom v zmluvných zariadeniach</t>
    </r>
    <r>
      <rPr>
        <sz val="11"/>
        <rFont val="Times New Roman"/>
        <family val="1"/>
        <charset val="238"/>
      </rPr>
      <t>, na ktoré sa poskytuje dotácia</t>
    </r>
  </si>
  <si>
    <r>
      <t>Priemerné náklady  na jedlo študenta v Eur [</t>
    </r>
    <r>
      <rPr>
        <sz val="12"/>
        <rFont val="Times New Roman"/>
        <family val="1"/>
        <charset val="238"/>
      </rPr>
      <t>R10</t>
    </r>
    <r>
      <rPr>
        <sz val="12"/>
        <rFont val="Times New Roman"/>
        <family val="1"/>
      </rPr>
      <t>/R12]</t>
    </r>
  </si>
  <si>
    <r>
      <t>Tabuľka č. 9: Údaje o systéme sociálnej podpory  - časť výnosy a náklady</t>
    </r>
    <r>
      <rPr>
        <b/>
        <vertAlign val="superscript"/>
        <sz val="14"/>
        <rFont val="Times New Roman"/>
        <family val="1"/>
        <charset val="238"/>
      </rPr>
      <t>1)</t>
    </r>
    <r>
      <rPr>
        <b/>
        <sz val="14"/>
        <rFont val="Times New Roman"/>
        <family val="1"/>
      </rPr>
      <t xml:space="preserve"> študentských domovov 
(bez zmluvných zariadení) za roky 2009 a 2010  </t>
    </r>
  </si>
  <si>
    <r>
      <t xml:space="preserve">Náklady na štipendiá interných doktorandov (R2+R5+R8) </t>
    </r>
    <r>
      <rPr>
        <b/>
        <vertAlign val="superscript"/>
        <sz val="12"/>
        <color indexed="8"/>
        <rFont val="Times New Roman"/>
        <family val="1"/>
        <charset val="238"/>
      </rPr>
      <t>1)</t>
    </r>
  </si>
  <si>
    <t>z účelovej dotácie MŠVVaŠ SR</t>
  </si>
  <si>
    <t>z iných zdrojov VVŠ (kod 12,16)</t>
  </si>
  <si>
    <t xml:space="preserve">  - Prvok 06G 06 04  </t>
  </si>
  <si>
    <t>Príjem z dotácie poskytnutej na sociálne štipendiá v rámci dotačnej zmluvy z kapitoly MŠVVaŠ k 31.12.</t>
  </si>
  <si>
    <t xml:space="preserve">Nevyčerpaná dotácia (+) / nedoplatok dotácie (-) k 31. 12. predchádzajúceho roka  
[R4_SC = R6_SA]                         </t>
  </si>
  <si>
    <t>Príplatok za prácu v sťaženom a zdraviu škodlivom pracovnom prostredí - spolu 
(v CRŠ kod 14)</t>
  </si>
  <si>
    <t>1) výška nákladov, vykazovaná k 31.12.2010 zohľadnuje aj úhradu štipendií doktorandov, ktoré verejná vysoká škola vyplatila v januári 2011 za december 2010</t>
  </si>
  <si>
    <t>Vnútroorganizačné prevody (účtovná skupina 57)</t>
  </si>
  <si>
    <t>- počet vydaných jedál študentom vo vlastných stravovacích zariadeniach 3)</t>
  </si>
  <si>
    <t>Dotácia na kapitálové výdavky z prostriedkov EÚ (štrukturálnych fondov)</t>
  </si>
  <si>
    <t>10a</t>
  </si>
  <si>
    <r>
      <t xml:space="preserve">Čerpanie kapitálovej dotácie v roku 2010
</t>
    </r>
    <r>
      <rPr>
        <b/>
        <sz val="11"/>
        <color indexed="10"/>
        <rFont val="Times New Roman"/>
        <family val="1"/>
        <charset val="238"/>
      </rPr>
      <t>z prostriedkov EÚ (štrukturálnych fondov)</t>
    </r>
  </si>
  <si>
    <t>G=A+B+C+D+E+F</t>
  </si>
  <si>
    <r>
      <t xml:space="preserve">Tabuľka č. 17: Príjmy verejnej vysokej školy </t>
    </r>
    <r>
      <rPr>
        <b/>
        <sz val="14"/>
        <color indexed="10"/>
        <rFont val="Times New Roman"/>
        <family val="1"/>
        <charset val="238"/>
      </rPr>
      <t>z prostriedkov EÚ</t>
    </r>
    <r>
      <rPr>
        <b/>
        <sz val="14"/>
        <rFont val="Times New Roman"/>
        <family val="1"/>
      </rPr>
      <t xml:space="preserve"> a z prostriedkov na ich spolufinancovanie 
zo štátneho rozpočtu z kapitoly ministerstva školstva a z iných kapitol štátneho rozpočtu v roku 2010
</t>
    </r>
    <r>
      <rPr>
        <sz val="14"/>
        <color indexed="10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(v Eur)</t>
    </r>
  </si>
  <si>
    <r>
      <t xml:space="preserve">Dotácie </t>
    </r>
    <r>
      <rPr>
        <b/>
        <sz val="12"/>
        <color indexed="10"/>
        <rFont val="Times New Roman"/>
        <family val="1"/>
        <charset val="238"/>
      </rPr>
      <t>z prostriedkov EÚ</t>
    </r>
    <r>
      <rPr>
        <b/>
        <sz val="12"/>
        <rFont val="Times New Roman"/>
        <family val="1"/>
      </rPr>
      <t xml:space="preserve"> spolu</t>
    </r>
    <r>
      <rPr>
        <sz val="12"/>
        <rFont val="Times New Roman"/>
        <family val="1"/>
      </rPr>
      <t xml:space="preserve"> [R14+R15]</t>
    </r>
  </si>
  <si>
    <r>
      <t xml:space="preserve">Tabuľka č. 2: Príjmy verejnej vysokej školy  v roku 2010 majúce charakter dotácie okrem príjmov z dotácií 
 z  kapitoly MŠVVaŠ SR a okrem prostriedkov EÚ (štrukturálnych fondov) </t>
    </r>
    <r>
      <rPr>
        <sz val="14"/>
        <rFont val="Times New Roman"/>
        <family val="1"/>
        <charset val="238"/>
      </rPr>
      <t xml:space="preserve"> ( v Eur )</t>
    </r>
  </si>
  <si>
    <r>
      <t xml:space="preserve">Štipendiá z vlastných zdrojov vysokej školy (§ 97 zákona) spolu </t>
    </r>
    <r>
      <rPr>
        <sz val="12"/>
        <rFont val="Times New Roman"/>
        <family val="1"/>
        <charset val="238"/>
      </rPr>
      <t xml:space="preserve">[R2+R5+R8+R11] </t>
    </r>
  </si>
  <si>
    <t>Tabuľka č. 19: Štipendiá z vlastných zdrojov podľa § 97 zákona v rokoch 2008 a 2009    (v Eur )</t>
  </si>
  <si>
    <t>Zmena  stavu zásob ned. výroby</t>
  </si>
  <si>
    <t>2) údaj v T7_R11_SB je menší alebo rovný údaju v T14_R4_SJ, ide o nevyčerpanú dotáciu k 31. 12. 2010</t>
  </si>
  <si>
    <r>
      <t xml:space="preserve">Zvyšok prijatej kapitálovej dotácie </t>
    </r>
    <r>
      <rPr>
        <b/>
        <sz val="10"/>
        <color indexed="10"/>
        <rFont val="Times New Roman"/>
        <family val="1"/>
        <charset val="238"/>
      </rPr>
      <t>z prostriedkov EÚ (štrukturálnych fondov)</t>
    </r>
    <r>
      <rPr>
        <b/>
        <sz val="12"/>
        <rFont val="Times New Roman"/>
        <family val="1"/>
        <charset val="238"/>
      </rPr>
      <t xml:space="preserve"> používanej na kompenzáciu odpisov majetku z nej obstaraného</t>
    </r>
  </si>
  <si>
    <t>F = A+B+C+D+E</t>
  </si>
  <si>
    <t>K</t>
  </si>
  <si>
    <t>L=
G+H+I+J+K</t>
  </si>
  <si>
    <r>
      <t xml:space="preserve">  - náklady na štipendiá vo výške 9. platovej triedy a</t>
    </r>
    <r>
      <rPr>
        <sz val="12"/>
        <color indexed="10"/>
        <rFont val="Times New Roman"/>
        <family val="1"/>
        <charset val="238"/>
      </rPr>
      <t xml:space="preserve"> 1. </t>
    </r>
    <r>
      <rPr>
        <sz val="12"/>
        <rFont val="Times New Roman"/>
        <family val="1"/>
        <charset val="238"/>
      </rPr>
      <t>platového stupňa        (v CRŠ kod 10)</t>
    </r>
  </si>
  <si>
    <r>
      <t xml:space="preserve">  - náklady na štipendiá vo výške 10. platovej triedy a</t>
    </r>
    <r>
      <rPr>
        <sz val="12"/>
        <color indexed="10"/>
        <rFont val="Times New Roman"/>
        <family val="1"/>
        <charset val="238"/>
      </rPr>
      <t xml:space="preserve"> 1. </t>
    </r>
    <r>
      <rPr>
        <sz val="12"/>
        <rFont val="Times New Roman"/>
        <family val="1"/>
        <charset val="238"/>
      </rPr>
      <t>platového stupňa      (v CRŠ kod 11)</t>
    </r>
  </si>
  <si>
    <t xml:space="preserve">  - náklady na časť štipendia prevyšujúce 10. platovú triedu a 1. platový stupeň (v CRŠ kod 15)</t>
  </si>
  <si>
    <t xml:space="preserve">  - náklady na časť štipendia prevyšujúce 9. platovú triedu a 1. platový stupeň (v CRŠ kod 15) </t>
  </si>
  <si>
    <r>
      <t>Tabuľka č. 18: Príjmy z dotácií verejnej vysokej škole zo štátneho rozpočtu z kapitoly ministerstva školstva poskytnuté mimo dotačnej zmluvy a mimo dotácií z prostriedkov EÚ (zo štrukturálnych fondov) 
v roku 2010</t>
    </r>
    <r>
      <rPr>
        <sz val="14"/>
        <color indexed="10"/>
        <rFont val="Times New Roman"/>
        <family val="1"/>
        <charset val="238"/>
      </rPr>
      <t xml:space="preserve">  </t>
    </r>
    <r>
      <rPr>
        <sz val="14"/>
        <rFont val="Times New Roman"/>
        <family val="1"/>
        <charset val="238"/>
      </rPr>
      <t>(v Eur)</t>
    </r>
  </si>
  <si>
    <t>Za rok 2010 sa nevypĺňa !</t>
  </si>
  <si>
    <t xml:space="preserve">  </t>
  </si>
  <si>
    <r>
      <t xml:space="preserve">- tvorba fondu z hospodárskeho výsledku (účet 413  111)  </t>
    </r>
    <r>
      <rPr>
        <vertAlign val="superscript"/>
        <sz val="12"/>
        <rFont val="Times New Roman"/>
        <family val="1"/>
        <charset val="238"/>
      </rPr>
      <t xml:space="preserve">1) </t>
    </r>
  </si>
  <si>
    <t>- tvorba fondu prevodom z rezervného fondu (účet  413 114)</t>
  </si>
  <si>
    <t>- tvorba fondu z darov a z dedičstva (účet 413 112)</t>
  </si>
  <si>
    <t>- tvorba fondu z výnosov z predaja majetku (účet 413 117)</t>
  </si>
  <si>
    <r>
      <t xml:space="preserve">- ostatná tvorba (účet 413 113) </t>
    </r>
    <r>
      <rPr>
        <vertAlign val="superscript"/>
        <sz val="12"/>
        <rFont val="Times New Roman"/>
        <family val="1"/>
        <charset val="238"/>
      </rPr>
      <t xml:space="preserve">2) </t>
    </r>
  </si>
  <si>
    <t>92a</t>
  </si>
  <si>
    <t>1b</t>
  </si>
  <si>
    <t>2b</t>
  </si>
  <si>
    <t>3b</t>
  </si>
  <si>
    <t>4b</t>
  </si>
  <si>
    <t>15b</t>
  </si>
  <si>
    <t xml:space="preserve">Názov verejnej vysokej školy:  
Názov fakulty:  </t>
  </si>
  <si>
    <t xml:space="preserve">Názov verejnej vysokej školy: </t>
  </si>
  <si>
    <t xml:space="preserve">    - bežný účet na riešenie úloh vedy a
      výskumu  zo SR, resp.zahraničia </t>
  </si>
  <si>
    <t>Ostatní  interní doktorandi</t>
  </si>
  <si>
    <t>A=B+C</t>
  </si>
  <si>
    <t xml:space="preserve">  - náklady na štipendiá interných doktorandov pred dizertačnou skúškou 
(v zmysle § 54 ods. 18 písm. a) zákona spolu (SUM(R3:R4))</t>
  </si>
  <si>
    <t>Priemerný mesačný náklad na doktoranda</t>
  </si>
  <si>
    <t xml:space="preserve">  - Prvok 0AE 02 01</t>
  </si>
  <si>
    <t xml:space="preserve">  - Prvok 0AE 02 03</t>
  </si>
  <si>
    <t xml:space="preserve">  - Prvok 0AE 03 01</t>
  </si>
  <si>
    <r>
      <t xml:space="preserve">Dotácie z kapitoly MŠ SR spolu </t>
    </r>
    <r>
      <rPr>
        <sz val="12"/>
        <rFont val="Times New Roman"/>
        <family val="1"/>
        <charset val="238"/>
      </rPr>
      <t>[R1+R6+R9+R12]</t>
    </r>
  </si>
  <si>
    <r>
      <t xml:space="preserve">Dotácie z iných kapitol spolu </t>
    </r>
    <r>
      <rPr>
        <sz val="12"/>
        <rFont val="Times New Roman"/>
        <family val="1"/>
        <charset val="238"/>
      </rPr>
      <t>[SUM(R15a:R15...)]</t>
    </r>
  </si>
  <si>
    <r>
      <t xml:space="preserve">Podprogram 06G 06 </t>
    </r>
    <r>
      <rPr>
        <sz val="12"/>
        <rFont val="Times New Roman"/>
        <family val="1"/>
        <charset val="238"/>
      </rPr>
      <t>[R7+R8]</t>
    </r>
  </si>
  <si>
    <r>
      <t xml:space="preserve">Podprogram 0AE 02 </t>
    </r>
    <r>
      <rPr>
        <sz val="12"/>
        <rFont val="Times New Roman"/>
        <family val="1"/>
        <charset val="238"/>
      </rPr>
      <t>[R10:R11]</t>
    </r>
  </si>
  <si>
    <r>
      <t xml:space="preserve">Podprogram 0AE 03 </t>
    </r>
    <r>
      <rPr>
        <sz val="12"/>
        <rFont val="Times New Roman"/>
        <family val="1"/>
        <charset val="238"/>
      </rPr>
      <t>[R12=R13]</t>
    </r>
  </si>
  <si>
    <t xml:space="preserve"> - Podprogram 06K 12            </t>
  </si>
  <si>
    <r>
      <t xml:space="preserve">zabezpečenie mobilít v súlade s medzinárodnými zmluvami </t>
    </r>
    <r>
      <rPr>
        <i/>
        <vertAlign val="superscript"/>
        <sz val="12"/>
        <rFont val="Times New Roman"/>
        <family val="1"/>
        <charset val="238"/>
      </rPr>
      <t>1)</t>
    </r>
  </si>
  <si>
    <t xml:space="preserve"> - Podprogram 06K 16           </t>
  </si>
  <si>
    <t xml:space="preserve">-  Podprogram 06K 0A </t>
  </si>
  <si>
    <r>
      <t xml:space="preserve">Program 06K </t>
    </r>
    <r>
      <rPr>
        <sz val="12"/>
        <rFont val="Times New Roman"/>
        <family val="1"/>
        <charset val="238"/>
      </rPr>
      <t>[SUM(R2+R3+R4+R5)]</t>
    </r>
  </si>
  <si>
    <t>Ostatné dotácie [SUM(R8a..R8x)]</t>
  </si>
  <si>
    <t>Účet</t>
  </si>
  <si>
    <t>Polož. výkaz. NUJ</t>
  </si>
  <si>
    <t>Čislo riadku</t>
  </si>
  <si>
    <t>A. NEOBEŽNÝ MAJETOK SPOLU r.002+r.009+r.021</t>
  </si>
  <si>
    <t>001</t>
  </si>
  <si>
    <t>1. Dlhodobý nehmotný majetok r.003 až r.008</t>
  </si>
  <si>
    <t>002</t>
  </si>
  <si>
    <t>Nehmotné výsledky z vývojovej a obdob.činnosti 012-(072+091A</t>
  </si>
  <si>
    <t>003</t>
  </si>
  <si>
    <t>Softvér 013-(073+091AÚ)</t>
  </si>
  <si>
    <t>004</t>
  </si>
  <si>
    <t>005</t>
  </si>
  <si>
    <t>Ostatný.dlhodob.nehmot.majetok(018+019)-(078+079+091AÚ)</t>
  </si>
  <si>
    <t>006</t>
  </si>
  <si>
    <t>Obstaranie dlhodobého nehmotného majetku (041-093)</t>
  </si>
  <si>
    <t>007</t>
  </si>
  <si>
    <t>Poskytnut.preddavky na dlhodob.nehmot.majetok (051-095AÚ)</t>
  </si>
  <si>
    <t>008</t>
  </si>
  <si>
    <t>2. Dlhodobý hmotný majetok (r. 010 až r. 020)</t>
  </si>
  <si>
    <t>009</t>
  </si>
  <si>
    <t>Pozemky (031)</t>
  </si>
  <si>
    <t>010</t>
  </si>
  <si>
    <t>Umelecké diela a zbierky (032)</t>
  </si>
  <si>
    <t>011</t>
  </si>
  <si>
    <t>Stavby 021-(081-092AÚ)</t>
  </si>
  <si>
    <t>012</t>
  </si>
  <si>
    <t>Samostatné hnuteľné veci a súbory hnuteľných vecí (022 - (08</t>
  </si>
  <si>
    <t>013</t>
  </si>
  <si>
    <t>Dopravné prostriedky (023 - (083+092AÚ))</t>
  </si>
  <si>
    <t>014</t>
  </si>
  <si>
    <t>Pestovateľské celky trvalých porastov (025 - (085 + 092AÚ))</t>
  </si>
  <si>
    <t>015</t>
  </si>
  <si>
    <t>Základné stádo a ťažné zvieratá (026 - (086 + 092AÚ))</t>
  </si>
  <si>
    <t>016</t>
  </si>
  <si>
    <t>Drobný dlhodobý hmotný majetok (028 - (088 + 092AÚ))</t>
  </si>
  <si>
    <t>017</t>
  </si>
  <si>
    <t>Ostatný dlhodobý hmotný majetok (029 - (089 +092AÚ))</t>
  </si>
  <si>
    <t>018</t>
  </si>
  <si>
    <t>Obstaranie dlhodobého hmotného majetku (042 - 094)</t>
  </si>
  <si>
    <t>019</t>
  </si>
  <si>
    <t>Poskytnuté preddavky na dlhodob.hmot.majetok (052-095AÚ)</t>
  </si>
  <si>
    <t>020</t>
  </si>
  <si>
    <t>3. Dlhodobý finančný majetok r.022 až r.028</t>
  </si>
  <si>
    <t>021</t>
  </si>
  <si>
    <t>Podiel.cen.papier.a podiely v obchod.spol.v ovládan.osobe (0</t>
  </si>
  <si>
    <t>022</t>
  </si>
  <si>
    <t>Podiel.cen.papiere a podiely v obchod.spol.s podstat.vplyvom</t>
  </si>
  <si>
    <t>023</t>
  </si>
  <si>
    <t>Dlhové cenné papiere držané do splatnosti (065 - 096 AÚ)</t>
  </si>
  <si>
    <t>024</t>
  </si>
  <si>
    <t>Pôžičky podnikom v skup.a ostat.pôžičky (066+067)-096AÚ</t>
  </si>
  <si>
    <t>025</t>
  </si>
  <si>
    <t>Ostatný dlhodobý finančný majetok (069-096AÚ)</t>
  </si>
  <si>
    <t>026</t>
  </si>
  <si>
    <t>Obstaranie dlhodobého finančného majetku (043 - 096AÚ)</t>
  </si>
  <si>
    <t>027</t>
  </si>
  <si>
    <t>Poskytnuté preddavky na dlhodobý finančný majetok (053 - 096</t>
  </si>
  <si>
    <t>028</t>
  </si>
  <si>
    <t>B. OBEŽNÝ MAJETOK SPOLU r.030+r.037+r.042+r.051</t>
  </si>
  <si>
    <t>029</t>
  </si>
  <si>
    <t>1. Zásoby r.031 až r.036</t>
  </si>
  <si>
    <t>030</t>
  </si>
  <si>
    <t>Materiál (112+119) -191</t>
  </si>
  <si>
    <t>031</t>
  </si>
  <si>
    <t>Nedokonč.výroba a polotovary vlast.výroby (121+122)-(192+193</t>
  </si>
  <si>
    <t>032</t>
  </si>
  <si>
    <t>Výrobky (123-194)</t>
  </si>
  <si>
    <t>033</t>
  </si>
  <si>
    <t>Zvieratá (124-195)</t>
  </si>
  <si>
    <t>034</t>
  </si>
  <si>
    <t>Tovar (132+139)-196</t>
  </si>
  <si>
    <t>035</t>
  </si>
  <si>
    <t>Poskytnuté prevádzkové preddavky na zásoby (314AÚ-391AÚ)</t>
  </si>
  <si>
    <t>036</t>
  </si>
  <si>
    <t>2. Dlhodobé pohľadávky (r.038 až 041)</t>
  </si>
  <si>
    <t>037</t>
  </si>
  <si>
    <t>Pohľadávky z obchod.styku (311AÚ až 314AÚ) - 391AÚ</t>
  </si>
  <si>
    <t>038</t>
  </si>
  <si>
    <t>Ostatné pohľadávky (315AÚ - 391AÚ)</t>
  </si>
  <si>
    <t>039</t>
  </si>
  <si>
    <t>Pohľadávky voči účastníkom združení (358AÚ - 391AÚ)</t>
  </si>
  <si>
    <t>040</t>
  </si>
  <si>
    <t>Iné pohľadávky (335AÚ+373AÚ+375AÚ+378AÚ) -391AÚ</t>
  </si>
  <si>
    <t>041</t>
  </si>
  <si>
    <t>3. Krátkodobé pohľadávky r.043 až r.050</t>
  </si>
  <si>
    <t>042</t>
  </si>
  <si>
    <t>Pohľadávky z obchodného styku (311AÚ až 314AÚ) - 391AÚ</t>
  </si>
  <si>
    <t>043</t>
  </si>
  <si>
    <t>044</t>
  </si>
  <si>
    <t>Zúčtovanie zo Sociálnou poisť. a zdravot.poisťovňami (336)</t>
  </si>
  <si>
    <t>045</t>
  </si>
  <si>
    <t>Daňové pohľadávky (341 až 345)</t>
  </si>
  <si>
    <t>046</t>
  </si>
  <si>
    <t>Pohľ.z dôvodu fin.vzťahov k ŠR a rozpočtom úz.správ (346+348</t>
  </si>
  <si>
    <t>047</t>
  </si>
  <si>
    <t>048</t>
  </si>
  <si>
    <t>Spojovací účet pri združení (396-391AÚ)</t>
  </si>
  <si>
    <t>049</t>
  </si>
  <si>
    <t>050</t>
  </si>
  <si>
    <t>4. Finančné účty r.052 až 056</t>
  </si>
  <si>
    <t>051</t>
  </si>
  <si>
    <t>Pokladnica (211+213)</t>
  </si>
  <si>
    <t>052</t>
  </si>
  <si>
    <t>Bankové účty (221AÚ+261)</t>
  </si>
  <si>
    <t>053</t>
  </si>
  <si>
    <t>Bankové účty s dobou viazanosti dlhšou ako jeden rok (221AÚ)</t>
  </si>
  <si>
    <t>054</t>
  </si>
  <si>
    <t>Krátkodobý finančný majetok (251+253+255+256+257)-291AÚ</t>
  </si>
  <si>
    <t>055</t>
  </si>
  <si>
    <t>Obstaranie krátkodobého finančného majetku (259 -291AÚ)</t>
  </si>
  <si>
    <t>056</t>
  </si>
  <si>
    <t>C. ČASOVÉ ROZLÍŠENIE SPOLU r.058 a r.059</t>
  </si>
  <si>
    <t>057</t>
  </si>
  <si>
    <t>1. Náklady budúcich období (381)</t>
  </si>
  <si>
    <t>058</t>
  </si>
  <si>
    <t>Príjmy budúcich období (385)</t>
  </si>
  <si>
    <t>059</t>
  </si>
  <si>
    <t>MAJETOK SPOLU r.001 + r.029 + r.057</t>
  </si>
  <si>
    <t>060</t>
  </si>
  <si>
    <t>Celkový výsledok</t>
  </si>
  <si>
    <t>Brutto</t>
  </si>
  <si>
    <t>Korekcia</t>
  </si>
  <si>
    <t>Netto</t>
  </si>
  <si>
    <t>Predch. účt. obdobie</t>
  </si>
  <si>
    <t>Strana aktív</t>
  </si>
  <si>
    <t>Tabuľka č. 24: Súvaha - Strana aktív</t>
  </si>
  <si>
    <t xml:space="preserve">   Oceniteľné práva 014-(074+091AÚ)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</si>
  <si>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</si>
  <si>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</si>
  <si>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</si>
  <si>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</si>
  <si>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</si>
  <si>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</si>
  <si>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</si>
  <si>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</si>
  <si>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</si>
  <si>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</si>
  <si>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</si>
  <si>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</si>
  <si>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</si>
  <si>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</si>
  <si>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</si>
  <si>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</si>
  <si>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</si>
  <si>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</si>
  <si>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</si>
  <si>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</si>
  <si>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</si>
  <si>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</si>
  <si>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</si>
  <si>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</si>
  <si>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</si>
  <si>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</si>
  <si>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</si>
  <si>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</si>
  <si>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</si>
  <si>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</si>
  <si>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</si>
  <si>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</si>
  <si>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</si>
  <si>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</si>
  <si>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</si>
  <si>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</si>
  <si>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</si>
  <si>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</si>
  <si>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</si>
  <si>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</si>
  <si>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</si>
  <si>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</si>
  <si>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</si>
  <si>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</si>
  <si>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 xml:space="preserve"> Brutto
(v Eur)</t>
  </si>
  <si>
    <t>č. r.</t>
  </si>
  <si>
    <t>Bežné účtovné obdobie</t>
  </si>
  <si>
    <t>Bezprostredne predchádzajúce účtovné obdobie</t>
  </si>
  <si>
    <t>a</t>
  </si>
  <si>
    <t>b</t>
  </si>
  <si>
    <t>1.</t>
  </si>
  <si>
    <t>Nehmotné výsledky z vývojovej a obdob.činnosti 012 -(072 +091 AÚ)</t>
  </si>
  <si>
    <t>Software  013 - (073 + 091 AÚ)</t>
  </si>
  <si>
    <t>Oceniteľné práva  014 - (074 + 091 AÚ)</t>
  </si>
  <si>
    <t>Ostatný dlhodobý nehmotný majetok (018 + 019) - (078 + 079 + 091 AÚ)</t>
  </si>
  <si>
    <t>Poskytnuté preddavky na dlhodobý nehmotný majetok  (051) - (095 AÚ)</t>
  </si>
  <si>
    <t>2.</t>
  </si>
  <si>
    <t>Pozemky  (031)</t>
  </si>
  <si>
    <t>Umelecké diela a zbierky  (032)</t>
  </si>
  <si>
    <t>Stavby  (021) - (081 + 092 AÚ)</t>
  </si>
  <si>
    <t>Dopravné prostriedky  (023) - (083 + 092 AÚ)</t>
  </si>
  <si>
    <t>Pestovateľské celky trvalých porastov  (025) - (085 +092 AÚ)</t>
  </si>
  <si>
    <t>Základné stádo a ťažné zvieratá  (026) - (086 + 092 AÚ)</t>
  </si>
  <si>
    <t>Drobný dlhodobý hmotný majetok  (028) - (088 + 092 AÚ)</t>
  </si>
  <si>
    <t>Ostatný dlhodobý hmotný majetok  (029) - (089 + 092 AÚ)</t>
  </si>
  <si>
    <t>Obstaranie dlhodobého hmotného majetku  (042) - (094)</t>
  </si>
  <si>
    <t>Poskytnuté preddavky na dlhodobý hmot.majetok  (052) - (095 AÚ)</t>
  </si>
  <si>
    <t>3.</t>
  </si>
  <si>
    <t>Podielové cenné papiere a vklady v obchodných spoločnostiach v ovládanej osobe  (061)</t>
  </si>
  <si>
    <t>Podielové cenné papiere a vklady v obchodných spoločnostiach s podstatným vplyvom  (062)</t>
  </si>
  <si>
    <t>Dlhové cenné papiere držané do splatnosti  (063) - (096 AÚ)</t>
  </si>
  <si>
    <t>Pôžičky podnikom v skupine a ostatné pôžičky  (066 + 067) - (096 AÚ)</t>
  </si>
  <si>
    <t>Ostatný dlhodobý finančný majetok (069) okrem r.040</t>
  </si>
  <si>
    <t>Obstaranie dlhodobého finančného majetku  (043) - (096 AÚ)</t>
  </si>
  <si>
    <t>Poskytnuté preddavky na dlhodobý fin. majetok (053)</t>
  </si>
  <si>
    <t>Účtovné obdobie</t>
  </si>
  <si>
    <t>Zásoby   súčet r. 031 až 036</t>
  </si>
  <si>
    <t>Materiál (112 + 119) - (191)</t>
  </si>
  <si>
    <t>Nedokončená výroba a polotovary vlastnej výroby (121 + 122) - (192 + 193)</t>
  </si>
  <si>
    <t>Výrobky  (123) - (194)</t>
  </si>
  <si>
    <t>Zvieratá  (124) - (195)</t>
  </si>
  <si>
    <t>Tovar  (132 +139) - (196)</t>
  </si>
  <si>
    <t>Poskytnuté prevádzkové preddavky  (314) - (391 AÚ)</t>
  </si>
  <si>
    <t>Pohľadávky z obchodného styku (311 AÚ až 314 AÚ) - 391 AÚ) okrem r.035</t>
  </si>
  <si>
    <t>Ostatné pohľadávky (315 AÚ -391 AÚ)</t>
  </si>
  <si>
    <t>Pohľadávky voči účastníkom združení  (358 AÚ) - (391 AÚ)</t>
  </si>
  <si>
    <t>Iné pohľadávky  (335 AÚ + 375 AÚ + 378 AÚ) - (391 AÚ)</t>
  </si>
  <si>
    <t>Pohľadávky z obchodného styku  (311 AÚ až 314 AÚ) - 391 AÚ)</t>
  </si>
  <si>
    <t>Zúčtovanie so SP a zdravotnými poisťovňami (336)</t>
  </si>
  <si>
    <t>Daňové pohľadávky  (341 až 345)</t>
  </si>
  <si>
    <t>Pohľadávky z dôvodu finančných vzťahov k ŠR (346+348)</t>
  </si>
  <si>
    <t>Spojovací účet pri združení (396-391 AÚ)</t>
  </si>
  <si>
    <t>4.</t>
  </si>
  <si>
    <t>Pokladnica  (211 +213)</t>
  </si>
  <si>
    <t>Bankové účty  (221 +261)</t>
  </si>
  <si>
    <t>Bankové účty s dobou viazanosti dlhšou ako 1 rok (221AÚ)</t>
  </si>
  <si>
    <t>Krátkodobý finančný majetok (251+253+255+257)-291AÚ</t>
  </si>
  <si>
    <t>Obstaranie krátkodobého finančného majetku (259-291AÚ)</t>
  </si>
  <si>
    <t>C. ČASOVÉ ROZLÍŠENIE SPOLU                   r. 058 a r. 059</t>
  </si>
  <si>
    <t>Náklady budúcich období  (381)</t>
  </si>
  <si>
    <t>Príjmy budúcich období  (385)</t>
  </si>
  <si>
    <t>Strana pasív</t>
  </si>
  <si>
    <t>Oceňovacie rozdiely z precenenia majetku a záväzkov    (414)</t>
  </si>
  <si>
    <t>Oceňovacie rozdiely z precenenia kapitálových účastín   (415)</t>
  </si>
  <si>
    <t>Nevysporiadaný výsledok hospodárenia minulých rokov (+,- 428)</t>
  </si>
  <si>
    <t>Výsledok hospodárenia za účtovné obdobie r. 060-(r.062+068+072+074+101)</t>
  </si>
  <si>
    <t>993</t>
  </si>
  <si>
    <t>Rezervy r.076 až 078</t>
  </si>
  <si>
    <t>Krátkodobé záväzky  r.088 až 096</t>
  </si>
  <si>
    <t>Záväzky z obchodného styku   (321 až 326) okrem 323</t>
  </si>
  <si>
    <t>Bežné bankové úvery      (231 + 232 + 461 AÚ)</t>
  </si>
  <si>
    <r>
      <t xml:space="preserve">Ostatné záväzky  </t>
    </r>
    <r>
      <rPr>
        <sz val="9"/>
        <rFont val="Times New Roman"/>
        <family val="1"/>
        <charset val="238"/>
      </rPr>
      <t>(379 + 373 AÚ +474 AÚ + 479 AÚ)</t>
    </r>
  </si>
  <si>
    <r>
      <t xml:space="preserve">Ostatné dlhodobé záväzky </t>
    </r>
    <r>
      <rPr>
        <sz val="9"/>
        <rFont val="Times New Roman"/>
        <family val="1"/>
        <charset val="238"/>
      </rPr>
      <t xml:space="preserve"> (373 AÚ+ 479 AÚ)</t>
    </r>
  </si>
  <si>
    <t>Peňažné fondy tvorené podľa osobitného predpisu     (412)</t>
  </si>
  <si>
    <t>Fondy tvorené zo zisku    r.069 až 071</t>
  </si>
  <si>
    <t>Rezervný fond                          (421)</t>
  </si>
  <si>
    <t>Ostatné fondy                          (427)</t>
  </si>
  <si>
    <t>Fondy tvorené zo zisku            (423)</t>
  </si>
  <si>
    <t>Rezervy zákonné                      (451AÚ)</t>
  </si>
  <si>
    <t>Ostatné rezervy                        (459AÚ)</t>
  </si>
  <si>
    <t>Krátkodobé  rezervy                (323+451AÚ+459AÚ)</t>
  </si>
  <si>
    <t>Dlhodobé  záväzky                 r.080 až 086</t>
  </si>
  <si>
    <t>Záväzky zo sociálneho fondu     (472)</t>
  </si>
  <si>
    <t>Vydané dlhopisy                       (473)</t>
  </si>
  <si>
    <t>Záväzky z nájmu                       (474 AÚ)</t>
  </si>
  <si>
    <t>Dlhodobé prijaté preddavky      (475)</t>
  </si>
  <si>
    <t xml:space="preserve">Dlhodobé nevyfakturované dodávky       (476) </t>
  </si>
  <si>
    <t>Dlhodobé zmenky na úhradu                   (478)</t>
  </si>
  <si>
    <t>Záväzky voči zamestnancom    (331 +333)</t>
  </si>
  <si>
    <t>Zúčtovania so SP a zdravotnými poisťovňami         (336)</t>
  </si>
  <si>
    <t>Daňové záväzky                      (341 až 345)</t>
  </si>
  <si>
    <t>Záväzky z dôvodu finančných vzťahov k štátnemu rozpočtu a rozpočtom územnej j samosprávy       (346 +348)</t>
  </si>
  <si>
    <t>Záväzky voči účastníkom združení   (368)</t>
  </si>
  <si>
    <t>Spojovací účet pri združení   (396)</t>
  </si>
  <si>
    <t>Bankové výpomoci a pôžičky    r.098 až 100</t>
  </si>
  <si>
    <t>Dlhodobé bankové úvery      (461 AÚ)</t>
  </si>
  <si>
    <t>Prijaté krátkodobé finančné výpomoci (241 + 249)</t>
  </si>
  <si>
    <t>C. ČASOVÉ ROZLÍŠENIE SPOLU  r. 102 + 103</t>
  </si>
  <si>
    <t>Výdavky budúcich období       (383)</t>
  </si>
  <si>
    <t>Výnosy budúcich období       (384)</t>
  </si>
  <si>
    <t>Záväzky z upísaných nesplatených cenných papierov a vkladov (367)</t>
  </si>
  <si>
    <t>VLASTNÉ ZDROJE A CUDZIE ZDROJE SPOLU r.061+074+101</t>
  </si>
  <si>
    <t>B. Cudzie zdroje   r.075+079+087+097</t>
  </si>
  <si>
    <t>Dlhodobý hmotný majetok    r.010 až 020</t>
  </si>
  <si>
    <t>Obstaranie dlhodobého nehmotného majetku (041)-(093)</t>
  </si>
  <si>
    <t>A. VLASTNÉ ZDROJE KRYTIA MAJETKU SPOLU    r.062+068+072+073</t>
  </si>
  <si>
    <t>A. NEOBEŽNÝ MAJETOK SPOLU r. 002 + 009 + 021</t>
  </si>
  <si>
    <t>Kontrolné číslo    r. 001 až 028</t>
  </si>
  <si>
    <t>B. OBEŽNÝ MAJETOK SPOLU r.030+037+042+051</t>
  </si>
  <si>
    <t xml:space="preserve"> MAJETOK SPOLU  r.001 + 029 +057</t>
  </si>
  <si>
    <t xml:space="preserve"> Kontrolné číslo   r. 029 až 060</t>
  </si>
  <si>
    <t>Finančné účty  r.052 až 056</t>
  </si>
  <si>
    <t>Dlhodobé pohľadávky    r.038 až 041</t>
  </si>
  <si>
    <t>Krátkodobé pohľadávky   r.043 až 050</t>
  </si>
  <si>
    <t>Dlhodobý nehmotný majetok   r.003 až 008</t>
  </si>
  <si>
    <t>Dlhodobý finančný majetok  r.022 až 028</t>
  </si>
  <si>
    <t>Číslo účtu</t>
  </si>
  <si>
    <t>Spotreba materiálu</t>
  </si>
  <si>
    <t>01</t>
  </si>
  <si>
    <t>Spotreba energie</t>
  </si>
  <si>
    <t>02</t>
  </si>
  <si>
    <t>Predaný tovar</t>
  </si>
  <si>
    <t>03</t>
  </si>
  <si>
    <t>Opravy a udržiavanie</t>
  </si>
  <si>
    <t>04</t>
  </si>
  <si>
    <t>Cestovné</t>
  </si>
  <si>
    <t>05</t>
  </si>
  <si>
    <t>Náklady na reprezentáciu</t>
  </si>
  <si>
    <t>06</t>
  </si>
  <si>
    <t>Ostatné služby</t>
  </si>
  <si>
    <t>07</t>
  </si>
  <si>
    <t>Mzdové náklady</t>
  </si>
  <si>
    <t>08</t>
  </si>
  <si>
    <t>Zákonné soc. poistenie a zdr.pois.</t>
  </si>
  <si>
    <t>09</t>
  </si>
  <si>
    <t>Ostatné sociálne poistenie</t>
  </si>
  <si>
    <t>10</t>
  </si>
  <si>
    <t>Zákonné sociálne náklady</t>
  </si>
  <si>
    <t>11</t>
  </si>
  <si>
    <t>Ostatné sociálne náklady</t>
  </si>
  <si>
    <t>12</t>
  </si>
  <si>
    <t>Daň z motorových vozidiel</t>
  </si>
  <si>
    <t>13</t>
  </si>
  <si>
    <t>Daň z nehnuteľností</t>
  </si>
  <si>
    <t>14</t>
  </si>
  <si>
    <t>Ostatné dane a poplatky</t>
  </si>
  <si>
    <t>15</t>
  </si>
  <si>
    <t>Zmluvné pokuty a penále</t>
  </si>
  <si>
    <t>16</t>
  </si>
  <si>
    <t>Ostatné pokuty a penále</t>
  </si>
  <si>
    <t>17</t>
  </si>
  <si>
    <t>Odpísanie pohľadávky</t>
  </si>
  <si>
    <t>18</t>
  </si>
  <si>
    <t>Úroky</t>
  </si>
  <si>
    <t>19</t>
  </si>
  <si>
    <t>Kurzové straty</t>
  </si>
  <si>
    <t>20</t>
  </si>
  <si>
    <t>Dary</t>
  </si>
  <si>
    <t>21</t>
  </si>
  <si>
    <t>Osobitné náklady</t>
  </si>
  <si>
    <t>22</t>
  </si>
  <si>
    <t>Manká a škody</t>
  </si>
  <si>
    <t>23</t>
  </si>
  <si>
    <t>Iné ostatné náklady</t>
  </si>
  <si>
    <t>24</t>
  </si>
  <si>
    <t>Odpisy DNM a DHM</t>
  </si>
  <si>
    <t>25</t>
  </si>
  <si>
    <t>Zost. cena predaného DM</t>
  </si>
  <si>
    <t>26</t>
  </si>
  <si>
    <t>Predané cenné papiere</t>
  </si>
  <si>
    <t>27</t>
  </si>
  <si>
    <t>Predaný materiál</t>
  </si>
  <si>
    <t>28</t>
  </si>
  <si>
    <t>Náklady na krátkod. finančný maj.</t>
  </si>
  <si>
    <t>29</t>
  </si>
  <si>
    <t>Tvorba fondov</t>
  </si>
  <si>
    <t>30</t>
  </si>
  <si>
    <t xml:space="preserve">Náklady na precenenie cen.pap. </t>
  </si>
  <si>
    <t>31</t>
  </si>
  <si>
    <t>Tvorba a zúčt. opravných položiek</t>
  </si>
  <si>
    <t>32</t>
  </si>
  <si>
    <t>Tvorba a zúčt. zk. oprav. pol.</t>
  </si>
  <si>
    <t>33</t>
  </si>
  <si>
    <t>Poskytnuté príspevky org. zlož.</t>
  </si>
  <si>
    <t>34</t>
  </si>
  <si>
    <t>Poskyt. príspevky iným účt. jednot.</t>
  </si>
  <si>
    <t>35</t>
  </si>
  <si>
    <t>Poskytnuté príspevky fyz. osobám</t>
  </si>
  <si>
    <t>36</t>
  </si>
  <si>
    <t>Poskyt. príspevky z verejnej zbierky</t>
  </si>
  <si>
    <t>37</t>
  </si>
  <si>
    <t>Účtovná trieda 5 spolu r.01 až r.37</t>
  </si>
  <si>
    <t>38</t>
  </si>
  <si>
    <t>Kontrolné číslo r. 01 až r. 38</t>
  </si>
  <si>
    <t>995</t>
  </si>
  <si>
    <t>Tržby za vlastné výrobky</t>
  </si>
  <si>
    <t>39</t>
  </si>
  <si>
    <t>Tržby z predaja služieb</t>
  </si>
  <si>
    <t>40</t>
  </si>
  <si>
    <t>Tržby za predaný tovar</t>
  </si>
  <si>
    <t>41</t>
  </si>
  <si>
    <t>42</t>
  </si>
  <si>
    <t>Zmena stavu zásob polotovarov</t>
  </si>
  <si>
    <t>43</t>
  </si>
  <si>
    <t>Zmena stavu zásob výrobkov</t>
  </si>
  <si>
    <t>44</t>
  </si>
  <si>
    <t>Zmena stavu zásob zvierat</t>
  </si>
  <si>
    <t>45</t>
  </si>
  <si>
    <t>Aktivácia materiálu a tovaru</t>
  </si>
  <si>
    <t>46</t>
  </si>
  <si>
    <t>Aktivácia vnútroorganizačných služieb</t>
  </si>
  <si>
    <t>47</t>
  </si>
  <si>
    <t>Aktivácia dlhodobého nehmot. majetku</t>
  </si>
  <si>
    <t>48</t>
  </si>
  <si>
    <t>Aktivácia dlhodobého hmotného majet.</t>
  </si>
  <si>
    <t>49</t>
  </si>
  <si>
    <t>50</t>
  </si>
  <si>
    <t>51</t>
  </si>
  <si>
    <t>Platby za odpísané pohľadávky</t>
  </si>
  <si>
    <t>52</t>
  </si>
  <si>
    <t>53</t>
  </si>
  <si>
    <t>Kurzové zisky</t>
  </si>
  <si>
    <t>54</t>
  </si>
  <si>
    <t>Prijaté dary</t>
  </si>
  <si>
    <t>55</t>
  </si>
  <si>
    <t>Osobitné výnosy</t>
  </si>
  <si>
    <t>56</t>
  </si>
  <si>
    <t>Zákonné poplatky</t>
  </si>
  <si>
    <t>57</t>
  </si>
  <si>
    <t>Iné ostatné výnosy</t>
  </si>
  <si>
    <t>58</t>
  </si>
  <si>
    <t>Tržby z predaja dlhodobého majetku</t>
  </si>
  <si>
    <t>59</t>
  </si>
  <si>
    <t>Výnosy z dlhodobého finančného maj.</t>
  </si>
  <si>
    <t>60</t>
  </si>
  <si>
    <t>Tržby z predaja cenných papierov a pod.</t>
  </si>
  <si>
    <t>61</t>
  </si>
  <si>
    <t>Tržby z predaja materiálu</t>
  </si>
  <si>
    <t>62</t>
  </si>
  <si>
    <t>Výnosy z krátkod. finančného majetku</t>
  </si>
  <si>
    <t>63</t>
  </si>
  <si>
    <t>Výnosy z použitia fondu</t>
  </si>
  <si>
    <t>64</t>
  </si>
  <si>
    <t>Výnosy z precenenia cenných papierov</t>
  </si>
  <si>
    <t>65</t>
  </si>
  <si>
    <t>Výnosy z nájmu majetku</t>
  </si>
  <si>
    <t>66</t>
  </si>
  <si>
    <t>Prijaté príspevky od organizačných zložiek</t>
  </si>
  <si>
    <t>67</t>
  </si>
  <si>
    <t>Prijaté príspevky od iných organizácií</t>
  </si>
  <si>
    <t>68</t>
  </si>
  <si>
    <t>Prijaté príspevky od fyzických osôb</t>
  </si>
  <si>
    <t>69</t>
  </si>
  <si>
    <t>Prijaté členské príspevky</t>
  </si>
  <si>
    <t>70</t>
  </si>
  <si>
    <t>Príspevky z podielu zaplatenej dane</t>
  </si>
  <si>
    <t>71</t>
  </si>
  <si>
    <t>Prijaté príspevky z verejných zbierok</t>
  </si>
  <si>
    <t>72</t>
  </si>
  <si>
    <t>Dotácie</t>
  </si>
  <si>
    <t>73</t>
  </si>
  <si>
    <t>Účtová trieda 6 spolu r.39 až r. 73</t>
  </si>
  <si>
    <t>74</t>
  </si>
  <si>
    <t>Výsledok hospodárenia pred zdanením r.74-r.38</t>
  </si>
  <si>
    <t>75</t>
  </si>
  <si>
    <t>Daň z príjmov</t>
  </si>
  <si>
    <t>76</t>
  </si>
  <si>
    <t>Dodatočné odvody dane z príjmov</t>
  </si>
  <si>
    <t>77</t>
  </si>
  <si>
    <t xml:space="preserve">Výsledok hospod.  po zdanení r. 75-(r.76 + r.77) </t>
  </si>
  <si>
    <t>78</t>
  </si>
  <si>
    <t>Kontrolné číslo r. 39 až r. 78</t>
  </si>
  <si>
    <t>996</t>
  </si>
  <si>
    <r>
      <t>Spolu</t>
    </r>
    <r>
      <rPr>
        <sz val="12"/>
        <rFont val="Times New Roman"/>
        <family val="1"/>
      </rPr>
      <t xml:space="preserve"> [R1+R6+R7+R8]</t>
    </r>
  </si>
  <si>
    <t>Kontrolné číslo r.061 až 104</t>
  </si>
  <si>
    <t>Imanie a peňažné fondy r.063 až 067</t>
  </si>
  <si>
    <t>Základné imanie    (411)</t>
  </si>
  <si>
    <t>Fond reprodukcie   (413)</t>
  </si>
  <si>
    <t xml:space="preserve">  - náklady na štipendiá interných doktorandov po dizertačnej skúške 
(v zmysle § 54 ods. 18 písm. b) zákona spolu (SUM(R6:R7))</t>
  </si>
  <si>
    <t>- ostatné energie</t>
  </si>
  <si>
    <t>Samostatné hnuteľné veci a súbory hnuteľných vecí  (022) - (082 + 092 AÚ)</t>
  </si>
  <si>
    <r>
      <t xml:space="preserve">2) všetky údaje o výnosoch a nákladoch  sa uvádzajú </t>
    </r>
    <r>
      <rPr>
        <sz val="11"/>
        <rFont val="Times New Roman"/>
        <family val="1"/>
        <charset val="238"/>
      </rPr>
      <t>v Eur</t>
    </r>
  </si>
  <si>
    <t xml:space="preserve">Tabuľka č. 3: Výnosy verejnej vysokej školy v rokoch 2009 a 2010  </t>
  </si>
  <si>
    <t>Tabuľka č. 4: Výnosy verejnej vysokej školy zo školného a z poplatkov spojených so štúdiom 
v rokoch 2009 a 2010</t>
  </si>
  <si>
    <t>Tabuľka č. 5: Náklady verejnej vysokej školy v rokoch 2009 a 2010</t>
  </si>
  <si>
    <r>
      <t xml:space="preserve">Tabuľka č. 6: Zamestnanci a náklady na mzdy verejnej vysokej školy v roku 2010 </t>
    </r>
    <r>
      <rPr>
        <sz val="14"/>
        <rFont val="Times New Roman"/>
        <family val="1"/>
        <charset val="238"/>
      </rPr>
      <t>( v Eur )</t>
    </r>
  </si>
  <si>
    <t>Priemerný evidenčný prepočítaný počet zamestnancov za rok 2010</t>
  </si>
  <si>
    <r>
      <t xml:space="preserve">Tabuľka č. 7: Náklady verejnej vysokej školy na štipendiá interných doktorandov v roku 2010 </t>
    </r>
    <r>
      <rPr>
        <b/>
        <sz val="12"/>
        <rFont val="Times New Roman"/>
        <family val="1"/>
        <charset val="238"/>
      </rPr>
      <t>( v Eur )</t>
    </r>
  </si>
  <si>
    <t>Interní doktorandi na miestach pridelených MŠVVaŠ SR</t>
  </si>
  <si>
    <t>Účelová dotácia na štipendiá doktorandov poskytnutá v rámci dotačnej zmluvy v priebehu roka 2010</t>
  </si>
  <si>
    <r>
      <t xml:space="preserve">Nevyčerpaná účelová dotácia (+) / nedoplatok účelovej dotácie (-) za rok 2010  </t>
    </r>
    <r>
      <rPr>
        <b/>
        <vertAlign val="superscript"/>
        <sz val="12"/>
        <color indexed="8"/>
        <rFont val="Times New Roman"/>
        <family val="1"/>
        <charset val="238"/>
      </rPr>
      <t>2)</t>
    </r>
  </si>
  <si>
    <t>Počet osobomesiacov za rok 2010</t>
  </si>
  <si>
    <t>Nevyčerpaná účelová dotácia (+) / nedoplatok účelovej dotácie (-) za rok 2009</t>
  </si>
  <si>
    <t>Tabuľka č. 8: Údaje o systéme sociálnej podpory - časť  sociálne štipendiá  (§ 96 zákona) 
za roky 2009 a 2010 ( v Eur )</t>
  </si>
  <si>
    <r>
      <t>Tabuľka č. 10: Údaje o systéme sociálnej podpory  - časť výnosy a náklady</t>
    </r>
    <r>
      <rPr>
        <b/>
        <vertAlign val="superscript"/>
        <sz val="14"/>
        <rFont val="Times New Roman"/>
        <family val="1"/>
      </rPr>
      <t>1)</t>
    </r>
    <r>
      <rPr>
        <b/>
        <sz val="14"/>
        <rFont val="Times New Roman"/>
        <family val="1"/>
      </rPr>
      <t xml:space="preserve"> študentských jedální 
za roky 2009 a 2010 ( v Eur )</t>
    </r>
  </si>
  <si>
    <t>Tabuľka č. 11: Zdroje verejnej vysokej školy na obstaranie a technické zhodnotenie dlhodobého  majetku v rokoch 2009 a 2010 ( v Eur )</t>
  </si>
  <si>
    <r>
      <t xml:space="preserve">2009 </t>
    </r>
    <r>
      <rPr>
        <b/>
        <sz val="10"/>
        <rFont val="Times New Roman"/>
        <family val="1"/>
        <charset val="238"/>
      </rPr>
      <t>(v Eur)</t>
    </r>
  </si>
  <si>
    <r>
      <t xml:space="preserve">2010 </t>
    </r>
    <r>
      <rPr>
        <b/>
        <sz val="10"/>
        <rFont val="Times New Roman"/>
        <family val="1"/>
        <charset val="238"/>
      </rPr>
      <t>(v Eur)</t>
    </r>
  </si>
  <si>
    <r>
      <t xml:space="preserve">Tabuľka č. 12: Výdavky verejnej vysokej školy na obstaranie a technické zhodnotenie dlhodobého majetku v roku 2010 </t>
    </r>
    <r>
      <rPr>
        <sz val="14"/>
        <rFont val="Times New Roman"/>
        <family val="1"/>
        <charset val="238"/>
      </rPr>
      <t>( v Eur )</t>
    </r>
  </si>
  <si>
    <t xml:space="preserve">Čerpanie bežnej dotácie v roku 2010 prostredníctvom fondu reprodukcie </t>
  </si>
  <si>
    <t>Tabuľka č. 13: Stav a vývoj finančných fondov verejnej vysokej školy v rokoch 2009 a 2010</t>
  </si>
  <si>
    <r>
      <t xml:space="preserve">2009 </t>
    </r>
    <r>
      <rPr>
        <sz val="10"/>
        <rFont val="Times New Roman"/>
        <family val="1"/>
        <charset val="238"/>
      </rPr>
      <t>(v Eur)</t>
    </r>
  </si>
  <si>
    <r>
      <t xml:space="preserve">2010 </t>
    </r>
    <r>
      <rPr>
        <sz val="10"/>
        <rFont val="Times New Roman"/>
        <family val="1"/>
        <charset val="238"/>
      </rPr>
      <t>(v Eur)</t>
    </r>
  </si>
  <si>
    <r>
      <t xml:space="preserve">2010  </t>
    </r>
    <r>
      <rPr>
        <sz val="10"/>
        <rFont val="Times New Roman"/>
        <family val="1"/>
        <charset val="238"/>
      </rPr>
      <t>(v Eur)</t>
    </r>
  </si>
  <si>
    <r>
      <t xml:space="preserve">2010 </t>
    </r>
    <r>
      <rPr>
        <sz val="10"/>
        <rFont val="Times New Roman"/>
        <family val="1"/>
        <charset val="238"/>
      </rPr>
      <t>(v Eur</t>
    </r>
    <r>
      <rPr>
        <b/>
        <sz val="10"/>
        <rFont val="Times New Roman"/>
        <family val="1"/>
        <charset val="238"/>
      </rPr>
      <t>)</t>
    </r>
  </si>
  <si>
    <r>
      <t>2009</t>
    </r>
    <r>
      <rPr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</si>
  <si>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t>Tabuľka č. 14: Zúčtovanie bežných dotácií poskytnutých verejnej vysokej škole z kapitoly MŠVVaŠ SR v roku 2010
(okrem dotácií poskytnutých zo štrukturálnych fondov EÚ)</t>
  </si>
  <si>
    <t>Členenie zostatku dotácie k 31.12.2010</t>
  </si>
  <si>
    <r>
      <t xml:space="preserve">Zostatok bežnej dotácie k 31.12.2009 
</t>
    </r>
    <r>
      <rPr>
        <sz val="10"/>
        <rFont val="Times New Roman"/>
        <family val="1"/>
        <charset val="238"/>
      </rPr>
      <t>(v Eur)</t>
    </r>
  </si>
  <si>
    <r>
      <t xml:space="preserve">Vrátenie preplatku z predchádzajúceho obdobia v roku 2010 
</t>
    </r>
    <r>
      <rPr>
        <sz val="10"/>
        <rFont val="Times New Roman"/>
        <family val="1"/>
        <charset val="238"/>
      </rPr>
      <t>(v Eur)</t>
    </r>
  </si>
  <si>
    <r>
      <t xml:space="preserve">Vratky kapitálovej dotácie
</t>
    </r>
    <r>
      <rPr>
        <b/>
        <sz val="10"/>
        <rFont val="Times New Roman"/>
        <family val="1"/>
        <charset val="238"/>
      </rPr>
      <t>(v Eur)</t>
    </r>
    <r>
      <rPr>
        <b/>
        <sz val="12"/>
        <rFont val="Times New Roman"/>
        <family val="1"/>
      </rPr>
      <t xml:space="preserve">
(+)</t>
    </r>
  </si>
  <si>
    <r>
      <t xml:space="preserve">Príjmy z bežnej  dotácie v roku 2010
</t>
    </r>
    <r>
      <rPr>
        <sz val="10"/>
        <rFont val="Times New Roman"/>
        <family val="1"/>
        <charset val="238"/>
      </rPr>
      <t>(v Eur)</t>
    </r>
  </si>
  <si>
    <r>
      <t xml:space="preserve">Výdavky  z bežnej dotácie </t>
    </r>
    <r>
      <rPr>
        <b/>
        <sz val="12"/>
        <rFont val="Times New Roman"/>
        <family val="1"/>
        <charset val="238"/>
      </rPr>
      <t xml:space="preserve">v roku 2010
</t>
    </r>
    <r>
      <rPr>
        <sz val="10"/>
        <rFont val="Times New Roman"/>
        <family val="1"/>
        <charset val="238"/>
      </rPr>
      <t>(v Eur)</t>
    </r>
  </si>
  <si>
    <r>
      <t xml:space="preserve">Zostatok bežnej dotácie k 31.12.2010
</t>
    </r>
    <r>
      <rPr>
        <sz val="10"/>
        <rFont val="Times New Roman"/>
        <family val="1"/>
        <charset val="238"/>
      </rPr>
      <t>(v Eur)</t>
    </r>
  </si>
  <si>
    <r>
      <t xml:space="preserve">Časť zostatku na existujúce záväzky (bez odpisov)
</t>
    </r>
    <r>
      <rPr>
        <sz val="10"/>
        <rFont val="Times New Roman"/>
        <family val="1"/>
        <charset val="238"/>
      </rPr>
      <t>(v Eur)</t>
    </r>
  </si>
  <si>
    <r>
      <t xml:space="preserve">Časť zostatku na krytie odpisov
</t>
    </r>
    <r>
      <rPr>
        <sz val="10"/>
        <rFont val="Times New Roman"/>
        <family val="1"/>
        <charset val="238"/>
      </rPr>
      <t>(v Eur)</t>
    </r>
  </si>
  <si>
    <r>
      <t xml:space="preserve">Nedočerpaná bežná dotácia na pokračujúce úlohy
</t>
    </r>
    <r>
      <rPr>
        <sz val="10"/>
        <rFont val="Times New Roman"/>
        <family val="1"/>
        <charset val="238"/>
      </rPr>
      <t>(v Eur)</t>
    </r>
  </si>
  <si>
    <r>
      <t xml:space="preserve">Časť zostatku na nerealizované nepokračujúce úlohy
</t>
    </r>
    <r>
      <rPr>
        <sz val="10"/>
        <rFont val="Times New Roman"/>
        <family val="1"/>
        <charset val="238"/>
      </rPr>
      <t>(v Eur)</t>
    </r>
  </si>
  <si>
    <r>
      <t xml:space="preserve">Časť zostatku ušetrená efektívnym využitím neúčelovej dotácie 
</t>
    </r>
    <r>
      <rPr>
        <sz val="10"/>
        <rFont val="Times New Roman"/>
        <family val="1"/>
        <charset val="238"/>
      </rPr>
      <t>(v Eur)</t>
    </r>
  </si>
  <si>
    <r>
      <t xml:space="preserve">Nárok na dofinancovanie dotácie
</t>
    </r>
    <r>
      <rPr>
        <sz val="10"/>
        <rFont val="Times New Roman"/>
        <family val="1"/>
        <charset val="238"/>
      </rPr>
      <t>(v Eur)</t>
    </r>
  </si>
  <si>
    <t>Tabuľka č. 15: Zúčtovanie kapitálových dotácií poskytnutých verejnej vysokej škole z kapitoly MŠVVaŠ SR v roku 2010
(okrem dotácii poskytnutých zo štrukturálnych fondov EÚ)</t>
  </si>
  <si>
    <r>
      <t xml:space="preserve">Zostatok kapitálovej dotácie k 31.12.2009
</t>
    </r>
    <r>
      <rPr>
        <sz val="10"/>
        <rFont val="Times New Roman"/>
        <family val="1"/>
        <charset val="238"/>
      </rPr>
      <t>(v Eur)</t>
    </r>
  </si>
  <si>
    <r>
      <t xml:space="preserve">Vratky kapitálovej dotácie do príjmov ŠR
</t>
    </r>
    <r>
      <rPr>
        <sz val="10"/>
        <rFont val="Times New Roman"/>
        <family val="1"/>
        <charset val="238"/>
      </rPr>
      <t>(v Eur)</t>
    </r>
    <r>
      <rPr>
        <b/>
        <sz val="12"/>
        <rFont val="Times New Roman"/>
        <family val="1"/>
      </rPr>
      <t xml:space="preserve">
(-)</t>
    </r>
  </si>
  <si>
    <r>
      <t xml:space="preserve">Príjmy z kapitálovej  dotácie v roku 2010
</t>
    </r>
    <r>
      <rPr>
        <sz val="10"/>
        <rFont val="Times New Roman"/>
        <family val="1"/>
        <charset val="238"/>
      </rPr>
      <t>(v Eur)</t>
    </r>
  </si>
  <si>
    <r>
      <t xml:space="preserve">Výdavky  z kapitálovej dotácie </t>
    </r>
    <r>
      <rPr>
        <b/>
        <sz val="12"/>
        <rFont val="Times New Roman"/>
        <family val="1"/>
        <charset val="238"/>
      </rPr>
      <t xml:space="preserve">v roku 2010
</t>
    </r>
    <r>
      <rPr>
        <sz val="10"/>
        <rFont val="Times New Roman"/>
        <family val="1"/>
        <charset val="238"/>
      </rPr>
      <t>(v Eur)</t>
    </r>
  </si>
  <si>
    <r>
      <t xml:space="preserve">Zostatok kapitálovej dotácie k 31.12.2010
</t>
    </r>
    <r>
      <rPr>
        <sz val="10"/>
        <rFont val="Times New Roman"/>
        <family val="1"/>
        <charset val="238"/>
      </rPr>
      <t>(v Eur)</t>
    </r>
  </si>
  <si>
    <r>
      <t xml:space="preserve">Nedočerpaná kapitálová dotácia na pokračujúce úlohy
</t>
    </r>
    <r>
      <rPr>
        <sz val="10"/>
        <rFont val="Times New Roman"/>
        <family val="1"/>
        <charset val="238"/>
      </rPr>
      <t>(v Eur)</t>
    </r>
  </si>
  <si>
    <r>
      <t xml:space="preserve">Tabuľka č. 16: Štruktúra a stav finančných prostriedkov na bankových účtoch verejnej vysokej školy
   k 31. decembru 2010  </t>
    </r>
    <r>
      <rPr>
        <sz val="14"/>
        <rFont val="Times New Roman"/>
        <family val="1"/>
        <charset val="238"/>
      </rPr>
      <t>(v Eur )</t>
    </r>
  </si>
  <si>
    <t>Stav účtu k 31.12.2010</t>
  </si>
  <si>
    <t xml:space="preserve">Tabuľka č. 20: Motivačné štipendiá  v rokoch 2009 a 2010 
(v zmysle § 96  zákona ) </t>
  </si>
  <si>
    <r>
      <t>2009</t>
    </r>
    <r>
      <rPr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 Eur)</t>
    </r>
  </si>
  <si>
    <r>
      <t xml:space="preserve">Príjem z dotácie na motivačné štipendiá z kapitoly MŠVVaŠ SR v kalendárnom roku </t>
    </r>
    <r>
      <rPr>
        <b/>
        <vertAlign val="superscript"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</t>
    </r>
  </si>
  <si>
    <r>
      <t xml:space="preserve">Tabuľka č. 21: Štruktúra účtu </t>
    </r>
    <r>
      <rPr>
        <b/>
        <i/>
        <sz val="14"/>
        <rFont val="Times New Roman"/>
        <family val="1"/>
        <charset val="238"/>
      </rPr>
      <t xml:space="preserve">384 - výnosy budúcich období </t>
    </r>
    <r>
      <rPr>
        <b/>
        <sz val="14"/>
        <rFont val="Times New Roman"/>
        <family val="1"/>
        <charset val="238"/>
      </rPr>
      <t>v rokoch 2009 a 2010</t>
    </r>
  </si>
  <si>
    <r>
      <t>Stav k 31. 12. 2009</t>
    </r>
    <r>
      <rPr>
        <sz val="14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(v Eur)</t>
    </r>
  </si>
  <si>
    <r>
      <t xml:space="preserve">Stav k 31. 12. 2010  </t>
    </r>
    <r>
      <rPr>
        <sz val="12"/>
        <rFont val="Times New Roman"/>
        <family val="1"/>
        <charset val="238"/>
      </rPr>
      <t>(v Eur)</t>
    </r>
  </si>
  <si>
    <t>Tabuľka č. 22: Výnosy verejnej vysokej školy v roku 2010 v oblasti sociálnej podpory študentov (v Eur)</t>
  </si>
  <si>
    <r>
      <t xml:space="preserve">Tabuľka č .23:  Náklady verejnej vysokej školy  v roku 2010 v oblasti sociálnej podpory študentov </t>
    </r>
    <r>
      <rPr>
        <sz val="14"/>
        <rFont val="Times New Roman"/>
        <family val="1"/>
        <charset val="238"/>
      </rPr>
      <t>(v Eur)</t>
    </r>
  </si>
  <si>
    <r>
      <t xml:space="preserve">Tabuľka č. 24a: Súvaha za rok 2010 - Strana aktív 1. časť </t>
    </r>
    <r>
      <rPr>
        <sz val="14"/>
        <rFont val="Times New Roman"/>
        <family val="1"/>
        <charset val="238"/>
      </rPr>
      <t>(v Eur)</t>
    </r>
  </si>
  <si>
    <r>
      <t xml:space="preserve">Tabuľka č. 24b: Súvaha za rok 2010 - Strana aktív 2. časť </t>
    </r>
    <r>
      <rPr>
        <sz val="14"/>
        <rFont val="Times New Roman"/>
        <family val="1"/>
        <charset val="238"/>
      </rPr>
      <t>(v Eur)</t>
    </r>
  </si>
  <si>
    <r>
      <t xml:space="preserve">Tabuľka č. 25: Súvaha za rok 2010 - Strana pasív </t>
    </r>
    <r>
      <rPr>
        <sz val="14"/>
        <rFont val="Times New Roman"/>
        <family val="1"/>
        <charset val="238"/>
      </rPr>
      <t>(v Eur)</t>
    </r>
  </si>
  <si>
    <r>
      <t xml:space="preserve">Tabuľka č. 1: Príjmy z dotácií verejnej vysokej škole zo štátneho rozpočtu z kapitoly MŠVVaŠ SR
 poskytnuté v rámci dotačnej zmluvy v roku 2010 </t>
    </r>
    <r>
      <rPr>
        <sz val="14"/>
        <rFont val="Times New Roman"/>
        <family val="1"/>
        <charset val="238"/>
      </rPr>
      <t>(v Eur )</t>
    </r>
  </si>
  <si>
    <r>
      <t xml:space="preserve">2009 </t>
    </r>
    <r>
      <rPr>
        <sz val="14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(v Eur)</t>
    </r>
  </si>
  <si>
    <r>
      <t xml:space="preserve">2010 </t>
    </r>
    <r>
      <rPr>
        <sz val="12"/>
        <rFont val="Times New Roman"/>
        <family val="1"/>
        <charset val="238"/>
      </rPr>
      <t>(v Eur)</t>
    </r>
  </si>
  <si>
    <r>
      <t xml:space="preserve">Rozdiel 2010-2009 </t>
    </r>
    <r>
      <rPr>
        <sz val="12"/>
        <rFont val="Times New Roman"/>
        <family val="1"/>
        <charset val="238"/>
      </rPr>
      <t>(v Eur)</t>
    </r>
  </si>
  <si>
    <r>
      <t>2010</t>
    </r>
    <r>
      <rPr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</si>
  <si>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r>
      <t xml:space="preserve">2009  </t>
    </r>
    <r>
      <rPr>
        <sz val="12"/>
        <rFont val="Times New Roman"/>
        <family val="1"/>
        <charset val="238"/>
      </rPr>
      <t>(v Eur)</t>
    </r>
  </si>
  <si>
    <t>Zamestnanci platení z dotácie MŠVVaŠ SR</t>
  </si>
  <si>
    <t>Náklady na mzdy poskytované z dotácie MŠVVaŠ SR</t>
  </si>
  <si>
    <r>
      <t>2009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</si>
  <si>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r>
      <t>2010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</si>
  <si>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</si>
  <si>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- tvorba fondu z predaja alebo likvidácie majetku</t>
  </si>
  <si>
    <r>
      <t>Úroky (účet 644)</t>
    </r>
    <r>
      <rPr>
        <sz val="12"/>
        <rFont val="Times New Roman"/>
        <family val="1"/>
      </rPr>
      <t xml:space="preserve"> [R17+R18]</t>
    </r>
  </si>
  <si>
    <r>
      <t>Iné ostatné výnosy (účet 649)</t>
    </r>
    <r>
      <rPr>
        <sz val="12"/>
        <rFont val="Times New Roman"/>
        <family val="1"/>
      </rPr>
      <t xml:space="preserve"> [SUM(R21:R33)]</t>
    </r>
  </si>
  <si>
    <r>
      <t>Výnosy zo školného</t>
    </r>
    <r>
      <rPr>
        <sz val="12"/>
        <rFont val="Times New Roman"/>
        <family val="1"/>
      </rPr>
      <t xml:space="preserve">  [R2+R3]</t>
    </r>
  </si>
  <si>
    <t xml:space="preserve">- za prekročenie štandardnej dĺžky štúdia a súbežné štúdium (§ 92 ods. 5 a 6 zákona) (účet 649 001) </t>
  </si>
  <si>
    <t xml:space="preserve">- od cudzincov (§ 92 ods. 9 zákona)  (účet 649 002) </t>
  </si>
  <si>
    <t xml:space="preserve">- za prijímacie konanie (§ 92 ods. 10 zákona) (účet 649 003) </t>
  </si>
  <si>
    <t xml:space="preserve">- za rigorózne konanie (§ 92 ods. 11 zákona) (účet 649 004) </t>
  </si>
  <si>
    <t xml:space="preserve">- za vydanie diplomu za rigorózne konanie (§ 92 ods. 12 zákona)  (účet 649 005) </t>
  </si>
  <si>
    <t xml:space="preserve">- za vydanie dokladov o štúdiu a ich kópií (§ 92 ods. 13 zákona)  (účet 649 006) </t>
  </si>
  <si>
    <t xml:space="preserve">      - dohody o vykonaní práce - externí účitelia (účet 521 009)</t>
  </si>
  <si>
    <t xml:space="preserve">      - dohody o vykonaní práce, dohody o pracovnej činnosti
        (účet 521 010)</t>
  </si>
  <si>
    <t xml:space="preserve"> - OON [SUM(R58:R60)]</t>
  </si>
  <si>
    <t>Zákonné sociálne náklady (účet 527) [SUM(R64:R69)]</t>
  </si>
  <si>
    <r>
      <t>Ostatné náklady (účtová skupina 54)</t>
    </r>
    <r>
      <rPr>
        <sz val="12"/>
        <rFont val="Times New Roman"/>
        <family val="1"/>
        <charset val="238"/>
      </rPr>
      <t xml:space="preserve"> [R75+ R76]</t>
    </r>
  </si>
  <si>
    <t>- Iné ostatné  náklady (účet 549) [SUM(R77:R83)]</t>
  </si>
  <si>
    <t>Odpisy, predaný majetok a opravné položky (účtová skupina 55) [SUM(R85:R91)]</t>
  </si>
  <si>
    <r>
      <t xml:space="preserve">Spolu </t>
    </r>
    <r>
      <rPr>
        <sz val="12"/>
        <rFont val="Times New Roman"/>
        <family val="1"/>
      </rPr>
      <t>[R1+R14+R21+R22+R27+R35+R38+R39+R55+SUM (R61:R63) +SUM (R70:R74)+R84+R92+R93]</t>
    </r>
  </si>
  <si>
    <t xml:space="preserve"> - Prvok 021 02 03  </t>
  </si>
  <si>
    <t xml:space="preserve"> - Podprogram 05T 08 </t>
  </si>
  <si>
    <t>2) ostatná tvorba fondu reprodukcie v zmysle § 16a ods. 8 zákona č. 131/2002 Z. z.o vysokých školách v znení neskorších predpisov (kreditné úroky a kurzové zisky)</t>
  </si>
  <si>
    <t xml:space="preserve">- tvorba fondu z výnosov zo školného </t>
  </si>
  <si>
    <r>
      <t>Stav fondu k 31.12. kalendárneho roku</t>
    </r>
    <r>
      <rPr>
        <sz val="12"/>
        <rFont val="Times New Roman"/>
        <family val="1"/>
      </rPr>
      <t xml:space="preserve"> [R1+R2-R11]</t>
    </r>
  </si>
  <si>
    <t>Účty v Štátnej pokladnici spolu [SUM(R2:R15)]</t>
  </si>
  <si>
    <t>Tržby za predaný tovar (účet 604)</t>
  </si>
  <si>
    <r>
      <t>Opravy a udržiavanie (účet 511)</t>
    </r>
    <r>
      <rPr>
        <sz val="12"/>
        <rFont val="Times New Roman"/>
        <family val="1"/>
      </rPr>
      <t xml:space="preserve"> [SUM(R28:R34)]</t>
    </r>
  </si>
  <si>
    <t xml:space="preserve">Ostatné sociálne poistenia (účet 525) </t>
  </si>
  <si>
    <t xml:space="preserve">  - Prvok 06G 05 01</t>
  </si>
  <si>
    <t xml:space="preserve">  - Prvok 06G 05 02</t>
  </si>
  <si>
    <t xml:space="preserve">  - Prvok 06G 05 03</t>
  </si>
  <si>
    <t xml:space="preserve">  - Prvok 06G 05 04</t>
  </si>
  <si>
    <t xml:space="preserve">  - Prvok 06G 06 01</t>
  </si>
  <si>
    <t>C=A+B</t>
  </si>
  <si>
    <t>E=C-A</t>
  </si>
  <si>
    <t>F=D-B</t>
  </si>
  <si>
    <t>E=A+C</t>
  </si>
  <si>
    <t>F=B+D</t>
  </si>
  <si>
    <t>Náklady na štipendiá</t>
  </si>
  <si>
    <t>Náklady / Výnosy</t>
  </si>
  <si>
    <t xml:space="preserve">Ostatné sociálne náklady (účet 528)  </t>
  </si>
  <si>
    <t>Stav bankových účtov spolu [R1+R16+R17]</t>
  </si>
  <si>
    <t xml:space="preserve">  - poskytnuté jednorázovo</t>
  </si>
  <si>
    <r>
      <t>Zdroje na obstaranie a technické zhodnotenie majetku  z fondu reprodukcie</t>
    </r>
    <r>
      <rPr>
        <sz val="12"/>
        <rFont val="Times New Roman"/>
        <family val="1"/>
      </rPr>
      <t xml:space="preserve"> [R1+R2]</t>
    </r>
  </si>
  <si>
    <t>- nákup softvéru</t>
  </si>
  <si>
    <t>Výdavky na obstaranie a technické zhodnotenie dlhobého majetku spolu [R1+SUM(R3:R4)+SUM(R10:R14)]</t>
  </si>
  <si>
    <t>- náklady študentských domovov (bez zmluvných zariadení)- mzdy a odvody</t>
  </si>
  <si>
    <t>- náklady študentských domovov  (bez zmluvných zariadení) - ostatné</t>
  </si>
  <si>
    <r>
      <t xml:space="preserve">Rozdiel výnosov a nákladov študentských jedální súvisiacich so stravovaním študentov  </t>
    </r>
    <r>
      <rPr>
        <sz val="12"/>
        <rFont val="Times New Roman"/>
        <family val="1"/>
        <charset val="238"/>
      </rPr>
      <t>[R1-R9]</t>
    </r>
  </si>
  <si>
    <t>- študentské jedálne</t>
  </si>
  <si>
    <t>- ostatný predaný tovar</t>
  </si>
  <si>
    <t xml:space="preserve">Odborní zamestnanci </t>
  </si>
  <si>
    <t>Prevádzkoví zamestnanci okrem zamestnancov študentských domovov a jedální</t>
  </si>
  <si>
    <t>Zamestnanci študentských domovov</t>
  </si>
  <si>
    <t>Zamestnanci študentských jedální</t>
  </si>
  <si>
    <t>- na oblasť IT</t>
  </si>
  <si>
    <t>peniaze na ceste (účet 261)</t>
  </si>
  <si>
    <r>
      <t xml:space="preserve">- na sociálnu podporu </t>
    </r>
    <r>
      <rPr>
        <sz val="12"/>
        <rFont val="Times New Roman"/>
        <family val="1"/>
        <charset val="238"/>
      </rPr>
      <t>[R12+R13]</t>
    </r>
  </si>
  <si>
    <t xml:space="preserve">Výdavky na sociálne štipendiá (§ 96 zákona) za kalendárny rok </t>
  </si>
  <si>
    <t>z EÚ</t>
  </si>
  <si>
    <t>Finančné prostriedky</t>
  </si>
  <si>
    <r>
      <t>Dotácie z kapitol štátneho rozpočtu okrem kapitoly MŠ SR</t>
    </r>
    <r>
      <rPr>
        <sz val="12"/>
        <rFont val="Times New Roman"/>
        <family val="1"/>
      </rPr>
      <t xml:space="preserve"> [SUM(R1a:R1...)]</t>
    </r>
  </si>
  <si>
    <r>
      <t>Dotácie z rozpočtov obcí a z rozpočtov vyšších územných celkov</t>
    </r>
    <r>
      <rPr>
        <sz val="12"/>
        <rFont val="Times New Roman"/>
        <family val="1"/>
      </rPr>
      <t xml:space="preserve"> [SUM(R2a:R2...)]</t>
    </r>
  </si>
  <si>
    <t>Prostriedky zo zahraničných projektov na budúce aktivity</t>
  </si>
  <si>
    <t>Ostatné</t>
  </si>
  <si>
    <t xml:space="preserve">1) V stĺpcoch B a D sa uvádza prepočítaný počet študentov určený ako počet osobomesiacov, počas ktorých bolo poskytované sociálne štipendium </t>
  </si>
  <si>
    <r>
      <t xml:space="preserve">Počet študentov poberajúcich  štipendiá z vlastných zdrojov 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) k 31.12. </t>
    </r>
  </si>
  <si>
    <t>2) uvádzajte počet denných študentov I. a II. stupňa štúdia počas výučbového obdobia, najviac však 10 mesiacov  a denných študentov III. stupňa štúdia (doktorandov)  vrátane hlavných prázdnin maximálne 12 mesiacov</t>
  </si>
  <si>
    <t xml:space="preserve"> - tvorba sociálneho fondu  (účet 527 001)</t>
  </si>
  <si>
    <r>
      <t>Zdroje na obstaranie a technické zhodnotenie dlhodobého majetku spolu</t>
    </r>
    <r>
      <rPr>
        <sz val="12"/>
        <rFont val="Times New Roman"/>
        <family val="1"/>
      </rPr>
      <t xml:space="preserve"> [SUM(R9:R13)]</t>
    </r>
  </si>
  <si>
    <r>
      <t>Tvorba fondu v kalendárnom roku spolu</t>
    </r>
    <r>
      <rPr>
        <sz val="12"/>
        <rFont val="Times New Roman"/>
        <family val="1"/>
      </rPr>
      <t xml:space="preserve"> SUM(R3:R10) </t>
    </r>
  </si>
  <si>
    <r>
      <t xml:space="preserve">- tvorba fondu z výsledku hospodárenia </t>
    </r>
    <r>
      <rPr>
        <vertAlign val="superscript"/>
        <sz val="12"/>
        <rFont val="Times New Roman"/>
        <family val="1"/>
        <charset val="238"/>
      </rPr>
      <t>1)</t>
    </r>
  </si>
  <si>
    <r>
      <t xml:space="preserve">- tvorba fondu z dotácie </t>
    </r>
    <r>
      <rPr>
        <vertAlign val="superscript"/>
        <sz val="12"/>
        <rFont val="Times New Roman"/>
        <family val="1"/>
        <charset val="238"/>
      </rPr>
      <t>2)</t>
    </r>
  </si>
  <si>
    <r>
      <t xml:space="preserve">- ostatná tvorba </t>
    </r>
    <r>
      <rPr>
        <vertAlign val="superscript"/>
        <sz val="12"/>
        <rFont val="Times New Roman"/>
        <family val="1"/>
        <charset val="238"/>
      </rPr>
      <t>2)</t>
    </r>
  </si>
  <si>
    <r>
      <t xml:space="preserve">Krytie fondu finančnými prostriedkami na osobitnom bankovom účte </t>
    </r>
    <r>
      <rPr>
        <b/>
        <vertAlign val="superscript"/>
        <sz val="12"/>
        <rFont val="Times New Roman"/>
        <family val="1"/>
        <charset val="238"/>
      </rPr>
      <t xml:space="preserve">3) </t>
    </r>
    <r>
      <rPr>
        <b/>
        <sz val="12"/>
        <rFont val="Times New Roman"/>
        <family val="1"/>
        <charset val="238"/>
      </rPr>
      <t>k 31.12.</t>
    </r>
  </si>
  <si>
    <t>1) vrátane tvorby z nerozdeleného zisku z minulých rokov</t>
  </si>
  <si>
    <t>2) len ak umožňuje zákon</t>
  </si>
  <si>
    <t>3) uvádza sa v prípade, ak si vysoká škola vytvorila osobitný bankový účet na krytie fondu - napríklad  fondu reprodukcie</t>
  </si>
  <si>
    <t>- z ubytovania študentov (účet 602 001)</t>
  </si>
  <si>
    <t>- zo stravných lístkov študentov a doktorandov (účet 602 009)</t>
  </si>
  <si>
    <t>- z ubytovania a stravovania iných fyzických osôb (účet 602 008 a 602 010)</t>
  </si>
  <si>
    <t>- drobný nehmotný majetok  (účet 518 014)</t>
  </si>
  <si>
    <t>- používanie plavárne (účet 518 019)</t>
  </si>
  <si>
    <t>- iné analyticky sledované výnosy (účty 602 002-007, 602 099)</t>
  </si>
  <si>
    <t>- z dotačného účtu  (účet 644 001)</t>
  </si>
  <si>
    <t>- z ostatných účtov  (účet 644 002)</t>
  </si>
  <si>
    <t>- poplatky spojené so štúdiom (účet 649 003-006)</t>
  </si>
  <si>
    <t xml:space="preserve">- školné  (účet 649 001-002)                                                     </t>
  </si>
  <si>
    <t>- ďalšie vzdelávanie  (účet 649 007)</t>
  </si>
  <si>
    <t>- kvalifikačné skúšky  (účet 649 008)</t>
  </si>
  <si>
    <t>- dary (účet 649 009)</t>
  </si>
  <si>
    <t>- výnosy z dedičstva  (účet 649 010)</t>
  </si>
  <si>
    <t>- výnosy z duševného vlastníctva (účet 649 011)</t>
  </si>
  <si>
    <t>- oprava výnosov minulých účtovných období (účet 649 013)</t>
  </si>
  <si>
    <t>- použitie prostriedkov fondov (účet 649 014)</t>
  </si>
  <si>
    <t>- použitie prostriedkov výnosov budúcich období - projekty  (účet 649 015)</t>
  </si>
  <si>
    <t>- dobropisy minulých období (účet 649 017)</t>
  </si>
  <si>
    <t>- ostatné výnosy (účty 649 012, 649 018-021, 649 099)</t>
  </si>
  <si>
    <t>- štipendijného fondu (účet 656 200)</t>
  </si>
  <si>
    <t>- knihy, časopisy a noviny  (účet 501 001)</t>
  </si>
  <si>
    <t>- chemikálie a ostatný materiál pre zabezpečenie experimentálnej výučby  (účet 501 002)</t>
  </si>
  <si>
    <t>- kancelárske potreby a materiál   (účet 501 003)</t>
  </si>
  <si>
    <t>- papier  (účet 501 004)</t>
  </si>
  <si>
    <t>- pohonné hmoty a ostatný materiál na dopravu  (účet 501 007)</t>
  </si>
  <si>
    <t>- čistiace, hygienické a dezinfekčné potreby (účet 501 008)</t>
  </si>
  <si>
    <t>- stavebný, vodoinštalačný a elektroinštalačný materiál
 (účet 501 009)</t>
  </si>
  <si>
    <t>- potraviny (účet 501 010)</t>
  </si>
  <si>
    <t>- DHM - prístroje a zariadenia laboratórií, výpočtová technika  (účet 501 011)</t>
  </si>
  <si>
    <t>- DHM - nábytok (účet 501 012)</t>
  </si>
  <si>
    <t>- iné analyticky sledované náklady (účty 501 005-006, 501 013-015, 501 077)</t>
  </si>
  <si>
    <t>- ostatný materiál (účet 501 099)</t>
  </si>
  <si>
    <t>- elektrická energia (účet 502 001)</t>
  </si>
  <si>
    <t>- tepelná energia  (účet 502 002)</t>
  </si>
  <si>
    <t>- vodné a stočné  (účet 502 003)</t>
  </si>
  <si>
    <t>- plyn  (účet 502 004)</t>
  </si>
  <si>
    <t>- palivá  (účet 502 005)</t>
  </si>
  <si>
    <t>- opravy a udržiavanie stavieb  (účet 511 001)</t>
  </si>
  <si>
    <t>- opravy a udržiavanie strojov, prístrojov, zariadení a inventára  (účet 511 002)</t>
  </si>
  <si>
    <t>- opravy a udržiavanie dopravných prostriedkov  (účet 511 003)</t>
  </si>
  <si>
    <t>- opravy a udržiavanie prostriedkov IT  (účet 511 004)</t>
  </si>
  <si>
    <r>
      <t xml:space="preserve">- za umeleckú alebo športovú činnosť </t>
    </r>
    <r>
      <rPr>
        <sz val="12"/>
        <rFont val="Times New Roman"/>
        <family val="1"/>
        <charset val="238"/>
      </rPr>
      <t xml:space="preserve">[R9+R10]  </t>
    </r>
    <r>
      <rPr>
        <b/>
        <sz val="12"/>
        <rFont val="Times New Roman"/>
        <family val="1"/>
        <charset val="238"/>
      </rPr>
      <t xml:space="preserve">                                                     </t>
    </r>
  </si>
  <si>
    <r>
      <t xml:space="preserve">- prospechové </t>
    </r>
    <r>
      <rPr>
        <sz val="12"/>
        <rFont val="Times New Roman"/>
        <family val="1"/>
        <charset val="238"/>
      </rPr>
      <t xml:space="preserve">[R3+R4] </t>
    </r>
  </si>
  <si>
    <r>
      <t xml:space="preserve">-  za dosiahnutie vynikajúceho výsledku v oblasti štúdia </t>
    </r>
    <r>
      <rPr>
        <sz val="12"/>
        <rFont val="Times New Roman"/>
        <family val="1"/>
        <charset val="238"/>
      </rPr>
      <t xml:space="preserve">[R6+R7] </t>
    </r>
  </si>
  <si>
    <t xml:space="preserve">2)  v riadku 5 sa uvedie celkový (fyzický) počet študentov, ktorým bolo vyplatené motivačné štipendium v kalendárnom roku </t>
  </si>
  <si>
    <t>- údržba a opravy meracej techniky, telovýchovných  zariadení ...(účet 511 005)</t>
  </si>
  <si>
    <t>- iné analyticky sledované náklady (účet 511 006-008)</t>
  </si>
  <si>
    <t>- ostatná údržba a opravy (účet 511 099)</t>
  </si>
  <si>
    <t>- domáce cestovné  (účet 512 001)</t>
  </si>
  <si>
    <t>- zahraničné cestovné  (účet 512 002)</t>
  </si>
  <si>
    <t>- prenájom zariadení (účet 518 002)</t>
  </si>
  <si>
    <t>- prenájom priestorov  (účet 518 001)</t>
  </si>
  <si>
    <t>- vložné na konferencie  (účet 518 004)</t>
  </si>
  <si>
    <t>- ďalšie vzdelávanie zamestnancov  (účet 518 005)</t>
  </si>
  <si>
    <t>- telefón, fax  (účet 518 006)</t>
  </si>
  <si>
    <t>- počítačové siete a prenosy údajov  (účet 518 007)</t>
  </si>
  <si>
    <t>- poštovné  (účet 518 008)</t>
  </si>
  <si>
    <t>- odvoz odpadu  (účet 518 009)</t>
  </si>
  <si>
    <t>- revízie zariadení (účet 518 010)</t>
  </si>
  <si>
    <t>- čistenie verejných priestranstiev (účet 518 011)</t>
  </si>
  <si>
    <t>- dopravné služby (účet 518 012)</t>
  </si>
  <si>
    <t xml:space="preserve">- iné analyticky sledované náklady (účty 518 003, 518 013, 518 015-018, 518 020-027, 518 040) </t>
  </si>
  <si>
    <t>- ostatné služby (účet 518 099)</t>
  </si>
  <si>
    <t xml:space="preserve"> - MZDY (účty 521 001-008, 521 012)</t>
  </si>
  <si>
    <t xml:space="preserve"> - príspevok zamestnancom na stravovanie  (účet 527 002)</t>
  </si>
  <si>
    <t xml:space="preserve"> - zákonné odstupné, odchodné  (účet 527 003)</t>
  </si>
  <si>
    <t xml:space="preserve"> - náhrada príjmu pri PN (účet 527 004)</t>
  </si>
  <si>
    <t xml:space="preserve"> - ochranné pracovné pomôcky podľa Zákonníka práce (účet 527 005) </t>
  </si>
  <si>
    <t xml:space="preserve"> - ostatné zákonné sociálne náklady (účet 527 099)</t>
  </si>
  <si>
    <t xml:space="preserve"> - štipendiá doktorandov  (účet 549 001)</t>
  </si>
  <si>
    <t xml:space="preserve"> - bankové poplatky (účet 549 002)</t>
  </si>
  <si>
    <t xml:space="preserve"> - úhrada výnosov z úrokov na dotačnom účte (účet 549 003)</t>
  </si>
  <si>
    <t xml:space="preserve"> - poistné náklady (havarijné, majetok, na študentov) (účet 549 004)</t>
  </si>
  <si>
    <t xml:space="preserve"> - štipendiá z vlastných zdrojov - prospechové (549 007)</t>
  </si>
  <si>
    <t xml:space="preserve"> - iné analyticky sledované náklady (účet 549 005-006, 549 008-012)</t>
  </si>
  <si>
    <t xml:space="preserve"> - Podprogram 06K 11</t>
  </si>
  <si>
    <t>Tržby z predaja cenných papierov a podielov (účet 653)</t>
  </si>
  <si>
    <t>Výnosy z nájmu majetku  (účet 658)</t>
  </si>
  <si>
    <t>(uviesť zoznam všetkých dotácií z iných kapitol sumarizovaných podľa prvkov resp. podprogramov, ak sa podprogram nedelí na prvky)</t>
  </si>
  <si>
    <r>
      <t xml:space="preserve">  - poskytované mesačne </t>
    </r>
    <r>
      <rPr>
        <vertAlign val="superscript"/>
        <sz val="12"/>
        <rFont val="Times New Roman"/>
        <family val="1"/>
        <charset val="238"/>
      </rPr>
      <t>1)</t>
    </r>
  </si>
  <si>
    <t>- prenos zostatku dotácie do nasledujúceho kalendárneho roku [R6+R7-R15]</t>
  </si>
  <si>
    <t>Výnosy z dlhodobého finančného majetku (účet 652)</t>
  </si>
  <si>
    <t>Prijaté príspevky od iných organizácií (účet 662)</t>
  </si>
  <si>
    <t>Vnútroorganizačné prevody výnosov (účtová skupina 67)</t>
  </si>
  <si>
    <t>Prevádzkové dotácie (účet 691)</t>
  </si>
  <si>
    <t xml:space="preserve">   - Prvok 077 12 05</t>
  </si>
  <si>
    <t>- Podprogram 077 13</t>
  </si>
  <si>
    <t xml:space="preserve">   - Prvok 077 15 01</t>
  </si>
  <si>
    <t xml:space="preserve">   - Prvok 077 15 02</t>
  </si>
  <si>
    <t xml:space="preserve">   - Prvok 077 15 03</t>
  </si>
  <si>
    <t xml:space="preserve"> </t>
  </si>
  <si>
    <r>
      <t xml:space="preserve">Spolu </t>
    </r>
    <r>
      <rPr>
        <sz val="12"/>
        <rFont val="Times New Roman"/>
        <family val="1"/>
      </rPr>
      <t>[R1+R6+SUM(R11:R16)+R19+R20+SUM(R34:R39)+SUM(R44:49)]</t>
    </r>
  </si>
  <si>
    <r>
      <t>Tržby z predaja služieb (účet 602)</t>
    </r>
    <r>
      <rPr>
        <sz val="12"/>
        <rFont val="Times New Roman"/>
        <family val="1"/>
      </rPr>
      <t xml:space="preserve"> [SUM(R7:R10)]</t>
    </r>
  </si>
  <si>
    <t xml:space="preserve"> - ostatné náklady z účtovej skupiny 55 (účty 552, 553, 554, 557, 558, 559)</t>
  </si>
  <si>
    <r>
      <t xml:space="preserve">Výnosy z použitia fondov (účet 656) [SUM(R40:R43)]  </t>
    </r>
    <r>
      <rPr>
        <b/>
        <vertAlign val="superscript"/>
        <sz val="12"/>
        <rFont val="Times New Roman"/>
        <family val="1"/>
        <charset val="238"/>
      </rPr>
      <t xml:space="preserve"> 1)</t>
    </r>
  </si>
  <si>
    <t>- zúčtovanie dotácie zo ŠR na DN a HM vo výške odpisov</t>
  </si>
  <si>
    <t>- ostatných fondov (účet 656 300, 656 500)</t>
  </si>
  <si>
    <t xml:space="preserve">- náklady na tvorbu rezervného fondu (účet 556 100) </t>
  </si>
  <si>
    <t xml:space="preserve">- náklady na tvorbu štipendijného fondu (účet 556 200) </t>
  </si>
  <si>
    <t xml:space="preserve">- náklady na tvorbu fondu reprodukcie (účet 556 300) </t>
  </si>
  <si>
    <t xml:space="preserve">- náklady na tvorbu ostatných fondov (účty 556 300, 556 500) </t>
  </si>
  <si>
    <t xml:space="preserve">1) V R89-92 sa uvedú náklady účtované v súvislosti s tvorbou príslušného fondu. </t>
  </si>
  <si>
    <t xml:space="preserve"> - ostatné iné náklady (účet 549 099)</t>
  </si>
  <si>
    <r>
      <t>Tvorba fondu reprodukcie v kalendárnom roku spolu</t>
    </r>
    <r>
      <rPr>
        <sz val="12"/>
        <rFont val="Times New Roman"/>
        <family val="1"/>
      </rPr>
      <t xml:space="preserve"> [SUM(R3:R8)] </t>
    </r>
  </si>
  <si>
    <t>- zamestnanci zaradení na ostatných pracoviskách</t>
  </si>
  <si>
    <t>- bežný účet okrem účtov uvedených v 
  R6:R8</t>
  </si>
  <si>
    <t>- devízové účty</t>
  </si>
  <si>
    <t>- účet štipendijného fondu</t>
  </si>
  <si>
    <t>- účet podnikateľskej činnosti</t>
  </si>
  <si>
    <t>- účet sociálneho fondu</t>
  </si>
  <si>
    <t>- účet fondu reprodukcie</t>
  </si>
  <si>
    <t>- bežný účet - zábezpeka</t>
  </si>
  <si>
    <t>- ostatné bankové účty v Štátnej pokladnici 
  mimo účtov uvedených v R2:R14</t>
  </si>
  <si>
    <r>
      <t xml:space="preserve">Podprogram 06G 05 </t>
    </r>
    <r>
      <rPr>
        <sz val="12"/>
        <rFont val="Times New Roman"/>
        <family val="1"/>
        <charset val="238"/>
      </rPr>
      <t>[SUM(R2:R5)]</t>
    </r>
  </si>
  <si>
    <t>Zostatok kapitálovej dotácie z predchádzajúceho roku</t>
  </si>
  <si>
    <t xml:space="preserve">Čerpanie ostatných zdrojov prostredníctvom fondu reprodukcie </t>
  </si>
  <si>
    <t>Zákonné sociálne poistenie (účet 524)</t>
  </si>
  <si>
    <t>Zúčtovanie zákonných opravných položiek (účet 659)</t>
  </si>
  <si>
    <t>Daň z nehnuteľnosti (účet 532)</t>
  </si>
  <si>
    <t>Nákup dopravných prostriedkov všetkých druhov</t>
  </si>
  <si>
    <t>Prípravná a projektová dokumentácia</t>
  </si>
  <si>
    <t>Rekonštrukcia a modernizácia strojov a zariadení</t>
  </si>
  <si>
    <t>Počet zamestnancov spolu</t>
  </si>
  <si>
    <t>D=A+C</t>
  </si>
  <si>
    <t>H=E+G</t>
  </si>
  <si>
    <t>- zamestnanci zaradení na dekanátoch</t>
  </si>
  <si>
    <t>Počet študentov poberajúcich sociálne štipendium</t>
  </si>
  <si>
    <r>
      <t>Nevyčerpaná dotácia (+) / nedoplatok dotácie (-) na motivačné štipendiá</t>
    </r>
    <r>
      <rPr>
        <b/>
        <vertAlign val="superscript"/>
        <sz val="12"/>
        <rFont val="Times New Roman"/>
        <family val="1"/>
        <charset val="238"/>
      </rPr>
      <t>1)</t>
    </r>
    <r>
      <rPr>
        <b/>
        <sz val="12"/>
        <rFont val="Times New Roman"/>
        <family val="1"/>
        <charset val="238"/>
      </rPr>
      <t xml:space="preserve"> k 31. 12. predchádzajúceho kalendárneho roka</t>
    </r>
    <r>
      <rPr>
        <sz val="12"/>
        <rFont val="Times New Roman"/>
        <family val="1"/>
        <charset val="238"/>
      </rPr>
      <t xml:space="preserve">     </t>
    </r>
    <r>
      <rPr>
        <b/>
        <sz val="12"/>
        <rFont val="Times New Roman"/>
        <family val="1"/>
        <charset val="238"/>
      </rPr>
      <t xml:space="preserve">     </t>
    </r>
  </si>
  <si>
    <r>
      <t>Výdavky na motivačné štipendiá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v kalendárnom roku </t>
    </r>
    <r>
      <rPr>
        <b/>
        <vertAlign val="superscript"/>
        <sz val="12"/>
        <rFont val="Times New Roman"/>
        <family val="1"/>
        <charset val="238"/>
      </rPr>
      <t>1)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</t>
    </r>
  </si>
  <si>
    <r>
      <t>Nevyčerpaná dotácia (+) / nedoplatok dotácie (-) k 31. 12. kalendárneho roka</t>
    </r>
    <r>
      <rPr>
        <b/>
        <vertAlign val="superscript"/>
        <sz val="12"/>
        <rFont val="Times New Roman"/>
        <family val="1"/>
        <charset val="238"/>
      </rPr>
      <t xml:space="preserve">1) </t>
    </r>
    <r>
      <rPr>
        <b/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[R1+R2-R3]                       </t>
    </r>
  </si>
  <si>
    <r>
      <t xml:space="preserve">Počet študentov, ktorým bolo priznané motivačné štipendium </t>
    </r>
    <r>
      <rPr>
        <b/>
        <vertAlign val="superscript"/>
        <sz val="12"/>
        <rFont val="Times New Roman"/>
        <family val="1"/>
        <charset val="238"/>
      </rPr>
      <t>2)</t>
    </r>
  </si>
  <si>
    <t>- zostatok nevyčerpanej dotácie (+)/ nedoplatok dotácie (-) z predchádzajúcich rokov [R6_SB=R8_SA]</t>
  </si>
  <si>
    <t>- dotačný účet</t>
  </si>
  <si>
    <t>- zostatkový účet</t>
  </si>
  <si>
    <t>- distribučný účet</t>
  </si>
  <si>
    <t>I=A+C+E+G</t>
  </si>
  <si>
    <t>J=B+D+F+H</t>
  </si>
  <si>
    <t>F=A+B+C+D-E</t>
  </si>
  <si>
    <t>spolufinanco-
vanie zo ŠR</t>
  </si>
  <si>
    <t xml:space="preserve">Počet študentov  poberajúcich štipendium </t>
  </si>
  <si>
    <t>Počet študentov  poberajúcich štipendium</t>
  </si>
  <si>
    <r>
      <t xml:space="preserve">Stav fondu k 1.1. kalendárneho roku </t>
    </r>
    <r>
      <rPr>
        <sz val="12"/>
        <rFont val="Times New Roman"/>
        <family val="1"/>
        <charset val="238"/>
      </rPr>
      <t>[R1_SB = R12_SA ...]</t>
    </r>
  </si>
  <si>
    <t>Čerpanie fondu k 31. 12. kalendárneho roku</t>
  </si>
  <si>
    <t>Spolu</t>
  </si>
  <si>
    <t>Dotácia / program</t>
  </si>
  <si>
    <t>Číslo riadku</t>
  </si>
  <si>
    <t>M</t>
  </si>
  <si>
    <t>Náklady na mzdy poskytované z iných zdrojov</t>
  </si>
  <si>
    <t>Náklady na mzdy spolu</t>
  </si>
  <si>
    <t>Dotácia spolu</t>
  </si>
  <si>
    <t>Stav fondu reprodukcie k 1.1.</t>
  </si>
  <si>
    <r>
      <t>Ostatné služby (účet 518)</t>
    </r>
    <r>
      <rPr>
        <sz val="12"/>
        <rFont val="Times New Roman"/>
        <family val="1"/>
      </rPr>
      <t xml:space="preserve"> [SUM(R40:R54)]</t>
    </r>
  </si>
  <si>
    <r>
      <t>Mzdové náklady (účet 521)</t>
    </r>
    <r>
      <rPr>
        <sz val="12"/>
        <rFont val="Times New Roman"/>
        <family val="1"/>
      </rPr>
      <t xml:space="preserve">  [SUM(R56:R57)]</t>
    </r>
  </si>
  <si>
    <t xml:space="preserve">- účelová dotácia v danom kalendárnom roku </t>
  </si>
  <si>
    <t>Dotácie spolu</t>
  </si>
  <si>
    <t xml:space="preserve">Bežná dotácia na úlohy budúcich období </t>
  </si>
  <si>
    <t>Čerpanie z úveru</t>
  </si>
  <si>
    <t>Celkové výdavky na obstaranie a technické zhodnotenie dlhodobého majetku</t>
  </si>
  <si>
    <t>Počet zamestnancov platených z prostriedkov štátneho rozpočtu</t>
  </si>
  <si>
    <t>Počet zamestnancov platených z iných zdrojov</t>
  </si>
  <si>
    <t>L</t>
  </si>
  <si>
    <t>K=F-(G+H+I+J)</t>
  </si>
  <si>
    <t>Náklady na mzdy  poskytované z prostriedkov štátneho rozpočtu</t>
  </si>
  <si>
    <t xml:space="preserve">Kategória zamestnancov
</t>
  </si>
  <si>
    <t xml:space="preserve">- vysokoškolskí učitelia s funkčným zaradením "profesor" </t>
  </si>
  <si>
    <t>- vysokoškolskí učitelia s funkčným zaradením "docent"</t>
  </si>
  <si>
    <t>- vysokoškolskí učitelia s funkčným zaradením "odborný asistent"</t>
  </si>
  <si>
    <t>- vysokoškolskí učitelia s funkčným zaradením "asistent"</t>
  </si>
  <si>
    <t>- vysokoškolskí učitelia s funkčným zaradením "lektor"</t>
  </si>
  <si>
    <t>- zamestnanci zaradení na rektorátoch</t>
  </si>
  <si>
    <t xml:space="preserve">- rezervného fondu (účet 656 100) </t>
  </si>
  <si>
    <r>
      <t>- fondu reprodukcie (účet 656 400)</t>
    </r>
    <r>
      <rPr>
        <vertAlign val="superscript"/>
        <sz val="12"/>
        <rFont val="Times New Roman"/>
        <family val="1"/>
        <charset val="238"/>
      </rPr>
      <t xml:space="preserve"> 2)</t>
    </r>
  </si>
  <si>
    <t xml:space="preserve">2)   Výnosy z Fondu reprodukcie možno účtovať len v súvislosti s krytím nákladov na vedenie príslušného bankového účtu a nákladov vyplývajúcich z kurzových strát
      v zmysle  16a ods. 8 zákona. </t>
  </si>
  <si>
    <t xml:space="preserve">1) V R40-43 sa uvádzajú výnosy z finančných fondov, ktoré slúžia na zvýšenie výnosovej časti rozpočtu VVŠ podľa § 16 ods. 8 písm. g) zákona č. 131/2002 Z. z. 
     o vysokých školách v znení neskorších predpisov. </t>
  </si>
  <si>
    <t xml:space="preserve">    - dohody o brigádnickej práci študentov (účet 521 011)</t>
  </si>
  <si>
    <t>4a</t>
  </si>
  <si>
    <t>- Náklady účtovnej skupiny 54 okrem nákladov účtu 549 (účtovné skupiny 541 až 548)</t>
  </si>
  <si>
    <t xml:space="preserve">Základ pre prídel do štipendijného fondu </t>
  </si>
  <si>
    <t>Nákup strojov, prístrojov, zariadení, techniky a náradia [SUM(R5:R9)]</t>
  </si>
  <si>
    <t>1) uvádzajte prospechové a mimoriadné štipendiá spolu</t>
  </si>
  <si>
    <r>
      <t>Nevyčerpaná dotácia (+) / nedoplatok dotácie (-) k 31. 12. bežného roka</t>
    </r>
    <r>
      <rPr>
        <sz val="12"/>
        <rFont val="Times New Roman"/>
        <family val="1"/>
        <charset val="238"/>
      </rPr>
      <t xml:space="preserve"> [R4+R5-R1]          </t>
    </r>
    <r>
      <rPr>
        <b/>
        <sz val="12"/>
        <rFont val="Times New Roman"/>
        <family val="1"/>
        <charset val="238"/>
      </rPr>
      <t xml:space="preserve">               </t>
    </r>
  </si>
  <si>
    <r>
      <t xml:space="preserve">Priemerné štipendium na 1 študenta na mesiac </t>
    </r>
    <r>
      <rPr>
        <sz val="12"/>
        <rFont val="Times New Roman"/>
        <family val="1"/>
        <charset val="238"/>
      </rPr>
      <t xml:space="preserve"> [R1_SA/R2_SB resp. R1_SC/R2_SD] </t>
    </r>
  </si>
  <si>
    <r>
      <t xml:space="preserve">Výnos z dotácie zo štátneho rozpočtu na študentské jedálne spolu </t>
    </r>
    <r>
      <rPr>
        <sz val="12"/>
        <rFont val="Times New Roman"/>
        <family val="1"/>
      </rPr>
      <t>[R6+R7-R8]</t>
    </r>
  </si>
  <si>
    <r>
      <t xml:space="preserve">Tržby za vlastné výrobky (účet 601) </t>
    </r>
    <r>
      <rPr>
        <sz val="12"/>
        <rFont val="Times New Roman"/>
        <family val="1"/>
      </rPr>
      <t>[SUM(R2:R5)]</t>
    </r>
  </si>
  <si>
    <r>
      <t>Poskytnuté príspevky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(účtová skupina 56)</t>
    </r>
  </si>
  <si>
    <t>Výnosy z krátkodobého finančného majetku  (účet 655)</t>
  </si>
  <si>
    <t xml:space="preserve">Iné zdroje na obstaranie a technické zhodnotenie dlhodobého majetku </t>
  </si>
  <si>
    <t>Zdroje na obstaranie a technické zhodnotenie dlhodobého majetku z úverov</t>
  </si>
  <si>
    <t xml:space="preserve">Dotácia na kapitálové výdavky zo štátneho rozpočtu </t>
  </si>
  <si>
    <r>
      <t>Ostatné domáce príjmy s charakterom dotácie</t>
    </r>
    <r>
      <rPr>
        <sz val="12"/>
        <rFont val="Times New Roman"/>
        <family val="1"/>
      </rPr>
      <t xml:space="preserve"> [SUM(R3a:R3...)]</t>
    </r>
  </si>
  <si>
    <r>
      <t>Príjmy zo zahraničia majúce charakter dotácie</t>
    </r>
    <r>
      <rPr>
        <sz val="12"/>
        <rFont val="Times New Roman"/>
        <family val="1"/>
      </rPr>
      <t xml:space="preserve"> [SUM(R4a:R4...)]</t>
    </r>
  </si>
  <si>
    <t>- Podprogram 077 11</t>
  </si>
  <si>
    <t xml:space="preserve">   - Prvok 077 12 01</t>
  </si>
  <si>
    <t xml:space="preserve">   - Prvok 077 12 02</t>
  </si>
  <si>
    <t xml:space="preserve">   - Prvok 077 12 03</t>
  </si>
  <si>
    <t xml:space="preserve">   - Prvok 077 12 04</t>
  </si>
  <si>
    <r>
      <t xml:space="preserve">Priemerný  prepočítaný počet ubytovaných študentov </t>
    </r>
    <r>
      <rPr>
        <sz val="12"/>
        <rFont val="Times New Roman"/>
        <family val="1"/>
        <charset val="238"/>
      </rPr>
      <t>[(R2</t>
    </r>
    <r>
      <rPr>
        <sz val="12"/>
        <rFont val="Times New Roman"/>
        <family val="1"/>
        <charset val="238"/>
      </rPr>
      <t>/12]</t>
    </r>
  </si>
  <si>
    <t xml:space="preserve">Počet študentov poberajúcich sociálne štipendium </t>
  </si>
  <si>
    <t xml:space="preserve">1) V stĺpcoch B a D sa uvádza prepočítaný počet študentov určený ako počet osobomesiacov, počas ktorých bolo poskytované štipendium </t>
  </si>
  <si>
    <t xml:space="preserve">    - bežný účet pre študentské domovy</t>
  </si>
  <si>
    <t xml:space="preserve">    - bežný účet pre študentské jedálne</t>
  </si>
  <si>
    <t>Daň z príjmov (účtová skupina 59)</t>
  </si>
  <si>
    <t>- vysokoškolské podniky</t>
  </si>
  <si>
    <t>Výnos z dotácie zo štátneho rozpočtu na študentské domovy (bez zmluvných zariadení)</t>
  </si>
  <si>
    <r>
      <t>Výnosy</t>
    </r>
    <r>
      <rPr>
        <b/>
        <vertAlign val="superscript"/>
        <sz val="12"/>
        <rFont val="Times New Roman"/>
        <family val="1"/>
        <charset val="238"/>
      </rPr>
      <t xml:space="preserve">2) </t>
    </r>
    <r>
      <rPr>
        <b/>
        <sz val="12"/>
        <rFont val="Times New Roman"/>
        <family val="1"/>
      </rPr>
      <t>študentských jedální súvisiace so stravovaním študentov spolu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  <charset val="238"/>
      </rPr>
      <t xml:space="preserve">[R2+R5]  </t>
    </r>
  </si>
  <si>
    <t>Výskumní pracovníci alebo umeleckí pracovníci</t>
  </si>
  <si>
    <t>15a</t>
  </si>
  <si>
    <r>
      <t>Vysokoškolskí učitelia spolu</t>
    </r>
    <r>
      <rPr>
        <sz val="12"/>
        <rFont val="Times New Roman"/>
        <family val="1"/>
      </rPr>
      <t xml:space="preserve"> [SUM(R2:</t>
    </r>
    <r>
      <rPr>
        <sz val="12"/>
        <rFont val="Times New Roman"/>
        <family val="1"/>
        <charset val="238"/>
      </rPr>
      <t>R6</t>
    </r>
    <r>
      <rPr>
        <sz val="12"/>
        <rFont val="Times New Roman"/>
        <family val="1"/>
      </rPr>
      <t>)]</t>
    </r>
  </si>
  <si>
    <r>
      <t>Administratívni zamestnanci spolu</t>
    </r>
    <r>
      <rPr>
        <sz val="12"/>
        <rFont val="Times New Roman"/>
        <family val="1"/>
      </rPr>
      <t xml:space="preserve"> [SUM(R10:R12)]                         </t>
    </r>
  </si>
  <si>
    <t>Nákup budov a stavieb</t>
  </si>
  <si>
    <t>Poznámka</t>
  </si>
  <si>
    <t>A</t>
  </si>
  <si>
    <t>B</t>
  </si>
  <si>
    <t>C</t>
  </si>
  <si>
    <t>E</t>
  </si>
  <si>
    <t>F</t>
  </si>
  <si>
    <t>G</t>
  </si>
  <si>
    <t>H</t>
  </si>
  <si>
    <t>I</t>
  </si>
  <si>
    <t>D</t>
  </si>
  <si>
    <t>J</t>
  </si>
  <si>
    <t>Bankový účet</t>
  </si>
  <si>
    <t xml:space="preserve">Ostatné dane a poplatky (účet 538) </t>
  </si>
  <si>
    <t>Realizácia stavieb a ich technického zhodnotenia</t>
  </si>
  <si>
    <t>- ostatné tržby za vlastné výrobky</t>
  </si>
  <si>
    <t>- študentské domovy</t>
  </si>
  <si>
    <t>z toho:</t>
  </si>
  <si>
    <t>Bežné dotácie</t>
  </si>
  <si>
    <t>Kapitálové dotácie</t>
  </si>
  <si>
    <r>
      <t>Spotreba materiálu (účet 501)</t>
    </r>
    <r>
      <rPr>
        <sz val="12"/>
        <rFont val="Times New Roman"/>
        <family val="1"/>
      </rPr>
      <t xml:space="preserve"> [SUM(R2:R13)]</t>
    </r>
  </si>
  <si>
    <r>
      <t>Spolu</t>
    </r>
    <r>
      <rPr>
        <sz val="12"/>
        <rFont val="Times New Roman"/>
        <family val="1"/>
      </rPr>
      <t xml:space="preserve"> [R1+R2+R3+R4]</t>
    </r>
  </si>
  <si>
    <t>Objem zdrojov</t>
  </si>
  <si>
    <t xml:space="preserve">Nákup ostatného dlhodobého majetku </t>
  </si>
  <si>
    <t>Ostatné fondy</t>
  </si>
  <si>
    <t>Účty mimo Štátnej pokladnice spolu</t>
  </si>
  <si>
    <t>X</t>
  </si>
  <si>
    <t>- tvorba fondu z odpisov</t>
  </si>
  <si>
    <t>- tvorba fondu prevodom z rezervného fondu</t>
  </si>
  <si>
    <t>- tvorba fondu z darov a z dedičstva</t>
  </si>
  <si>
    <t>1a</t>
  </si>
  <si>
    <t>2a</t>
  </si>
  <si>
    <t>3a</t>
  </si>
  <si>
    <r>
      <t>Výnosy z poplatkov spojených so štúdiom</t>
    </r>
    <r>
      <rPr>
        <sz val="12"/>
        <rFont val="Times New Roman"/>
        <family val="1"/>
      </rPr>
      <t xml:space="preserve"> [SUM(R5:R8)]</t>
    </r>
  </si>
  <si>
    <r>
      <t>Zamestnanci osobitne financovaných súčastí verejnej vysokej školy (špecifiká) z R1, R7, R9, R13, R14  spolu</t>
    </r>
    <r>
      <rPr>
        <sz val="12"/>
        <rFont val="Times New Roman"/>
        <family val="1"/>
      </rPr>
      <t xml:space="preserve"> [SUM(R15a:R15...)]                                                </t>
    </r>
  </si>
  <si>
    <r>
      <t xml:space="preserve">Spolu </t>
    </r>
    <r>
      <rPr>
        <sz val="12"/>
        <rFont val="Times New Roman"/>
        <family val="1"/>
      </rPr>
      <t>[R1+R7+R9+R13+R14+R16+R17]</t>
    </r>
  </si>
  <si>
    <t>Tržby z predaja materiálu (účet 654)</t>
  </si>
  <si>
    <t>Spotreba ostatných neskladovateľných dodávok (účet 503)</t>
  </si>
  <si>
    <t>Náklady na reprezentáciu (účet 513)</t>
  </si>
  <si>
    <t>Fondy spolu</t>
  </si>
  <si>
    <t>Položka</t>
  </si>
  <si>
    <t>Hlavná činnosť</t>
  </si>
  <si>
    <t>Podnikateľská činnosť</t>
  </si>
  <si>
    <t>Rezervný fond</t>
  </si>
  <si>
    <t>Fond reprodukcie</t>
  </si>
  <si>
    <t>Štipendijný fond</t>
  </si>
  <si>
    <t>Návrh na prídel do štipendijného fondu</t>
  </si>
  <si>
    <t>Zmeny stavu zásob vlastnej výroby (účtová skupina 61)</t>
  </si>
  <si>
    <t>Aktivácia (účtová skupina 62)</t>
  </si>
  <si>
    <t>Pokuty a penále (účet 641+642)</t>
  </si>
  <si>
    <t>Platby za odpísané pohľadávky  (účet 643)</t>
  </si>
  <si>
    <t>Kurzové zisky  (účet 645)</t>
  </si>
  <si>
    <t>v tom:</t>
  </si>
  <si>
    <t>E=A+D</t>
  </si>
  <si>
    <r>
      <t>Počet študentov poberajúcich sociálne štipendiá v osobomesiacoch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14"/>
        <rFont val="Times New Roman"/>
        <family val="1"/>
        <charset val="238"/>
      </rPr>
      <t>1)</t>
    </r>
  </si>
  <si>
    <r>
      <t xml:space="preserve">Počet študentov poberajúcich sociálne štipendiá k 31.12. </t>
    </r>
    <r>
      <rPr>
        <b/>
        <vertAlign val="superscript"/>
        <sz val="14"/>
        <rFont val="Times New Roman"/>
        <family val="1"/>
        <charset val="238"/>
      </rPr>
      <t>2)</t>
    </r>
  </si>
  <si>
    <r>
      <t>Počet ubytovaných študentov (vrátane interných doktorandov)</t>
    </r>
    <r>
      <rPr>
        <b/>
        <vertAlign val="superscript"/>
        <sz val="14"/>
        <rFont val="Times New Roman"/>
        <family val="1"/>
        <charset val="238"/>
      </rPr>
      <t>2)</t>
    </r>
    <r>
      <rPr>
        <b/>
        <sz val="14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</rPr>
      <t xml:space="preserve"> v osobomesiacoch</t>
    </r>
  </si>
  <si>
    <t>Tržby z predaja dlhodobého NM a HM (účet 651)</t>
  </si>
  <si>
    <t>Výnosy z precenenia cenných papierov (účet 657)</t>
  </si>
  <si>
    <r>
      <t>Spotreba energie (účet 502)</t>
    </r>
    <r>
      <rPr>
        <sz val="12"/>
        <rFont val="Times New Roman"/>
        <family val="1"/>
      </rPr>
      <t xml:space="preserve"> [SUM(R15:R20)]</t>
    </r>
  </si>
  <si>
    <r>
      <t>Predaný tovar (účet 504)</t>
    </r>
    <r>
      <rPr>
        <sz val="12"/>
        <rFont val="Times New Roman"/>
        <family val="1"/>
      </rPr>
      <t xml:space="preserve"> [SUM(R23:R26)]</t>
    </r>
  </si>
  <si>
    <r>
      <t>Cestovné (účet 512)</t>
    </r>
    <r>
      <rPr>
        <sz val="12"/>
        <rFont val="Times New Roman"/>
        <family val="1"/>
      </rPr>
      <t xml:space="preserve"> [SUM(R36:R37)]</t>
    </r>
  </si>
  <si>
    <t>- interiérové vybavenie  (713 001)</t>
  </si>
  <si>
    <t>- telekomunikačná technika  (713 003)</t>
  </si>
  <si>
    <t>-  výpočtová technika  (713 002)</t>
  </si>
  <si>
    <t xml:space="preserve"> - prevádzkové stroje, prístroje, zariadenia, technika a náradie (713 004)</t>
  </si>
  <si>
    <t xml:space="preserve">  - špeciálne stroje, prístroje, zariadenia, technika, náradie a materiál  (713 005)</t>
  </si>
  <si>
    <t>Počty ubytovaných</t>
  </si>
  <si>
    <t>Ostatné výnosy zo študentských domovov</t>
  </si>
  <si>
    <t>1) výnosy a náklady z podnikateľskej činnosti sa neuvádzajú</t>
  </si>
  <si>
    <t>Výnosy z poplatkov za ubytovanie od študentov počas výučbového obdobia (10 mesiacov)</t>
  </si>
  <si>
    <t>Lôžková kapacita študentského domova k 31. 12. kalendárneho roka (v počte miest)</t>
  </si>
  <si>
    <t>1) výnosy a náklady z podnikateľskej činnosti sa neuvádzajú, neuvádzajú sa ani výnosy a náklady súvisiace so stravovaním zamestnancov</t>
  </si>
  <si>
    <t>- tržby za stravné lístky študentov</t>
  </si>
  <si>
    <t>- ostatné tržby súvisiace so stravovaním študentov</t>
  </si>
  <si>
    <r>
      <t>Tržby jedální súvisiace so stravovaním študentov v kalendárnom roku spolu</t>
    </r>
    <r>
      <rPr>
        <sz val="12"/>
        <rFont val="Times New Roman"/>
        <family val="1"/>
      </rPr>
      <t xml:space="preserve"> [R3+R4]</t>
    </r>
  </si>
  <si>
    <t>Náklady na činnosť študentských jedální súvisiace so stravovaním študentov za kalendárny rok</t>
  </si>
  <si>
    <r>
      <t xml:space="preserve"> - náklady na jedlá študentov</t>
    </r>
    <r>
      <rPr>
        <vertAlign val="superscript"/>
        <sz val="12"/>
        <rFont val="Times New Roman"/>
        <family val="1"/>
        <charset val="238"/>
      </rPr>
      <t>3)</t>
    </r>
  </si>
  <si>
    <r>
      <t>Dotácia na uskutočňovanie akreditovaných študijných programov</t>
    </r>
    <r>
      <rPr>
        <sz val="12"/>
        <rFont val="Times New Roman"/>
        <family val="1"/>
      </rPr>
      <t xml:space="preserve"> [R2]</t>
    </r>
  </si>
  <si>
    <r>
      <t>Dotácia na výskumnú, vývojovú alebo umeleckú činnosť</t>
    </r>
    <r>
      <rPr>
        <sz val="12"/>
        <rFont val="Times New Roman"/>
        <family val="1"/>
      </rPr>
      <t xml:space="preserve"> [R4+R5+R6+R7+R8]</t>
    </r>
  </si>
  <si>
    <r>
      <t>Dotácia na rozvoj vysokej školy</t>
    </r>
    <r>
      <rPr>
        <sz val="12"/>
        <rFont val="Times New Roman"/>
        <family val="1"/>
      </rPr>
      <t xml:space="preserve"> [R10]</t>
    </r>
  </si>
  <si>
    <r>
      <t>Dotácia na sociálnu podporu študentov</t>
    </r>
    <r>
      <rPr>
        <sz val="12"/>
        <rFont val="Times New Roman"/>
        <family val="1"/>
      </rPr>
      <t xml:space="preserve"> [R12+R13+R14]</t>
    </r>
  </si>
  <si>
    <r>
      <t>Spolu</t>
    </r>
    <r>
      <rPr>
        <sz val="12"/>
        <rFont val="Times New Roman"/>
        <family val="1"/>
      </rPr>
      <t xml:space="preserve"> [R1+R3+R9+R11]</t>
    </r>
  </si>
  <si>
    <t>nadrezortná veda a technika</t>
  </si>
  <si>
    <t>Výnosy z poplatkov za ubytovanie od študentov počas hlavných prázdnin (od interných doktorandov) a počty ubytovaných študentov</t>
  </si>
  <si>
    <r>
      <t xml:space="preserve">Výnosy zo študentských domovov v kalendárnom roku spolu </t>
    </r>
    <r>
      <rPr>
        <sz val="12"/>
        <rFont val="Times New Roman"/>
        <family val="1"/>
      </rPr>
      <t>[SUM(R4:R7)]</t>
    </r>
  </si>
  <si>
    <r>
      <t xml:space="preserve">Náklady študentských domovov  spolu </t>
    </r>
    <r>
      <rPr>
        <sz val="12"/>
        <rFont val="Times New Roman"/>
        <family val="1"/>
      </rPr>
      <t>[R10+R11]</t>
    </r>
  </si>
  <si>
    <r>
      <t xml:space="preserve">Rozdiel výnosov a nákladov na študentské domovy v kalendárnom roku  </t>
    </r>
    <r>
      <rPr>
        <sz val="12"/>
        <rFont val="Times New Roman"/>
        <family val="1"/>
      </rPr>
      <t>[R8-R9]</t>
    </r>
  </si>
  <si>
    <r>
      <t xml:space="preserve">Priemerné ročné náklady na jedného ubytovaného študenta </t>
    </r>
    <r>
      <rPr>
        <sz val="12"/>
        <rFont val="Times New Roman"/>
        <family val="1"/>
        <charset val="238"/>
      </rPr>
      <t>[R9/R3]</t>
    </r>
  </si>
  <si>
    <t xml:space="preserve">Daň z motorových vozidiel (účet 531) </t>
  </si>
  <si>
    <t>Nákup pozemkov a nehmotných aktív</t>
  </si>
  <si>
    <t xml:space="preserve">2) V stĺpcoch B a D sa uvádza celkový (fyzický) počet študentov, ktorým bolo v príslušnom kalendárnom roku poskytnuté sociálne štipendium bez ohľadu na počet mesiacov. </t>
  </si>
  <si>
    <t>2) V stĺpcoch B a D sa uvádza celkový (fyzický) počet študentov, ktorým bolo v príslušnom roku poskytované štipendium .</t>
  </si>
  <si>
    <t>Ministerstvo kultúry - zmluvy 3820/2010, 3821/2010,1540/2010 (Univ. knižnica, FF)</t>
  </si>
  <si>
    <t>Ministerstvo zdravotníctva -program 07B0307 (prof.Lazúrová,prof.Podracká,prof.Boor)</t>
  </si>
  <si>
    <t>1c</t>
  </si>
  <si>
    <t>Štátny program NMR - doc. Imrich - spoluriešiteľ</t>
  </si>
  <si>
    <t>1d</t>
  </si>
  <si>
    <t>1e</t>
  </si>
  <si>
    <t>APVV spoluriešiteľské programy</t>
  </si>
  <si>
    <t>Slov. kardiologická spoločnosť-MUDr.Dobrovičová -riešenie vedeckého projektu</t>
  </si>
  <si>
    <t>1g</t>
  </si>
  <si>
    <t>Kega - doc.Šimon spoluriešiteľ (UVL Košice)</t>
  </si>
  <si>
    <t>Nórsky finančný mechanizmus</t>
  </si>
  <si>
    <t>SAV - prof.Fehér centrum kryofyziky</t>
  </si>
  <si>
    <t>Višegrad fond</t>
  </si>
  <si>
    <t>3c</t>
  </si>
  <si>
    <t>3d</t>
  </si>
  <si>
    <t>Ministerstvo výstavby a regionálneho rozvoja HU-SK RNDr.Barabas 5%</t>
  </si>
  <si>
    <t>1f</t>
  </si>
  <si>
    <t>3e</t>
  </si>
  <si>
    <t>Nadácia UPJŠ príspevok pre Univerzitnú knižnicu</t>
  </si>
  <si>
    <t>The Britis Council - pre FF</t>
  </si>
  <si>
    <t>WHO - World Health Organisation - LF Ing.Frištiková</t>
  </si>
  <si>
    <t>Universitair Medisch centrum Groningen - LF Ing. Frištiková</t>
  </si>
  <si>
    <t>University og Groningen, Holandsko Mgr.Gecková</t>
  </si>
  <si>
    <t>4c</t>
  </si>
  <si>
    <t>4d</t>
  </si>
  <si>
    <t>Fundacio IMIM, Barcelona Mgr.Rajničová</t>
  </si>
  <si>
    <t>4e</t>
  </si>
  <si>
    <t>MTA Regionalis Katattasok Kozpont, Maďarsko RNDr.Barabas</t>
  </si>
  <si>
    <t>4f</t>
  </si>
  <si>
    <t>4g</t>
  </si>
  <si>
    <t>4h</t>
  </si>
  <si>
    <t>4i</t>
  </si>
  <si>
    <t>4j</t>
  </si>
  <si>
    <t>Agent Comptable CNRS, Marseille Francúzsko doc.Zeleňák zahr. grant v rámci 7RP</t>
  </si>
  <si>
    <t>Univerzita Oslo, Nórsko Ing.Černák zahr.grant v rámci 7 RP</t>
  </si>
  <si>
    <t>European Commission Brusel, prof.Miškovský zahr. grant v rámci 7RP</t>
  </si>
  <si>
    <t>Dublin City Universiry, Írsko RNDr.Kireš zahr. grant v rámci 7RP</t>
  </si>
  <si>
    <t>Organisation Europeanne CERN, Švajčiarsko, Ing.Černák zahr. grant v rámci 7 RP</t>
  </si>
  <si>
    <t>4k</t>
  </si>
  <si>
    <t>4l</t>
  </si>
  <si>
    <t>Socrates</t>
  </si>
  <si>
    <t>Removabilis E.U. Freising, Nemecko prof.Fabian</t>
  </si>
  <si>
    <r>
      <t xml:space="preserve">Podprogram 0AA 01  </t>
    </r>
    <r>
      <rPr>
        <sz val="12"/>
        <rFont val="Times New Roman"/>
        <family val="1"/>
        <charset val="238"/>
      </rPr>
      <t>[R14=R15]</t>
    </r>
  </si>
  <si>
    <t xml:space="preserve">  - Prvok 0AA 01 02</t>
  </si>
  <si>
    <t>ÚEP</t>
  </si>
  <si>
    <t>BZ</t>
  </si>
  <si>
    <r>
      <t xml:space="preserve">Čerpanie kapitálovej dotácie v roku 2010
</t>
    </r>
    <r>
      <rPr>
        <b/>
        <sz val="12"/>
        <color indexed="10"/>
        <rFont val="Times New Roman"/>
        <family val="1"/>
        <charset val="238"/>
      </rPr>
      <t>zo štátneho rozpočtu</t>
    </r>
  </si>
  <si>
    <r>
      <t xml:space="preserve">Čerpanie z iných zdrojov
</t>
    </r>
    <r>
      <rPr>
        <sz val="12"/>
        <color indexed="10"/>
        <rFont val="Times New Roman"/>
        <family val="1"/>
        <charset val="238"/>
      </rPr>
      <t>(FM EHP, NFM)</t>
    </r>
  </si>
  <si>
    <t>7000241949/8180 DBÚN LF UPJŠ KE, 7000241690/8180 DotBÚ Prír.F UPJŠ KE, 7000241762/8180 DBUN PrávF UPJŠ KE, 7000241797/8180 DBUN FVS UPJS KE, 7000241770/8180 DBUN Rekt UPJS KE</t>
  </si>
  <si>
    <t>7000137519/8180 BU-ZOST DOT LF KE, 7000137527/8180 BU-ZOST DOT PrF KE, 7000137500/8180 BU-ZOST DOT PF KE, 7000137543/8180 BU-ZOST DOT FVS KE, 7000137535/8180 BU-ZOST DOT UPJS KE</t>
  </si>
  <si>
    <t>7000152655/8180 Distrib BU UPJS KE</t>
  </si>
  <si>
    <t>7000078360/8180 BÚN LF Ke
7000078491/8180 BÚ PrírodovFakult KE
700078432/8180 BÚ neúr.PrávnFakKE
7000086002/8180 PRIJ FAVSPR KE
7000074351/8180 BÚ UPJŠ Ke</t>
  </si>
  <si>
    <t>7000373335/8180 BÚ-ESTABLISH, PF KE
7000371719/8180 MonInterFluoProt, PF
7000257641/8180 DÚ ČerFP6 PrírF UPJŠ
7000240516/8180 DeSANNS-Zel.PrF UPJŠ
7000134251/8180 HYDR č.105 PrirF UPJŠ
7000318897/8180 FM EHP, NFM, ŠR č.230</t>
  </si>
  <si>
    <t>7000078424/8180 D-USD LF KE</t>
  </si>
  <si>
    <t>7000078379/8180 ŠF LF Ke,
7000078504/8180 BU ŠtipF PrirodFa KE,
7000078440/8180 BU ŠtFond PravnFa KE,
7000086037/8180 ŠTF FAVSPR KE,
7000252349/8180 Štip BUN Rekt.UPJSKE</t>
  </si>
  <si>
    <t>7000078416/8180 PČ LF Ke
7000078483/8180 BU PodnČin PravFa KE
7000078547/8180 BU PodČin PrirFa KE
7000086053/8180 PODNČIN FAVSPR KE
7000074335/8180 Bu ur.sp. UPJS Košic</t>
  </si>
  <si>
    <t>7000078395/8180 SF LF Ke
7000078520/8180 BU soc.fond PrFak.KE
7000073467/8180 BU SocF PravnicFa KE
7000086029/8180 SF FAVSPR KE
7000074343/8180 SF UPJŠ Košice</t>
  </si>
  <si>
    <t>7000252365/8180BU-F.Repr.n RektUPJŠ</t>
  </si>
  <si>
    <t>7000078387/8180 DaG LF Ke
7000078512/8180 BÚ DaGrant PrirFa KE
7000259399/8180 ESFč.48 Prir.F UPJS
7000260656/8180 ESFč.66 Prir.F UPJŠ
7000099751/8180 BU ur dar uč UPJŠ KE
7000078459/8180 BU DaGra Právnic Fak KE</t>
  </si>
  <si>
    <t xml:space="preserve">Názov verejnej vysokej školy:   UPJŠ v Košiciach, Šrobárova 2
Názov fakulty:  </t>
  </si>
  <si>
    <t xml:space="preserve">Názov verejnej vysokej školy:   UPJŠ v Košiciach, Šrobárova2
Názov fakulty: </t>
  </si>
  <si>
    <t xml:space="preserve">Názov verejnej vysokej školy:   UPJŠ v Košiciach, Šrobárova 2
Názov fakulty:   </t>
  </si>
  <si>
    <t xml:space="preserve">Názov verejnej vysokej školy: UPJŠ v Košiciach, Šrobárova 2
Názov fakulty:  </t>
  </si>
  <si>
    <t xml:space="preserve">Názov verejnej vysokej školy:  UPJŠ v Košiciach, Šrobárova 2
Názov fakulty:  </t>
  </si>
  <si>
    <t>Názov verejnej vysokej školy: UPJŠ v Košiciach, Šrobárova 2
Názov fakulty:</t>
  </si>
  <si>
    <t>Názov verejnej vysokej školy: UPJŠ v Košiciach, Šrobárova 2</t>
  </si>
  <si>
    <t>Názov verejnej vysokej školy:  UPJŠ v Košiciach, Šrobárova 2</t>
  </si>
  <si>
    <t xml:space="preserve">Názov verejnej vysokej školy: UPJŠ v Košiciach, Šrobárova 2
Názov fakulty: </t>
  </si>
  <si>
    <t xml:space="preserve">Názov verejnej vysokej školy:  UPJŠ v Košiciach, Šrobárova 2 
Názov fakulty:  </t>
  </si>
  <si>
    <t>- tvorba fondu z odpisov (účet 413 116 + 413 916 )</t>
  </si>
  <si>
    <r>
      <t xml:space="preserve"> - odpisy ostatného DN a HM (účet 551 002</t>
    </r>
    <r>
      <rPr>
        <sz val="12"/>
        <rFont val="Times New Roman"/>
        <family val="1"/>
      </rPr>
      <t>)</t>
    </r>
  </si>
  <si>
    <t xml:space="preserve"> - odpisy DN a HM nadobudnuté z kapitálových dotácií zo ŠR (účet 551 001, 551004)</t>
  </si>
  <si>
    <t xml:space="preserve">Poznámka: Údaj o čerpaní štipendijného fondu v T13_R11_SF je vo výške čerpania sociálnych štipendií z T8, motivačných štipendií z T20, štipendií z vlastných zdrojov z T19 a štipendií doktorandov z vlastných zdrojov z T7 </t>
  </si>
  <si>
    <t xml:space="preserve">                   v čiastke 3 284,00 € (T7_R4_SD vo výške 576,00 € a T7_R7_SD vo výške 2 708,00 €).</t>
  </si>
  <si>
    <r>
      <t xml:space="preserve">Zvyšok prijatej kapitálovej dotácie </t>
    </r>
    <r>
      <rPr>
        <b/>
        <sz val="12"/>
        <color indexed="10"/>
        <rFont val="Times New Roman"/>
        <family val="1"/>
        <charset val="238"/>
      </rPr>
      <t>zo štátneho rozpočtu</t>
    </r>
    <r>
      <rPr>
        <b/>
        <sz val="12"/>
        <rFont val="Times New Roman"/>
        <family val="1"/>
        <charset val="238"/>
      </rPr>
      <t xml:space="preserve"> používanej na kompenzáciu odpisov majetku z nej obstaraného</t>
    </r>
  </si>
  <si>
    <r>
      <t>Výnosy
v hlavnej činnosti
2009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</si>
  <si>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r>
      <t>Výnosy
hlavnej činnosti
2010</t>
    </r>
    <r>
      <rPr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</si>
  <si>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r>
      <t>Rozdiel 2010-2009</t>
    </r>
    <r>
      <rPr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</si>
  <si>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r>
      <t>Náklady
hlavnej činnosti
2009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</si>
  <si>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r>
      <t>Náklady
hlavnej činnosti
2010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 Eur)</t>
    </r>
  </si>
  <si>
    <t xml:space="preserve">SH_R1 je zohľadnená vratka kapitálovej dotácie v sume 2655,05 € a aj z MZ SR v sume 292,23 € </t>
  </si>
  <si>
    <r>
      <t xml:space="preserve">SI_R1 je zohľadnený prevod KD na SAV v objeme </t>
    </r>
    <r>
      <rPr>
        <sz val="10"/>
        <color indexed="10"/>
        <rFont val="Times New Roman"/>
        <family val="1"/>
        <charset val="238"/>
      </rPr>
      <t xml:space="preserve">428 791,28 </t>
    </r>
    <r>
      <rPr>
        <sz val="10"/>
        <rFont val="Times New Roman"/>
        <family val="1"/>
        <charset val="238"/>
      </rPr>
      <t xml:space="preserve">€ a vrátená dotácia na ASF EU </t>
    </r>
    <r>
      <rPr>
        <sz val="10"/>
        <color indexed="10"/>
        <rFont val="Times New Roman"/>
        <family val="1"/>
        <charset val="238"/>
      </rPr>
      <t>82,92</t>
    </r>
    <r>
      <rPr>
        <sz val="10"/>
        <rFont val="Times New Roman"/>
        <family val="1"/>
        <charset val="238"/>
      </rPr>
      <t xml:space="preserve"> € (0AE03)</t>
    </r>
  </si>
  <si>
    <t>Poznámka: Rozdiel medzi T1_R15_SB a T11_R10_SB predstavuje dotácia z Ministerstva kultúry SR vo výške 5 750,26 € a dotácia na 
                 spoluriešiteľský projekt APVV vo výške 2 500,00 Eur.</t>
  </si>
  <si>
    <t>Poznámka 1: Čerpanie v T12_R15_SA neobsahuje čerpanie (bežnej dotácie na ŠO zubné lekárstvo) cez fond reprodukcie vo výške 49 396,49 €.</t>
  </si>
  <si>
    <r>
      <t>Poznámka 2: Čerpanie v T12_R14_S</t>
    </r>
    <r>
      <rPr>
        <sz val="12"/>
        <rFont val="Times New Roman"/>
        <family val="1"/>
        <charset val="238"/>
      </rPr>
      <t>B</t>
    </r>
    <r>
      <rPr>
        <sz val="12"/>
        <rFont val="Times New Roman"/>
        <family val="1"/>
      </rPr>
      <t xml:space="preserve"> predstavuje transfér SAV vo výške 209 414,03 Eur a UMB v Banskej Bystrici vo výške 219 377,25 Eur.</t>
    </r>
  </si>
  <si>
    <t>pozn.1): rozdiel medzi údajom, vykazovaným v stĺpci T6_R18_SH a údajom v T5_R56_(SC+SD)  tvorí výšku nákladov na nevyčerpanú dovolenku v celkovej čiastke 74 650,45 €</t>
  </si>
  <si>
    <t>v R_73_SE je zohľadnený účet HK 691120 v sume 417 611,05 € a prevod BD na SAV (partnerská zmluva) v objeme 116 857,10 €</t>
  </si>
  <si>
    <r>
      <t xml:space="preserve">Vyplatené štipendiá  v januári 2011 za december 2010 </t>
    </r>
    <r>
      <rPr>
        <i/>
        <sz val="12"/>
        <rFont val="Times New Roman"/>
        <family val="1"/>
        <charset val="238"/>
      </rPr>
      <t>(v SB objem vyplatených štip.)</t>
    </r>
  </si>
  <si>
    <t>príspevok na úhradu výdavkov zahraničných študentov/lektorov  (napr. lektorom na prenájmy bytov,...)</t>
  </si>
  <si>
    <t>(4 648,03 € hotovosť v pokladni PČ)</t>
  </si>
</sst>
</file>

<file path=xl/styles.xml><?xml version="1.0" encoding="utf-8"?>
<styleSheet xmlns="http://schemas.openxmlformats.org/spreadsheetml/2006/main">
  <numFmts count="6">
    <numFmt numFmtId="41" formatCode="_-* #,##0\ _S_k_-;\-* #,##0\ _S_k_-;_-* &quot;-&quot;\ _S_k_-;_-@_-"/>
    <numFmt numFmtId="43" formatCode="_-* #,##0.00\ _S_k_-;\-* #,##0.00\ _S_k_-;_-* &quot;-&quot;??\ _S_k_-;_-@_-"/>
    <numFmt numFmtId="172" formatCode="#,##0_ ;[Red]\-#,##0\ "/>
    <numFmt numFmtId="173" formatCode="#,##0.0"/>
    <numFmt numFmtId="189" formatCode="#,##0.00_ ;[Red]\-#,##0.00\ "/>
    <numFmt numFmtId="199" formatCode="#,##0_ ;\-#,##0\ "/>
  </numFmts>
  <fonts count="94">
    <font>
      <sz val="10"/>
      <name val="Arial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</font>
    <font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b/>
      <vertAlign val="superscript"/>
      <sz val="12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color indexed="10"/>
      <name val="Arial"/>
      <family val="2"/>
      <charset val="238"/>
    </font>
    <font>
      <b/>
      <vertAlign val="superscript"/>
      <sz val="14"/>
      <name val="Times New Roman"/>
      <family val="1"/>
    </font>
    <font>
      <vertAlign val="superscript"/>
      <sz val="12"/>
      <name val="Times New Roman"/>
      <family val="1"/>
    </font>
    <font>
      <b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12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vertAlign val="superscript"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name val="Times New Roman"/>
      <family val="2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1"/>
      <name val="Times New Roman"/>
      <family val="1"/>
    </font>
    <font>
      <b/>
      <sz val="10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sz val="9"/>
      <color indexed="8"/>
      <name val="Times New Roman"/>
      <family val="2"/>
      <charset val="238"/>
    </font>
    <font>
      <b/>
      <sz val="14"/>
      <color indexed="10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Times New Roman"/>
      <family val="2"/>
      <charset val="238"/>
    </font>
    <font>
      <sz val="10"/>
      <color indexed="10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2"/>
      <charset val="238"/>
    </font>
    <font>
      <sz val="12"/>
      <color rgb="FFFF0000"/>
      <name val="Times New Roman"/>
      <family val="1"/>
      <charset val="238"/>
    </font>
    <font>
      <sz val="12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3" fillId="0" borderId="2" applyNumberFormat="0" applyFill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5" fillId="0" borderId="0" applyNumberFormat="0" applyFill="0" applyBorder="0" applyAlignment="0" applyProtection="0"/>
    <xf numFmtId="0" fontId="46" fillId="21" borderId="5" applyNumberFormat="0" applyAlignment="0" applyProtection="0"/>
    <xf numFmtId="0" fontId="47" fillId="7" borderId="1" applyNumberFormat="0" applyAlignment="0" applyProtection="0"/>
    <xf numFmtId="0" fontId="48" fillId="0" borderId="6" applyNumberFormat="0" applyFill="0" applyAlignment="0" applyProtection="0"/>
    <xf numFmtId="0" fontId="49" fillId="22" borderId="0" applyNumberFormat="0" applyBorder="0" applyAlignment="0" applyProtection="0"/>
    <xf numFmtId="0" fontId="91" fillId="0" borderId="0"/>
    <xf numFmtId="0" fontId="16" fillId="0" borderId="0"/>
    <xf numFmtId="0" fontId="63" fillId="0" borderId="0"/>
    <xf numFmtId="0" fontId="22" fillId="0" borderId="0"/>
    <xf numFmtId="0" fontId="20" fillId="0" borderId="0"/>
    <xf numFmtId="0" fontId="20" fillId="0" borderId="0"/>
    <xf numFmtId="0" fontId="50" fillId="0" borderId="0"/>
    <xf numFmtId="0" fontId="40" fillId="23" borderId="7" applyNumberFormat="0" applyFont="0" applyAlignment="0" applyProtection="0"/>
    <xf numFmtId="0" fontId="51" fillId="20" borderId="8" applyNumberFormat="0" applyAlignment="0" applyProtection="0"/>
    <xf numFmtId="4" fontId="11" fillId="22" borderId="9" applyNumberFormat="0" applyProtection="0">
      <alignment vertical="center"/>
    </xf>
    <xf numFmtId="4" fontId="12" fillId="24" borderId="9" applyNumberFormat="0" applyProtection="0">
      <alignment vertical="center"/>
    </xf>
    <xf numFmtId="4" fontId="11" fillId="24" borderId="9" applyNumberFormat="0" applyProtection="0">
      <alignment horizontal="left" vertical="center" indent="1"/>
    </xf>
    <xf numFmtId="0" fontId="11" fillId="24" borderId="9" applyNumberFormat="0" applyProtection="0">
      <alignment horizontal="left" vertical="top" indent="1"/>
    </xf>
    <xf numFmtId="4" fontId="13" fillId="3" borderId="9" applyNumberFormat="0" applyProtection="0">
      <alignment horizontal="right" vertical="center"/>
    </xf>
    <xf numFmtId="4" fontId="13" fillId="9" borderId="9" applyNumberFormat="0" applyProtection="0">
      <alignment horizontal="right" vertical="center"/>
    </xf>
    <xf numFmtId="4" fontId="13" fillId="17" borderId="9" applyNumberFormat="0" applyProtection="0">
      <alignment horizontal="right" vertical="center"/>
    </xf>
    <xf numFmtId="4" fontId="13" fillId="11" borderId="9" applyNumberFormat="0" applyProtection="0">
      <alignment horizontal="right" vertical="center"/>
    </xf>
    <xf numFmtId="4" fontId="13" fillId="15" borderId="9" applyNumberFormat="0" applyProtection="0">
      <alignment horizontal="right" vertical="center"/>
    </xf>
    <xf numFmtId="4" fontId="13" fillId="19" borderId="9" applyNumberFormat="0" applyProtection="0">
      <alignment horizontal="right" vertical="center"/>
    </xf>
    <xf numFmtId="4" fontId="13" fillId="18" borderId="9" applyNumberFormat="0" applyProtection="0">
      <alignment horizontal="right" vertical="center"/>
    </xf>
    <xf numFmtId="4" fontId="13" fillId="25" borderId="9" applyNumberFormat="0" applyProtection="0">
      <alignment horizontal="right" vertical="center"/>
    </xf>
    <xf numFmtId="4" fontId="13" fillId="10" borderId="9" applyNumberFormat="0" applyProtection="0">
      <alignment horizontal="right" vertical="center"/>
    </xf>
    <xf numFmtId="4" fontId="11" fillId="26" borderId="10" applyNumberFormat="0" applyProtection="0">
      <alignment horizontal="left" vertical="center" indent="1"/>
    </xf>
    <xf numFmtId="4" fontId="13" fillId="27" borderId="0" applyNumberFormat="0" applyProtection="0">
      <alignment horizontal="left" vertical="center" indent="1"/>
    </xf>
    <xf numFmtId="4" fontId="14" fillId="28" borderId="0" applyNumberFormat="0" applyProtection="0">
      <alignment horizontal="left" vertical="center" indent="1"/>
    </xf>
    <xf numFmtId="4" fontId="13" fillId="29" borderId="9" applyNumberFormat="0" applyProtection="0">
      <alignment horizontal="right" vertical="center"/>
    </xf>
    <xf numFmtId="4" fontId="15" fillId="27" borderId="0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0" fontId="16" fillId="28" borderId="9" applyNumberFormat="0" applyProtection="0">
      <alignment horizontal="left" vertical="center" indent="1"/>
    </xf>
    <xf numFmtId="0" fontId="16" fillId="28" borderId="9" applyNumberFormat="0" applyProtection="0">
      <alignment horizontal="left" vertical="top" indent="1"/>
    </xf>
    <xf numFmtId="0" fontId="16" fillId="30" borderId="9" applyNumberFormat="0" applyProtection="0">
      <alignment horizontal="left" vertical="center" indent="1"/>
    </xf>
    <xf numFmtId="0" fontId="16" fillId="30" borderId="9" applyNumberFormat="0" applyProtection="0">
      <alignment horizontal="left" vertical="top" indent="1"/>
    </xf>
    <xf numFmtId="0" fontId="16" fillId="31" borderId="9" applyNumberFormat="0" applyProtection="0">
      <alignment horizontal="left" vertical="center" indent="1"/>
    </xf>
    <xf numFmtId="0" fontId="16" fillId="31" borderId="9" applyNumberFormat="0" applyProtection="0">
      <alignment horizontal="left" vertical="top" indent="1"/>
    </xf>
    <xf numFmtId="0" fontId="16" fillId="32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top" indent="1"/>
    </xf>
    <xf numFmtId="4" fontId="11" fillId="30" borderId="0" applyNumberFormat="0" applyProtection="0">
      <alignment horizontal="left" vertical="center" indent="1"/>
    </xf>
    <xf numFmtId="4" fontId="13" fillId="33" borderId="9" applyNumberFormat="0" applyProtection="0">
      <alignment vertical="center"/>
    </xf>
    <xf numFmtId="4" fontId="17" fillId="33" borderId="9" applyNumberFormat="0" applyProtection="0">
      <alignment vertical="center"/>
    </xf>
    <xf numFmtId="4" fontId="13" fillId="33" borderId="9" applyNumberFormat="0" applyProtection="0">
      <alignment horizontal="left" vertical="center" indent="1"/>
    </xf>
    <xf numFmtId="0" fontId="13" fillId="33" borderId="9" applyNumberFormat="0" applyProtection="0">
      <alignment horizontal="left" vertical="top" indent="1"/>
    </xf>
    <xf numFmtId="4" fontId="13" fillId="27" borderId="9" applyNumberFormat="0" applyProtection="0">
      <alignment horizontal="right" vertical="center"/>
    </xf>
    <xf numFmtId="4" fontId="17" fillId="27" borderId="9" applyNumberFormat="0" applyProtection="0">
      <alignment horizontal="right" vertical="center"/>
    </xf>
    <xf numFmtId="4" fontId="13" fillId="29" borderId="9" applyNumberFormat="0" applyProtection="0">
      <alignment horizontal="left" vertical="center" indent="1"/>
    </xf>
    <xf numFmtId="0" fontId="13" fillId="30" borderId="9" applyNumberFormat="0" applyProtection="0">
      <alignment horizontal="left" vertical="top" indent="1"/>
    </xf>
    <xf numFmtId="4" fontId="18" fillId="34" borderId="0" applyNumberFormat="0" applyProtection="0">
      <alignment horizontal="left" vertical="center" indent="1"/>
    </xf>
    <xf numFmtId="4" fontId="19" fillId="27" borderId="9" applyNumberFormat="0" applyProtection="0">
      <alignment horizontal="right" vertical="center"/>
    </xf>
    <xf numFmtId="0" fontId="52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54" fillId="0" borderId="0" applyNumberFormat="0" applyFill="0" applyBorder="0" applyAlignment="0" applyProtection="0"/>
  </cellStyleXfs>
  <cellXfs count="703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1" fillId="0" borderId="12" xfId="0" applyNumberFormat="1" applyFont="1" applyBorder="1" applyAlignment="1">
      <alignment horizontal="left" vertical="center" wrapText="1" indent="1"/>
    </xf>
    <xf numFmtId="49" fontId="2" fillId="0" borderId="12" xfId="0" applyNumberFormat="1" applyFont="1" applyFill="1" applyBorder="1" applyAlignment="1">
      <alignment horizontal="left" vertical="center" wrapText="1" indent="1"/>
    </xf>
    <xf numFmtId="49" fontId="1" fillId="0" borderId="16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3" fontId="1" fillId="24" borderId="12" xfId="0" applyNumberFormat="1" applyFont="1" applyFill="1" applyBorder="1" applyAlignment="1">
      <alignment horizontal="right" vertical="center" wrapText="1" indent="1"/>
    </xf>
    <xf numFmtId="3" fontId="1" fillId="24" borderId="13" xfId="0" applyNumberFormat="1" applyFont="1" applyFill="1" applyBorder="1" applyAlignment="1">
      <alignment horizontal="right" vertical="center" wrapText="1" indent="1"/>
    </xf>
    <xf numFmtId="49" fontId="2" fillId="0" borderId="12" xfId="0" applyNumberFormat="1" applyFont="1" applyFill="1" applyBorder="1" applyAlignment="1">
      <alignment horizontal="left" vertical="top" wrapText="1" indent="1"/>
    </xf>
    <xf numFmtId="49" fontId="1" fillId="0" borderId="16" xfId="0" applyNumberFormat="1" applyFont="1" applyFill="1" applyBorder="1" applyAlignment="1">
      <alignment horizontal="left" vertical="top" wrapText="1" indent="1"/>
    </xf>
    <xf numFmtId="49" fontId="1" fillId="0" borderId="12" xfId="0" applyNumberFormat="1" applyFont="1" applyFill="1" applyBorder="1" applyAlignment="1">
      <alignment horizontal="left" vertical="center" wrapText="1" indent="1"/>
    </xf>
    <xf numFmtId="49" fontId="1" fillId="0" borderId="16" xfId="0" applyNumberFormat="1" applyFont="1" applyFill="1" applyBorder="1" applyAlignment="1">
      <alignment horizontal="left" vertical="center" wrapText="1" indent="1"/>
    </xf>
    <xf numFmtId="49" fontId="1" fillId="0" borderId="12" xfId="0" applyNumberFormat="1" applyFont="1" applyFill="1" applyBorder="1" applyAlignment="1">
      <alignment horizontal="left" vertical="top" wrapText="1" indent="1"/>
    </xf>
    <xf numFmtId="3" fontId="6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 indent="1"/>
    </xf>
    <xf numFmtId="3" fontId="5" fillId="0" borderId="13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 indent="1"/>
    </xf>
    <xf numFmtId="0" fontId="6" fillId="0" borderId="0" xfId="0" applyFont="1"/>
    <xf numFmtId="1" fontId="2" fillId="0" borderId="12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left" vertical="center" wrapText="1" indent="1"/>
    </xf>
    <xf numFmtId="3" fontId="1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left" vertical="top" wrapText="1" indent="1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 indent="1"/>
    </xf>
    <xf numFmtId="49" fontId="1" fillId="0" borderId="0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horizontal="center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vertical="center" wrapText="1"/>
    </xf>
    <xf numFmtId="49" fontId="7" fillId="0" borderId="0" xfId="0" applyNumberFormat="1" applyFont="1" applyAlignment="1">
      <alignment horizontal="left" vertical="center" wrapText="1" indent="1"/>
    </xf>
    <xf numFmtId="49" fontId="6" fillId="0" borderId="12" xfId="0" applyNumberFormat="1" applyFont="1" applyFill="1" applyBorder="1" applyAlignment="1">
      <alignment horizontal="left" vertical="center" wrapText="1" inden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wrapText="1" indent="1"/>
    </xf>
    <xf numFmtId="49" fontId="2" fillId="0" borderId="17" xfId="0" applyNumberFormat="1" applyFont="1" applyFill="1" applyBorder="1" applyAlignment="1">
      <alignment horizontal="left" vertical="top" wrapText="1" indent="1"/>
    </xf>
    <xf numFmtId="3" fontId="2" fillId="0" borderId="13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wrapText="1" indent="1"/>
    </xf>
    <xf numFmtId="49" fontId="1" fillId="0" borderId="16" xfId="0" applyNumberFormat="1" applyFont="1" applyFill="1" applyBorder="1" applyAlignment="1">
      <alignment horizontal="left" wrapText="1" indent="1"/>
    </xf>
    <xf numFmtId="0" fontId="1" fillId="0" borderId="14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/>
    <xf numFmtId="49" fontId="1" fillId="0" borderId="12" xfId="0" applyNumberFormat="1" applyFont="1" applyFill="1" applyBorder="1" applyAlignment="1">
      <alignment horizontal="left" vertical="top" indent="1"/>
    </xf>
    <xf numFmtId="0" fontId="8" fillId="0" borderId="12" xfId="0" applyFont="1" applyFill="1" applyBorder="1" applyAlignment="1">
      <alignment horizontal="left" vertical="center" wrapText="1" indent="1"/>
    </xf>
    <xf numFmtId="3" fontId="23" fillId="0" borderId="12" xfId="0" applyNumberFormat="1" applyFont="1" applyBorder="1" applyAlignment="1">
      <alignment horizontal="center" vertical="center" wrapText="1"/>
    </xf>
    <xf numFmtId="3" fontId="5" fillId="0" borderId="18" xfId="41" applyNumberFormat="1" applyFont="1" applyFill="1" applyBorder="1" applyAlignment="1">
      <alignment horizontal="center" vertical="center" wrapText="1"/>
    </xf>
    <xf numFmtId="0" fontId="5" fillId="0" borderId="18" xfId="41" applyNumberFormat="1" applyFont="1" applyFill="1" applyBorder="1" applyAlignment="1">
      <alignment horizontal="center" vertical="center" wrapText="1"/>
    </xf>
    <xf numFmtId="189" fontId="62" fillId="35" borderId="12" xfId="75" quotePrefix="1" applyNumberFormat="1" applyFont="1" applyFill="1" applyBorder="1" applyAlignment="1" applyProtection="1">
      <alignment horizontal="left" vertical="center" wrapText="1" indent="1"/>
      <protection locked="0"/>
    </xf>
    <xf numFmtId="189" fontId="60" fillId="35" borderId="12" xfId="83" quotePrefix="1" applyNumberFormat="1" applyFont="1" applyFill="1" applyBorder="1" applyAlignment="1" applyProtection="1">
      <alignment horizontal="left" vertical="center" wrapText="1" indent="1"/>
      <protection locked="0"/>
    </xf>
    <xf numFmtId="189" fontId="60" fillId="35" borderId="12" xfId="82" quotePrefix="1" applyNumberFormat="1" applyFont="1" applyFill="1" applyBorder="1" applyProtection="1">
      <alignment horizontal="left" vertical="center" indent="1"/>
      <protection locked="0"/>
    </xf>
    <xf numFmtId="0" fontId="6" fillId="0" borderId="12" xfId="0" applyFont="1" applyBorder="1"/>
    <xf numFmtId="189" fontId="62" fillId="35" borderId="12" xfId="50" quotePrefix="1" applyNumberFormat="1" applyFont="1" applyFill="1" applyBorder="1">
      <alignment horizontal="left" vertical="center" indent="1"/>
    </xf>
    <xf numFmtId="189" fontId="62" fillId="35" borderId="12" xfId="50" applyNumberFormat="1" applyFont="1" applyFill="1" applyBorder="1">
      <alignment horizontal="left" vertical="center" indent="1"/>
    </xf>
    <xf numFmtId="189" fontId="60" fillId="35" borderId="12" xfId="82" applyNumberFormat="1" applyFont="1" applyFill="1" applyBorder="1" applyAlignment="1" applyProtection="1">
      <alignment vertical="center"/>
      <protection locked="0"/>
    </xf>
    <xf numFmtId="189" fontId="62" fillId="35" borderId="12" xfId="82" quotePrefix="1" applyNumberFormat="1" applyFont="1" applyFill="1" applyBorder="1" applyProtection="1">
      <alignment horizontal="left" vertical="center" indent="1"/>
      <protection locked="0"/>
    </xf>
    <xf numFmtId="189" fontId="60" fillId="35" borderId="12" xfId="83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12" xfId="40" applyNumberFormat="1" applyFont="1" applyFill="1" applyBorder="1" applyAlignment="1">
      <alignment horizontal="center"/>
    </xf>
    <xf numFmtId="41" fontId="5" fillId="0" borderId="12" xfId="27" applyNumberFormat="1" applyFont="1" applyFill="1" applyBorder="1" applyProtection="1">
      <protection locked="0"/>
    </xf>
    <xf numFmtId="49" fontId="6" fillId="0" borderId="12" xfId="40" applyNumberFormat="1" applyFont="1" applyFill="1" applyBorder="1" applyAlignment="1">
      <alignment horizontal="center"/>
    </xf>
    <xf numFmtId="0" fontId="5" fillId="0" borderId="14" xfId="40" applyFont="1" applyFill="1" applyBorder="1" applyAlignment="1">
      <alignment vertical="center" wrapText="1"/>
    </xf>
    <xf numFmtId="0" fontId="5" fillId="0" borderId="12" xfId="40" applyFont="1" applyFill="1" applyBorder="1" applyAlignment="1">
      <alignment vertical="center" wrapText="1"/>
    </xf>
    <xf numFmtId="0" fontId="5" fillId="0" borderId="19" xfId="41" applyNumberFormat="1" applyFont="1" applyFill="1" applyBorder="1" applyAlignment="1">
      <alignment horizontal="center" vertical="center" wrapText="1"/>
    </xf>
    <xf numFmtId="0" fontId="6" fillId="0" borderId="14" xfId="40" applyFont="1" applyFill="1" applyBorder="1" applyAlignment="1">
      <alignment horizontal="right" indent="1"/>
    </xf>
    <xf numFmtId="0" fontId="6" fillId="0" borderId="20" xfId="40" applyFont="1" applyFill="1" applyBorder="1" applyAlignment="1">
      <alignment horizontal="right" indent="1"/>
    </xf>
    <xf numFmtId="0" fontId="22" fillId="0" borderId="14" xfId="40" applyFont="1" applyFill="1" applyBorder="1" applyAlignment="1">
      <alignment horizontal="left" indent="1"/>
    </xf>
    <xf numFmtId="3" fontId="22" fillId="0" borderId="21" xfId="27" applyNumberFormat="1" applyFont="1" applyFill="1" applyBorder="1" applyAlignment="1">
      <alignment horizontal="center"/>
    </xf>
    <xf numFmtId="3" fontId="22" fillId="0" borderId="22" xfId="27" applyNumberFormat="1" applyFont="1" applyFill="1" applyBorder="1" applyAlignment="1">
      <alignment horizontal="center"/>
    </xf>
    <xf numFmtId="3" fontId="80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76" fillId="0" borderId="13" xfId="0" applyFont="1" applyFill="1" applyBorder="1" applyAlignment="1">
      <alignment horizontal="center" vertical="center" wrapText="1"/>
    </xf>
    <xf numFmtId="3" fontId="83" fillId="36" borderId="23" xfId="0" applyNumberFormat="1" applyFont="1" applyFill="1" applyBorder="1" applyAlignment="1">
      <alignment vertical="center" wrapText="1"/>
    </xf>
    <xf numFmtId="49" fontId="6" fillId="0" borderId="24" xfId="0" applyNumberFormat="1" applyFont="1" applyFill="1" applyBorder="1" applyAlignment="1">
      <alignment horizontal="left" vertical="center" wrapText="1" indent="1"/>
    </xf>
    <xf numFmtId="49" fontId="5" fillId="0" borderId="25" xfId="4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 wrapText="1" indent="1"/>
    </xf>
    <xf numFmtId="4" fontId="2" fillId="0" borderId="13" xfId="0" applyNumberFormat="1" applyFont="1" applyFill="1" applyBorder="1" applyAlignment="1">
      <alignment horizontal="right" vertical="center" wrapText="1" indent="1"/>
    </xf>
    <xf numFmtId="4" fontId="1" fillId="0" borderId="13" xfId="0" applyNumberFormat="1" applyFont="1" applyFill="1" applyBorder="1" applyAlignment="1">
      <alignment horizontal="right" vertical="center" wrapText="1" indent="1"/>
    </xf>
    <xf numFmtId="4" fontId="1" fillId="0" borderId="12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3" fontId="6" fillId="0" borderId="26" xfId="42" applyNumberFormat="1" applyFont="1" applyFill="1" applyBorder="1" applyAlignment="1">
      <alignment horizontal="right" vertical="center" wrapText="1" indent="1"/>
    </xf>
    <xf numFmtId="3" fontId="6" fillId="0" borderId="27" xfId="42" applyNumberFormat="1" applyFont="1" applyFill="1" applyBorder="1" applyAlignment="1">
      <alignment horizontal="right" vertical="center" wrapText="1" indent="1"/>
    </xf>
    <xf numFmtId="3" fontId="6" fillId="0" borderId="28" xfId="42" applyNumberFormat="1" applyFont="1" applyFill="1" applyBorder="1" applyAlignment="1">
      <alignment horizontal="right" vertical="center" wrapText="1" indent="1"/>
    </xf>
    <xf numFmtId="3" fontId="6" fillId="0" borderId="29" xfId="42" applyNumberFormat="1" applyFont="1" applyFill="1" applyBorder="1" applyAlignment="1">
      <alignment horizontal="right" vertical="center" wrapText="1" indent="1"/>
    </xf>
    <xf numFmtId="3" fontId="6" fillId="0" borderId="12" xfId="42" applyNumberFormat="1" applyFont="1" applyFill="1" applyBorder="1" applyAlignment="1">
      <alignment horizontal="right" vertical="center" wrapText="1" indent="1"/>
    </xf>
    <xf numFmtId="3" fontId="6" fillId="0" borderId="17" xfId="42" applyNumberFormat="1" applyFont="1" applyFill="1" applyBorder="1" applyAlignment="1">
      <alignment horizontal="right" vertical="center" wrapText="1" indent="1"/>
    </xf>
    <xf numFmtId="3" fontId="5" fillId="0" borderId="12" xfId="27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 vertical="center" indent="1"/>
    </xf>
    <xf numFmtId="3" fontId="1" fillId="0" borderId="13" xfId="0" applyNumberFormat="1" applyFont="1" applyFill="1" applyBorder="1" applyAlignment="1">
      <alignment horizontal="right" vertical="center" indent="1"/>
    </xf>
    <xf numFmtId="3" fontId="2" fillId="0" borderId="17" xfId="0" applyNumberFormat="1" applyFont="1" applyFill="1" applyBorder="1" applyAlignment="1">
      <alignment vertical="center" wrapText="1"/>
    </xf>
    <xf numFmtId="173" fontId="2" fillId="0" borderId="12" xfId="0" applyNumberFormat="1" applyFont="1" applyFill="1" applyBorder="1" applyAlignment="1">
      <alignment horizontal="right" vertical="center" wrapText="1" indent="1"/>
    </xf>
    <xf numFmtId="173" fontId="2" fillId="0" borderId="13" xfId="0" applyNumberFormat="1" applyFont="1" applyFill="1" applyBorder="1" applyAlignment="1">
      <alignment horizontal="right" vertical="center" wrapText="1" indent="1"/>
    </xf>
    <xf numFmtId="3" fontId="2" fillId="0" borderId="12" xfId="0" applyNumberFormat="1" applyFont="1" applyFill="1" applyBorder="1" applyAlignment="1">
      <alignment horizontal="right" vertical="center" wrapText="1" indent="1"/>
    </xf>
    <xf numFmtId="3" fontId="1" fillId="0" borderId="13" xfId="0" applyNumberFormat="1" applyFont="1" applyFill="1" applyBorder="1" applyAlignment="1">
      <alignment horizontal="right" vertical="center" wrapText="1" indent="1"/>
    </xf>
    <xf numFmtId="3" fontId="2" fillId="0" borderId="17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4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" fontId="6" fillId="0" borderId="0" xfId="44" applyNumberFormat="1" applyFont="1" applyFill="1" applyBorder="1" applyAlignment="1">
      <alignment vertical="center" wrapText="1"/>
    </xf>
    <xf numFmtId="3" fontId="92" fillId="0" borderId="0" xfId="44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189" fontId="93" fillId="0" borderId="0" xfId="0" applyNumberFormat="1" applyFont="1" applyFill="1" applyBorder="1"/>
    <xf numFmtId="0" fontId="93" fillId="0" borderId="0" xfId="0" applyFont="1" applyFill="1" applyBorder="1"/>
    <xf numFmtId="3" fontId="6" fillId="0" borderId="13" xfId="40" applyNumberFormat="1" applyFont="1" applyFill="1" applyBorder="1" applyAlignment="1">
      <alignment horizontal="center"/>
    </xf>
    <xf numFmtId="3" fontId="5" fillId="0" borderId="13" xfId="40" applyNumberFormat="1" applyFont="1" applyFill="1" applyBorder="1" applyAlignment="1">
      <alignment horizontal="center"/>
    </xf>
    <xf numFmtId="3" fontId="6" fillId="0" borderId="31" xfId="4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right" vertical="center" wrapText="1" indent="1"/>
    </xf>
    <xf numFmtId="3" fontId="5" fillId="0" borderId="13" xfId="27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 vertical="center" wrapText="1" indent="1"/>
    </xf>
    <xf numFmtId="3" fontId="1" fillId="0" borderId="16" xfId="0" applyNumberFormat="1" applyFont="1" applyFill="1" applyBorder="1" applyAlignment="1" applyProtection="1">
      <alignment horizontal="right" vertical="center" wrapText="1" indent="1"/>
    </xf>
    <xf numFmtId="3" fontId="1" fillId="0" borderId="41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 indent="1"/>
    </xf>
    <xf numFmtId="0" fontId="1" fillId="0" borderId="0" xfId="0" applyFont="1" applyFill="1"/>
    <xf numFmtId="0" fontId="1" fillId="0" borderId="12" xfId="0" applyFont="1" applyFill="1" applyBorder="1" applyAlignment="1">
      <alignment horizontal="left" vertical="top" wrapText="1" indent="1"/>
    </xf>
    <xf numFmtId="3" fontId="5" fillId="0" borderId="12" xfId="0" applyNumberFormat="1" applyFont="1" applyFill="1" applyBorder="1" applyAlignment="1">
      <alignment horizontal="right" vertical="center" wrapText="1" indent="1"/>
    </xf>
    <xf numFmtId="0" fontId="2" fillId="0" borderId="12" xfId="0" applyFont="1" applyFill="1" applyBorder="1" applyAlignment="1">
      <alignment horizontal="left" vertical="top" wrapText="1" indent="1"/>
    </xf>
    <xf numFmtId="3" fontId="5" fillId="0" borderId="13" xfId="0" applyNumberFormat="1" applyFont="1" applyFill="1" applyBorder="1" applyAlignment="1">
      <alignment horizontal="right" indent="1"/>
    </xf>
    <xf numFmtId="0" fontId="6" fillId="0" borderId="12" xfId="0" applyFont="1" applyFill="1" applyBorder="1" applyAlignment="1">
      <alignment horizontal="left" vertical="top" wrapText="1" indent="1"/>
    </xf>
    <xf numFmtId="0" fontId="2" fillId="0" borderId="0" xfId="0" applyFont="1" applyFill="1" applyAlignment="1">
      <alignment horizontal="left" indent="1"/>
    </xf>
    <xf numFmtId="3" fontId="6" fillId="0" borderId="12" xfId="0" applyNumberFormat="1" applyFont="1" applyFill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top" wrapText="1" indent="1"/>
    </xf>
    <xf numFmtId="3" fontId="6" fillId="0" borderId="17" xfId="0" applyNumberFormat="1" applyFont="1" applyFill="1" applyBorder="1" applyAlignment="1">
      <alignment horizontal="right" vertical="center" wrapText="1" indent="1"/>
    </xf>
    <xf numFmtId="3" fontId="5" fillId="0" borderId="42" xfId="0" applyNumberFormat="1" applyFont="1" applyFill="1" applyBorder="1" applyAlignment="1">
      <alignment horizontal="right" indent="1"/>
    </xf>
    <xf numFmtId="3" fontId="1" fillId="0" borderId="16" xfId="0" applyNumberFormat="1" applyFont="1" applyFill="1" applyBorder="1" applyAlignment="1">
      <alignment horizontal="right" vertical="center" wrapText="1" indent="1"/>
    </xf>
    <xf numFmtId="3" fontId="5" fillId="0" borderId="4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 wrapText="1" indent="1"/>
    </xf>
    <xf numFmtId="3" fontId="5" fillId="0" borderId="12" xfId="0" applyNumberFormat="1" applyFont="1" applyFill="1" applyBorder="1" applyAlignment="1">
      <alignment horizontal="right" vertical="center" indent="1"/>
    </xf>
    <xf numFmtId="3" fontId="5" fillId="0" borderId="13" xfId="0" applyNumberFormat="1" applyFont="1" applyFill="1" applyBorder="1" applyAlignment="1">
      <alignment horizontal="right" vertical="center" indent="1"/>
    </xf>
    <xf numFmtId="3" fontId="2" fillId="0" borderId="12" xfId="0" applyNumberFormat="1" applyFont="1" applyFill="1" applyBorder="1" applyAlignment="1">
      <alignment vertical="center" wrapText="1"/>
    </xf>
    <xf numFmtId="3" fontId="2" fillId="0" borderId="12" xfId="0" applyNumberFormat="1" applyFont="1" applyFill="1" applyBorder="1" applyAlignment="1">
      <alignment vertical="center"/>
    </xf>
    <xf numFmtId="0" fontId="79" fillId="0" borderId="0" xfId="0" applyFont="1" applyFill="1" applyAlignment="1">
      <alignment horizontal="left" vertical="center"/>
    </xf>
    <xf numFmtId="3" fontId="5" fillId="0" borderId="12" xfId="0" applyNumberFormat="1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horizontal="right" vertical="center" indent="1"/>
    </xf>
    <xf numFmtId="3" fontId="5" fillId="0" borderId="41" xfId="0" applyNumberFormat="1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justify"/>
    </xf>
    <xf numFmtId="3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wrapText="1" indent="1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13" xfId="0" applyNumberFormat="1" applyFont="1" applyFill="1" applyBorder="1" applyAlignment="1">
      <alignment horizontal="right" vertical="center" wrapText="1" indent="1"/>
    </xf>
    <xf numFmtId="3" fontId="6" fillId="0" borderId="13" xfId="0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/>
    <xf numFmtId="4" fontId="5" fillId="0" borderId="12" xfId="0" applyNumberFormat="1" applyFont="1" applyFill="1" applyBorder="1" applyAlignment="1">
      <alignment horizontal="right" vertical="center" wrapText="1" indent="1"/>
    </xf>
    <xf numFmtId="4" fontId="5" fillId="0" borderId="13" xfId="0" applyNumberFormat="1" applyFont="1" applyFill="1" applyBorder="1" applyAlignment="1">
      <alignment horizontal="right" vertical="center" wrapText="1" indent="1"/>
    </xf>
    <xf numFmtId="4" fontId="2" fillId="0" borderId="12" xfId="43" applyNumberFormat="1" applyFont="1" applyFill="1" applyBorder="1" applyAlignment="1">
      <alignment horizontal="right" vertical="center" wrapText="1" indent="1"/>
    </xf>
    <xf numFmtId="4" fontId="6" fillId="0" borderId="12" xfId="0" applyNumberFormat="1" applyFont="1" applyFill="1" applyBorder="1" applyAlignment="1">
      <alignment horizontal="right" vertical="center" wrapText="1" indent="1"/>
    </xf>
    <xf numFmtId="4" fontId="6" fillId="0" borderId="13" xfId="0" applyNumberFormat="1" applyFont="1" applyFill="1" applyBorder="1" applyAlignment="1">
      <alignment horizontal="right" vertical="center" wrapText="1" indent="1"/>
    </xf>
    <xf numFmtId="3" fontId="2" fillId="0" borderId="12" xfId="0" applyNumberFormat="1" applyFont="1" applyFill="1" applyBorder="1" applyAlignment="1">
      <alignment horizontal="right"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3" fontId="2" fillId="0" borderId="12" xfId="43" applyNumberFormat="1" applyFont="1" applyFill="1" applyBorder="1" applyAlignment="1">
      <alignment horizontal="right" vertical="center" wrapText="1" indent="1"/>
    </xf>
    <xf numFmtId="3" fontId="5" fillId="0" borderId="41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wrapText="1"/>
    </xf>
    <xf numFmtId="0" fontId="2" fillId="0" borderId="49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wrapText="1"/>
    </xf>
    <xf numFmtId="3" fontId="2" fillId="0" borderId="0" xfId="0" applyNumberFormat="1" applyFont="1" applyFill="1"/>
    <xf numFmtId="4" fontId="2" fillId="0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4" fontId="2" fillId="0" borderId="12" xfId="27" applyNumberFormat="1" applyFont="1" applyFill="1" applyBorder="1" applyAlignment="1">
      <alignment horizontal="right" vertical="center" wrapText="1" indent="1"/>
    </xf>
    <xf numFmtId="3" fontId="2" fillId="0" borderId="12" xfId="27" applyNumberFormat="1" applyFont="1" applyFill="1" applyBorder="1" applyAlignment="1">
      <alignment horizontal="right" vertical="center" wrapText="1" indent="1"/>
    </xf>
    <xf numFmtId="3" fontId="2" fillId="0" borderId="12" xfId="28" applyNumberFormat="1" applyFont="1" applyFill="1" applyBorder="1" applyAlignment="1">
      <alignment horizontal="right" vertical="center" wrapText="1" indent="1"/>
    </xf>
    <xf numFmtId="3" fontId="93" fillId="0" borderId="0" xfId="0" applyNumberFormat="1" applyFont="1" applyFill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right" vertical="center" wrapText="1" inden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 indent="1"/>
    </xf>
    <xf numFmtId="49" fontId="2" fillId="0" borderId="0" xfId="0" applyNumberFormat="1" applyFont="1" applyFill="1" applyAlignment="1">
      <alignment vertical="center" wrapText="1"/>
    </xf>
    <xf numFmtId="0" fontId="91" fillId="0" borderId="0" xfId="39" applyFill="1"/>
    <xf numFmtId="0" fontId="78" fillId="0" borderId="0" xfId="39" applyFont="1" applyFill="1" applyAlignment="1">
      <alignment horizontal="center"/>
    </xf>
    <xf numFmtId="0" fontId="78" fillId="0" borderId="12" xfId="39" applyFont="1" applyFill="1" applyBorder="1" applyAlignment="1">
      <alignment horizontal="center" vertical="center"/>
    </xf>
    <xf numFmtId="0" fontId="78" fillId="0" borderId="12" xfId="39" applyFont="1" applyFill="1" applyBorder="1" applyAlignment="1">
      <alignment horizontal="center" vertical="center" wrapText="1"/>
    </xf>
    <xf numFmtId="0" fontId="78" fillId="0" borderId="20" xfId="39" applyFont="1" applyFill="1" applyBorder="1" applyAlignment="1">
      <alignment vertical="center"/>
    </xf>
    <xf numFmtId="0" fontId="78" fillId="0" borderId="12" xfId="39" applyFont="1" applyFill="1" applyBorder="1" applyAlignment="1">
      <alignment vertical="center"/>
    </xf>
    <xf numFmtId="0" fontId="78" fillId="0" borderId="13" xfId="39" applyFont="1" applyFill="1" applyBorder="1" applyAlignment="1">
      <alignment horizontal="center" vertical="center"/>
    </xf>
    <xf numFmtId="0" fontId="81" fillId="0" borderId="51" xfId="39" applyFont="1" applyFill="1" applyBorder="1" applyAlignment="1">
      <alignment horizontal="center" vertical="center"/>
    </xf>
    <xf numFmtId="0" fontId="78" fillId="0" borderId="24" xfId="39" applyFont="1" applyFill="1" applyBorder="1" applyAlignment="1">
      <alignment horizontal="left" vertical="center" indent="1"/>
    </xf>
    <xf numFmtId="3" fontId="91" fillId="0" borderId="0" xfId="39" applyNumberFormat="1" applyFill="1"/>
    <xf numFmtId="0" fontId="81" fillId="0" borderId="52" xfId="39" applyFont="1" applyFill="1" applyBorder="1" applyAlignment="1">
      <alignment horizontal="center" vertical="center"/>
    </xf>
    <xf numFmtId="0" fontId="81" fillId="0" borderId="24" xfId="39" applyFont="1" applyFill="1" applyBorder="1" applyAlignment="1">
      <alignment horizontal="left" vertical="center" wrapText="1" indent="1"/>
    </xf>
    <xf numFmtId="0" fontId="84" fillId="0" borderId="49" xfId="39" applyFont="1" applyFill="1" applyBorder="1" applyAlignment="1">
      <alignment wrapText="1"/>
    </xf>
    <xf numFmtId="0" fontId="87" fillId="0" borderId="49" xfId="39" applyFont="1" applyFill="1" applyBorder="1" applyAlignment="1">
      <alignment wrapText="1"/>
    </xf>
    <xf numFmtId="0" fontId="56" fillId="0" borderId="0" xfId="39" applyFont="1" applyFill="1"/>
    <xf numFmtId="0" fontId="81" fillId="0" borderId="24" xfId="39" applyFont="1" applyFill="1" applyBorder="1" applyAlignment="1">
      <alignment horizontal="left" vertical="center" indent="1"/>
    </xf>
    <xf numFmtId="0" fontId="81" fillId="0" borderId="53" xfId="39" applyFont="1" applyFill="1" applyBorder="1" applyAlignment="1">
      <alignment horizontal="center" vertical="center"/>
    </xf>
    <xf numFmtId="0" fontId="81" fillId="0" borderId="54" xfId="39" applyFont="1" applyFill="1" applyBorder="1" applyAlignment="1">
      <alignment horizontal="left" vertical="center" indent="1"/>
    </xf>
    <xf numFmtId="4" fontId="2" fillId="0" borderId="16" xfId="0" applyNumberFormat="1" applyFont="1" applyFill="1" applyBorder="1" applyAlignment="1">
      <alignment horizontal="right" vertical="center" wrapText="1" indent="1"/>
    </xf>
    <xf numFmtId="4" fontId="2" fillId="0" borderId="41" xfId="0" applyNumberFormat="1" applyFont="1" applyFill="1" applyBorder="1" applyAlignment="1">
      <alignment horizontal="right" vertical="center" wrapText="1" indent="1"/>
    </xf>
    <xf numFmtId="0" fontId="72" fillId="0" borderId="0" xfId="39" applyFont="1" applyFill="1"/>
    <xf numFmtId="0" fontId="10" fillId="0" borderId="12" xfId="39" applyFont="1" applyFill="1" applyBorder="1"/>
    <xf numFmtId="4" fontId="91" fillId="0" borderId="12" xfId="39" applyNumberFormat="1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horizontal="right" vertical="center" wrapText="1" inden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right" vertical="center" wrapText="1" indent="1"/>
    </xf>
    <xf numFmtId="4" fontId="5" fillId="0" borderId="56" xfId="0" applyNumberFormat="1" applyFont="1" applyFill="1" applyBorder="1" applyAlignment="1">
      <alignment horizontal="right" vertical="center" wrapText="1" indent="1"/>
    </xf>
    <xf numFmtId="4" fontId="6" fillId="0" borderId="16" xfId="0" applyNumberFormat="1" applyFont="1" applyFill="1" applyBorder="1" applyAlignment="1">
      <alignment horizontal="center" vertical="center" wrapText="1"/>
    </xf>
    <xf numFmtId="4" fontId="6" fillId="0" borderId="4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0" fillId="0" borderId="0" xfId="0" applyFont="1" applyFill="1" applyBorder="1"/>
    <xf numFmtId="49" fontId="1" fillId="0" borderId="12" xfId="0" applyNumberFormat="1" applyFont="1" applyFill="1" applyBorder="1" applyAlignment="1">
      <alignment horizontal="left" vertical="center" wrapText="1"/>
    </xf>
    <xf numFmtId="4" fontId="2" fillId="0" borderId="4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" fillId="0" borderId="14" xfId="0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vertical="top" wrapText="1"/>
    </xf>
    <xf numFmtId="173" fontId="5" fillId="0" borderId="12" xfId="0" applyNumberFormat="1" applyFont="1" applyFill="1" applyBorder="1" applyAlignment="1">
      <alignment horizontal="right" vertical="center" wrapText="1" indent="1"/>
    </xf>
    <xf numFmtId="173" fontId="5" fillId="0" borderId="13" xfId="0" applyNumberFormat="1" applyFont="1" applyFill="1" applyBorder="1" applyAlignment="1">
      <alignment horizontal="right" vertical="center" wrapText="1" indent="1"/>
    </xf>
    <xf numFmtId="173" fontId="1" fillId="0" borderId="13" xfId="0" applyNumberFormat="1" applyFont="1" applyFill="1" applyBorder="1" applyAlignment="1">
      <alignment horizontal="right" vertical="center" wrapText="1" indent="1"/>
    </xf>
    <xf numFmtId="49" fontId="6" fillId="0" borderId="12" xfId="0" applyNumberFormat="1" applyFont="1" applyFill="1" applyBorder="1" applyAlignment="1">
      <alignment horizontal="left" vertical="top" wrapText="1" indent="1"/>
    </xf>
    <xf numFmtId="4" fontId="5" fillId="0" borderId="41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49" fontId="6" fillId="0" borderId="0" xfId="0" applyNumberFormat="1" applyFont="1" applyFill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 vertical="center" wrapText="1" indent="1"/>
    </xf>
    <xf numFmtId="4" fontId="28" fillId="0" borderId="0" xfId="0" applyNumberFormat="1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 indent="1"/>
    </xf>
    <xf numFmtId="4" fontId="1" fillId="0" borderId="41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49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189" fontId="2" fillId="0" borderId="0" xfId="0" applyNumberFormat="1" applyFont="1" applyFill="1" applyBorder="1"/>
    <xf numFmtId="189" fontId="56" fillId="0" borderId="0" xfId="0" applyNumberFormat="1" applyFont="1" applyFill="1" applyBorder="1"/>
    <xf numFmtId="18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189" fontId="1" fillId="0" borderId="12" xfId="0" applyNumberFormat="1" applyFont="1" applyFill="1" applyBorder="1" applyAlignment="1">
      <alignment horizontal="right" vertical="center" wrapText="1" indent="1"/>
    </xf>
    <xf numFmtId="189" fontId="1" fillId="0" borderId="13" xfId="0" applyNumberFormat="1" applyFont="1" applyFill="1" applyBorder="1" applyAlignment="1">
      <alignment horizontal="right" vertical="center" wrapText="1" indent="1"/>
    </xf>
    <xf numFmtId="189" fontId="2" fillId="0" borderId="12" xfId="0" applyNumberFormat="1" applyFont="1" applyFill="1" applyBorder="1" applyAlignment="1">
      <alignment horizontal="right" vertical="center" wrapText="1" indent="1"/>
    </xf>
    <xf numFmtId="189" fontId="2" fillId="0" borderId="12" xfId="0" applyNumberFormat="1" applyFont="1" applyFill="1" applyBorder="1" applyAlignment="1">
      <alignment horizontal="center" vertical="center" wrapText="1"/>
    </xf>
    <xf numFmtId="189" fontId="93" fillId="0" borderId="12" xfId="0" applyNumberFormat="1" applyFont="1" applyFill="1" applyBorder="1" applyAlignment="1">
      <alignment horizontal="center" vertical="center" wrapText="1"/>
    </xf>
    <xf numFmtId="189" fontId="2" fillId="0" borderId="12" xfId="0" applyNumberFormat="1" applyFont="1" applyFill="1" applyBorder="1" applyAlignment="1">
      <alignment horizontal="center" vertical="top" wrapText="1"/>
    </xf>
    <xf numFmtId="189" fontId="2" fillId="0" borderId="16" xfId="0" applyNumberFormat="1" applyFont="1" applyFill="1" applyBorder="1" applyAlignment="1">
      <alignment horizontal="right" vertical="center" indent="1"/>
    </xf>
    <xf numFmtId="189" fontId="1" fillId="0" borderId="16" xfId="0" applyNumberFormat="1" applyFont="1" applyFill="1" applyBorder="1" applyAlignment="1">
      <alignment horizontal="right" vertical="center" wrapText="1" indent="1"/>
    </xf>
    <xf numFmtId="189" fontId="1" fillId="0" borderId="41" xfId="0" applyNumberFormat="1" applyFont="1" applyFill="1" applyBorder="1" applyAlignment="1">
      <alignment horizontal="right" vertical="center" wrapText="1" indent="1"/>
    </xf>
    <xf numFmtId="49" fontId="2" fillId="0" borderId="0" xfId="0" applyNumberFormat="1" applyFont="1" applyFill="1" applyBorder="1" applyAlignment="1">
      <alignment horizontal="left" indent="1"/>
    </xf>
    <xf numFmtId="3" fontId="22" fillId="0" borderId="0" xfId="0" applyNumberFormat="1" applyFont="1" applyFill="1" applyBorder="1" applyAlignment="1">
      <alignment vertical="center"/>
    </xf>
    <xf numFmtId="172" fontId="22" fillId="0" borderId="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right" vertical="center" wrapText="1" indent="1"/>
    </xf>
    <xf numFmtId="0" fontId="6" fillId="0" borderId="13" xfId="0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 indent="1"/>
    </xf>
    <xf numFmtId="4" fontId="6" fillId="0" borderId="17" xfId="0" applyNumberFormat="1" applyFont="1" applyFill="1" applyBorder="1" applyAlignment="1">
      <alignment horizontal="right" vertical="center" wrapText="1" indent="1"/>
    </xf>
    <xf numFmtId="0" fontId="6" fillId="0" borderId="42" xfId="0" applyFont="1" applyFill="1" applyBorder="1" applyAlignment="1">
      <alignment horizontal="left" vertical="center" wrapText="1" indent="1"/>
    </xf>
    <xf numFmtId="0" fontId="6" fillId="0" borderId="41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 indent="1"/>
    </xf>
    <xf numFmtId="3" fontId="5" fillId="0" borderId="17" xfId="0" applyNumberFormat="1" applyFont="1" applyFill="1" applyBorder="1" applyAlignment="1">
      <alignment horizontal="right" vertical="center" wrapText="1" indent="1"/>
    </xf>
    <xf numFmtId="49" fontId="5" fillId="0" borderId="12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 wrapText="1" indent="1"/>
    </xf>
    <xf numFmtId="3" fontId="2" fillId="0" borderId="42" xfId="0" applyNumberFormat="1" applyFont="1" applyFill="1" applyBorder="1" applyAlignment="1">
      <alignment horizontal="right" vertical="center" wrapText="1" indent="1"/>
    </xf>
    <xf numFmtId="3" fontId="2" fillId="0" borderId="16" xfId="0" applyNumberFormat="1" applyFont="1" applyFill="1" applyBorder="1" applyAlignment="1">
      <alignment horizontal="right" vertical="center" wrapText="1" indent="1"/>
    </xf>
    <xf numFmtId="3" fontId="2" fillId="0" borderId="41" xfId="0" applyNumberFormat="1" applyFont="1" applyFill="1" applyBorder="1" applyAlignment="1">
      <alignment horizontal="right" vertical="center" wrapText="1" indent="1"/>
    </xf>
    <xf numFmtId="3" fontId="2" fillId="0" borderId="29" xfId="0" applyNumberFormat="1" applyFont="1" applyFill="1" applyBorder="1" applyAlignment="1">
      <alignment horizontal="right" vertical="center" wrapText="1" indent="1"/>
    </xf>
    <xf numFmtId="3" fontId="5" fillId="0" borderId="30" xfId="0" applyNumberFormat="1" applyFont="1" applyFill="1" applyBorder="1" applyAlignment="1">
      <alignment horizontal="right" vertical="center" wrapText="1" indent="1"/>
    </xf>
    <xf numFmtId="3" fontId="2" fillId="0" borderId="61" xfId="0" applyNumberFormat="1" applyFont="1" applyFill="1" applyBorder="1" applyAlignment="1">
      <alignment horizontal="right" vertical="center" wrapText="1" indent="1"/>
    </xf>
    <xf numFmtId="0" fontId="2" fillId="0" borderId="62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left" vertical="center" wrapText="1" indent="1"/>
    </xf>
    <xf numFmtId="3" fontId="2" fillId="0" borderId="64" xfId="0" applyNumberFormat="1" applyFont="1" applyFill="1" applyBorder="1" applyAlignment="1">
      <alignment horizontal="right" vertical="center" wrapText="1" indent="1"/>
    </xf>
    <xf numFmtId="49" fontId="32" fillId="0" borderId="0" xfId="0" applyNumberFormat="1" applyFont="1" applyFill="1"/>
    <xf numFmtId="3" fontId="5" fillId="0" borderId="0" xfId="44" applyNumberFormat="1" applyFont="1" applyFill="1" applyBorder="1" applyAlignment="1">
      <alignment vertical="center" wrapText="1"/>
    </xf>
    <xf numFmtId="0" fontId="5" fillId="0" borderId="12" xfId="44" applyFont="1" applyFill="1" applyBorder="1" applyAlignment="1">
      <alignment horizontal="center" vertical="center" wrapText="1"/>
    </xf>
    <xf numFmtId="0" fontId="5" fillId="0" borderId="13" xfId="44" applyFont="1" applyFill="1" applyBorder="1" applyAlignment="1">
      <alignment horizontal="center" vertical="center" wrapText="1"/>
    </xf>
    <xf numFmtId="3" fontId="5" fillId="0" borderId="0" xfId="44" applyNumberFormat="1" applyFont="1" applyFill="1" applyBorder="1" applyAlignment="1">
      <alignment horizontal="center" vertical="center" wrapText="1"/>
    </xf>
    <xf numFmtId="3" fontId="6" fillId="0" borderId="14" xfId="44" applyNumberFormat="1" applyFont="1" applyFill="1" applyBorder="1" applyAlignment="1">
      <alignment vertical="center" wrapText="1"/>
    </xf>
    <xf numFmtId="3" fontId="6" fillId="0" borderId="12" xfId="44" applyNumberFormat="1" applyFont="1" applyFill="1" applyBorder="1" applyAlignment="1">
      <alignment horizontal="center" vertical="center" wrapText="1"/>
    </xf>
    <xf numFmtId="3" fontId="6" fillId="0" borderId="0" xfId="44" applyNumberFormat="1" applyFont="1" applyFill="1" applyBorder="1" applyAlignment="1">
      <alignment horizontal="center" vertical="center" wrapText="1"/>
    </xf>
    <xf numFmtId="3" fontId="6" fillId="0" borderId="13" xfId="44" applyNumberFormat="1" applyFont="1" applyFill="1" applyBorder="1" applyAlignment="1">
      <alignment horizontal="center" vertical="center" wrapText="1"/>
    </xf>
    <xf numFmtId="3" fontId="6" fillId="0" borderId="15" xfId="44" applyNumberFormat="1" applyFont="1" applyFill="1" applyBorder="1" applyAlignment="1">
      <alignment horizontal="center" vertical="center" wrapText="1"/>
    </xf>
    <xf numFmtId="3" fontId="5" fillId="0" borderId="16" xfId="44" applyNumberFormat="1" applyFont="1" applyFill="1" applyBorder="1" applyAlignment="1">
      <alignment horizontal="right" vertical="center" wrapText="1" indent="1"/>
    </xf>
    <xf numFmtId="3" fontId="5" fillId="0" borderId="41" xfId="44" applyNumberFormat="1" applyFont="1" applyFill="1" applyBorder="1" applyAlignment="1">
      <alignment horizontal="right" vertical="center" wrapText="1" indent="1"/>
    </xf>
    <xf numFmtId="3" fontId="28" fillId="0" borderId="0" xfId="44" applyNumberFormat="1" applyFont="1" applyFill="1" applyBorder="1" applyAlignment="1">
      <alignment vertical="center" wrapText="1"/>
    </xf>
    <xf numFmtId="4" fontId="6" fillId="0" borderId="0" xfId="44" applyNumberFormat="1" applyFont="1" applyFill="1" applyBorder="1" applyAlignment="1">
      <alignment vertical="center" wrapText="1"/>
    </xf>
    <xf numFmtId="2" fontId="6" fillId="0" borderId="0" xfId="44" applyNumberFormat="1" applyFont="1" applyFill="1" applyBorder="1" applyAlignment="1">
      <alignment vertical="center" wrapText="1"/>
    </xf>
    <xf numFmtId="0" fontId="6" fillId="0" borderId="0" xfId="41" applyFont="1" applyFill="1" applyAlignment="1">
      <alignment vertical="center" wrapText="1"/>
    </xf>
    <xf numFmtId="0" fontId="5" fillId="0" borderId="21" xfId="41" applyFont="1" applyFill="1" applyBorder="1" applyAlignment="1">
      <alignment horizontal="center" vertical="center" wrapText="1"/>
    </xf>
    <xf numFmtId="0" fontId="5" fillId="0" borderId="22" xfId="41" applyFont="1" applyFill="1" applyBorder="1" applyAlignment="1">
      <alignment horizontal="center" vertical="center" wrapText="1"/>
    </xf>
    <xf numFmtId="0" fontId="5" fillId="0" borderId="0" xfId="41" applyFont="1" applyFill="1" applyAlignment="1">
      <alignment horizontal="center" vertical="center" wrapText="1"/>
    </xf>
    <xf numFmtId="0" fontId="22" fillId="0" borderId="55" xfId="40" applyFont="1" applyFill="1" applyBorder="1" applyAlignment="1">
      <alignment horizontal="left" indent="1"/>
    </xf>
    <xf numFmtId="0" fontId="22" fillId="0" borderId="29" xfId="40" applyFont="1" applyFill="1" applyBorder="1"/>
    <xf numFmtId="49" fontId="22" fillId="0" borderId="26" xfId="40" applyNumberFormat="1" applyFont="1" applyFill="1" applyBorder="1" applyAlignment="1">
      <alignment horizontal="center"/>
    </xf>
    <xf numFmtId="3" fontId="1" fillId="0" borderId="51" xfId="0" applyNumberFormat="1" applyFont="1" applyFill="1" applyBorder="1" applyAlignment="1">
      <alignment horizontal="right" vertical="center" wrapText="1" indent="1"/>
    </xf>
    <xf numFmtId="0" fontId="22" fillId="0" borderId="12" xfId="40" applyFont="1" applyFill="1" applyBorder="1"/>
    <xf numFmtId="49" fontId="22" fillId="0" borderId="27" xfId="40" applyNumberFormat="1" applyFont="1" applyFill="1" applyBorder="1" applyAlignment="1">
      <alignment horizontal="center"/>
    </xf>
    <xf numFmtId="3" fontId="1" fillId="0" borderId="69" xfId="0" applyNumberFormat="1" applyFont="1" applyFill="1" applyBorder="1" applyAlignment="1">
      <alignment horizontal="right" vertical="center" wrapText="1" indent="1"/>
    </xf>
    <xf numFmtId="0" fontId="22" fillId="0" borderId="12" xfId="40" applyFont="1" applyFill="1" applyBorder="1" applyAlignment="1">
      <alignment vertical="center"/>
    </xf>
    <xf numFmtId="49" fontId="55" fillId="0" borderId="27" xfId="40" applyNumberFormat="1" applyFont="1" applyFill="1" applyBorder="1" applyAlignment="1">
      <alignment horizontal="center"/>
    </xf>
    <xf numFmtId="3" fontId="1" fillId="0" borderId="29" xfId="0" applyNumberFormat="1" applyFont="1" applyFill="1" applyBorder="1" applyAlignment="1">
      <alignment horizontal="right" vertical="center" wrapText="1" indent="1"/>
    </xf>
    <xf numFmtId="3" fontId="1" fillId="0" borderId="35" xfId="0" applyNumberFormat="1" applyFont="1" applyFill="1" applyBorder="1" applyAlignment="1">
      <alignment horizontal="right" vertical="center" wrapText="1" indent="1"/>
    </xf>
    <xf numFmtId="3" fontId="1" fillId="0" borderId="39" xfId="0" applyNumberFormat="1" applyFont="1" applyFill="1" applyBorder="1" applyAlignment="1">
      <alignment horizontal="right" vertical="center" wrapText="1" indent="1"/>
    </xf>
    <xf numFmtId="3" fontId="6" fillId="0" borderId="12" xfId="41" applyNumberFormat="1" applyFont="1" applyFill="1" applyBorder="1" applyAlignment="1">
      <alignment horizontal="right" vertical="center" wrapText="1" indent="1"/>
    </xf>
    <xf numFmtId="3" fontId="6" fillId="0" borderId="35" xfId="41" applyNumberFormat="1" applyFont="1" applyFill="1" applyBorder="1" applyAlignment="1">
      <alignment horizontal="right" vertical="center" wrapText="1" indent="1"/>
    </xf>
    <xf numFmtId="49" fontId="55" fillId="0" borderId="56" xfId="40" applyNumberFormat="1" applyFont="1" applyFill="1" applyBorder="1" applyAlignment="1">
      <alignment horizontal="center"/>
    </xf>
    <xf numFmtId="3" fontId="1" fillId="0" borderId="63" xfId="0" applyNumberFormat="1" applyFont="1" applyFill="1" applyBorder="1" applyAlignment="1">
      <alignment horizontal="right" vertical="center" wrapText="1" indent="1"/>
    </xf>
    <xf numFmtId="3" fontId="1" fillId="0" borderId="70" xfId="0" applyNumberFormat="1" applyFont="1" applyFill="1" applyBorder="1" applyAlignment="1">
      <alignment horizontal="right" vertical="center" wrapText="1" indent="1"/>
    </xf>
    <xf numFmtId="3" fontId="1" fillId="0" borderId="71" xfId="0" applyNumberFormat="1" applyFont="1" applyFill="1" applyBorder="1" applyAlignment="1">
      <alignment horizontal="right" vertical="center" wrapText="1" indent="1"/>
    </xf>
    <xf numFmtId="0" fontId="6" fillId="0" borderId="55" xfId="40" applyFont="1" applyFill="1" applyBorder="1" applyAlignment="1">
      <alignment horizontal="right" indent="1"/>
    </xf>
    <xf numFmtId="0" fontId="6" fillId="0" borderId="29" xfId="40" applyFont="1" applyFill="1" applyBorder="1"/>
    <xf numFmtId="49" fontId="6" fillId="0" borderId="26" xfId="40" applyNumberFormat="1" applyFont="1" applyFill="1" applyBorder="1" applyAlignment="1">
      <alignment horizontal="center"/>
    </xf>
    <xf numFmtId="3" fontId="6" fillId="0" borderId="29" xfId="41" applyNumberFormat="1" applyFont="1" applyFill="1" applyBorder="1" applyAlignment="1">
      <alignment horizontal="right" vertical="center" wrapText="1" indent="1"/>
    </xf>
    <xf numFmtId="3" fontId="1" fillId="0" borderId="32" xfId="0" applyNumberFormat="1" applyFont="1" applyFill="1" applyBorder="1" applyAlignment="1">
      <alignment horizontal="right" vertical="center" wrapText="1" indent="1"/>
    </xf>
    <xf numFmtId="0" fontId="6" fillId="0" borderId="12" xfId="40" applyFont="1" applyFill="1" applyBorder="1"/>
    <xf numFmtId="49" fontId="6" fillId="0" borderId="27" xfId="40" applyNumberFormat="1" applyFont="1" applyFill="1" applyBorder="1" applyAlignment="1">
      <alignment horizontal="center"/>
    </xf>
    <xf numFmtId="0" fontId="6" fillId="0" borderId="17" xfId="40" applyFont="1" applyFill="1" applyBorder="1"/>
    <xf numFmtId="49" fontId="6" fillId="0" borderId="28" xfId="40" applyNumberFormat="1" applyFont="1" applyFill="1" applyBorder="1" applyAlignment="1">
      <alignment horizontal="center"/>
    </xf>
    <xf numFmtId="3" fontId="6" fillId="0" borderId="17" xfId="41" applyNumberFormat="1" applyFont="1" applyFill="1" applyBorder="1" applyAlignment="1">
      <alignment horizontal="right" vertical="center" wrapText="1" indent="1"/>
    </xf>
    <xf numFmtId="3" fontId="1" fillId="0" borderId="42" xfId="0" applyNumberFormat="1" applyFont="1" applyFill="1" applyBorder="1" applyAlignment="1">
      <alignment horizontal="right" vertical="center" wrapText="1" indent="1"/>
    </xf>
    <xf numFmtId="49" fontId="5" fillId="0" borderId="74" xfId="40" applyNumberFormat="1" applyFont="1" applyFill="1" applyBorder="1" applyAlignment="1">
      <alignment horizontal="center"/>
    </xf>
    <xf numFmtId="3" fontId="1" fillId="0" borderId="47" xfId="0" applyNumberFormat="1" applyFont="1" applyFill="1" applyBorder="1" applyAlignment="1">
      <alignment horizontal="right" vertical="center" wrapText="1" indent="1"/>
    </xf>
    <xf numFmtId="3" fontId="1" fillId="0" borderId="48" xfId="0" applyNumberFormat="1" applyFont="1" applyFill="1" applyBorder="1" applyAlignment="1">
      <alignment horizontal="right" vertical="center" wrapText="1" indent="1"/>
    </xf>
    <xf numFmtId="49" fontId="5" fillId="0" borderId="75" xfId="40" applyNumberFormat="1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right" vertical="center" wrapText="1" indent="1"/>
    </xf>
    <xf numFmtId="3" fontId="1" fillId="0" borderId="22" xfId="0" applyNumberFormat="1" applyFont="1" applyFill="1" applyBorder="1" applyAlignment="1">
      <alignment horizontal="right" vertical="center" wrapText="1" indent="1"/>
    </xf>
    <xf numFmtId="0" fontId="0" fillId="0" borderId="0" xfId="0" applyNumberFormat="1" applyFill="1" applyAlignment="1">
      <alignment vertical="center" wrapText="1"/>
    </xf>
    <xf numFmtId="0" fontId="16" fillId="0" borderId="0" xfId="40" applyFill="1" applyProtection="1"/>
    <xf numFmtId="199" fontId="5" fillId="0" borderId="12" xfId="40" applyNumberFormat="1" applyFont="1" applyFill="1" applyBorder="1" applyAlignment="1" applyProtection="1">
      <alignment horizontal="center" vertical="center"/>
    </xf>
    <xf numFmtId="199" fontId="5" fillId="0" borderId="12" xfId="40" applyNumberFormat="1" applyFont="1" applyFill="1" applyBorder="1" applyAlignment="1" applyProtection="1">
      <alignment horizontal="center" vertical="center" wrapText="1"/>
    </xf>
    <xf numFmtId="0" fontId="6" fillId="0" borderId="17" xfId="40" applyFont="1" applyFill="1" applyBorder="1" applyAlignment="1" applyProtection="1">
      <alignment horizontal="center"/>
    </xf>
    <xf numFmtId="199" fontId="6" fillId="0" borderId="17" xfId="40" applyNumberFormat="1" applyFont="1" applyFill="1" applyBorder="1" applyAlignment="1" applyProtection="1">
      <alignment horizontal="center"/>
    </xf>
    <xf numFmtId="49" fontId="5" fillId="0" borderId="25" xfId="40" applyNumberFormat="1" applyFont="1" applyFill="1" applyBorder="1" applyAlignment="1" applyProtection="1">
      <alignment horizontal="center"/>
    </xf>
    <xf numFmtId="3" fontId="1" fillId="0" borderId="25" xfId="0" applyNumberFormat="1" applyFont="1" applyFill="1" applyBorder="1" applyAlignment="1">
      <alignment horizontal="right" vertical="center" wrapText="1" indent="1"/>
    </xf>
    <xf numFmtId="3" fontId="1" fillId="0" borderId="31" xfId="0" applyNumberFormat="1" applyFont="1" applyFill="1" applyBorder="1" applyAlignment="1">
      <alignment horizontal="right" vertical="center" wrapText="1" indent="1"/>
    </xf>
    <xf numFmtId="0" fontId="5" fillId="0" borderId="20" xfId="40" applyFont="1" applyFill="1" applyBorder="1" applyAlignment="1" applyProtection="1">
      <alignment horizontal="center" wrapText="1"/>
    </xf>
    <xf numFmtId="0" fontId="5" fillId="0" borderId="45" xfId="40" applyFont="1" applyFill="1" applyBorder="1" applyAlignment="1" applyProtection="1">
      <alignment wrapText="1"/>
    </xf>
    <xf numFmtId="49" fontId="5" fillId="0" borderId="12" xfId="40" applyNumberFormat="1" applyFont="1" applyFill="1" applyBorder="1" applyAlignment="1" applyProtection="1">
      <alignment horizontal="center"/>
    </xf>
    <xf numFmtId="0" fontId="6" fillId="0" borderId="24" xfId="40" applyFont="1" applyFill="1" applyBorder="1" applyAlignment="1" applyProtection="1">
      <alignment wrapText="1"/>
    </xf>
    <xf numFmtId="49" fontId="6" fillId="0" borderId="12" xfId="40" applyNumberFormat="1" applyFont="1" applyFill="1" applyBorder="1" applyAlignment="1" applyProtection="1">
      <alignment horizontal="center"/>
    </xf>
    <xf numFmtId="0" fontId="5" fillId="0" borderId="12" xfId="40" applyFont="1" applyFill="1" applyBorder="1" applyAlignment="1" applyProtection="1">
      <alignment wrapText="1"/>
    </xf>
    <xf numFmtId="0" fontId="5" fillId="0" borderId="57" xfId="40" applyFont="1" applyFill="1" applyBorder="1" applyAlignment="1" applyProtection="1">
      <alignment vertical="top" wrapText="1"/>
    </xf>
    <xf numFmtId="0" fontId="6" fillId="0" borderId="12" xfId="40" applyFont="1" applyFill="1" applyBorder="1" applyAlignment="1" applyProtection="1">
      <alignment wrapText="1"/>
    </xf>
    <xf numFmtId="0" fontId="5" fillId="0" borderId="55" xfId="40" applyFont="1" applyFill="1" applyBorder="1" applyAlignment="1" applyProtection="1">
      <alignment vertical="top" wrapText="1"/>
    </xf>
    <xf numFmtId="3" fontId="6" fillId="0" borderId="13" xfId="41" applyNumberFormat="1" applyFont="1" applyFill="1" applyBorder="1" applyAlignment="1">
      <alignment horizontal="right" vertical="center" wrapText="1" indent="1"/>
    </xf>
    <xf numFmtId="0" fontId="6" fillId="0" borderId="17" xfId="40" applyFont="1" applyFill="1" applyBorder="1" applyAlignment="1" applyProtection="1">
      <alignment wrapText="1"/>
    </xf>
    <xf numFmtId="49" fontId="6" fillId="0" borderId="17" xfId="40" applyNumberFormat="1" applyFont="1" applyFill="1" applyBorder="1" applyAlignment="1" applyProtection="1">
      <alignment horizontal="center"/>
    </xf>
    <xf numFmtId="0" fontId="6" fillId="0" borderId="18" xfId="40" applyFont="1" applyFill="1" applyBorder="1" applyAlignment="1" applyProtection="1">
      <alignment wrapText="1"/>
    </xf>
    <xf numFmtId="0" fontId="5" fillId="0" borderId="21" xfId="40" applyFont="1" applyFill="1" applyBorder="1" applyAlignment="1" applyProtection="1">
      <alignment horizontal="left" wrapText="1"/>
    </xf>
    <xf numFmtId="0" fontId="5" fillId="0" borderId="21" xfId="40" applyFont="1" applyFill="1" applyBorder="1" applyAlignment="1" applyProtection="1">
      <alignment horizontal="center"/>
    </xf>
    <xf numFmtId="0" fontId="16" fillId="0" borderId="0" xfId="40" applyFill="1" applyAlignment="1" applyProtection="1">
      <alignment wrapText="1"/>
    </xf>
    <xf numFmtId="0" fontId="16" fillId="0" borderId="0" xfId="40" applyFill="1" applyAlignment="1" applyProtection="1">
      <alignment horizontal="center"/>
    </xf>
    <xf numFmtId="199" fontId="64" fillId="0" borderId="0" xfId="40" applyNumberFormat="1" applyFont="1" applyFill="1" applyProtection="1"/>
    <xf numFmtId="0" fontId="16" fillId="0" borderId="0" xfId="40" applyFill="1"/>
    <xf numFmtId="3" fontId="5" fillId="0" borderId="32" xfId="40" applyNumberFormat="1" applyFont="1" applyFill="1" applyBorder="1" applyAlignment="1">
      <alignment horizontal="center" wrapText="1"/>
    </xf>
    <xf numFmtId="3" fontId="5" fillId="0" borderId="17" xfId="40" applyNumberFormat="1" applyFont="1" applyFill="1" applyBorder="1" applyAlignment="1">
      <alignment horizontal="center" vertical="center"/>
    </xf>
    <xf numFmtId="3" fontId="5" fillId="0" borderId="42" xfId="40" applyNumberFormat="1" applyFont="1" applyFill="1" applyBorder="1" applyAlignment="1">
      <alignment horizontal="center"/>
    </xf>
    <xf numFmtId="0" fontId="6" fillId="0" borderId="21" xfId="40" applyFont="1" applyFill="1" applyBorder="1" applyAlignment="1">
      <alignment horizontal="center" vertical="center"/>
    </xf>
    <xf numFmtId="3" fontId="6" fillId="0" borderId="21" xfId="40" applyNumberFormat="1" applyFont="1" applyFill="1" applyBorder="1" applyAlignment="1">
      <alignment horizontal="center" vertical="center"/>
    </xf>
    <xf numFmtId="3" fontId="6" fillId="0" borderId="22" xfId="40" applyNumberFormat="1" applyFont="1" applyFill="1" applyBorder="1" applyAlignment="1">
      <alignment horizontal="center"/>
    </xf>
    <xf numFmtId="49" fontId="5" fillId="0" borderId="29" xfId="40" applyNumberFormat="1" applyFont="1" applyFill="1" applyBorder="1" applyAlignment="1">
      <alignment horizontal="center"/>
    </xf>
    <xf numFmtId="3" fontId="1" fillId="0" borderId="32" xfId="0" applyNumberFormat="1" applyFont="1" applyFill="1" applyBorder="1" applyAlignment="1">
      <alignment horizontal="center" wrapText="1"/>
    </xf>
    <xf numFmtId="0" fontId="5" fillId="0" borderId="20" xfId="40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wrapText="1"/>
    </xf>
    <xf numFmtId="0" fontId="5" fillId="0" borderId="55" xfId="40" applyFont="1" applyFill="1" applyBorder="1" applyAlignment="1">
      <alignment horizontal="center" vertical="center" wrapText="1"/>
    </xf>
    <xf numFmtId="0" fontId="6" fillId="0" borderId="12" xfId="40" applyFont="1" applyFill="1" applyBorder="1" applyAlignment="1">
      <alignment vertical="center" wrapText="1"/>
    </xf>
    <xf numFmtId="3" fontId="5" fillId="0" borderId="12" xfId="40" applyNumberFormat="1" applyFont="1" applyFill="1" applyBorder="1" applyAlignment="1">
      <alignment horizontal="center"/>
    </xf>
    <xf numFmtId="0" fontId="5" fillId="0" borderId="24" xfId="40" applyFont="1" applyFill="1" applyBorder="1" applyAlignment="1">
      <alignment horizontal="center" vertical="center"/>
    </xf>
    <xf numFmtId="3" fontId="5" fillId="0" borderId="12" xfId="40" applyNumberFormat="1" applyFont="1" applyFill="1" applyBorder="1" applyAlignment="1">
      <alignment horizontal="center" vertical="center"/>
    </xf>
    <xf numFmtId="0" fontId="5" fillId="0" borderId="14" xfId="40" applyFont="1" applyFill="1" applyBorder="1" applyAlignment="1">
      <alignment horizontal="center" vertical="center" wrapText="1"/>
    </xf>
    <xf numFmtId="0" fontId="5" fillId="0" borderId="13" xfId="40" applyFont="1" applyFill="1" applyBorder="1" applyAlignment="1">
      <alignment horizontal="center"/>
    </xf>
    <xf numFmtId="49" fontId="5" fillId="0" borderId="27" xfId="40" applyNumberFormat="1" applyFont="1" applyFill="1" applyBorder="1" applyAlignment="1">
      <alignment horizontal="center"/>
    </xf>
    <xf numFmtId="0" fontId="5" fillId="0" borderId="57" xfId="40" applyFont="1" applyFill="1" applyBorder="1" applyAlignment="1">
      <alignment horizontal="center" vertical="center" wrapText="1"/>
    </xf>
    <xf numFmtId="0" fontId="6" fillId="0" borderId="29" xfId="40" applyFont="1" applyFill="1" applyBorder="1" applyAlignment="1">
      <alignment vertical="center" wrapText="1"/>
    </xf>
    <xf numFmtId="0" fontId="6" fillId="0" borderId="17" xfId="40" applyFont="1" applyFill="1" applyBorder="1" applyAlignment="1">
      <alignment vertical="center" wrapText="1"/>
    </xf>
    <xf numFmtId="3" fontId="5" fillId="0" borderId="16" xfId="40" applyNumberFormat="1" applyFont="1" applyFill="1" applyBorder="1" applyAlignment="1">
      <alignment horizontal="center"/>
    </xf>
    <xf numFmtId="0" fontId="5" fillId="0" borderId="54" xfId="40" applyFont="1" applyFill="1" applyBorder="1" applyAlignment="1">
      <alignment horizontal="center" vertical="center"/>
    </xf>
    <xf numFmtId="3" fontId="5" fillId="0" borderId="16" xfId="40" applyNumberFormat="1" applyFont="1" applyFill="1" applyBorder="1" applyAlignment="1">
      <alignment horizontal="center" vertical="center"/>
    </xf>
    <xf numFmtId="0" fontId="5" fillId="0" borderId="41" xfId="40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wrapText="1"/>
    </xf>
    <xf numFmtId="3" fontId="5" fillId="0" borderId="25" xfId="40" applyNumberFormat="1" applyFont="1" applyFill="1" applyBorder="1" applyAlignment="1">
      <alignment horizontal="center"/>
    </xf>
    <xf numFmtId="0" fontId="5" fillId="0" borderId="40" xfId="40" applyFont="1" applyFill="1" applyBorder="1" applyAlignment="1">
      <alignment horizontal="center" vertical="center"/>
    </xf>
    <xf numFmtId="3" fontId="5" fillId="0" borderId="25" xfId="40" applyNumberFormat="1" applyFont="1" applyFill="1" applyBorder="1" applyAlignment="1">
      <alignment horizontal="center" vertical="center"/>
    </xf>
    <xf numFmtId="49" fontId="6" fillId="0" borderId="77" xfId="40" applyNumberFormat="1" applyFont="1" applyFill="1" applyBorder="1" applyAlignment="1">
      <alignment horizontal="center"/>
    </xf>
    <xf numFmtId="3" fontId="1" fillId="0" borderId="47" xfId="0" applyNumberFormat="1" applyFont="1" applyFill="1" applyBorder="1" applyAlignment="1">
      <alignment horizontal="center" vertical="center" wrapText="1"/>
    </xf>
    <xf numFmtId="3" fontId="1" fillId="0" borderId="48" xfId="0" applyNumberFormat="1" applyFont="1" applyFill="1" applyBorder="1" applyAlignment="1">
      <alignment horizontal="center" wrapText="1"/>
    </xf>
    <xf numFmtId="0" fontId="6" fillId="0" borderId="74" xfId="40" applyFont="1" applyFill="1" applyBorder="1" applyAlignment="1">
      <alignment horizontal="center"/>
    </xf>
    <xf numFmtId="0" fontId="16" fillId="0" borderId="0" xfId="40" applyFill="1" applyAlignment="1">
      <alignment wrapText="1"/>
    </xf>
    <xf numFmtId="0" fontId="16" fillId="0" borderId="0" xfId="40" applyFill="1" applyAlignment="1">
      <alignment horizontal="center"/>
    </xf>
    <xf numFmtId="3" fontId="64" fillId="0" borderId="0" xfId="40" applyNumberFormat="1" applyFont="1" applyFill="1" applyAlignment="1">
      <alignment horizontal="center"/>
    </xf>
    <xf numFmtId="3" fontId="64" fillId="0" borderId="0" xfId="40" applyNumberFormat="1" applyFont="1" applyFill="1" applyAlignment="1">
      <alignment horizontal="center" vertical="center"/>
    </xf>
    <xf numFmtId="0" fontId="22" fillId="0" borderId="21" xfId="40" applyFont="1" applyFill="1" applyBorder="1" applyAlignment="1">
      <alignment horizontal="center"/>
    </xf>
    <xf numFmtId="41" fontId="5" fillId="0" borderId="25" xfId="27" applyNumberFormat="1" applyFont="1" applyFill="1" applyBorder="1"/>
    <xf numFmtId="0" fontId="16" fillId="0" borderId="0" xfId="40" applyFill="1" applyBorder="1" applyAlignment="1"/>
    <xf numFmtId="0" fontId="16" fillId="0" borderId="0" xfId="40" applyFill="1" applyAlignment="1"/>
    <xf numFmtId="0" fontId="5" fillId="0" borderId="20" xfId="40" applyFont="1" applyFill="1" applyBorder="1" applyAlignment="1">
      <alignment vertical="center" wrapText="1"/>
    </xf>
    <xf numFmtId="41" fontId="5" fillId="0" borderId="12" xfId="27" applyNumberFormat="1" applyFont="1" applyFill="1" applyBorder="1"/>
    <xf numFmtId="41" fontId="6" fillId="0" borderId="12" xfId="27" applyNumberFormat="1" applyFont="1" applyFill="1" applyBorder="1" applyProtection="1">
      <protection locked="0"/>
    </xf>
    <xf numFmtId="0" fontId="85" fillId="0" borderId="0" xfId="40" applyFont="1" applyFill="1"/>
    <xf numFmtId="3" fontId="16" fillId="0" borderId="0" xfId="40" applyNumberFormat="1" applyFill="1"/>
    <xf numFmtId="0" fontId="5" fillId="0" borderId="12" xfId="40" applyFont="1" applyFill="1" applyBorder="1" applyAlignment="1">
      <alignment horizontal="left" vertical="center" wrapText="1"/>
    </xf>
    <xf numFmtId="0" fontId="5" fillId="0" borderId="29" xfId="40" applyFont="1" applyFill="1" applyBorder="1" applyAlignment="1">
      <alignment vertical="center" wrapText="1"/>
    </xf>
    <xf numFmtId="41" fontId="6" fillId="0" borderId="12" xfId="27" applyNumberFormat="1" applyFont="1" applyFill="1" applyBorder="1"/>
    <xf numFmtId="0" fontId="6" fillId="0" borderId="82" xfId="40" applyFont="1" applyFill="1" applyBorder="1" applyAlignment="1">
      <alignment vertical="center" wrapText="1"/>
    </xf>
    <xf numFmtId="0" fontId="5" fillId="0" borderId="16" xfId="40" applyFont="1" applyFill="1" applyBorder="1" applyAlignment="1">
      <alignment vertical="center" wrapText="1"/>
    </xf>
    <xf numFmtId="49" fontId="5" fillId="0" borderId="16" xfId="40" applyNumberFormat="1" applyFont="1" applyFill="1" applyBorder="1" applyAlignment="1">
      <alignment horizontal="center"/>
    </xf>
    <xf numFmtId="41" fontId="5" fillId="0" borderId="16" xfId="27" applyNumberFormat="1" applyFont="1" applyFill="1" applyBorder="1"/>
    <xf numFmtId="0" fontId="6" fillId="0" borderId="0" xfId="40" applyFont="1" applyFill="1"/>
    <xf numFmtId="0" fontId="6" fillId="0" borderId="0" xfId="40" applyFont="1" applyFill="1" applyAlignment="1">
      <alignment horizontal="center"/>
    </xf>
    <xf numFmtId="3" fontId="6" fillId="0" borderId="0" xfId="40" applyNumberFormat="1" applyFont="1" applyFill="1" applyAlignment="1">
      <alignment horizontal="right"/>
    </xf>
    <xf numFmtId="3" fontId="6" fillId="0" borderId="0" xfId="40" applyNumberFormat="1" applyFont="1" applyFill="1"/>
    <xf numFmtId="3" fontId="16" fillId="0" borderId="0" xfId="40" applyNumberFormat="1" applyFont="1" applyFill="1" applyAlignment="1">
      <alignment horizontal="right"/>
    </xf>
    <xf numFmtId="3" fontId="16" fillId="0" borderId="0" xfId="40" applyNumberFormat="1" applyFont="1" applyFill="1"/>
    <xf numFmtId="0" fontId="3" fillId="0" borderId="33" xfId="0" applyFont="1" applyBorder="1" applyAlignment="1">
      <alignment horizontal="center" vertical="center" wrapText="1"/>
    </xf>
    <xf numFmtId="0" fontId="0" fillId="0" borderId="25" xfId="0" applyBorder="1"/>
    <xf numFmtId="0" fontId="0" fillId="0" borderId="31" xfId="0" applyBorder="1"/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9" fontId="2" fillId="0" borderId="26" xfId="0" applyNumberFormat="1" applyFont="1" applyFill="1" applyBorder="1" applyAlignment="1">
      <alignment horizontal="left" wrapText="1"/>
    </xf>
    <xf numFmtId="49" fontId="2" fillId="0" borderId="39" xfId="0" applyNumberFormat="1" applyFont="1" applyFill="1" applyBorder="1" applyAlignment="1">
      <alignment horizontal="left" wrapText="1"/>
    </xf>
    <xf numFmtId="49" fontId="2" fillId="0" borderId="45" xfId="0" applyNumberFormat="1" applyFont="1" applyFill="1" applyBorder="1" applyAlignment="1">
      <alignment horizontal="left" wrapText="1"/>
    </xf>
    <xf numFmtId="49" fontId="2" fillId="0" borderId="28" xfId="0" applyNumberFormat="1" applyFont="1" applyFill="1" applyBorder="1" applyAlignment="1">
      <alignment horizontal="left" wrapText="1"/>
    </xf>
    <xf numFmtId="49" fontId="2" fillId="0" borderId="43" xfId="0" applyNumberFormat="1" applyFont="1" applyFill="1" applyBorder="1" applyAlignment="1">
      <alignment horizontal="left" wrapText="1"/>
    </xf>
    <xf numFmtId="49" fontId="2" fillId="0" borderId="44" xfId="0" applyNumberFormat="1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9" fontId="2" fillId="0" borderId="27" xfId="0" applyNumberFormat="1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textRotation="90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left"/>
    </xf>
    <xf numFmtId="49" fontId="2" fillId="0" borderId="35" xfId="0" applyNumberFormat="1" applyFont="1" applyFill="1" applyBorder="1" applyAlignment="1">
      <alignment horizontal="left"/>
    </xf>
    <xf numFmtId="49" fontId="2" fillId="0" borderId="24" xfId="0" applyNumberFormat="1" applyFont="1" applyFill="1" applyBorder="1" applyAlignment="1">
      <alignment horizontal="left"/>
    </xf>
    <xf numFmtId="0" fontId="91" fillId="0" borderId="0" xfId="39" applyFill="1" applyAlignment="1">
      <alignment horizontal="left"/>
    </xf>
    <xf numFmtId="0" fontId="78" fillId="0" borderId="39" xfId="39" applyFont="1" applyFill="1" applyBorder="1" applyAlignment="1">
      <alignment horizontal="center" vertical="center"/>
    </xf>
    <xf numFmtId="0" fontId="62" fillId="0" borderId="17" xfId="39" applyFont="1" applyFill="1" applyBorder="1" applyAlignment="1">
      <alignment horizontal="left" vertical="center" wrapText="1"/>
    </xf>
    <xf numFmtId="0" fontId="78" fillId="0" borderId="17" xfId="39" applyFont="1" applyFill="1" applyBorder="1" applyAlignment="1">
      <alignment horizontal="left" vertical="center" wrapText="1"/>
    </xf>
    <xf numFmtId="0" fontId="78" fillId="0" borderId="33" xfId="39" applyFont="1" applyFill="1" applyBorder="1" applyAlignment="1">
      <alignment horizontal="center" vertical="center" wrapText="1"/>
    </xf>
    <xf numFmtId="0" fontId="78" fillId="0" borderId="14" xfId="39" applyFont="1" applyFill="1" applyBorder="1" applyAlignment="1">
      <alignment horizontal="center" vertical="center" wrapText="1"/>
    </xf>
    <xf numFmtId="0" fontId="78" fillId="0" borderId="47" xfId="39" applyFont="1" applyFill="1" applyBorder="1" applyAlignment="1">
      <alignment horizontal="center" vertical="center"/>
    </xf>
    <xf numFmtId="0" fontId="78" fillId="0" borderId="50" xfId="39" applyFont="1" applyFill="1" applyBorder="1" applyAlignment="1">
      <alignment horizontal="center" vertical="center"/>
    </xf>
    <xf numFmtId="0" fontId="78" fillId="0" borderId="29" xfId="39" applyFont="1" applyFill="1" applyBorder="1" applyAlignment="1">
      <alignment horizontal="center" vertical="center"/>
    </xf>
    <xf numFmtId="0" fontId="78" fillId="0" borderId="25" xfId="39" applyFont="1" applyFill="1" applyBorder="1" applyAlignment="1">
      <alignment horizontal="center"/>
    </xf>
    <xf numFmtId="0" fontId="78" fillId="0" borderId="25" xfId="39" applyFont="1" applyFill="1" applyBorder="1" applyAlignment="1">
      <alignment horizontal="center" vertical="center" wrapText="1"/>
    </xf>
    <xf numFmtId="0" fontId="78" fillId="0" borderId="12" xfId="39" applyFont="1" applyFill="1" applyBorder="1" applyAlignment="1">
      <alignment horizontal="center" vertical="center" wrapText="1"/>
    </xf>
    <xf numFmtId="0" fontId="78" fillId="0" borderId="31" xfId="39" applyFont="1" applyFill="1" applyBorder="1" applyAlignment="1">
      <alignment horizontal="center" vertical="center" wrapText="1"/>
    </xf>
    <xf numFmtId="0" fontId="78" fillId="0" borderId="13" xfId="39" applyFont="1" applyFill="1" applyBorder="1" applyAlignment="1">
      <alignment horizontal="center" vertical="center" wrapText="1"/>
    </xf>
    <xf numFmtId="0" fontId="78" fillId="0" borderId="12" xfId="39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2" fillId="0" borderId="43" xfId="0" applyFont="1" applyFill="1" applyBorder="1" applyAlignment="1">
      <alignment horizontal="left" vertical="center"/>
    </xf>
    <xf numFmtId="0" fontId="22" fillId="0" borderId="44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0" fontId="22" fillId="0" borderId="39" xfId="0" applyFont="1" applyFill="1" applyBorder="1" applyAlignment="1">
      <alignment horizontal="left" vertical="center"/>
    </xf>
    <xf numFmtId="0" fontId="22" fillId="0" borderId="45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59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3" fillId="0" borderId="23" xfId="0" applyNumberFormat="1" applyFont="1" applyBorder="1" applyAlignment="1">
      <alignment horizontal="center" vertical="center" wrapText="1"/>
    </xf>
    <xf numFmtId="3" fontId="33" fillId="0" borderId="38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9" fillId="0" borderId="38" xfId="0" applyNumberFormat="1" applyFont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/>
    </xf>
    <xf numFmtId="0" fontId="28" fillId="0" borderId="43" xfId="0" applyFont="1" applyFill="1" applyBorder="1" applyAlignment="1">
      <alignment horizontal="left" vertical="center"/>
    </xf>
    <xf numFmtId="0" fontId="28" fillId="0" borderId="44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28" fillId="0" borderId="39" xfId="0" applyFont="1" applyFill="1" applyBorder="1" applyAlignment="1">
      <alignment horizontal="left" vertical="center"/>
    </xf>
    <xf numFmtId="0" fontId="28" fillId="0" borderId="45" xfId="0" applyFont="1" applyFill="1" applyBorder="1" applyAlignment="1">
      <alignment horizontal="left" vertical="center"/>
    </xf>
    <xf numFmtId="3" fontId="28" fillId="0" borderId="0" xfId="44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3" fontId="5" fillId="0" borderId="14" xfId="44" applyNumberFormat="1" applyFont="1" applyFill="1" applyBorder="1" applyAlignment="1">
      <alignment horizontal="center" vertical="center" wrapText="1"/>
    </xf>
    <xf numFmtId="3" fontId="9" fillId="0" borderId="33" xfId="44" applyNumberFormat="1" applyFont="1" applyFill="1" applyBorder="1" applyAlignment="1">
      <alignment horizontal="center" vertical="center" wrapText="1"/>
    </xf>
    <xf numFmtId="3" fontId="9" fillId="0" borderId="25" xfId="44" applyNumberFormat="1" applyFont="1" applyFill="1" applyBorder="1" applyAlignment="1">
      <alignment horizontal="center" vertical="center" wrapText="1"/>
    </xf>
    <xf numFmtId="3" fontId="9" fillId="0" borderId="31" xfId="44" applyNumberFormat="1" applyFont="1" applyFill="1" applyBorder="1" applyAlignment="1">
      <alignment horizontal="center" vertical="center" wrapText="1"/>
    </xf>
    <xf numFmtId="0" fontId="65" fillId="0" borderId="0" xfId="41" applyFont="1" applyFill="1" applyAlignment="1">
      <alignment horizontal="left" vertical="center" wrapText="1"/>
    </xf>
    <xf numFmtId="0" fontId="55" fillId="0" borderId="15" xfId="40" applyFont="1" applyFill="1" applyBorder="1" applyAlignment="1"/>
    <xf numFmtId="0" fontId="55" fillId="0" borderId="16" xfId="40" applyFont="1" applyFill="1" applyBorder="1" applyAlignment="1"/>
    <xf numFmtId="0" fontId="6" fillId="0" borderId="49" xfId="41" applyFont="1" applyFill="1" applyBorder="1" applyAlignment="1">
      <alignment horizontal="left" vertical="center" wrapText="1"/>
    </xf>
    <xf numFmtId="0" fontId="6" fillId="0" borderId="0" xfId="41" applyFont="1" applyFill="1" applyBorder="1" applyAlignment="1">
      <alignment horizontal="left" vertical="center" wrapText="1"/>
    </xf>
    <xf numFmtId="3" fontId="9" fillId="0" borderId="65" xfId="41" applyNumberFormat="1" applyFont="1" applyFill="1" applyBorder="1" applyAlignment="1">
      <alignment horizontal="center" vertical="center" wrapText="1"/>
    </xf>
    <xf numFmtId="3" fontId="9" fillId="0" borderId="66" xfId="41" applyNumberFormat="1" applyFont="1" applyFill="1" applyBorder="1" applyAlignment="1">
      <alignment horizontal="center" vertical="center" wrapText="1"/>
    </xf>
    <xf numFmtId="3" fontId="9" fillId="0" borderId="67" xfId="41" applyNumberFormat="1" applyFont="1" applyFill="1" applyBorder="1" applyAlignment="1">
      <alignment horizontal="center" vertical="center" wrapText="1"/>
    </xf>
    <xf numFmtId="3" fontId="5" fillId="0" borderId="49" xfId="41" applyNumberFormat="1" applyFont="1" applyFill="1" applyBorder="1" applyAlignment="1">
      <alignment horizontal="left" vertical="center" wrapText="1"/>
    </xf>
    <xf numFmtId="3" fontId="5" fillId="0" borderId="0" xfId="41" applyNumberFormat="1" applyFont="1" applyFill="1" applyBorder="1" applyAlignment="1">
      <alignment horizontal="left" vertical="center" wrapText="1"/>
    </xf>
    <xf numFmtId="3" fontId="5" fillId="0" borderId="68" xfId="41" applyNumberFormat="1" applyFont="1" applyFill="1" applyBorder="1" applyAlignment="1">
      <alignment horizontal="left" vertical="center" wrapText="1"/>
    </xf>
    <xf numFmtId="0" fontId="55" fillId="0" borderId="14" xfId="40" applyFont="1" applyFill="1" applyBorder="1" applyAlignment="1"/>
    <xf numFmtId="0" fontId="55" fillId="0" borderId="12" xfId="40" applyFont="1" applyFill="1" applyBorder="1" applyAlignment="1"/>
    <xf numFmtId="0" fontId="5" fillId="0" borderId="65" xfId="0" applyFont="1" applyFill="1" applyBorder="1" applyAlignment="1">
      <alignment horizontal="left" wrapText="1"/>
    </xf>
    <xf numFmtId="0" fontId="5" fillId="0" borderId="66" xfId="0" applyFont="1" applyFill="1" applyBorder="1" applyAlignment="1">
      <alignment horizontal="left" wrapText="1"/>
    </xf>
    <xf numFmtId="0" fontId="5" fillId="0" borderId="67" xfId="0" applyFont="1" applyFill="1" applyBorder="1" applyAlignment="1">
      <alignment horizontal="left" wrapText="1"/>
    </xf>
    <xf numFmtId="0" fontId="9" fillId="0" borderId="72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9" fillId="0" borderId="73" xfId="0" applyNumberFormat="1" applyFont="1" applyFill="1" applyBorder="1" applyAlignment="1">
      <alignment horizontal="center" vertical="center" wrapText="1"/>
    </xf>
    <xf numFmtId="0" fontId="5" fillId="0" borderId="18" xfId="40" applyFont="1" applyFill="1" applyBorder="1" applyAlignment="1"/>
    <xf numFmtId="0" fontId="5" fillId="0" borderId="21" xfId="40" applyFont="1" applyFill="1" applyBorder="1" applyAlignment="1"/>
    <xf numFmtId="0" fontId="5" fillId="0" borderId="62" xfId="40" applyFont="1" applyFill="1" applyBorder="1" applyAlignment="1"/>
    <xf numFmtId="0" fontId="6" fillId="0" borderId="63" xfId="40" applyFont="1" applyFill="1" applyBorder="1" applyAlignment="1"/>
    <xf numFmtId="0" fontId="5" fillId="0" borderId="33" xfId="40" applyFont="1" applyFill="1" applyBorder="1" applyAlignment="1" applyProtection="1">
      <alignment horizontal="left"/>
    </xf>
    <xf numFmtId="0" fontId="5" fillId="0" borderId="25" xfId="40" applyFont="1" applyFill="1" applyBorder="1" applyAlignment="1" applyProtection="1">
      <alignment horizontal="left"/>
    </xf>
    <xf numFmtId="0" fontId="5" fillId="0" borderId="55" xfId="40" applyFont="1" applyFill="1" applyBorder="1" applyAlignment="1" applyProtection="1">
      <alignment horizontal="center" vertical="top" wrapText="1"/>
    </xf>
    <xf numFmtId="0" fontId="5" fillId="0" borderId="14" xfId="40" applyFont="1" applyFill="1" applyBorder="1" applyAlignment="1" applyProtection="1">
      <alignment horizontal="center" vertical="top" wrapText="1"/>
    </xf>
    <xf numFmtId="0" fontId="67" fillId="0" borderId="12" xfId="40" applyFont="1" applyFill="1" applyBorder="1" applyAlignment="1" applyProtection="1">
      <alignment horizontal="left" vertical="center" wrapText="1"/>
    </xf>
    <xf numFmtId="0" fontId="5" fillId="0" borderId="12" xfId="40" applyFont="1" applyFill="1" applyBorder="1" applyAlignment="1" applyProtection="1">
      <alignment horizontal="center" vertical="center"/>
    </xf>
    <xf numFmtId="199" fontId="5" fillId="0" borderId="12" xfId="40" applyNumberFormat="1" applyFont="1" applyFill="1" applyBorder="1" applyAlignment="1" applyProtection="1">
      <alignment horizontal="center" vertical="center"/>
    </xf>
    <xf numFmtId="0" fontId="6" fillId="0" borderId="20" xfId="40" applyFont="1" applyFill="1" applyBorder="1" applyAlignment="1" applyProtection="1">
      <alignment horizontal="center"/>
    </xf>
    <xf numFmtId="0" fontId="6" fillId="0" borderId="17" xfId="40" applyFont="1" applyFill="1" applyBorder="1" applyAlignment="1" applyProtection="1">
      <alignment horizontal="center"/>
    </xf>
    <xf numFmtId="0" fontId="5" fillId="0" borderId="29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3" fontId="5" fillId="0" borderId="29" xfId="40" applyNumberFormat="1" applyFont="1" applyFill="1" applyBorder="1" applyAlignment="1">
      <alignment horizontal="center" vertical="center"/>
    </xf>
    <xf numFmtId="0" fontId="6" fillId="0" borderId="18" xfId="40" applyFont="1" applyFill="1" applyBorder="1" applyAlignment="1">
      <alignment horizontal="center" vertical="center"/>
    </xf>
    <xf numFmtId="0" fontId="6" fillId="0" borderId="21" xfId="40" applyFont="1" applyFill="1" applyBorder="1" applyAlignment="1">
      <alignment horizontal="center" vertical="center"/>
    </xf>
    <xf numFmtId="0" fontId="5" fillId="0" borderId="60" xfId="40" applyFont="1" applyFill="1" applyBorder="1" applyAlignment="1">
      <alignment horizontal="left" vertical="center" wrapText="1"/>
    </xf>
    <xf numFmtId="0" fontId="5" fillId="0" borderId="45" xfId="40" applyFont="1" applyFill="1" applyBorder="1" applyAlignment="1">
      <alignment horizontal="left" vertical="center" wrapText="1"/>
    </xf>
    <xf numFmtId="0" fontId="5" fillId="0" borderId="55" xfId="40" applyFont="1" applyFill="1" applyBorder="1" applyAlignment="1">
      <alignment horizontal="center" vertical="center" wrapText="1"/>
    </xf>
    <xf numFmtId="0" fontId="5" fillId="0" borderId="14" xfId="40" applyFont="1" applyFill="1" applyBorder="1" applyAlignment="1">
      <alignment horizontal="center" vertical="center" wrapText="1"/>
    </xf>
    <xf numFmtId="0" fontId="5" fillId="0" borderId="65" xfId="40" applyFont="1" applyFill="1" applyBorder="1" applyAlignment="1">
      <alignment vertical="center" wrapText="1"/>
    </xf>
    <xf numFmtId="0" fontId="5" fillId="0" borderId="19" xfId="40" applyFont="1" applyFill="1" applyBorder="1" applyAlignment="1">
      <alignment vertical="center" wrapText="1"/>
    </xf>
    <xf numFmtId="0" fontId="6" fillId="0" borderId="55" xfId="40" applyFont="1" applyFill="1" applyBorder="1" applyAlignment="1">
      <alignment horizontal="center" vertical="center" wrapText="1"/>
    </xf>
    <xf numFmtId="0" fontId="5" fillId="0" borderId="20" xfId="40" applyFont="1" applyFill="1" applyBorder="1" applyAlignment="1">
      <alignment horizontal="center" vertical="center" wrapText="1"/>
    </xf>
    <xf numFmtId="0" fontId="5" fillId="0" borderId="72" xfId="40" applyFont="1" applyFill="1" applyBorder="1" applyAlignment="1">
      <alignment horizontal="left" vertical="center" wrapText="1"/>
    </xf>
    <xf numFmtId="0" fontId="5" fillId="0" borderId="76" xfId="40" applyFont="1" applyFill="1" applyBorder="1" applyAlignment="1">
      <alignment horizontal="left" vertical="center" wrapText="1"/>
    </xf>
    <xf numFmtId="0" fontId="67" fillId="0" borderId="60" xfId="40" applyFont="1" applyFill="1" applyBorder="1" applyAlignment="1" applyProtection="1">
      <alignment horizontal="left" vertical="center" wrapText="1"/>
    </xf>
    <xf numFmtId="0" fontId="67" fillId="0" borderId="39" xfId="40" applyFont="1" applyFill="1" applyBorder="1" applyAlignment="1" applyProtection="1">
      <alignment horizontal="left" vertical="center" wrapText="1"/>
    </xf>
    <xf numFmtId="0" fontId="67" fillId="0" borderId="61" xfId="40" applyFont="1" applyFill="1" applyBorder="1" applyAlignment="1" applyProtection="1">
      <alignment horizontal="left" vertical="center" wrapText="1"/>
    </xf>
    <xf numFmtId="0" fontId="6" fillId="0" borderId="19" xfId="40" applyFont="1" applyFill="1" applyBorder="1" applyAlignment="1">
      <alignment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5" fillId="0" borderId="57" xfId="40" applyFont="1" applyFill="1" applyBorder="1" applyAlignment="1">
      <alignment horizontal="center" vertical="center" wrapText="1"/>
    </xf>
    <xf numFmtId="0" fontId="5" fillId="0" borderId="55" xfId="40" applyFont="1" applyFill="1" applyBorder="1" applyAlignment="1">
      <alignment horizontal="center" vertical="center"/>
    </xf>
    <xf numFmtId="0" fontId="5" fillId="0" borderId="20" xfId="40" applyFont="1" applyFill="1" applyBorder="1" applyAlignment="1">
      <alignment horizontal="center" vertical="center"/>
    </xf>
    <xf numFmtId="0" fontId="5" fillId="0" borderId="81" xfId="40" applyFont="1" applyFill="1" applyBorder="1" applyAlignment="1">
      <alignment vertical="center" wrapText="1"/>
    </xf>
    <xf numFmtId="0" fontId="6" fillId="0" borderId="44" xfId="40" applyFont="1" applyFill="1" applyBorder="1" applyAlignment="1">
      <alignment vertical="center" wrapText="1"/>
    </xf>
    <xf numFmtId="0" fontId="55" fillId="0" borderId="65" xfId="40" applyFont="1" applyFill="1" applyBorder="1" applyAlignment="1" applyProtection="1">
      <alignment horizontal="left" vertical="center" wrapText="1"/>
    </xf>
    <xf numFmtId="0" fontId="55" fillId="0" borderId="66" xfId="40" applyFont="1" applyFill="1" applyBorder="1" applyAlignment="1" applyProtection="1">
      <alignment horizontal="left" vertical="center" wrapText="1"/>
    </xf>
    <xf numFmtId="0" fontId="55" fillId="0" borderId="67" xfId="40" applyFont="1" applyFill="1" applyBorder="1" applyAlignment="1" applyProtection="1">
      <alignment horizontal="left" vertical="center" wrapText="1"/>
    </xf>
    <xf numFmtId="0" fontId="5" fillId="0" borderId="34" xfId="40" applyFont="1" applyFill="1" applyBorder="1" applyAlignment="1">
      <alignment horizontal="left" vertical="center" wrapText="1"/>
    </xf>
    <xf numFmtId="0" fontId="5" fillId="0" borderId="24" xfId="40" applyFont="1" applyFill="1" applyBorder="1" applyAlignment="1">
      <alignment horizontal="left" vertical="center" wrapText="1"/>
    </xf>
    <xf numFmtId="0" fontId="55" fillId="0" borderId="55" xfId="40" applyFont="1" applyFill="1" applyBorder="1" applyAlignment="1">
      <alignment horizontal="center" vertical="center"/>
    </xf>
    <xf numFmtId="0" fontId="55" fillId="0" borderId="29" xfId="40" applyFont="1" applyFill="1" applyBorder="1" applyAlignment="1">
      <alignment horizontal="center" vertical="center"/>
    </xf>
    <xf numFmtId="0" fontId="55" fillId="0" borderId="15" xfId="40" applyFont="1" applyFill="1" applyBorder="1" applyAlignment="1">
      <alignment horizontal="center" vertical="center"/>
    </xf>
    <xf numFmtId="0" fontId="55" fillId="0" borderId="16" xfId="40" applyFont="1" applyFill="1" applyBorder="1" applyAlignment="1">
      <alignment horizontal="center" vertical="center"/>
    </xf>
    <xf numFmtId="0" fontId="55" fillId="0" borderId="58" xfId="40" applyFont="1" applyFill="1" applyBorder="1" applyAlignment="1">
      <alignment horizontal="center" vertical="center"/>
    </xf>
    <xf numFmtId="0" fontId="55" fillId="0" borderId="0" xfId="40" applyFont="1" applyFill="1" applyBorder="1" applyAlignment="1">
      <alignment horizontal="center" vertical="center"/>
    </xf>
    <xf numFmtId="0" fontId="55" fillId="0" borderId="59" xfId="40" applyFont="1" applyFill="1" applyBorder="1" applyAlignment="1">
      <alignment horizontal="center" vertical="center"/>
    </xf>
    <xf numFmtId="0" fontId="22" fillId="0" borderId="75" xfId="40" applyFont="1" applyFill="1" applyBorder="1" applyAlignment="1"/>
    <xf numFmtId="0" fontId="22" fillId="0" borderId="70" xfId="40" applyFont="1" applyFill="1" applyBorder="1" applyAlignment="1"/>
    <xf numFmtId="0" fontId="22" fillId="0" borderId="79" xfId="40" applyFont="1" applyFill="1" applyBorder="1" applyAlignment="1"/>
    <xf numFmtId="3" fontId="55" fillId="0" borderId="78" xfId="40" applyNumberFormat="1" applyFont="1" applyFill="1" applyBorder="1" applyAlignment="1">
      <alignment horizontal="center" vertical="center" wrapText="1"/>
    </xf>
    <xf numFmtId="0" fontId="22" fillId="0" borderId="80" xfId="40" applyFont="1" applyFill="1" applyBorder="1" applyAlignment="1">
      <alignment horizontal="center"/>
    </xf>
    <xf numFmtId="0" fontId="22" fillId="0" borderId="18" xfId="40" applyFont="1" applyFill="1" applyBorder="1" applyAlignment="1">
      <alignment horizontal="center"/>
    </xf>
    <xf numFmtId="0" fontId="22" fillId="0" borderId="21" xfId="40" applyFont="1" applyFill="1" applyBorder="1" applyAlignment="1">
      <alignment horizontal="center"/>
    </xf>
    <xf numFmtId="0" fontId="5" fillId="0" borderId="37" xfId="40" applyFont="1" applyFill="1" applyBorder="1" applyAlignment="1">
      <alignment vertical="center" wrapText="1"/>
    </xf>
    <xf numFmtId="0" fontId="6" fillId="0" borderId="40" xfId="40" applyFont="1" applyFill="1" applyBorder="1" applyAlignment="1">
      <alignment vertical="center" wrapText="1"/>
    </xf>
    <xf numFmtId="0" fontId="6" fillId="0" borderId="39" xfId="0" applyFont="1" applyBorder="1" applyAlignment="1">
      <alignment horizontal="left"/>
    </xf>
    <xf numFmtId="0" fontId="3" fillId="0" borderId="3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čiarky 2" xfId="27"/>
    <cellStyle name="čiarky 3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e" xfId="0" builtinId="0"/>
    <cellStyle name="normálne 2" xfId="39"/>
    <cellStyle name="normálne 3" xfId="40"/>
    <cellStyle name="normálne_Databazy_VVŠ_2007_ severská" xfId="41"/>
    <cellStyle name="normálne_Databazy_VVŠ_2007_ severská_VVS_vyr_spravy_2009_T24,T25" xfId="42"/>
    <cellStyle name="normálne_naklady1" xfId="43"/>
    <cellStyle name="normálne_sprava_VVŠ_2004_tabuľky_vláda" xfId="44"/>
    <cellStyle name="normální_List1" xfId="45"/>
    <cellStyle name="Note" xfId="46"/>
    <cellStyle name="Output" xfId="47"/>
    <cellStyle name="SAPBEXaggData" xfId="48"/>
    <cellStyle name="SAPBEXaggDataEmph" xfId="49"/>
    <cellStyle name="SAPBEXaggItem" xfId="50"/>
    <cellStyle name="SAPBEXaggItemX" xfId="51"/>
    <cellStyle name="SAPBEXexcBad7" xfId="52"/>
    <cellStyle name="SAPBEXexcBad8" xfId="53"/>
    <cellStyle name="SAPBEXexcBad9" xfId="54"/>
    <cellStyle name="SAPBEXexcCritical4" xfId="55"/>
    <cellStyle name="SAPBEXexcCritical5" xfId="56"/>
    <cellStyle name="SAPBEXexcCritical6" xfId="57"/>
    <cellStyle name="SAPBEXexcGood1" xfId="58"/>
    <cellStyle name="SAPBEXexcGood2" xfId="59"/>
    <cellStyle name="SAPBEXexcGood3" xfId="60"/>
    <cellStyle name="SAPBEXfilterDrill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Title" xfId="86"/>
    <cellStyle name="Total" xfId="87"/>
    <cellStyle name="Warning Text" xfId="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0.145/Documents%20and%20Settings/mederly/Local%20Settings/Temporary%20Internet%20Files/OLK185F/struktura%20zamestnancov%20po%20fakultach_PM%2004-12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-VS\Rok_2007\Vyro&#269;n&#233;_spr&#225;vy_2006\VV&#353;_Data\Databazy_VV&#352;_2006_%20seversk&#2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k_2009\V&#253;ro&#269;n&#233;%20spr&#225;vy_2008\Tabulky_VSH_2008_VV&#35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\Local%20Settings\Temporary%20Internet%20Files\OLK185F\struktura%20zamestnancov%20po%20fakultach_PM%2004-12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ATA~1.LUC\AppData\Local\Temp\VS010_MSSR_pracov-rena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stupy"/>
      <sheetName val="struktura profesorov"/>
      <sheetName val="struktura docentov"/>
      <sheetName val="T7-systemizacia po fakultach"/>
      <sheetName val="T8-vek profesorov"/>
      <sheetName val="T9-vek docentov"/>
      <sheetName val="10-ostatní_s_PhD"/>
      <sheetName val="studetni verzus miesta"/>
      <sheetName val="vahy"/>
      <sheetName val="nepubliko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B1">
            <v>1</v>
          </cell>
        </row>
        <row r="2">
          <cell r="B2">
            <v>0.3</v>
          </cell>
        </row>
        <row r="3">
          <cell r="B3">
            <v>3</v>
          </cell>
        </row>
        <row r="4">
          <cell r="B4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_18_soc. štip_2005_2007"/>
      <sheetName val="T19 - Ubytovacia_kapacita"/>
      <sheetName val="T_20a_Súvaha_A_2007"/>
      <sheetName val="T24_Náklady_2007"/>
      <sheetName val="T25 - Náklady_porovnanie"/>
      <sheetName val="T_26_HV_2007"/>
      <sheetName val="T23 - Výnosy_porovnanie"/>
      <sheetName val="T_20b_Súvaha_P_2007"/>
      <sheetName val="T_25_soc. štip_2006"/>
      <sheetName val="T_26_ubytov. kapacity_2006"/>
      <sheetName val="T_32_Výnosy_soc.star._2006"/>
      <sheetName val="T_33_Náklady_soc. star._2007"/>
      <sheetName val="T_34_HV_ soc. star._2007"/>
      <sheetName val="T_29_Výnosy_2006"/>
      <sheetName val="T_30_Náklady_2006"/>
      <sheetName val="T_31_HV_2006"/>
      <sheetName val="T_27a_Súvaha_A_2006"/>
      <sheetName val="T_27b_Súvaha_P_2006"/>
      <sheetName val="Databáza_T8"/>
      <sheetName val="KT_8"/>
      <sheetName val="Databáta_T9"/>
      <sheetName val="KT_9"/>
      <sheetName val="Databáza_T10"/>
      <sheetName val="KT_10"/>
      <sheetName val="Databáza_T19"/>
      <sheetName val="KT_19"/>
      <sheetName val="Databáza_T20"/>
      <sheetName val="KT_20"/>
      <sheetName val="T_33_Náklady_soc. star._2006"/>
      <sheetName val="T_34_HV_ soc. star._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_18_soc. štip_2005_2008"/>
      <sheetName val="T19 - Ubytovanie_2005_2008"/>
      <sheetName val="T_20a_Súvaha_A_2008"/>
      <sheetName val="T_20b_Súvaha_P_2008"/>
      <sheetName val="T_22_Výnosy_2008"/>
      <sheetName val="T23 - Výnosy_porovnanie"/>
      <sheetName val="T24_Náklady_2008"/>
      <sheetName val="T25 - Náklady_porovnanie"/>
      <sheetName val="T_26_HV_2008"/>
      <sheetName val="T_27_Výnosy_so_o_porovnanie"/>
      <sheetName val="T28_Náklady_soc_o_porovnanie"/>
      <sheetName val="T_32_Výnosy_soc.star._2008"/>
      <sheetName val="T_33_Náklady_soc. star._2008"/>
      <sheetName val="T_34_HV_ soc. star._2008"/>
      <sheetName val="T25-účet 3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stupy"/>
      <sheetName val="struktura profesorov"/>
      <sheetName val="struktura docentov"/>
      <sheetName val="T7-systemizacia po fakultach"/>
      <sheetName val="T8-vek profesorov"/>
      <sheetName val="T9-vek docentov"/>
      <sheetName val="10-ostatní_s_PhD"/>
      <sheetName val="studetni verzus miesta"/>
      <sheetName val="vahy"/>
      <sheetName val="nepubliko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B1">
            <v>1</v>
          </cell>
        </row>
        <row r="2">
          <cell r="B2">
            <v>0.3</v>
          </cell>
        </row>
        <row r="3">
          <cell r="B3">
            <v>3</v>
          </cell>
        </row>
        <row r="4">
          <cell r="B4">
            <v>0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zmeny"/>
      <sheetName val="Vysvetlivky"/>
      <sheetName val="Súvzťažnosti"/>
      <sheetName val="T1-Dotácie podľa DZ"/>
      <sheetName val="T2-Ostatné dot mimo MŠ SR"/>
      <sheetName val="T3-Výnosy"/>
      <sheetName val="T4-Výnosy zo školného"/>
      <sheetName val="T5 - Analýza nákladov"/>
      <sheetName val="T6-Zamestnanci_a_mzdy"/>
      <sheetName val="T7_Doktorandi"/>
      <sheetName val="T8-Soc_štipendiá"/>
      <sheetName val="T9_ŠD "/>
      <sheetName val="T10-ŠJ "/>
      <sheetName val="T11-Zdroje KV"/>
      <sheetName val="T12-KV"/>
      <sheetName val="T13 - Fondy"/>
      <sheetName val="T14 - Zúčtovanie_bežnej_dot"/>
      <sheetName val="T15_zúč._kap_dotácie"/>
      <sheetName val="T16 - Štruktúra hotovosti"/>
      <sheetName val="T17-Dotácie z EÚ"/>
      <sheetName val="T18-Ostatné dotacie z kap MŠ SR"/>
      <sheetName val="T19-Štip_ z vlastných"/>
      <sheetName val="T20_motivačné štipendiá_nová"/>
      <sheetName val="T21-štruktúra_384"/>
      <sheetName val="T22_Výnosy_soc_oblasť"/>
      <sheetName val="T23_Náklady_soc_oblasť"/>
      <sheetName val="T24a_Aktíva_1"/>
      <sheetName val="T24b_Aktíva_2"/>
      <sheetName val="T25_Pasíva "/>
      <sheetName val="T24__Aktí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1">
          <cell r="D41">
            <v>1401759.7399999998</v>
          </cell>
          <cell r="E41">
            <v>1509432.7</v>
          </cell>
          <cell r="F41">
            <v>107672.96000000002</v>
          </cell>
        </row>
        <row r="42">
          <cell r="F42">
            <v>215345.92000000004</v>
          </cell>
        </row>
      </sheetData>
      <sheetData sheetId="27">
        <row r="6">
          <cell r="D6">
            <v>75189278.269999996</v>
          </cell>
          <cell r="E6">
            <v>20635579.829999998</v>
          </cell>
          <cell r="F6">
            <v>54553698.440000005</v>
          </cell>
          <cell r="G6">
            <v>26229677.380000003</v>
          </cell>
        </row>
      </sheetData>
      <sheetData sheetId="28">
        <row r="6">
          <cell r="D6">
            <v>8430420.7300000004</v>
          </cell>
          <cell r="E6">
            <v>0</v>
          </cell>
          <cell r="F6">
            <v>8430420.7300000004</v>
          </cell>
          <cell r="G6">
            <v>6753707.3000000007</v>
          </cell>
        </row>
        <row r="34">
          <cell r="D34">
            <v>113587.04</v>
          </cell>
          <cell r="E34">
            <v>0</v>
          </cell>
          <cell r="F34">
            <v>113587.04</v>
          </cell>
          <cell r="G34">
            <v>88949.31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5" enableFormatConditionsCalculation="0">
    <tabColor indexed="42"/>
    <pageSetUpPr fitToPage="1"/>
  </sheetPr>
  <dimension ref="A1:E23"/>
  <sheetViews>
    <sheetView tabSelected="1" zoomScale="110" zoomScaleNormal="11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20" sqref="B20"/>
    </sheetView>
  </sheetViews>
  <sheetFormatPr defaultRowHeight="15.75"/>
  <cols>
    <col min="1" max="1" width="9.140625" style="8"/>
    <col min="2" max="2" width="77.85546875" style="29" customWidth="1"/>
    <col min="3" max="5" width="17.42578125" style="5" customWidth="1"/>
    <col min="6" max="6" width="12.42578125" style="5" customWidth="1"/>
    <col min="7" max="16384" width="9.140625" style="5"/>
  </cols>
  <sheetData>
    <row r="1" spans="1:5" s="4" customFormat="1" ht="50.1" customHeight="1">
      <c r="A1" s="472" t="s">
        <v>578</v>
      </c>
      <c r="B1" s="473"/>
      <c r="C1" s="473"/>
      <c r="D1" s="473"/>
      <c r="E1" s="474"/>
    </row>
    <row r="2" spans="1:5" s="4" customFormat="1" ht="35.1" customHeight="1">
      <c r="A2" s="475" t="s">
        <v>1028</v>
      </c>
      <c r="B2" s="476"/>
      <c r="C2" s="476"/>
      <c r="D2" s="476"/>
      <c r="E2" s="477"/>
    </row>
    <row r="3" spans="1:5" ht="43.5" customHeight="1">
      <c r="A3" s="10" t="s">
        <v>812</v>
      </c>
      <c r="B3" s="25" t="s">
        <v>811</v>
      </c>
      <c r="C3" s="1" t="s">
        <v>894</v>
      </c>
      <c r="D3" s="1" t="s">
        <v>895</v>
      </c>
      <c r="E3" s="13" t="s">
        <v>821</v>
      </c>
    </row>
    <row r="4" spans="1:5" ht="17.25" customHeight="1">
      <c r="A4" s="11"/>
      <c r="B4" s="25"/>
      <c r="C4" s="15" t="s">
        <v>878</v>
      </c>
      <c r="D4" s="15" t="s">
        <v>879</v>
      </c>
      <c r="E4" s="16" t="s">
        <v>621</v>
      </c>
    </row>
    <row r="5" spans="1:5">
      <c r="A5" s="11">
        <v>1</v>
      </c>
      <c r="B5" s="25" t="s">
        <v>954</v>
      </c>
      <c r="C5" s="30">
        <f>C6</f>
        <v>18854128</v>
      </c>
      <c r="D5" s="30">
        <f>D6</f>
        <v>1300000</v>
      </c>
      <c r="E5" s="31">
        <f>C5+D5</f>
        <v>20154128</v>
      </c>
    </row>
    <row r="6" spans="1:5">
      <c r="A6" s="11">
        <f>A5+1</f>
        <v>2</v>
      </c>
      <c r="B6" s="9" t="s">
        <v>858</v>
      </c>
      <c r="C6" s="131">
        <v>18854128</v>
      </c>
      <c r="D6" s="131">
        <v>1300000</v>
      </c>
      <c r="E6" s="132">
        <f>C6+D6</f>
        <v>20154128</v>
      </c>
    </row>
    <row r="7" spans="1:5" ht="15.75" customHeight="1">
      <c r="A7" s="11">
        <f>A6+1</f>
        <v>3</v>
      </c>
      <c r="B7" s="25" t="s">
        <v>955</v>
      </c>
      <c r="C7" s="153">
        <f>C8+C9+C10+C11+C12</f>
        <v>2159009</v>
      </c>
      <c r="D7" s="153">
        <f>D8+D9+D10+D11+D12</f>
        <v>310613</v>
      </c>
      <c r="E7" s="132">
        <f>C7+D7</f>
        <v>2469622</v>
      </c>
    </row>
    <row r="8" spans="1:5">
      <c r="A8" s="11">
        <f t="shared" ref="A8:A19" si="0">A7+1</f>
        <v>4</v>
      </c>
      <c r="B8" s="9" t="s">
        <v>859</v>
      </c>
      <c r="C8" s="131">
        <v>1538796</v>
      </c>
      <c r="D8" s="131">
        <v>4000</v>
      </c>
      <c r="E8" s="132">
        <f>C8+D8</f>
        <v>1542796</v>
      </c>
    </row>
    <row r="9" spans="1:5">
      <c r="A9" s="11">
        <f t="shared" si="0"/>
        <v>5</v>
      </c>
      <c r="B9" s="9" t="s">
        <v>860</v>
      </c>
      <c r="C9" s="131">
        <v>524599</v>
      </c>
      <c r="D9" s="131">
        <v>270851</v>
      </c>
      <c r="E9" s="132">
        <f>C9+D9</f>
        <v>795450</v>
      </c>
    </row>
    <row r="10" spans="1:5">
      <c r="A10" s="11">
        <f t="shared" si="0"/>
        <v>6</v>
      </c>
      <c r="B10" s="9" t="s">
        <v>861</v>
      </c>
      <c r="C10" s="131"/>
      <c r="D10" s="131"/>
      <c r="E10" s="132">
        <f t="shared" ref="E10:E19" si="1">C10+D10</f>
        <v>0</v>
      </c>
    </row>
    <row r="11" spans="1:5">
      <c r="A11" s="11">
        <f t="shared" si="0"/>
        <v>7</v>
      </c>
      <c r="B11" s="9" t="s">
        <v>862</v>
      </c>
      <c r="C11" s="131">
        <v>10000</v>
      </c>
      <c r="D11" s="131"/>
      <c r="E11" s="132">
        <f t="shared" si="1"/>
        <v>10000</v>
      </c>
    </row>
    <row r="12" spans="1:5">
      <c r="A12" s="11">
        <f t="shared" si="0"/>
        <v>8</v>
      </c>
      <c r="B12" s="9" t="s">
        <v>752</v>
      </c>
      <c r="C12" s="131">
        <v>85614</v>
      </c>
      <c r="D12" s="131">
        <v>35762</v>
      </c>
      <c r="E12" s="132">
        <f t="shared" si="1"/>
        <v>121376</v>
      </c>
    </row>
    <row r="13" spans="1:5" ht="15.75" customHeight="1">
      <c r="A13" s="11">
        <f t="shared" si="0"/>
        <v>9</v>
      </c>
      <c r="B13" s="25" t="s">
        <v>956</v>
      </c>
      <c r="C13" s="153">
        <f>C14</f>
        <v>0</v>
      </c>
      <c r="D13" s="153">
        <f>D14</f>
        <v>0</v>
      </c>
      <c r="E13" s="132">
        <f t="shared" si="1"/>
        <v>0</v>
      </c>
    </row>
    <row r="14" spans="1:5">
      <c r="A14" s="11">
        <f t="shared" si="0"/>
        <v>10</v>
      </c>
      <c r="B14" s="9" t="s">
        <v>753</v>
      </c>
      <c r="C14" s="131"/>
      <c r="D14" s="131"/>
      <c r="E14" s="132">
        <f t="shared" si="1"/>
        <v>0</v>
      </c>
    </row>
    <row r="15" spans="1:5">
      <c r="A15" s="11">
        <f t="shared" si="0"/>
        <v>11</v>
      </c>
      <c r="B15" s="25" t="s">
        <v>957</v>
      </c>
      <c r="C15" s="153">
        <f>SUM(C16:C18)</f>
        <v>2821076</v>
      </c>
      <c r="D15" s="153">
        <f>SUM(D16:D18)</f>
        <v>0</v>
      </c>
      <c r="E15" s="132">
        <f t="shared" si="1"/>
        <v>2821076</v>
      </c>
    </row>
    <row r="16" spans="1:5">
      <c r="A16" s="11">
        <f t="shared" si="0"/>
        <v>12</v>
      </c>
      <c r="B16" s="9" t="s">
        <v>754</v>
      </c>
      <c r="C16" s="131">
        <v>1687272</v>
      </c>
      <c r="D16" s="131"/>
      <c r="E16" s="132">
        <f t="shared" si="1"/>
        <v>1687272</v>
      </c>
    </row>
    <row r="17" spans="1:5">
      <c r="A17" s="11">
        <f t="shared" si="0"/>
        <v>13</v>
      </c>
      <c r="B17" s="9" t="s">
        <v>755</v>
      </c>
      <c r="C17" s="131">
        <v>350200</v>
      </c>
      <c r="D17" s="131"/>
      <c r="E17" s="132">
        <f t="shared" si="1"/>
        <v>350200</v>
      </c>
    </row>
    <row r="18" spans="1:5">
      <c r="A18" s="11">
        <f t="shared" si="0"/>
        <v>14</v>
      </c>
      <c r="B18" s="9" t="s">
        <v>756</v>
      </c>
      <c r="C18" s="131">
        <v>783604</v>
      </c>
      <c r="D18" s="131"/>
      <c r="E18" s="132">
        <f t="shared" si="1"/>
        <v>783604</v>
      </c>
    </row>
    <row r="19" spans="1:5" ht="16.5" thickBot="1">
      <c r="A19" s="12">
        <f t="shared" si="0"/>
        <v>15</v>
      </c>
      <c r="B19" s="27" t="s">
        <v>958</v>
      </c>
      <c r="C19" s="154">
        <f>C5+C7+C13+C15</f>
        <v>23834213</v>
      </c>
      <c r="D19" s="154">
        <f>D5+D7+D13+D15</f>
        <v>1610613</v>
      </c>
      <c r="E19" s="155">
        <f t="shared" si="1"/>
        <v>25444826</v>
      </c>
    </row>
    <row r="20" spans="1:5">
      <c r="A20" s="6"/>
      <c r="B20" s="28"/>
      <c r="C20" s="478"/>
      <c r="D20" s="478"/>
    </row>
    <row r="21" spans="1:5">
      <c r="A21" s="7"/>
      <c r="B21" s="67"/>
    </row>
    <row r="23" spans="1:5">
      <c r="B23" s="29" t="s">
        <v>757</v>
      </c>
    </row>
  </sheetData>
  <sheetProtection selectLockedCells="1"/>
  <protectedRanges>
    <protectedRange sqref="C8:D12 C16:C18 C14:D14 C6:D6" name="Rozsah2_1"/>
    <protectedRange sqref="C19:D19" name="Rozsah1_1"/>
  </protectedRanges>
  <mergeCells count="3">
    <mergeCell ref="A1:E1"/>
    <mergeCell ref="A2:E2"/>
    <mergeCell ref="C20:D20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árok14" enableFormatConditionsCalculation="0">
    <tabColor indexed="42"/>
  </sheetPr>
  <dimension ref="A1:E29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RowHeight="15.75"/>
  <cols>
    <col min="1" max="1" width="8.140625" style="24" customWidth="1"/>
    <col min="2" max="2" width="93.28515625" style="194" customWidth="1"/>
    <col min="3" max="4" width="17.5703125" style="24" customWidth="1"/>
    <col min="5" max="5" width="11.42578125" style="61" customWidth="1"/>
    <col min="6" max="16384" width="9.140625" style="24"/>
  </cols>
  <sheetData>
    <row r="1" spans="1:5" ht="50.1" customHeight="1" thickBot="1">
      <c r="A1" s="548" t="s">
        <v>532</v>
      </c>
      <c r="B1" s="507"/>
      <c r="C1" s="507"/>
      <c r="D1" s="508"/>
      <c r="E1" s="262"/>
    </row>
    <row r="2" spans="1:5" ht="29.25" customHeight="1">
      <c r="A2" s="567" t="s">
        <v>1035</v>
      </c>
      <c r="B2" s="568"/>
      <c r="C2" s="568"/>
      <c r="D2" s="569"/>
    </row>
    <row r="3" spans="1:5" ht="33" customHeight="1">
      <c r="A3" s="79" t="s">
        <v>812</v>
      </c>
      <c r="B3" s="136" t="s">
        <v>916</v>
      </c>
      <c r="C3" s="3">
        <v>2009</v>
      </c>
      <c r="D3" s="2">
        <v>2010</v>
      </c>
    </row>
    <row r="4" spans="1:5">
      <c r="A4" s="263"/>
      <c r="B4" s="264"/>
      <c r="C4" s="20" t="s">
        <v>878</v>
      </c>
      <c r="D4" s="75" t="s">
        <v>879</v>
      </c>
    </row>
    <row r="5" spans="1:5" ht="18.75">
      <c r="A5" s="21">
        <v>1</v>
      </c>
      <c r="B5" s="34" t="s">
        <v>871</v>
      </c>
      <c r="C5" s="265">
        <f>+C6+C9</f>
        <v>137154.97999999998</v>
      </c>
      <c r="D5" s="266">
        <f>D6+D9</f>
        <v>149839.32</v>
      </c>
    </row>
    <row r="6" spans="1:5">
      <c r="A6" s="21">
        <f t="shared" ref="A6:A13" si="0">A5+1</f>
        <v>2</v>
      </c>
      <c r="B6" s="34" t="s">
        <v>951</v>
      </c>
      <c r="C6" s="265">
        <f>+C7+C8</f>
        <v>85488.98</v>
      </c>
      <c r="D6" s="266">
        <f>+D7+D8</f>
        <v>94777.32</v>
      </c>
    </row>
    <row r="7" spans="1:5">
      <c r="A7" s="21">
        <f t="shared" si="0"/>
        <v>3</v>
      </c>
      <c r="B7" s="32" t="s">
        <v>949</v>
      </c>
      <c r="C7" s="129">
        <v>85488.98</v>
      </c>
      <c r="D7" s="130">
        <v>94777.32</v>
      </c>
    </row>
    <row r="8" spans="1:5">
      <c r="A8" s="21">
        <f t="shared" si="0"/>
        <v>4</v>
      </c>
      <c r="B8" s="32" t="s">
        <v>950</v>
      </c>
      <c r="C8" s="129"/>
      <c r="D8" s="130"/>
    </row>
    <row r="9" spans="1:5">
      <c r="A9" s="21">
        <f t="shared" si="0"/>
        <v>5</v>
      </c>
      <c r="B9" s="34" t="s">
        <v>849</v>
      </c>
      <c r="C9" s="129">
        <f>+C10+C11-C12</f>
        <v>51666</v>
      </c>
      <c r="D9" s="130">
        <f>+D10+D11-D12</f>
        <v>55062</v>
      </c>
    </row>
    <row r="10" spans="1:5" ht="19.5" customHeight="1">
      <c r="A10" s="21">
        <f t="shared" si="0"/>
        <v>6</v>
      </c>
      <c r="B10" s="32" t="s">
        <v>798</v>
      </c>
      <c r="C10" s="129">
        <v>4679.21</v>
      </c>
      <c r="D10" s="130">
        <f>+C12</f>
        <v>2841.2099999999991</v>
      </c>
    </row>
    <row r="11" spans="1:5">
      <c r="A11" s="21">
        <f t="shared" si="0"/>
        <v>7</v>
      </c>
      <c r="B11" s="26" t="s">
        <v>820</v>
      </c>
      <c r="C11" s="129">
        <v>49828</v>
      </c>
      <c r="D11" s="130">
        <v>52151</v>
      </c>
    </row>
    <row r="12" spans="1:5">
      <c r="A12" s="21">
        <f t="shared" si="0"/>
        <v>8</v>
      </c>
      <c r="B12" s="26" t="s">
        <v>747</v>
      </c>
      <c r="C12" s="129">
        <f>C10+C11-C20</f>
        <v>2841.2099999999991</v>
      </c>
      <c r="D12" s="130">
        <f>D10+D11-D20</f>
        <v>-69.790000000000873</v>
      </c>
    </row>
    <row r="13" spans="1:5" ht="30" customHeight="1">
      <c r="A13" s="21">
        <f t="shared" si="0"/>
        <v>9</v>
      </c>
      <c r="B13" s="34" t="s">
        <v>952</v>
      </c>
      <c r="C13" s="265">
        <v>134724.24</v>
      </c>
      <c r="D13" s="267">
        <v>139869.57</v>
      </c>
    </row>
    <row r="14" spans="1:5">
      <c r="A14" s="21"/>
      <c r="B14" s="268" t="s">
        <v>893</v>
      </c>
      <c r="C14" s="129"/>
      <c r="D14" s="130"/>
    </row>
    <row r="15" spans="1:5" ht="18.75">
      <c r="A15" s="21">
        <f>A13+1</f>
        <v>10</v>
      </c>
      <c r="B15" s="32" t="s">
        <v>953</v>
      </c>
      <c r="C15" s="129">
        <v>134724.24</v>
      </c>
      <c r="D15" s="130">
        <v>139869.57</v>
      </c>
    </row>
    <row r="16" spans="1:5" ht="30.75" customHeight="1">
      <c r="A16" s="21">
        <f t="shared" ref="A16:A21" si="1">+A15+1</f>
        <v>11</v>
      </c>
      <c r="B16" s="34" t="s">
        <v>636</v>
      </c>
      <c r="C16" s="265">
        <f>C5-C13</f>
        <v>2430.7399999999907</v>
      </c>
      <c r="D16" s="267">
        <f>D5-D13</f>
        <v>9969.75</v>
      </c>
    </row>
    <row r="17" spans="1:5" ht="18.75">
      <c r="A17" s="21">
        <f t="shared" si="1"/>
        <v>12</v>
      </c>
      <c r="B17" s="34" t="s">
        <v>1</v>
      </c>
      <c r="C17" s="265">
        <f>C18+C19</f>
        <v>51666</v>
      </c>
      <c r="D17" s="267">
        <f>D18+D19</f>
        <v>55062</v>
      </c>
    </row>
    <row r="18" spans="1:5">
      <c r="A18" s="21">
        <f t="shared" si="1"/>
        <v>13</v>
      </c>
      <c r="B18" s="68" t="s">
        <v>16</v>
      </c>
      <c r="C18" s="265">
        <v>51666</v>
      </c>
      <c r="D18" s="130">
        <v>55062</v>
      </c>
    </row>
    <row r="19" spans="1:5" ht="18.75">
      <c r="A19" s="21">
        <f>+A18+1</f>
        <v>14</v>
      </c>
      <c r="B19" s="68" t="s">
        <v>2</v>
      </c>
      <c r="C19" s="265"/>
      <c r="D19" s="130"/>
    </row>
    <row r="20" spans="1:5">
      <c r="A20" s="21">
        <f>+A19+1</f>
        <v>15</v>
      </c>
      <c r="B20" s="34" t="s">
        <v>0</v>
      </c>
      <c r="C20" s="265">
        <f>(C18*1+C19*1)</f>
        <v>51666</v>
      </c>
      <c r="D20" s="266">
        <f>(D18*1+D19*1)</f>
        <v>55062</v>
      </c>
    </row>
    <row r="21" spans="1:5" ht="16.5" thickBot="1">
      <c r="A21" s="218">
        <f t="shared" si="1"/>
        <v>16</v>
      </c>
      <c r="B21" s="35" t="s">
        <v>5</v>
      </c>
      <c r="C21" s="219">
        <f>IF(C18=0,0,C15/C18)</f>
        <v>2.6075995819300894</v>
      </c>
      <c r="D21" s="269">
        <f>IF(D18=0,0,D15/D18)</f>
        <v>2.5402195706657951</v>
      </c>
    </row>
    <row r="22" spans="1:5">
      <c r="A22" s="58"/>
      <c r="B22" s="57"/>
      <c r="C22" s="59"/>
      <c r="D22" s="59"/>
    </row>
    <row r="23" spans="1:5" s="271" customFormat="1">
      <c r="A23" s="542" t="s">
        <v>948</v>
      </c>
      <c r="B23" s="543"/>
      <c r="C23" s="543"/>
      <c r="D23" s="544"/>
      <c r="E23" s="270"/>
    </row>
    <row r="24" spans="1:5" s="271" customFormat="1">
      <c r="A24" s="564" t="s">
        <v>519</v>
      </c>
      <c r="B24" s="565"/>
      <c r="C24" s="565"/>
      <c r="D24" s="566"/>
      <c r="E24" s="270"/>
    </row>
    <row r="25" spans="1:5" s="271" customFormat="1">
      <c r="A25" s="564" t="s">
        <v>3</v>
      </c>
      <c r="B25" s="565"/>
      <c r="C25" s="565"/>
      <c r="D25" s="566"/>
      <c r="E25" s="270"/>
    </row>
    <row r="26" spans="1:5" s="271" customFormat="1">
      <c r="A26" s="545" t="s">
        <v>4</v>
      </c>
      <c r="B26" s="546"/>
      <c r="C26" s="546"/>
      <c r="D26" s="547"/>
      <c r="E26" s="270"/>
    </row>
    <row r="27" spans="1:5" s="271" customFormat="1">
      <c r="B27" s="272"/>
      <c r="E27" s="270"/>
    </row>
    <row r="28" spans="1:5" s="271" customFormat="1">
      <c r="B28" s="272"/>
      <c r="E28" s="270"/>
    </row>
    <row r="29" spans="1:5" s="271" customFormat="1">
      <c r="B29" s="272"/>
      <c r="D29" s="64"/>
      <c r="E29" s="270"/>
    </row>
  </sheetData>
  <mergeCells count="6">
    <mergeCell ref="A25:D25"/>
    <mergeCell ref="A26:D26"/>
    <mergeCell ref="A1:D1"/>
    <mergeCell ref="A2:D2"/>
    <mergeCell ref="A23:D23"/>
    <mergeCell ref="A24:D24"/>
  </mergeCells>
  <phoneticPr fontId="4" type="noConversion"/>
  <pageMargins left="0.74803149606299213" right="0.74803149606299213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árok15" enableFormatConditionsCalculation="0">
    <tabColor indexed="42"/>
    <pageSetUpPr fitToPage="1"/>
  </sheetPr>
  <dimension ref="A1:I24"/>
  <sheetViews>
    <sheetView workbookViewId="0">
      <selection activeCell="B10" sqref="B10"/>
    </sheetView>
  </sheetViews>
  <sheetFormatPr defaultRowHeight="15.75"/>
  <cols>
    <col min="1" max="1" width="9.140625" style="81"/>
    <col min="2" max="2" width="80.28515625" style="284" customWidth="1"/>
    <col min="3" max="3" width="15.85546875" style="81" customWidth="1"/>
    <col min="4" max="4" width="16" style="81" customWidth="1"/>
    <col min="5" max="5" width="10" style="273" bestFit="1" customWidth="1"/>
    <col min="6" max="6" width="9.140625" style="273"/>
    <col min="7" max="16384" width="9.140625" style="81"/>
  </cols>
  <sheetData>
    <row r="1" spans="1:7" ht="50.1" customHeight="1">
      <c r="A1" s="479" t="s">
        <v>533</v>
      </c>
      <c r="B1" s="480"/>
      <c r="C1" s="480"/>
      <c r="D1" s="481"/>
    </row>
    <row r="2" spans="1:7" ht="27.75" customHeight="1">
      <c r="A2" s="499" t="s">
        <v>1035</v>
      </c>
      <c r="B2" s="500"/>
      <c r="C2" s="500"/>
      <c r="D2" s="501"/>
    </row>
    <row r="3" spans="1:7" ht="25.5" customHeight="1">
      <c r="A3" s="496" t="s">
        <v>812</v>
      </c>
      <c r="B3" s="520" t="s">
        <v>916</v>
      </c>
      <c r="C3" s="572" t="s">
        <v>898</v>
      </c>
      <c r="D3" s="573"/>
    </row>
    <row r="4" spans="1:7" s="275" customFormat="1" ht="24" customHeight="1">
      <c r="A4" s="496"/>
      <c r="B4" s="520"/>
      <c r="C4" s="3" t="s">
        <v>534</v>
      </c>
      <c r="D4" s="2" t="s">
        <v>535</v>
      </c>
      <c r="E4" s="274"/>
      <c r="F4" s="274"/>
    </row>
    <row r="5" spans="1:7" s="275" customFormat="1">
      <c r="A5" s="21"/>
      <c r="B5" s="264"/>
      <c r="C5" s="3" t="s">
        <v>878</v>
      </c>
      <c r="D5" s="2" t="s">
        <v>879</v>
      </c>
      <c r="E5" s="274"/>
      <c r="F5" s="274"/>
    </row>
    <row r="6" spans="1:7" s="275" customFormat="1">
      <c r="A6" s="71">
        <v>1</v>
      </c>
      <c r="B6" s="36" t="s">
        <v>817</v>
      </c>
      <c r="C6" s="276">
        <v>1475516.57</v>
      </c>
      <c r="D6" s="116">
        <v>579579.91</v>
      </c>
      <c r="E6" s="274"/>
      <c r="F6" s="274"/>
    </row>
    <row r="7" spans="1:7" s="275" customFormat="1">
      <c r="A7" s="71">
        <f t="shared" ref="A7:A20" si="0">A6+1</f>
        <v>2</v>
      </c>
      <c r="B7" s="34" t="s">
        <v>770</v>
      </c>
      <c r="C7" s="276">
        <f>SUM(C8:C13)</f>
        <v>434978.27</v>
      </c>
      <c r="D7" s="116">
        <f>SUM(D8:D13)</f>
        <v>2817014.35</v>
      </c>
      <c r="E7" s="274"/>
      <c r="F7" s="274"/>
    </row>
    <row r="8" spans="1:7" s="275" customFormat="1" ht="18.75">
      <c r="A8" s="71">
        <f t="shared" si="0"/>
        <v>3</v>
      </c>
      <c r="B8" s="32" t="s">
        <v>39</v>
      </c>
      <c r="C8" s="114"/>
      <c r="D8" s="115"/>
      <c r="E8" s="274"/>
      <c r="F8" s="274"/>
    </row>
    <row r="9" spans="1:7" s="275" customFormat="1">
      <c r="A9" s="71">
        <f t="shared" si="0"/>
        <v>4</v>
      </c>
      <c r="B9" s="32" t="s">
        <v>1038</v>
      </c>
      <c r="C9" s="114">
        <v>434978.27</v>
      </c>
      <c r="D9" s="115">
        <v>854565.35</v>
      </c>
      <c r="E9" s="274"/>
      <c r="F9" s="274"/>
    </row>
    <row r="10" spans="1:7" s="275" customFormat="1">
      <c r="A10" s="71">
        <f t="shared" si="0"/>
        <v>5</v>
      </c>
      <c r="B10" s="32" t="s">
        <v>42</v>
      </c>
      <c r="C10" s="114"/>
      <c r="D10" s="115">
        <v>1962449</v>
      </c>
      <c r="E10" s="274"/>
      <c r="F10" s="274"/>
    </row>
    <row r="11" spans="1:7" s="275" customFormat="1">
      <c r="A11" s="71">
        <f t="shared" si="0"/>
        <v>6</v>
      </c>
      <c r="B11" s="32" t="s">
        <v>40</v>
      </c>
      <c r="C11" s="114"/>
      <c r="D11" s="115"/>
      <c r="E11" s="274"/>
      <c r="F11" s="274"/>
    </row>
    <row r="12" spans="1:7" s="275" customFormat="1">
      <c r="A12" s="71">
        <f t="shared" si="0"/>
        <v>7</v>
      </c>
      <c r="B12" s="32" t="s">
        <v>41</v>
      </c>
      <c r="C12" s="114"/>
      <c r="D12" s="115"/>
      <c r="E12" s="274"/>
      <c r="F12" s="274"/>
    </row>
    <row r="13" spans="1:7" s="275" customFormat="1" ht="19.5" customHeight="1">
      <c r="A13" s="71">
        <f t="shared" si="0"/>
        <v>8</v>
      </c>
      <c r="B13" s="32" t="s">
        <v>43</v>
      </c>
      <c r="C13" s="114"/>
      <c r="D13" s="115"/>
      <c r="E13" s="274"/>
      <c r="F13" s="274"/>
    </row>
    <row r="14" spans="1:7" s="275" customFormat="1" ht="31.5">
      <c r="A14" s="71">
        <f t="shared" si="0"/>
        <v>9</v>
      </c>
      <c r="B14" s="34" t="s">
        <v>631</v>
      </c>
      <c r="C14" s="276">
        <f>C6+C7</f>
        <v>1910494.84</v>
      </c>
      <c r="D14" s="116">
        <f>D6+D7</f>
        <v>3396594.2600000002</v>
      </c>
      <c r="E14" s="274"/>
      <c r="F14" s="274"/>
      <c r="G14" s="274"/>
    </row>
    <row r="15" spans="1:7" s="275" customFormat="1">
      <c r="A15" s="71">
        <f t="shared" si="0"/>
        <v>10</v>
      </c>
      <c r="B15" s="34" t="s">
        <v>855</v>
      </c>
      <c r="C15" s="276">
        <v>3303872.3</v>
      </c>
      <c r="D15" s="116">
        <f>'T1-Dotácie podľa DZ'!D19+'T2-Ostatné dot mimo MŠ SR'!D38+'T18-Ostatné dotacie z kap MŠ SR'!D18</f>
        <v>1618863.26</v>
      </c>
      <c r="E15" s="277"/>
      <c r="F15" s="277"/>
      <c r="G15" s="277"/>
    </row>
    <row r="16" spans="1:7" s="275" customFormat="1">
      <c r="A16" s="71" t="s">
        <v>18</v>
      </c>
      <c r="B16" s="34" t="s">
        <v>17</v>
      </c>
      <c r="C16" s="276">
        <v>729407.67</v>
      </c>
      <c r="D16" s="116">
        <v>7108099.4100000001</v>
      </c>
      <c r="E16" s="278"/>
      <c r="F16" s="274"/>
    </row>
    <row r="17" spans="1:9" s="275" customFormat="1">
      <c r="A17" s="71">
        <f>A15+1</f>
        <v>11</v>
      </c>
      <c r="B17" s="34" t="s">
        <v>781</v>
      </c>
      <c r="C17" s="276">
        <v>113344.63</v>
      </c>
      <c r="D17" s="116">
        <v>228263.3</v>
      </c>
      <c r="E17" s="274"/>
      <c r="F17" s="274"/>
    </row>
    <row r="18" spans="1:9" s="275" customFormat="1">
      <c r="A18" s="71">
        <f t="shared" si="0"/>
        <v>12</v>
      </c>
      <c r="B18" s="34" t="s">
        <v>854</v>
      </c>
      <c r="C18" s="276"/>
      <c r="D18" s="116"/>
      <c r="E18" s="274"/>
      <c r="F18" s="274"/>
    </row>
    <row r="19" spans="1:9" s="275" customFormat="1" ht="15" customHeight="1">
      <c r="A19" s="71">
        <f t="shared" si="0"/>
        <v>13</v>
      </c>
      <c r="B19" s="34" t="s">
        <v>853</v>
      </c>
      <c r="C19" s="276">
        <v>949267.97</v>
      </c>
      <c r="D19" s="116">
        <v>950344.59</v>
      </c>
      <c r="E19" s="274"/>
      <c r="F19" s="274"/>
    </row>
    <row r="20" spans="1:9" s="275" customFormat="1" ht="32.25" thickBot="1">
      <c r="A20" s="279">
        <f t="shared" si="0"/>
        <v>14</v>
      </c>
      <c r="B20" s="35" t="s">
        <v>657</v>
      </c>
      <c r="C20" s="280">
        <f>SUM(C14:C19)</f>
        <v>7006387.4099999992</v>
      </c>
      <c r="D20" s="281">
        <f>SUM(D14:D19)</f>
        <v>13302164.82</v>
      </c>
      <c r="E20" s="274"/>
      <c r="F20" s="274"/>
    </row>
    <row r="21" spans="1:9">
      <c r="B21" s="282"/>
    </row>
    <row r="22" spans="1:9" ht="18" customHeight="1">
      <c r="A22" s="542" t="s">
        <v>663</v>
      </c>
      <c r="B22" s="543"/>
      <c r="C22" s="543"/>
      <c r="D22" s="544"/>
    </row>
    <row r="23" spans="1:9" ht="36" customHeight="1">
      <c r="A23" s="559" t="s">
        <v>609</v>
      </c>
      <c r="B23" s="560"/>
      <c r="C23" s="560"/>
      <c r="D23" s="561"/>
      <c r="E23" s="274"/>
      <c r="F23" s="274"/>
      <c r="G23" s="283"/>
      <c r="H23" s="283"/>
      <c r="I23" s="283"/>
    </row>
    <row r="24" spans="1:9" ht="30" customHeight="1">
      <c r="A24" s="570" t="s">
        <v>1051</v>
      </c>
      <c r="B24" s="571"/>
      <c r="C24" s="571"/>
      <c r="D24" s="571"/>
    </row>
  </sheetData>
  <mergeCells count="8">
    <mergeCell ref="A24:D24"/>
    <mergeCell ref="A23:D23"/>
    <mergeCell ref="A22:D22"/>
    <mergeCell ref="A1:D1"/>
    <mergeCell ref="A3:A4"/>
    <mergeCell ref="B3:B4"/>
    <mergeCell ref="C3:D3"/>
    <mergeCell ref="A2:D2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árok16" enableFormatConditionsCalculation="0">
    <tabColor indexed="42"/>
    <pageSetUpPr fitToPage="1"/>
  </sheetPr>
  <dimension ref="A1:K82"/>
  <sheetViews>
    <sheetView zoomScale="90" zoomScaleNormal="9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17" sqref="D17"/>
    </sheetView>
  </sheetViews>
  <sheetFormatPr defaultRowHeight="15.75"/>
  <cols>
    <col min="1" max="1" width="7.42578125" style="81" customWidth="1"/>
    <col min="2" max="2" width="51.5703125" style="284" customWidth="1"/>
    <col min="3" max="4" width="15.28515625" style="284" customWidth="1"/>
    <col min="5" max="5" width="18.140625" style="81" customWidth="1"/>
    <col min="6" max="6" width="16.7109375" style="81" customWidth="1"/>
    <col min="7" max="7" width="13.5703125" style="81" customWidth="1"/>
    <col min="8" max="8" width="12.85546875" style="81" customWidth="1"/>
    <col min="9" max="9" width="17" style="81" customWidth="1"/>
    <col min="10" max="10" width="9.140625" style="81"/>
    <col min="11" max="11" width="25.7109375" style="81" customWidth="1"/>
    <col min="12" max="16384" width="9.140625" style="81"/>
  </cols>
  <sheetData>
    <row r="1" spans="1:11" ht="35.1" customHeight="1">
      <c r="A1" s="479" t="s">
        <v>536</v>
      </c>
      <c r="B1" s="480"/>
      <c r="C1" s="480"/>
      <c r="D1" s="480"/>
      <c r="E1" s="480"/>
      <c r="F1" s="480"/>
      <c r="G1" s="480"/>
      <c r="H1" s="480"/>
      <c r="I1" s="481"/>
    </row>
    <row r="2" spans="1:11" ht="35.1" customHeight="1">
      <c r="A2" s="499" t="s">
        <v>1035</v>
      </c>
      <c r="B2" s="500"/>
      <c r="C2" s="500"/>
      <c r="D2" s="500"/>
      <c r="E2" s="500"/>
      <c r="F2" s="500"/>
      <c r="G2" s="500"/>
      <c r="H2" s="500"/>
      <c r="I2" s="501"/>
    </row>
    <row r="3" spans="1:11" s="275" customFormat="1" ht="35.25" customHeight="1">
      <c r="A3" s="496" t="s">
        <v>812</v>
      </c>
      <c r="B3" s="520" t="s">
        <v>916</v>
      </c>
      <c r="C3" s="520" t="s">
        <v>1015</v>
      </c>
      <c r="D3" s="520" t="s">
        <v>19</v>
      </c>
      <c r="E3" s="520" t="s">
        <v>537</v>
      </c>
      <c r="F3" s="520" t="s">
        <v>782</v>
      </c>
      <c r="G3" s="520" t="s">
        <v>823</v>
      </c>
      <c r="H3" s="520" t="s">
        <v>1016</v>
      </c>
      <c r="I3" s="574" t="s">
        <v>824</v>
      </c>
    </row>
    <row r="4" spans="1:11" s="275" customFormat="1" ht="87" customHeight="1">
      <c r="A4" s="496"/>
      <c r="B4" s="520"/>
      <c r="C4" s="520"/>
      <c r="D4" s="520"/>
      <c r="E4" s="520"/>
      <c r="F4" s="520"/>
      <c r="G4" s="520"/>
      <c r="H4" s="520"/>
      <c r="I4" s="574"/>
    </row>
    <row r="5" spans="1:11" s="275" customFormat="1" ht="30">
      <c r="A5" s="21"/>
      <c r="B5" s="157"/>
      <c r="C5" s="48" t="s">
        <v>878</v>
      </c>
      <c r="D5" s="48" t="s">
        <v>879</v>
      </c>
      <c r="E5" s="14" t="s">
        <v>880</v>
      </c>
      <c r="F5" s="14" t="s">
        <v>886</v>
      </c>
      <c r="G5" s="14" t="s">
        <v>881</v>
      </c>
      <c r="H5" s="14" t="s">
        <v>882</v>
      </c>
      <c r="I5" s="109" t="s">
        <v>20</v>
      </c>
    </row>
    <row r="6" spans="1:11" s="275" customFormat="1">
      <c r="A6" s="21">
        <v>1</v>
      </c>
      <c r="B6" s="46" t="s">
        <v>966</v>
      </c>
      <c r="C6" s="114">
        <v>6907.95</v>
      </c>
      <c r="D6" s="114">
        <v>96546.07</v>
      </c>
      <c r="E6" s="114"/>
      <c r="F6" s="114">
        <v>7543.57</v>
      </c>
      <c r="G6" s="114"/>
      <c r="H6" s="114"/>
      <c r="I6" s="196">
        <f t="shared" ref="I6:I16" si="0">SUM(C6:H6)</f>
        <v>110997.59</v>
      </c>
    </row>
    <row r="7" spans="1:11" s="275" customFormat="1">
      <c r="A7" s="21"/>
      <c r="B7" s="54" t="s">
        <v>893</v>
      </c>
      <c r="C7" s="114"/>
      <c r="D7" s="114"/>
      <c r="E7" s="114"/>
      <c r="F7" s="114"/>
      <c r="G7" s="114"/>
      <c r="H7" s="114"/>
      <c r="I7" s="196"/>
    </row>
    <row r="8" spans="1:11" s="275" customFormat="1">
      <c r="A8" s="21">
        <v>2</v>
      </c>
      <c r="B8" s="68" t="s">
        <v>632</v>
      </c>
      <c r="C8" s="114">
        <v>6907.95</v>
      </c>
      <c r="D8" s="114">
        <v>96546.07</v>
      </c>
      <c r="E8" s="114"/>
      <c r="F8" s="114">
        <v>7543.57</v>
      </c>
      <c r="G8" s="114"/>
      <c r="H8" s="114"/>
      <c r="I8" s="196">
        <f t="shared" si="0"/>
        <v>110997.59</v>
      </c>
    </row>
    <row r="9" spans="1:11">
      <c r="A9" s="21">
        <v>3</v>
      </c>
      <c r="B9" s="46" t="s">
        <v>876</v>
      </c>
      <c r="C9" s="114"/>
      <c r="D9" s="114"/>
      <c r="E9" s="114"/>
      <c r="F9" s="114"/>
      <c r="G9" s="114"/>
      <c r="H9" s="114"/>
      <c r="I9" s="196">
        <f t="shared" si="0"/>
        <v>0</v>
      </c>
    </row>
    <row r="10" spans="1:11" ht="31.5">
      <c r="A10" s="21">
        <v>4</v>
      </c>
      <c r="B10" s="46" t="s">
        <v>845</v>
      </c>
      <c r="C10" s="195">
        <f t="shared" ref="C10:H10" si="1">SUM(C11:C15)</f>
        <v>339316.12</v>
      </c>
      <c r="D10" s="195">
        <f t="shared" si="1"/>
        <v>4898215.54</v>
      </c>
      <c r="E10" s="195">
        <f t="shared" si="1"/>
        <v>49396.49</v>
      </c>
      <c r="F10" s="195">
        <f t="shared" si="1"/>
        <v>408758.97000000003</v>
      </c>
      <c r="G10" s="195">
        <f t="shared" si="1"/>
        <v>0</v>
      </c>
      <c r="H10" s="195">
        <f t="shared" si="1"/>
        <v>0</v>
      </c>
      <c r="I10" s="196">
        <f t="shared" si="0"/>
        <v>5695687.1200000001</v>
      </c>
    </row>
    <row r="11" spans="1:11">
      <c r="A11" s="21">
        <v>5</v>
      </c>
      <c r="B11" s="68" t="s">
        <v>938</v>
      </c>
      <c r="C11" s="114">
        <v>3634.1</v>
      </c>
      <c r="D11" s="114">
        <v>29395.89</v>
      </c>
      <c r="E11" s="114"/>
      <c r="F11" s="114">
        <v>7540.87</v>
      </c>
      <c r="G11" s="114"/>
      <c r="H11" s="114"/>
      <c r="I11" s="196">
        <f t="shared" si="0"/>
        <v>40570.86</v>
      </c>
    </row>
    <row r="12" spans="1:11">
      <c r="A12" s="21">
        <v>6</v>
      </c>
      <c r="B12" s="68" t="s">
        <v>939</v>
      </c>
      <c r="C12" s="114">
        <v>5750.26</v>
      </c>
      <c r="D12" s="114">
        <v>304698.5</v>
      </c>
      <c r="E12" s="114"/>
      <c r="F12" s="114">
        <v>23474.65</v>
      </c>
      <c r="G12" s="114"/>
      <c r="H12" s="114"/>
      <c r="I12" s="196">
        <f t="shared" si="0"/>
        <v>333923.41000000003</v>
      </c>
    </row>
    <row r="13" spans="1:11">
      <c r="A13" s="21">
        <v>7</v>
      </c>
      <c r="B13" s="68" t="s">
        <v>940</v>
      </c>
      <c r="C13" s="114">
        <v>51018.28</v>
      </c>
      <c r="D13" s="114">
        <v>1028086.5</v>
      </c>
      <c r="E13" s="114"/>
      <c r="F13" s="114">
        <v>69467.06</v>
      </c>
      <c r="G13" s="114"/>
      <c r="H13" s="114"/>
      <c r="I13" s="196">
        <f t="shared" si="0"/>
        <v>1148571.8400000001</v>
      </c>
    </row>
    <row r="14" spans="1:11" ht="31.5">
      <c r="A14" s="21">
        <v>8</v>
      </c>
      <c r="B14" s="68" t="s">
        <v>941</v>
      </c>
      <c r="C14" s="114">
        <v>278913.48</v>
      </c>
      <c r="D14" s="114">
        <v>3522204.65</v>
      </c>
      <c r="E14" s="114">
        <v>49396.49</v>
      </c>
      <c r="F14" s="114">
        <v>305648.69</v>
      </c>
      <c r="G14" s="114"/>
      <c r="H14" s="114"/>
      <c r="I14" s="196">
        <f t="shared" si="0"/>
        <v>4156163.31</v>
      </c>
      <c r="K14" s="285"/>
    </row>
    <row r="15" spans="1:11" ht="31.5">
      <c r="A15" s="21">
        <v>9</v>
      </c>
      <c r="B15" s="68" t="s">
        <v>942</v>
      </c>
      <c r="C15" s="114"/>
      <c r="D15" s="114">
        <v>13830</v>
      </c>
      <c r="E15" s="114"/>
      <c r="F15" s="114">
        <v>2627.7</v>
      </c>
      <c r="G15" s="114"/>
      <c r="H15" s="114"/>
      <c r="I15" s="196">
        <f t="shared" si="0"/>
        <v>16457.7</v>
      </c>
    </row>
    <row r="16" spans="1:11">
      <c r="A16" s="21">
        <v>10</v>
      </c>
      <c r="B16" s="42" t="s">
        <v>786</v>
      </c>
      <c r="C16" s="114"/>
      <c r="D16" s="114"/>
      <c r="E16" s="114"/>
      <c r="F16" s="114"/>
      <c r="G16" s="114"/>
      <c r="H16" s="114"/>
      <c r="I16" s="196">
        <f t="shared" si="0"/>
        <v>0</v>
      </c>
    </row>
    <row r="17" spans="1:10">
      <c r="A17" s="21">
        <v>11</v>
      </c>
      <c r="B17" s="46" t="s">
        <v>787</v>
      </c>
      <c r="C17" s="114">
        <v>12108.87</v>
      </c>
      <c r="D17" s="114">
        <v>4581.8999999999996</v>
      </c>
      <c r="E17" s="114"/>
      <c r="F17" s="114">
        <v>19257.36</v>
      </c>
      <c r="G17" s="114"/>
      <c r="H17" s="114"/>
      <c r="I17" s="196">
        <f>SUM(C17:H17)</f>
        <v>35948.130000000005</v>
      </c>
    </row>
    <row r="18" spans="1:10">
      <c r="A18" s="21">
        <v>12</v>
      </c>
      <c r="B18" s="46" t="s">
        <v>890</v>
      </c>
      <c r="C18" s="114">
        <v>666109.02</v>
      </c>
      <c r="D18" s="114">
        <v>1679964.62</v>
      </c>
      <c r="E18" s="114"/>
      <c r="F18" s="114">
        <v>513224.17</v>
      </c>
      <c r="G18" s="114"/>
      <c r="H18" s="114"/>
      <c r="I18" s="196">
        <f>SUM(C18:H18)</f>
        <v>2859297.81</v>
      </c>
    </row>
    <row r="19" spans="1:10">
      <c r="A19" s="21">
        <v>13</v>
      </c>
      <c r="B19" s="46" t="s">
        <v>788</v>
      </c>
      <c r="C19" s="114"/>
      <c r="D19" s="114"/>
      <c r="E19" s="114"/>
      <c r="F19" s="114">
        <v>1560.52</v>
      </c>
      <c r="G19" s="114"/>
      <c r="H19" s="114"/>
      <c r="I19" s="196">
        <f>SUM(C19:H19)</f>
        <v>1560.52</v>
      </c>
    </row>
    <row r="20" spans="1:10">
      <c r="A20" s="21">
        <v>14</v>
      </c>
      <c r="B20" s="46" t="s">
        <v>899</v>
      </c>
      <c r="C20" s="114"/>
      <c r="D20" s="114">
        <v>428791.28</v>
      </c>
      <c r="E20" s="114"/>
      <c r="F20" s="114"/>
      <c r="G20" s="114"/>
      <c r="H20" s="114"/>
      <c r="I20" s="196">
        <f>SUM(C20:H20)</f>
        <v>428791.28</v>
      </c>
    </row>
    <row r="21" spans="1:10" ht="48" thickBot="1">
      <c r="A21" s="218">
        <v>15</v>
      </c>
      <c r="B21" s="62" t="s">
        <v>633</v>
      </c>
      <c r="C21" s="219">
        <f t="shared" ref="C21:H21" si="2">+C6+C9+C10+C16+C17+C18+C19+C20</f>
        <v>1024441.96</v>
      </c>
      <c r="D21" s="219">
        <f t="shared" si="2"/>
        <v>7108099.4100000011</v>
      </c>
      <c r="E21" s="219">
        <f t="shared" si="2"/>
        <v>49396.49</v>
      </c>
      <c r="F21" s="219">
        <f t="shared" si="2"/>
        <v>950344.59000000008</v>
      </c>
      <c r="G21" s="219">
        <f t="shared" si="2"/>
        <v>0</v>
      </c>
      <c r="H21" s="219">
        <f t="shared" si="2"/>
        <v>0</v>
      </c>
      <c r="I21" s="269">
        <f>SUM(C21:H21)</f>
        <v>9132282.4500000011</v>
      </c>
    </row>
    <row r="22" spans="1:10">
      <c r="C22" s="286"/>
      <c r="D22" s="287"/>
      <c r="E22" s="286"/>
      <c r="F22" s="286"/>
      <c r="G22" s="286"/>
      <c r="H22" s="286"/>
      <c r="I22" s="286"/>
    </row>
    <row r="23" spans="1:10">
      <c r="C23" s="288"/>
      <c r="D23" s="288"/>
      <c r="E23" s="286"/>
      <c r="F23" s="286"/>
      <c r="G23" s="286"/>
      <c r="H23" s="286"/>
      <c r="I23" s="146"/>
      <c r="J23" s="147"/>
    </row>
    <row r="24" spans="1:10">
      <c r="A24" s="289" t="s">
        <v>1052</v>
      </c>
      <c r="B24" s="289"/>
      <c r="C24" s="289"/>
      <c r="D24" s="289"/>
      <c r="E24" s="289"/>
      <c r="F24" s="289"/>
      <c r="G24" s="289"/>
      <c r="H24" s="289"/>
      <c r="I24" s="289"/>
    </row>
    <row r="25" spans="1:10">
      <c r="A25" s="289" t="s">
        <v>1053</v>
      </c>
      <c r="B25" s="289"/>
      <c r="C25" s="289"/>
      <c r="D25" s="289"/>
      <c r="E25" s="289"/>
      <c r="F25" s="289"/>
      <c r="G25" s="289"/>
      <c r="H25" s="289"/>
      <c r="I25" s="286"/>
    </row>
    <row r="26" spans="1:10">
      <c r="C26" s="286"/>
      <c r="D26" s="286"/>
      <c r="E26" s="286"/>
      <c r="F26" s="286"/>
      <c r="G26" s="286"/>
      <c r="H26" s="286"/>
      <c r="I26" s="286"/>
    </row>
    <row r="27" spans="1:10">
      <c r="C27" s="286"/>
      <c r="D27" s="286"/>
      <c r="E27" s="286"/>
      <c r="F27" s="286"/>
      <c r="G27" s="286"/>
      <c r="H27" s="286"/>
      <c r="I27" s="286"/>
    </row>
    <row r="28" spans="1:10">
      <c r="C28" s="286"/>
      <c r="D28" s="286"/>
      <c r="E28" s="286"/>
      <c r="F28" s="286"/>
      <c r="G28" s="286"/>
      <c r="H28" s="286"/>
      <c r="I28" s="286"/>
    </row>
    <row r="29" spans="1:10">
      <c r="C29" s="286"/>
      <c r="D29" s="286"/>
      <c r="E29" s="286"/>
      <c r="F29" s="286"/>
      <c r="G29" s="286"/>
      <c r="H29" s="286"/>
      <c r="I29" s="286"/>
    </row>
    <row r="30" spans="1:10">
      <c r="C30" s="286"/>
      <c r="D30" s="286"/>
      <c r="E30" s="286"/>
      <c r="F30" s="286"/>
      <c r="G30" s="286"/>
      <c r="H30" s="286"/>
      <c r="I30" s="286"/>
    </row>
    <row r="31" spans="1:10">
      <c r="C31" s="286"/>
      <c r="D31" s="286"/>
      <c r="E31" s="286"/>
      <c r="F31" s="286"/>
      <c r="G31" s="286"/>
      <c r="H31" s="286"/>
      <c r="I31" s="286"/>
    </row>
    <row r="32" spans="1:10">
      <c r="C32" s="286"/>
      <c r="D32" s="286"/>
      <c r="E32" s="286"/>
      <c r="F32" s="286"/>
      <c r="G32" s="286"/>
      <c r="H32" s="286"/>
      <c r="I32" s="286"/>
    </row>
    <row r="33" spans="3:9">
      <c r="C33" s="286"/>
      <c r="D33" s="286"/>
      <c r="E33" s="286"/>
      <c r="F33" s="286"/>
      <c r="G33" s="286"/>
      <c r="H33" s="286"/>
      <c r="I33" s="286"/>
    </row>
    <row r="34" spans="3:9">
      <c r="C34" s="286"/>
      <c r="D34" s="286"/>
      <c r="E34" s="286"/>
      <c r="F34" s="286"/>
      <c r="G34" s="286"/>
      <c r="H34" s="286"/>
      <c r="I34" s="286"/>
    </row>
    <row r="35" spans="3:9">
      <c r="C35" s="286"/>
      <c r="D35" s="286"/>
      <c r="E35" s="286"/>
      <c r="F35" s="286"/>
      <c r="G35" s="286"/>
      <c r="H35" s="286"/>
      <c r="I35" s="286"/>
    </row>
    <row r="36" spans="3:9">
      <c r="C36" s="286"/>
      <c r="D36" s="286"/>
      <c r="E36" s="286"/>
      <c r="F36" s="286"/>
      <c r="G36" s="286"/>
      <c r="H36" s="286"/>
      <c r="I36" s="286"/>
    </row>
    <row r="37" spans="3:9">
      <c r="C37" s="286"/>
      <c r="D37" s="286"/>
      <c r="E37" s="286"/>
      <c r="F37" s="286"/>
      <c r="G37" s="286"/>
      <c r="H37" s="286"/>
      <c r="I37" s="286"/>
    </row>
    <row r="38" spans="3:9">
      <c r="C38" s="286"/>
      <c r="D38" s="286"/>
      <c r="E38" s="286"/>
      <c r="F38" s="286"/>
      <c r="G38" s="286"/>
      <c r="H38" s="286"/>
      <c r="I38" s="286"/>
    </row>
    <row r="39" spans="3:9">
      <c r="C39" s="286"/>
      <c r="D39" s="286"/>
      <c r="E39" s="286"/>
      <c r="F39" s="286"/>
      <c r="G39" s="286"/>
      <c r="H39" s="286"/>
      <c r="I39" s="286"/>
    </row>
    <row r="40" spans="3:9">
      <c r="C40" s="286"/>
      <c r="D40" s="286"/>
      <c r="E40" s="286"/>
      <c r="F40" s="286"/>
      <c r="G40" s="286"/>
      <c r="H40" s="286"/>
      <c r="I40" s="286"/>
    </row>
    <row r="41" spans="3:9">
      <c r="C41" s="286"/>
      <c r="D41" s="286"/>
      <c r="E41" s="286"/>
      <c r="F41" s="286"/>
      <c r="G41" s="286"/>
      <c r="H41" s="286"/>
      <c r="I41" s="286"/>
    </row>
    <row r="42" spans="3:9">
      <c r="C42" s="286"/>
      <c r="D42" s="286"/>
      <c r="E42" s="286"/>
      <c r="F42" s="286"/>
      <c r="G42" s="286"/>
      <c r="H42" s="286"/>
      <c r="I42" s="286"/>
    </row>
    <row r="43" spans="3:9">
      <c r="C43" s="286"/>
      <c r="D43" s="286"/>
      <c r="E43" s="286"/>
      <c r="F43" s="286"/>
      <c r="G43" s="286"/>
      <c r="H43" s="286"/>
      <c r="I43" s="286"/>
    </row>
    <row r="44" spans="3:9">
      <c r="C44" s="286"/>
      <c r="D44" s="286"/>
      <c r="E44" s="286"/>
      <c r="F44" s="286"/>
      <c r="G44" s="286"/>
      <c r="H44" s="286"/>
      <c r="I44" s="286"/>
    </row>
    <row r="45" spans="3:9">
      <c r="C45" s="286"/>
      <c r="D45" s="286"/>
      <c r="E45" s="286"/>
      <c r="F45" s="286"/>
      <c r="G45" s="286"/>
      <c r="H45" s="286"/>
      <c r="I45" s="286"/>
    </row>
    <row r="46" spans="3:9">
      <c r="C46" s="286"/>
      <c r="D46" s="286"/>
      <c r="E46" s="286"/>
      <c r="F46" s="286"/>
      <c r="G46" s="286"/>
      <c r="H46" s="286"/>
      <c r="I46" s="286"/>
    </row>
    <row r="47" spans="3:9">
      <c r="C47" s="286"/>
      <c r="D47" s="286"/>
      <c r="E47" s="286"/>
      <c r="F47" s="286"/>
      <c r="G47" s="286"/>
      <c r="H47" s="286"/>
      <c r="I47" s="286"/>
    </row>
    <row r="48" spans="3:9">
      <c r="C48" s="286"/>
      <c r="D48" s="286"/>
      <c r="E48" s="286"/>
      <c r="F48" s="286"/>
      <c r="G48" s="286"/>
      <c r="H48" s="286"/>
      <c r="I48" s="286"/>
    </row>
    <row r="49" spans="3:9">
      <c r="C49" s="286"/>
      <c r="D49" s="286"/>
      <c r="E49" s="286"/>
      <c r="F49" s="286"/>
      <c r="G49" s="286"/>
      <c r="H49" s="286"/>
      <c r="I49" s="286"/>
    </row>
    <row r="50" spans="3:9">
      <c r="C50" s="286"/>
      <c r="D50" s="286"/>
      <c r="E50" s="286"/>
      <c r="F50" s="286"/>
      <c r="G50" s="286"/>
      <c r="H50" s="286"/>
      <c r="I50" s="286"/>
    </row>
    <row r="51" spans="3:9">
      <c r="C51" s="286"/>
      <c r="D51" s="286"/>
      <c r="E51" s="286"/>
      <c r="F51" s="286"/>
      <c r="G51" s="286"/>
      <c r="H51" s="286"/>
      <c r="I51" s="286"/>
    </row>
    <row r="52" spans="3:9">
      <c r="C52" s="286"/>
      <c r="D52" s="286"/>
      <c r="E52" s="286"/>
      <c r="F52" s="286"/>
      <c r="G52" s="286"/>
      <c r="H52" s="286"/>
      <c r="I52" s="286"/>
    </row>
    <row r="53" spans="3:9">
      <c r="C53" s="286"/>
      <c r="D53" s="286"/>
      <c r="E53" s="286"/>
      <c r="F53" s="286"/>
      <c r="G53" s="286"/>
      <c r="H53" s="286"/>
      <c r="I53" s="286"/>
    </row>
    <row r="54" spans="3:9">
      <c r="C54" s="286"/>
      <c r="D54" s="286"/>
      <c r="E54" s="286"/>
      <c r="F54" s="286"/>
      <c r="G54" s="286"/>
      <c r="H54" s="286"/>
      <c r="I54" s="286"/>
    </row>
    <row r="55" spans="3:9">
      <c r="C55" s="286"/>
      <c r="D55" s="286"/>
      <c r="E55" s="286"/>
      <c r="F55" s="286"/>
      <c r="G55" s="286"/>
      <c r="H55" s="286"/>
      <c r="I55" s="286"/>
    </row>
    <row r="56" spans="3:9">
      <c r="C56" s="286"/>
      <c r="D56" s="286"/>
      <c r="E56" s="286"/>
      <c r="F56" s="286"/>
      <c r="G56" s="286"/>
      <c r="H56" s="286"/>
      <c r="I56" s="286"/>
    </row>
    <row r="57" spans="3:9">
      <c r="C57" s="286"/>
      <c r="D57" s="286"/>
      <c r="E57" s="286"/>
      <c r="F57" s="286"/>
      <c r="G57" s="286"/>
      <c r="H57" s="286"/>
      <c r="I57" s="286"/>
    </row>
    <row r="58" spans="3:9">
      <c r="C58" s="286"/>
      <c r="D58" s="286"/>
      <c r="E58" s="286"/>
      <c r="F58" s="286"/>
      <c r="G58" s="286"/>
      <c r="H58" s="286"/>
      <c r="I58" s="286"/>
    </row>
    <row r="59" spans="3:9">
      <c r="C59" s="286"/>
      <c r="D59" s="286"/>
      <c r="E59" s="286"/>
      <c r="F59" s="286"/>
      <c r="G59" s="286"/>
      <c r="H59" s="286"/>
      <c r="I59" s="286"/>
    </row>
    <row r="60" spans="3:9">
      <c r="C60" s="286"/>
      <c r="D60" s="286"/>
      <c r="E60" s="286"/>
      <c r="F60" s="286"/>
      <c r="G60" s="286"/>
      <c r="H60" s="286"/>
      <c r="I60" s="286"/>
    </row>
    <row r="61" spans="3:9">
      <c r="C61" s="286"/>
      <c r="D61" s="286"/>
      <c r="E61" s="286"/>
      <c r="F61" s="286"/>
      <c r="G61" s="286"/>
      <c r="H61" s="286"/>
      <c r="I61" s="286"/>
    </row>
    <row r="62" spans="3:9">
      <c r="C62" s="286"/>
      <c r="D62" s="286"/>
      <c r="E62" s="286"/>
      <c r="F62" s="286"/>
      <c r="G62" s="286"/>
      <c r="H62" s="286"/>
      <c r="I62" s="286"/>
    </row>
    <row r="63" spans="3:9">
      <c r="C63" s="286"/>
      <c r="D63" s="286"/>
      <c r="E63" s="286"/>
      <c r="F63" s="286"/>
      <c r="G63" s="286"/>
      <c r="H63" s="286"/>
      <c r="I63" s="286"/>
    </row>
    <row r="64" spans="3:9">
      <c r="C64" s="286"/>
      <c r="D64" s="286"/>
      <c r="E64" s="286"/>
      <c r="F64" s="286"/>
      <c r="G64" s="286"/>
      <c r="H64" s="286"/>
      <c r="I64" s="286"/>
    </row>
    <row r="65" spans="3:9">
      <c r="C65" s="286"/>
      <c r="D65" s="286"/>
      <c r="E65" s="286"/>
      <c r="F65" s="286"/>
      <c r="G65" s="286"/>
      <c r="H65" s="286"/>
      <c r="I65" s="286"/>
    </row>
    <row r="66" spans="3:9">
      <c r="C66" s="286"/>
      <c r="D66" s="286"/>
      <c r="E66" s="286"/>
      <c r="F66" s="286"/>
      <c r="G66" s="286"/>
      <c r="H66" s="286"/>
      <c r="I66" s="286"/>
    </row>
    <row r="67" spans="3:9">
      <c r="C67" s="286"/>
      <c r="D67" s="286"/>
      <c r="E67" s="286"/>
      <c r="F67" s="286"/>
      <c r="G67" s="286"/>
      <c r="H67" s="286"/>
      <c r="I67" s="286"/>
    </row>
    <row r="68" spans="3:9">
      <c r="C68" s="286"/>
      <c r="D68" s="286"/>
      <c r="E68" s="286"/>
      <c r="F68" s="286"/>
      <c r="G68" s="286"/>
      <c r="H68" s="286"/>
      <c r="I68" s="286"/>
    </row>
    <row r="69" spans="3:9">
      <c r="C69" s="286"/>
      <c r="D69" s="286"/>
      <c r="E69" s="286"/>
      <c r="F69" s="286"/>
      <c r="G69" s="286"/>
      <c r="H69" s="286"/>
      <c r="I69" s="286"/>
    </row>
    <row r="70" spans="3:9">
      <c r="C70" s="286"/>
      <c r="D70" s="286"/>
      <c r="E70" s="286"/>
      <c r="F70" s="286"/>
      <c r="G70" s="286"/>
      <c r="H70" s="286"/>
      <c r="I70" s="286"/>
    </row>
    <row r="71" spans="3:9">
      <c r="C71" s="286"/>
      <c r="D71" s="286"/>
      <c r="E71" s="286"/>
      <c r="F71" s="286"/>
      <c r="G71" s="286"/>
      <c r="H71" s="286"/>
      <c r="I71" s="286"/>
    </row>
    <row r="72" spans="3:9">
      <c r="C72" s="286"/>
      <c r="D72" s="286"/>
      <c r="E72" s="286"/>
      <c r="F72" s="286"/>
      <c r="G72" s="286"/>
      <c r="H72" s="286"/>
      <c r="I72" s="286"/>
    </row>
    <row r="73" spans="3:9">
      <c r="C73" s="286"/>
      <c r="D73" s="286"/>
      <c r="E73" s="286"/>
      <c r="F73" s="286"/>
      <c r="G73" s="286"/>
      <c r="H73" s="286"/>
      <c r="I73" s="286"/>
    </row>
    <row r="74" spans="3:9">
      <c r="C74" s="286"/>
      <c r="D74" s="286"/>
      <c r="E74" s="286"/>
      <c r="F74" s="286"/>
      <c r="G74" s="286"/>
      <c r="H74" s="286"/>
      <c r="I74" s="286"/>
    </row>
    <row r="75" spans="3:9">
      <c r="C75" s="286"/>
      <c r="D75" s="286"/>
      <c r="E75" s="286"/>
      <c r="F75" s="286"/>
      <c r="G75" s="286"/>
      <c r="H75" s="286"/>
      <c r="I75" s="286"/>
    </row>
    <row r="76" spans="3:9">
      <c r="C76" s="286"/>
      <c r="D76" s="286"/>
      <c r="E76" s="286"/>
      <c r="F76" s="286"/>
      <c r="G76" s="286"/>
      <c r="H76" s="286"/>
      <c r="I76" s="286"/>
    </row>
    <row r="77" spans="3:9">
      <c r="C77" s="286"/>
      <c r="D77" s="286"/>
      <c r="E77" s="286"/>
      <c r="F77" s="286"/>
      <c r="G77" s="286"/>
      <c r="H77" s="286"/>
      <c r="I77" s="286"/>
    </row>
    <row r="78" spans="3:9">
      <c r="C78" s="286"/>
      <c r="D78" s="286"/>
      <c r="E78" s="286"/>
      <c r="F78" s="286"/>
      <c r="G78" s="286"/>
      <c r="H78" s="286"/>
      <c r="I78" s="286"/>
    </row>
    <row r="79" spans="3:9">
      <c r="C79" s="286"/>
      <c r="D79" s="286"/>
      <c r="E79" s="286"/>
      <c r="F79" s="286"/>
      <c r="G79" s="286"/>
      <c r="H79" s="286"/>
      <c r="I79" s="286"/>
    </row>
    <row r="80" spans="3:9">
      <c r="C80" s="286"/>
      <c r="D80" s="286"/>
      <c r="E80" s="286"/>
      <c r="F80" s="286"/>
      <c r="G80" s="286"/>
      <c r="H80" s="286"/>
      <c r="I80" s="286"/>
    </row>
    <row r="81" spans="3:9">
      <c r="C81" s="286"/>
      <c r="D81" s="286"/>
      <c r="E81" s="286"/>
      <c r="F81" s="286"/>
      <c r="G81" s="286"/>
      <c r="H81" s="286"/>
      <c r="I81" s="286"/>
    </row>
    <row r="82" spans="3:9">
      <c r="C82" s="286"/>
      <c r="D82" s="286"/>
      <c r="E82" s="286"/>
      <c r="F82" s="286"/>
      <c r="G82" s="286"/>
      <c r="H82" s="286"/>
      <c r="I82" s="286"/>
    </row>
  </sheetData>
  <mergeCells count="11">
    <mergeCell ref="A1:I1"/>
    <mergeCell ref="C3:C4"/>
    <mergeCell ref="I3:I4"/>
    <mergeCell ref="A3:A4"/>
    <mergeCell ref="B3:B4"/>
    <mergeCell ref="E3:E4"/>
    <mergeCell ref="G3:G4"/>
    <mergeCell ref="F3:F4"/>
    <mergeCell ref="D3:D4"/>
    <mergeCell ref="A2:I2"/>
    <mergeCell ref="H3:H4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árok17" enableFormatConditionsCalculation="0">
    <tabColor indexed="42"/>
    <pageSetUpPr fitToPage="1"/>
  </sheetPr>
  <dimension ref="A1:L26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8" sqref="F8"/>
    </sheetView>
  </sheetViews>
  <sheetFormatPr defaultRowHeight="15.75"/>
  <cols>
    <col min="1" max="1" width="7.85546875" style="81" customWidth="1"/>
    <col min="2" max="2" width="46.85546875" style="300" customWidth="1"/>
    <col min="3" max="3" width="14" style="81" bestFit="1" customWidth="1"/>
    <col min="4" max="4" width="15.5703125" style="81" customWidth="1"/>
    <col min="5" max="5" width="17.85546875" style="81" customWidth="1"/>
    <col min="6" max="6" width="18" style="81" customWidth="1"/>
    <col min="7" max="8" width="16.5703125" style="81" bestFit="1" customWidth="1"/>
    <col min="9" max="9" width="14.5703125" style="81" customWidth="1"/>
    <col min="10" max="10" width="14.85546875" style="81" bestFit="1" customWidth="1"/>
    <col min="11" max="11" width="19" style="81" customWidth="1"/>
    <col min="12" max="12" width="16.5703125" style="81" bestFit="1" customWidth="1"/>
    <col min="13" max="16384" width="9.140625" style="81"/>
  </cols>
  <sheetData>
    <row r="1" spans="1:12" ht="35.1" customHeight="1">
      <c r="A1" s="577" t="s">
        <v>538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9"/>
    </row>
    <row r="2" spans="1:12" ht="35.1" customHeight="1">
      <c r="A2" s="580" t="s">
        <v>1035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2"/>
    </row>
    <row r="3" spans="1:12" s="275" customFormat="1" ht="32.25" customHeight="1">
      <c r="A3" s="496" t="s">
        <v>812</v>
      </c>
      <c r="B3" s="497"/>
      <c r="C3" s="521" t="s">
        <v>919</v>
      </c>
      <c r="D3" s="521"/>
      <c r="E3" s="521" t="s">
        <v>920</v>
      </c>
      <c r="F3" s="521"/>
      <c r="G3" s="521" t="s">
        <v>921</v>
      </c>
      <c r="H3" s="521"/>
      <c r="I3" s="521" t="s">
        <v>900</v>
      </c>
      <c r="J3" s="521"/>
      <c r="K3" s="521" t="s">
        <v>915</v>
      </c>
      <c r="L3" s="563"/>
    </row>
    <row r="4" spans="1:12" s="275" customFormat="1" ht="24.75" customHeight="1">
      <c r="A4" s="496"/>
      <c r="B4" s="497"/>
      <c r="C4" s="3" t="s">
        <v>539</v>
      </c>
      <c r="D4" s="3" t="s">
        <v>540</v>
      </c>
      <c r="E4" s="3" t="s">
        <v>539</v>
      </c>
      <c r="F4" s="3" t="s">
        <v>542</v>
      </c>
      <c r="G4" s="3" t="s">
        <v>539</v>
      </c>
      <c r="H4" s="3" t="s">
        <v>540</v>
      </c>
      <c r="I4" s="3" t="s">
        <v>543</v>
      </c>
      <c r="J4" s="3" t="s">
        <v>540</v>
      </c>
      <c r="K4" s="3" t="s">
        <v>539</v>
      </c>
      <c r="L4" s="2" t="s">
        <v>540</v>
      </c>
    </row>
    <row r="5" spans="1:12" s="290" customFormat="1" ht="33" customHeight="1">
      <c r="A5" s="21"/>
      <c r="B5" s="260"/>
      <c r="C5" s="14" t="s">
        <v>878</v>
      </c>
      <c r="D5" s="14" t="s">
        <v>879</v>
      </c>
      <c r="E5" s="14" t="s">
        <v>880</v>
      </c>
      <c r="F5" s="14" t="s">
        <v>886</v>
      </c>
      <c r="G5" s="14" t="s">
        <v>881</v>
      </c>
      <c r="H5" s="14" t="s">
        <v>882</v>
      </c>
      <c r="I5" s="14" t="s">
        <v>883</v>
      </c>
      <c r="J5" s="14" t="s">
        <v>884</v>
      </c>
      <c r="K5" s="14" t="s">
        <v>802</v>
      </c>
      <c r="L5" s="43" t="s">
        <v>803</v>
      </c>
    </row>
    <row r="6" spans="1:12" ht="31.5">
      <c r="A6" s="21">
        <v>1</v>
      </c>
      <c r="B6" s="36" t="s">
        <v>808</v>
      </c>
      <c r="C6" s="291">
        <v>0</v>
      </c>
      <c r="D6" s="291">
        <f>C17</f>
        <v>0</v>
      </c>
      <c r="E6" s="291">
        <v>1475516.57</v>
      </c>
      <c r="F6" s="291">
        <f>E17</f>
        <v>579579.91000000015</v>
      </c>
      <c r="G6" s="291">
        <v>222151.48</v>
      </c>
      <c r="H6" s="291">
        <f>G17</f>
        <v>271007.86999999988</v>
      </c>
      <c r="I6" s="291">
        <v>284640.19</v>
      </c>
      <c r="J6" s="291">
        <f>SUM(I17)</f>
        <v>208545.15999999997</v>
      </c>
      <c r="K6" s="291">
        <f t="shared" ref="K6:L8" si="0">C6+E6+G6+I6</f>
        <v>1982308.24</v>
      </c>
      <c r="L6" s="292">
        <f t="shared" si="0"/>
        <v>1059132.94</v>
      </c>
    </row>
    <row r="7" spans="1:12" ht="36.75" customHeight="1">
      <c r="A7" s="21">
        <v>2</v>
      </c>
      <c r="B7" s="36" t="s">
        <v>658</v>
      </c>
      <c r="C7" s="291">
        <f t="shared" ref="C7:J7" si="1">SUM(C8:C15)</f>
        <v>0</v>
      </c>
      <c r="D7" s="291">
        <f t="shared" si="1"/>
        <v>375695.71</v>
      </c>
      <c r="E7" s="291">
        <f t="shared" si="1"/>
        <v>434978.27</v>
      </c>
      <c r="F7" s="291">
        <f t="shared" si="1"/>
        <v>2817014.35</v>
      </c>
      <c r="G7" s="291">
        <f t="shared" si="1"/>
        <v>1878100.1099999999</v>
      </c>
      <c r="H7" s="291">
        <f t="shared" si="1"/>
        <v>2088949</v>
      </c>
      <c r="I7" s="291">
        <f t="shared" si="1"/>
        <v>189432.5</v>
      </c>
      <c r="J7" s="291">
        <f t="shared" si="1"/>
        <v>129045.13</v>
      </c>
      <c r="K7" s="291">
        <f t="shared" si="0"/>
        <v>2502510.88</v>
      </c>
      <c r="L7" s="292">
        <f t="shared" si="0"/>
        <v>5410704.1900000004</v>
      </c>
    </row>
    <row r="8" spans="1:12" ht="18.75">
      <c r="A8" s="21">
        <v>3</v>
      </c>
      <c r="B8" s="32" t="s">
        <v>659</v>
      </c>
      <c r="C8" s="293">
        <v>0</v>
      </c>
      <c r="D8" s="293">
        <v>375695.71</v>
      </c>
      <c r="E8" s="293">
        <v>434978.27</v>
      </c>
      <c r="F8" s="294"/>
      <c r="G8" s="293"/>
      <c r="H8" s="293"/>
      <c r="I8" s="293"/>
      <c r="J8" s="293">
        <v>0</v>
      </c>
      <c r="K8" s="291">
        <f t="shared" si="0"/>
        <v>434978.27</v>
      </c>
      <c r="L8" s="292">
        <f t="shared" si="0"/>
        <v>375695.71</v>
      </c>
    </row>
    <row r="9" spans="1:12">
      <c r="A9" s="21">
        <v>4</v>
      </c>
      <c r="B9" s="32" t="s">
        <v>903</v>
      </c>
      <c r="C9" s="291" t="s">
        <v>902</v>
      </c>
      <c r="D9" s="291" t="s">
        <v>902</v>
      </c>
      <c r="E9" s="293"/>
      <c r="F9" s="295">
        <v>854565.35</v>
      </c>
      <c r="G9" s="291" t="s">
        <v>902</v>
      </c>
      <c r="H9" s="291" t="s">
        <v>902</v>
      </c>
      <c r="I9" s="291" t="s">
        <v>902</v>
      </c>
      <c r="J9" s="291" t="s">
        <v>902</v>
      </c>
      <c r="K9" s="291">
        <f>E9</f>
        <v>0</v>
      </c>
      <c r="L9" s="292">
        <f>F9</f>
        <v>854565.35</v>
      </c>
    </row>
    <row r="10" spans="1:12" s="290" customFormat="1">
      <c r="A10" s="21">
        <v>5</v>
      </c>
      <c r="B10" s="80" t="s">
        <v>589</v>
      </c>
      <c r="C10" s="291" t="s">
        <v>902</v>
      </c>
      <c r="D10" s="291" t="s">
        <v>902</v>
      </c>
      <c r="E10" s="293"/>
      <c r="F10" s="296">
        <v>1962449</v>
      </c>
      <c r="G10" s="291" t="s">
        <v>902</v>
      </c>
      <c r="H10" s="291" t="s">
        <v>902</v>
      </c>
      <c r="I10" s="291" t="s">
        <v>902</v>
      </c>
      <c r="J10" s="291" t="s">
        <v>902</v>
      </c>
      <c r="K10" s="291">
        <f>E10</f>
        <v>0</v>
      </c>
      <c r="L10" s="292">
        <f>F10</f>
        <v>1962449</v>
      </c>
    </row>
    <row r="11" spans="1:12">
      <c r="A11" s="21">
        <v>6</v>
      </c>
      <c r="B11" s="32" t="s">
        <v>904</v>
      </c>
      <c r="C11" s="291" t="s">
        <v>902</v>
      </c>
      <c r="D11" s="291" t="s">
        <v>902</v>
      </c>
      <c r="E11" s="293"/>
      <c r="F11" s="293"/>
      <c r="G11" s="291"/>
      <c r="H11" s="291"/>
      <c r="I11" s="291"/>
      <c r="J11" s="291"/>
      <c r="K11" s="291">
        <f>E11+G11+I11</f>
        <v>0</v>
      </c>
      <c r="L11" s="292">
        <f>F11+H11+J11</f>
        <v>0</v>
      </c>
    </row>
    <row r="12" spans="1:12">
      <c r="A12" s="21">
        <v>7</v>
      </c>
      <c r="B12" s="32" t="s">
        <v>905</v>
      </c>
      <c r="C12" s="293"/>
      <c r="D12" s="293"/>
      <c r="E12" s="293"/>
      <c r="F12" s="293"/>
      <c r="G12" s="293">
        <v>100</v>
      </c>
      <c r="H12" s="293"/>
      <c r="I12" s="293">
        <v>189432.5</v>
      </c>
      <c r="J12" s="293">
        <v>129045.13</v>
      </c>
      <c r="K12" s="291">
        <f>C12+E12+G12+I12</f>
        <v>189532.5</v>
      </c>
      <c r="L12" s="292">
        <f>D12+F12+H12+J12</f>
        <v>129045.13</v>
      </c>
    </row>
    <row r="13" spans="1:12" ht="18.75">
      <c r="A13" s="21">
        <v>8</v>
      </c>
      <c r="B13" s="268" t="s">
        <v>660</v>
      </c>
      <c r="C13" s="291" t="s">
        <v>902</v>
      </c>
      <c r="D13" s="291" t="s">
        <v>902</v>
      </c>
      <c r="E13" s="291" t="s">
        <v>902</v>
      </c>
      <c r="F13" s="291" t="s">
        <v>902</v>
      </c>
      <c r="G13" s="293">
        <v>1848011.22</v>
      </c>
      <c r="H13" s="293">
        <v>2037472</v>
      </c>
      <c r="I13" s="293" t="s">
        <v>902</v>
      </c>
      <c r="J13" s="293" t="s">
        <v>902</v>
      </c>
      <c r="K13" s="291">
        <f>G13</f>
        <v>1848011.22</v>
      </c>
      <c r="L13" s="292">
        <f>H13</f>
        <v>2037472</v>
      </c>
    </row>
    <row r="14" spans="1:12">
      <c r="A14" s="21">
        <v>9</v>
      </c>
      <c r="B14" s="32" t="s">
        <v>610</v>
      </c>
      <c r="C14" s="291" t="s">
        <v>902</v>
      </c>
      <c r="D14" s="291" t="s">
        <v>902</v>
      </c>
      <c r="E14" s="291" t="s">
        <v>902</v>
      </c>
      <c r="F14" s="291" t="s">
        <v>902</v>
      </c>
      <c r="G14" s="293">
        <v>29988.89</v>
      </c>
      <c r="H14" s="293">
        <v>51477</v>
      </c>
      <c r="I14" s="293" t="s">
        <v>902</v>
      </c>
      <c r="J14" s="293" t="s">
        <v>902</v>
      </c>
      <c r="K14" s="291">
        <f>G14</f>
        <v>29988.89</v>
      </c>
      <c r="L14" s="292">
        <f>H14</f>
        <v>51477</v>
      </c>
    </row>
    <row r="15" spans="1:12" ht="18.75">
      <c r="A15" s="21">
        <v>10</v>
      </c>
      <c r="B15" s="32" t="s">
        <v>661</v>
      </c>
      <c r="C15" s="293"/>
      <c r="D15" s="293"/>
      <c r="E15" s="293"/>
      <c r="F15" s="293"/>
      <c r="G15" s="293"/>
      <c r="H15" s="293"/>
      <c r="I15" s="293"/>
      <c r="J15" s="293"/>
      <c r="K15" s="291">
        <f>C15+G15+I15</f>
        <v>0</v>
      </c>
      <c r="L15" s="292">
        <f>D15+H15+J15</f>
        <v>0</v>
      </c>
    </row>
    <row r="16" spans="1:12">
      <c r="A16" s="21">
        <v>11</v>
      </c>
      <c r="B16" s="36" t="s">
        <v>809</v>
      </c>
      <c r="C16" s="291"/>
      <c r="D16" s="291"/>
      <c r="E16" s="291">
        <v>1330914.93</v>
      </c>
      <c r="F16" s="291">
        <v>-141516.47</v>
      </c>
      <c r="G16" s="293">
        <v>1829243.72</v>
      </c>
      <c r="H16" s="293">
        <v>1989928.68</v>
      </c>
      <c r="I16" s="291">
        <v>265527.53000000003</v>
      </c>
      <c r="J16" s="291">
        <v>172261.07</v>
      </c>
      <c r="K16" s="291">
        <f t="shared" ref="K16:L18" si="2">C16+E16+G16+I16</f>
        <v>3425686.1799999997</v>
      </c>
      <c r="L16" s="292">
        <f t="shared" si="2"/>
        <v>2020673.28</v>
      </c>
    </row>
    <row r="17" spans="1:12" ht="31.5">
      <c r="A17" s="21">
        <v>12</v>
      </c>
      <c r="B17" s="36" t="s">
        <v>611</v>
      </c>
      <c r="C17" s="291">
        <f t="shared" ref="C17:J17" si="3">C6+C7-C16</f>
        <v>0</v>
      </c>
      <c r="D17" s="291">
        <f t="shared" si="3"/>
        <v>375695.71</v>
      </c>
      <c r="E17" s="291">
        <f t="shared" si="3"/>
        <v>579579.91000000015</v>
      </c>
      <c r="F17" s="291">
        <f t="shared" si="3"/>
        <v>3538110.7300000004</v>
      </c>
      <c r="G17" s="291">
        <f t="shared" si="3"/>
        <v>271007.86999999988</v>
      </c>
      <c r="H17" s="291">
        <f t="shared" si="3"/>
        <v>370028.19000000018</v>
      </c>
      <c r="I17" s="291">
        <f t="shared" si="3"/>
        <v>208545.15999999997</v>
      </c>
      <c r="J17" s="291">
        <f t="shared" si="3"/>
        <v>165329.21999999997</v>
      </c>
      <c r="K17" s="291">
        <f t="shared" si="2"/>
        <v>1059132.94</v>
      </c>
      <c r="L17" s="292">
        <f t="shared" si="2"/>
        <v>4449163.8500000006</v>
      </c>
    </row>
    <row r="18" spans="1:12" ht="35.25" thickBot="1">
      <c r="A18" s="218">
        <v>13</v>
      </c>
      <c r="B18" s="49" t="s">
        <v>662</v>
      </c>
      <c r="C18" s="297">
        <v>0</v>
      </c>
      <c r="D18" s="297">
        <v>0</v>
      </c>
      <c r="E18" s="297">
        <v>2821.48</v>
      </c>
      <c r="F18" s="297">
        <v>2821.48</v>
      </c>
      <c r="G18" s="297">
        <v>10210.64</v>
      </c>
      <c r="H18" s="297">
        <v>71553.960000000006</v>
      </c>
      <c r="I18" s="297">
        <v>129344.1</v>
      </c>
      <c r="J18" s="297">
        <v>127255.55</v>
      </c>
      <c r="K18" s="298">
        <f t="shared" si="2"/>
        <v>142376.22</v>
      </c>
      <c r="L18" s="299">
        <f t="shared" si="2"/>
        <v>201630.99</v>
      </c>
    </row>
    <row r="19" spans="1:12">
      <c r="F19" s="140"/>
      <c r="H19" s="140"/>
    </row>
    <row r="20" spans="1:12">
      <c r="A20" s="283" t="s">
        <v>663</v>
      </c>
      <c r="B20" s="283"/>
      <c r="C20" s="283"/>
      <c r="D20" s="283"/>
      <c r="E20" s="283"/>
      <c r="F20" s="301"/>
      <c r="G20" s="283"/>
      <c r="H20" s="301"/>
      <c r="I20" s="283"/>
      <c r="J20" s="283"/>
      <c r="K20" s="302"/>
      <c r="L20" s="302"/>
    </row>
    <row r="21" spans="1:12">
      <c r="A21" s="283" t="s">
        <v>664</v>
      </c>
      <c r="B21" s="283"/>
      <c r="C21" s="283"/>
      <c r="D21" s="283"/>
      <c r="E21" s="283"/>
      <c r="F21" s="283"/>
      <c r="G21" s="302"/>
      <c r="H21" s="301"/>
      <c r="I21" s="283"/>
      <c r="J21" s="283"/>
      <c r="K21" s="576"/>
      <c r="L21" s="576"/>
    </row>
    <row r="22" spans="1:12">
      <c r="A22" s="283" t="s">
        <v>665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</row>
    <row r="23" spans="1:12">
      <c r="A23" s="575" t="s">
        <v>1041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</row>
    <row r="24" spans="1:12">
      <c r="A24" s="575" t="s">
        <v>1042</v>
      </c>
      <c r="B24" s="575"/>
      <c r="C24" s="575"/>
      <c r="D24" s="575"/>
      <c r="E24" s="575"/>
      <c r="F24" s="575"/>
      <c r="G24" s="575"/>
      <c r="H24" s="575"/>
      <c r="I24" s="575"/>
      <c r="J24" s="575"/>
      <c r="K24" s="575"/>
      <c r="L24" s="575"/>
    </row>
    <row r="26" spans="1:12">
      <c r="F26" s="140"/>
    </row>
  </sheetData>
  <mergeCells count="12">
    <mergeCell ref="A1:L1"/>
    <mergeCell ref="A2:L2"/>
    <mergeCell ref="A3:A4"/>
    <mergeCell ref="B3:B4"/>
    <mergeCell ref="E3:F3"/>
    <mergeCell ref="G3:H3"/>
    <mergeCell ref="A23:L23"/>
    <mergeCell ref="A24:L24"/>
    <mergeCell ref="C3:D3"/>
    <mergeCell ref="I3:J3"/>
    <mergeCell ref="K3:L3"/>
    <mergeCell ref="K21:L21"/>
  </mergeCells>
  <phoneticPr fontId="0" type="noConversion"/>
  <pageMargins left="0.56999999999999995" right="0.49" top="0.96" bottom="0.98425196850393704" header="0.51181102362204722" footer="0.51181102362204722"/>
  <pageSetup paperSize="9" scale="63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árok18" enableFormatConditionsCalculation="0">
    <tabColor indexed="42"/>
  </sheetPr>
  <dimension ref="A1:O5"/>
  <sheetViews>
    <sheetView zoomScale="80" zoomScaleNormal="8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J30" sqref="J30"/>
    </sheetView>
  </sheetViews>
  <sheetFormatPr defaultRowHeight="15.75"/>
  <cols>
    <col min="1" max="1" width="8.85546875" style="39" customWidth="1"/>
    <col min="2" max="2" width="40.5703125" style="37" customWidth="1"/>
    <col min="3" max="3" width="17" style="37" customWidth="1"/>
    <col min="4" max="4" width="15.5703125" style="37" customWidth="1"/>
    <col min="5" max="5" width="13.28515625" style="37" customWidth="1"/>
    <col min="6" max="6" width="15.42578125" style="37" customWidth="1"/>
    <col min="7" max="7" width="17.7109375" style="37" customWidth="1"/>
    <col min="8" max="8" width="16.42578125" style="37" customWidth="1"/>
    <col min="9" max="9" width="15.28515625" style="37" customWidth="1"/>
    <col min="10" max="10" width="13.85546875" style="37" customWidth="1"/>
    <col min="11" max="11" width="17.140625" style="37" customWidth="1"/>
    <col min="12" max="12" width="17" style="37" customWidth="1"/>
    <col min="13" max="13" width="17.28515625" style="37" customWidth="1"/>
    <col min="14" max="14" width="18.28515625" style="37" customWidth="1"/>
    <col min="15" max="15" width="35.28515625" style="37" customWidth="1"/>
    <col min="16" max="16" width="14.7109375" style="37" customWidth="1"/>
    <col min="17" max="16384" width="9.140625" style="37"/>
  </cols>
  <sheetData>
    <row r="1" spans="1:15" ht="50.1" customHeight="1">
      <c r="B1" s="110" t="s">
        <v>37</v>
      </c>
      <c r="C1" s="583" t="s">
        <v>544</v>
      </c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5"/>
    </row>
    <row r="2" spans="1:15" ht="35.1" customHeight="1">
      <c r="A2" s="475" t="s">
        <v>50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7"/>
    </row>
    <row r="3" spans="1:15" ht="30.6" customHeight="1">
      <c r="A3" s="587" t="s">
        <v>812</v>
      </c>
      <c r="B3" s="588" t="s">
        <v>811</v>
      </c>
      <c r="C3" s="589" t="s">
        <v>546</v>
      </c>
      <c r="D3" s="591" t="s">
        <v>547</v>
      </c>
      <c r="E3" s="593" t="s">
        <v>548</v>
      </c>
      <c r="F3" s="589" t="s">
        <v>549</v>
      </c>
      <c r="G3" s="589" t="s">
        <v>550</v>
      </c>
      <c r="H3" s="589" t="s">
        <v>551</v>
      </c>
      <c r="I3" s="595" t="s">
        <v>545</v>
      </c>
      <c r="J3" s="595"/>
      <c r="K3" s="595"/>
      <c r="L3" s="595"/>
      <c r="M3" s="595"/>
      <c r="N3" s="590" t="s">
        <v>557</v>
      </c>
      <c r="O3" s="586" t="s">
        <v>877</v>
      </c>
    </row>
    <row r="4" spans="1:15" ht="98.25">
      <c r="A4" s="587"/>
      <c r="B4" s="588"/>
      <c r="C4" s="589"/>
      <c r="D4" s="592"/>
      <c r="E4" s="594"/>
      <c r="F4" s="589"/>
      <c r="G4" s="589"/>
      <c r="H4" s="589"/>
      <c r="I4" s="50" t="s">
        <v>552</v>
      </c>
      <c r="J4" s="50" t="s">
        <v>553</v>
      </c>
      <c r="K4" s="50" t="s">
        <v>554</v>
      </c>
      <c r="L4" s="50" t="s">
        <v>555</v>
      </c>
      <c r="M4" s="84" t="s">
        <v>556</v>
      </c>
      <c r="N4" s="590"/>
      <c r="O4" s="586"/>
    </row>
    <row r="5" spans="1:15" s="38" customFormat="1" ht="39.75" customHeight="1">
      <c r="A5" s="69"/>
      <c r="B5" s="52"/>
      <c r="C5" s="51" t="s">
        <v>878</v>
      </c>
      <c r="D5" s="51" t="s">
        <v>879</v>
      </c>
      <c r="E5" s="51" t="s">
        <v>880</v>
      </c>
      <c r="F5" s="51" t="s">
        <v>886</v>
      </c>
      <c r="G5" s="51" t="s">
        <v>881</v>
      </c>
      <c r="H5" s="51" t="s">
        <v>804</v>
      </c>
      <c r="I5" s="51" t="s">
        <v>883</v>
      </c>
      <c r="J5" s="51" t="s">
        <v>884</v>
      </c>
      <c r="K5" s="51" t="s">
        <v>885</v>
      </c>
      <c r="L5" s="51" t="s">
        <v>887</v>
      </c>
      <c r="M5" s="51" t="s">
        <v>828</v>
      </c>
      <c r="N5" s="51" t="s">
        <v>827</v>
      </c>
      <c r="O5" s="70" t="s">
        <v>813</v>
      </c>
    </row>
  </sheetData>
  <mergeCells count="13">
    <mergeCell ref="G3:G4"/>
    <mergeCell ref="H3:H4"/>
    <mergeCell ref="I3:M3"/>
    <mergeCell ref="C1:O1"/>
    <mergeCell ref="A2:O2"/>
    <mergeCell ref="O3:O4"/>
    <mergeCell ref="A3:A4"/>
    <mergeCell ref="B3:B4"/>
    <mergeCell ref="C3:C4"/>
    <mergeCell ref="N3:N4"/>
    <mergeCell ref="D3:D4"/>
    <mergeCell ref="E3:E4"/>
    <mergeCell ref="F3:F4"/>
  </mergeCells>
  <phoneticPr fontId="4" type="noConversion"/>
  <pageMargins left="0.23622047244094491" right="0.15748031496062992" top="0.59055118110236227" bottom="0.51" header="0.51181102362204722" footer="0.39370078740157483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árok19" enableFormatConditionsCalculation="0">
    <tabColor indexed="42"/>
    <pageSetUpPr fitToPage="1"/>
  </sheetPr>
  <dimension ref="A1:K7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5.75"/>
  <cols>
    <col min="1" max="1" width="8.7109375" style="39" customWidth="1"/>
    <col min="2" max="2" width="34.85546875" style="37" customWidth="1"/>
    <col min="3" max="3" width="15.28515625" style="37" customWidth="1"/>
    <col min="4" max="4" width="14.140625" style="37" customWidth="1"/>
    <col min="5" max="5" width="16.5703125" style="37" customWidth="1"/>
    <col min="6" max="6" width="16" style="37" customWidth="1"/>
    <col min="7" max="7" width="15.42578125" style="37" customWidth="1"/>
    <col min="8" max="8" width="17.28515625" style="37" customWidth="1"/>
    <col min="9" max="9" width="17" style="37" customWidth="1"/>
    <col min="10" max="10" width="17.85546875" style="37" customWidth="1"/>
    <col min="11" max="11" width="26.85546875" style="37" customWidth="1"/>
    <col min="12" max="16384" width="9.140625" style="37"/>
  </cols>
  <sheetData>
    <row r="1" spans="1:11" ht="48.75" customHeight="1">
      <c r="B1" s="110" t="s">
        <v>37</v>
      </c>
      <c r="C1" s="596" t="s">
        <v>558</v>
      </c>
      <c r="D1" s="597"/>
      <c r="E1" s="597"/>
      <c r="F1" s="597"/>
      <c r="G1" s="597"/>
      <c r="H1" s="597"/>
      <c r="I1" s="597"/>
      <c r="J1" s="597"/>
      <c r="K1" s="598"/>
    </row>
    <row r="2" spans="1:11" ht="35.1" customHeight="1">
      <c r="A2" s="475" t="s">
        <v>50</v>
      </c>
      <c r="B2" s="476"/>
      <c r="C2" s="476"/>
      <c r="D2" s="476"/>
      <c r="E2" s="476"/>
      <c r="F2" s="476"/>
      <c r="G2" s="476"/>
      <c r="H2" s="476"/>
      <c r="I2" s="476"/>
      <c r="J2" s="476"/>
      <c r="K2" s="477"/>
    </row>
    <row r="3" spans="1:11" ht="28.9" customHeight="1">
      <c r="A3" s="587" t="s">
        <v>812</v>
      </c>
      <c r="B3" s="588" t="s">
        <v>811</v>
      </c>
      <c r="C3" s="589" t="s">
        <v>559</v>
      </c>
      <c r="D3" s="591" t="s">
        <v>560</v>
      </c>
      <c r="E3" s="589" t="s">
        <v>561</v>
      </c>
      <c r="F3" s="589" t="s">
        <v>562</v>
      </c>
      <c r="G3" s="589" t="s">
        <v>563</v>
      </c>
      <c r="H3" s="589" t="s">
        <v>545</v>
      </c>
      <c r="I3" s="589"/>
      <c r="J3" s="589"/>
      <c r="K3" s="586" t="s">
        <v>877</v>
      </c>
    </row>
    <row r="4" spans="1:11" ht="94.5" customHeight="1">
      <c r="A4" s="587"/>
      <c r="B4" s="588"/>
      <c r="C4" s="589"/>
      <c r="D4" s="592"/>
      <c r="E4" s="589"/>
      <c r="F4" s="589"/>
      <c r="G4" s="589"/>
      <c r="H4" s="50" t="s">
        <v>552</v>
      </c>
      <c r="I4" s="50" t="s">
        <v>564</v>
      </c>
      <c r="J4" s="50" t="s">
        <v>555</v>
      </c>
      <c r="K4" s="586"/>
    </row>
    <row r="5" spans="1:11">
      <c r="B5" s="107"/>
    </row>
    <row r="6" spans="1:11">
      <c r="B6" s="108"/>
    </row>
    <row r="7" spans="1:11">
      <c r="B7" s="39"/>
      <c r="C7" s="39"/>
    </row>
  </sheetData>
  <mergeCells count="11">
    <mergeCell ref="C1:K1"/>
    <mergeCell ref="G3:G4"/>
    <mergeCell ref="A2:K2"/>
    <mergeCell ref="H3:J3"/>
    <mergeCell ref="K3:K4"/>
    <mergeCell ref="D3:D4"/>
    <mergeCell ref="A3:A4"/>
    <mergeCell ref="B3:B4"/>
    <mergeCell ref="C3:C4"/>
    <mergeCell ref="E3:E4"/>
    <mergeCell ref="F3:F4"/>
  </mergeCells>
  <phoneticPr fontId="4" type="noConversion"/>
  <pageMargins left="0.51" right="0.38" top="0.98425196850393704" bottom="0.69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árok20" enableFormatConditionsCalculation="0">
    <tabColor indexed="42"/>
    <pageSetUpPr fitToPage="1"/>
  </sheetPr>
  <dimension ref="A1:F25"/>
  <sheetViews>
    <sheetView zoomScale="90" zoomScaleNormal="9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B27" sqref="B27"/>
    </sheetView>
  </sheetViews>
  <sheetFormatPr defaultRowHeight="15.75"/>
  <cols>
    <col min="1" max="1" width="10.5703125" style="312" customWidth="1"/>
    <col min="2" max="2" width="44.85546875" style="56" customWidth="1"/>
    <col min="3" max="3" width="28.42578125" style="55" customWidth="1"/>
    <col min="4" max="4" width="52.7109375" style="55" customWidth="1"/>
    <col min="5" max="5" width="9.140625" style="55"/>
    <col min="6" max="6" width="11.85546875" style="55" bestFit="1" customWidth="1"/>
    <col min="7" max="16384" width="9.140625" style="55"/>
  </cols>
  <sheetData>
    <row r="1" spans="1:6" ht="50.1" customHeight="1">
      <c r="A1" s="599" t="s">
        <v>565</v>
      </c>
      <c r="B1" s="600"/>
      <c r="C1" s="600"/>
      <c r="D1" s="601"/>
    </row>
    <row r="2" spans="1:6" ht="35.1" customHeight="1">
      <c r="A2" s="499" t="s">
        <v>1036</v>
      </c>
      <c r="B2" s="500"/>
      <c r="C2" s="500"/>
      <c r="D2" s="501"/>
    </row>
    <row r="3" spans="1:6" ht="31.5">
      <c r="A3" s="303" t="s">
        <v>812</v>
      </c>
      <c r="B3" s="46" t="s">
        <v>888</v>
      </c>
      <c r="C3" s="18" t="s">
        <v>566</v>
      </c>
      <c r="D3" s="19" t="s">
        <v>877</v>
      </c>
    </row>
    <row r="4" spans="1:6" s="66" customFormat="1" ht="18" customHeight="1">
      <c r="A4" s="71"/>
      <c r="B4" s="44" t="s">
        <v>878</v>
      </c>
      <c r="C4" s="44" t="s">
        <v>879</v>
      </c>
      <c r="D4" s="45" t="s">
        <v>880</v>
      </c>
    </row>
    <row r="5" spans="1:6" s="66" customFormat="1" ht="31.5">
      <c r="A5" s="71">
        <v>1</v>
      </c>
      <c r="B5" s="46" t="s">
        <v>612</v>
      </c>
      <c r="C5" s="195">
        <f>SUM(C6:C19)</f>
        <v>6936438.7699999996</v>
      </c>
      <c r="D5" s="304"/>
    </row>
    <row r="6" spans="1:6" ht="78.75">
      <c r="A6" s="71">
        <v>2</v>
      </c>
      <c r="B6" s="32" t="s">
        <v>799</v>
      </c>
      <c r="C6" s="198">
        <v>0</v>
      </c>
      <c r="D6" s="305" t="s">
        <v>1017</v>
      </c>
      <c r="F6" s="306"/>
    </row>
    <row r="7" spans="1:6" ht="78.75">
      <c r="A7" s="71">
        <v>3</v>
      </c>
      <c r="B7" s="32" t="s">
        <v>800</v>
      </c>
      <c r="C7" s="198">
        <v>3898326.38</v>
      </c>
      <c r="D7" s="305" t="s">
        <v>1018</v>
      </c>
    </row>
    <row r="8" spans="1:6">
      <c r="A8" s="71">
        <v>4</v>
      </c>
      <c r="B8" s="68" t="s">
        <v>801</v>
      </c>
      <c r="C8" s="198">
        <v>0</v>
      </c>
      <c r="D8" s="305" t="s">
        <v>1019</v>
      </c>
    </row>
    <row r="9" spans="1:6" ht="78.75">
      <c r="A9" s="71">
        <v>5</v>
      </c>
      <c r="B9" s="68" t="s">
        <v>772</v>
      </c>
      <c r="C9" s="198">
        <v>1519779.39</v>
      </c>
      <c r="D9" s="307" t="s">
        <v>1020</v>
      </c>
    </row>
    <row r="10" spans="1:6">
      <c r="A10" s="71">
        <v>6</v>
      </c>
      <c r="B10" s="68" t="s">
        <v>866</v>
      </c>
      <c r="C10" s="198">
        <v>0</v>
      </c>
      <c r="D10" s="40"/>
    </row>
    <row r="11" spans="1:6">
      <c r="A11" s="71">
        <v>7</v>
      </c>
      <c r="B11" s="68" t="s">
        <v>867</v>
      </c>
      <c r="C11" s="198">
        <v>0</v>
      </c>
      <c r="D11" s="40"/>
    </row>
    <row r="12" spans="1:6" ht="94.5">
      <c r="A12" s="71">
        <v>8</v>
      </c>
      <c r="B12" s="68" t="s">
        <v>52</v>
      </c>
      <c r="C12" s="198">
        <v>176320.85</v>
      </c>
      <c r="D12" s="307" t="s">
        <v>1021</v>
      </c>
    </row>
    <row r="13" spans="1:6">
      <c r="A13" s="71">
        <v>9</v>
      </c>
      <c r="B13" s="68" t="s">
        <v>773</v>
      </c>
      <c r="C13" s="198">
        <v>387.79</v>
      </c>
      <c r="D13" s="307" t="s">
        <v>1022</v>
      </c>
    </row>
    <row r="14" spans="1:6" ht="78.75">
      <c r="A14" s="71">
        <v>10</v>
      </c>
      <c r="B14" s="68" t="s">
        <v>774</v>
      </c>
      <c r="C14" s="198">
        <v>71553.960000000006</v>
      </c>
      <c r="D14" s="305" t="s">
        <v>1023</v>
      </c>
    </row>
    <row r="15" spans="1:6" ht="78.75">
      <c r="A15" s="71">
        <v>11</v>
      </c>
      <c r="B15" s="68" t="s">
        <v>775</v>
      </c>
      <c r="C15" s="198">
        <v>208970.76</v>
      </c>
      <c r="D15" s="305" t="s">
        <v>1024</v>
      </c>
    </row>
    <row r="16" spans="1:6" ht="78.75">
      <c r="A16" s="71">
        <v>12</v>
      </c>
      <c r="B16" s="68" t="s">
        <v>776</v>
      </c>
      <c r="C16" s="198">
        <v>85621.47</v>
      </c>
      <c r="D16" s="305" t="s">
        <v>1025</v>
      </c>
    </row>
    <row r="17" spans="1:4">
      <c r="A17" s="71">
        <v>13</v>
      </c>
      <c r="B17" s="68" t="s">
        <v>777</v>
      </c>
      <c r="C17" s="198">
        <v>2821.48</v>
      </c>
      <c r="D17" s="305" t="s">
        <v>1026</v>
      </c>
    </row>
    <row r="18" spans="1:4">
      <c r="A18" s="71">
        <v>14</v>
      </c>
      <c r="B18" s="68" t="s">
        <v>778</v>
      </c>
      <c r="C18" s="198"/>
      <c r="D18" s="40"/>
    </row>
    <row r="19" spans="1:4" ht="94.5">
      <c r="A19" s="71">
        <v>15</v>
      </c>
      <c r="B19" s="68" t="s">
        <v>779</v>
      </c>
      <c r="C19" s="198">
        <v>972656.69</v>
      </c>
      <c r="D19" s="305" t="s">
        <v>1027</v>
      </c>
    </row>
    <row r="20" spans="1:4">
      <c r="A20" s="71">
        <v>16</v>
      </c>
      <c r="B20" s="46" t="s">
        <v>901</v>
      </c>
      <c r="C20" s="198">
        <v>0</v>
      </c>
      <c r="D20" s="40"/>
    </row>
    <row r="21" spans="1:4">
      <c r="A21" s="71">
        <v>17</v>
      </c>
      <c r="B21" s="308" t="s">
        <v>644</v>
      </c>
      <c r="C21" s="309">
        <v>0</v>
      </c>
      <c r="D21" s="310" t="s">
        <v>1058</v>
      </c>
    </row>
    <row r="22" spans="1:4" ht="32.25" thickBot="1">
      <c r="A22" s="279">
        <v>18</v>
      </c>
      <c r="B22" s="62" t="s">
        <v>629</v>
      </c>
      <c r="C22" s="219">
        <f>+C5+C20+C21</f>
        <v>6936438.7699999996</v>
      </c>
      <c r="D22" s="311"/>
    </row>
    <row r="24" spans="1:4">
      <c r="A24" s="602"/>
      <c r="B24" s="602"/>
      <c r="C24" s="602"/>
      <c r="D24" s="602"/>
    </row>
    <row r="25" spans="1:4">
      <c r="B25" s="55"/>
    </row>
  </sheetData>
  <mergeCells count="3">
    <mergeCell ref="A1:D1"/>
    <mergeCell ref="A2:D2"/>
    <mergeCell ref="A24:D24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árok21" enableFormatConditionsCalculation="0">
    <tabColor indexed="42"/>
    <pageSetUpPr fitToPage="1"/>
  </sheetPr>
  <dimension ref="A1:L26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1" sqref="E21"/>
    </sheetView>
  </sheetViews>
  <sheetFormatPr defaultRowHeight="15.75"/>
  <cols>
    <col min="1" max="1" width="7.7109375" style="58" customWidth="1"/>
    <col min="2" max="2" width="47.5703125" style="220" customWidth="1"/>
    <col min="3" max="3" width="16.140625" style="142" customWidth="1"/>
    <col min="4" max="4" width="16.85546875" style="142" customWidth="1"/>
    <col min="5" max="5" width="17.140625" style="142" customWidth="1"/>
    <col min="6" max="6" width="18.140625" style="142" customWidth="1"/>
    <col min="7" max="7" width="17.42578125" style="142" customWidth="1"/>
    <col min="8" max="8" width="17" style="142" customWidth="1"/>
    <col min="9" max="9" width="14" style="142" customWidth="1"/>
    <col min="10" max="10" width="13.85546875" style="142" customWidth="1"/>
    <col min="11" max="11" width="14" style="142" customWidth="1"/>
    <col min="12" max="12" width="13.5703125" style="142" customWidth="1"/>
    <col min="13" max="16384" width="9.140625" style="142"/>
  </cols>
  <sheetData>
    <row r="1" spans="1:12" s="313" customFormat="1" ht="60" customHeight="1">
      <c r="A1" s="479" t="s">
        <v>21</v>
      </c>
      <c r="B1" s="480"/>
      <c r="C1" s="480"/>
      <c r="D1" s="480"/>
      <c r="E1" s="480"/>
      <c r="F1" s="480"/>
      <c r="G1" s="480"/>
      <c r="H1" s="481"/>
    </row>
    <row r="2" spans="1:12" s="313" customFormat="1" ht="35.1" customHeight="1">
      <c r="A2" s="499" t="s">
        <v>1032</v>
      </c>
      <c r="B2" s="500"/>
      <c r="C2" s="500"/>
      <c r="D2" s="500"/>
      <c r="E2" s="500"/>
      <c r="F2" s="500"/>
      <c r="G2" s="500"/>
      <c r="H2" s="501"/>
    </row>
    <row r="3" spans="1:12" ht="27" customHeight="1">
      <c r="A3" s="496" t="s">
        <v>812</v>
      </c>
      <c r="B3" s="520"/>
      <c r="C3" s="521" t="s">
        <v>894</v>
      </c>
      <c r="D3" s="521"/>
      <c r="E3" s="521" t="s">
        <v>895</v>
      </c>
      <c r="F3" s="521"/>
      <c r="G3" s="604" t="s">
        <v>821</v>
      </c>
      <c r="H3" s="605"/>
    </row>
    <row r="4" spans="1:12" ht="33" customHeight="1">
      <c r="A4" s="496"/>
      <c r="B4" s="520"/>
      <c r="C4" s="3" t="s">
        <v>647</v>
      </c>
      <c r="D4" s="3" t="s">
        <v>805</v>
      </c>
      <c r="E4" s="3" t="s">
        <v>647</v>
      </c>
      <c r="F4" s="3" t="s">
        <v>805</v>
      </c>
      <c r="G4" s="3" t="s">
        <v>647</v>
      </c>
      <c r="H4" s="2" t="s">
        <v>805</v>
      </c>
    </row>
    <row r="5" spans="1:12" ht="21.6" customHeight="1">
      <c r="A5" s="79"/>
      <c r="B5" s="136"/>
      <c r="C5" s="22" t="s">
        <v>878</v>
      </c>
      <c r="D5" s="22" t="s">
        <v>879</v>
      </c>
      <c r="E5" s="22" t="s">
        <v>880</v>
      </c>
      <c r="F5" s="22" t="s">
        <v>886</v>
      </c>
      <c r="G5" s="22" t="s">
        <v>624</v>
      </c>
      <c r="H5" s="23" t="s">
        <v>625</v>
      </c>
    </row>
    <row r="6" spans="1:12" ht="18" customHeight="1">
      <c r="A6" s="21">
        <v>1</v>
      </c>
      <c r="B6" s="42" t="s">
        <v>780</v>
      </c>
      <c r="C6" s="195">
        <f>C7+C8+C9+C10</f>
        <v>20148.349999999999</v>
      </c>
      <c r="D6" s="195">
        <f>D7+D8+D9+D10</f>
        <v>5372.89</v>
      </c>
      <c r="E6" s="195">
        <f>E7+E8+E9+E10</f>
        <v>0</v>
      </c>
      <c r="F6" s="195">
        <f>F7+F8+F9+F10</f>
        <v>0</v>
      </c>
      <c r="G6" s="195">
        <f t="shared" ref="G6:G25" si="0">C6+E6</f>
        <v>20148.349999999999</v>
      </c>
      <c r="H6" s="196">
        <f t="shared" ref="H6:H25" si="1">D6+F6</f>
        <v>5372.89</v>
      </c>
      <c r="I6" s="314"/>
      <c r="J6" s="314"/>
    </row>
    <row r="7" spans="1:12" ht="18" customHeight="1">
      <c r="A7" s="21">
        <f t="shared" ref="A7:A22" si="2">A6+1</f>
        <v>2</v>
      </c>
      <c r="B7" s="26" t="s">
        <v>616</v>
      </c>
      <c r="C7" s="114">
        <v>20148.349999999999</v>
      </c>
      <c r="D7" s="114">
        <v>5372.89</v>
      </c>
      <c r="E7" s="114">
        <v>0</v>
      </c>
      <c r="F7" s="114">
        <v>0</v>
      </c>
      <c r="G7" s="195">
        <f t="shared" si="0"/>
        <v>20148.349999999999</v>
      </c>
      <c r="H7" s="196">
        <f t="shared" si="1"/>
        <v>5372.89</v>
      </c>
      <c r="J7" s="141"/>
    </row>
    <row r="8" spans="1:12" ht="18" customHeight="1">
      <c r="A8" s="21">
        <f t="shared" si="2"/>
        <v>3</v>
      </c>
      <c r="B8" s="26" t="s">
        <v>617</v>
      </c>
      <c r="C8" s="114"/>
      <c r="D8" s="114"/>
      <c r="E8" s="114">
        <v>0</v>
      </c>
      <c r="F8" s="114">
        <v>0</v>
      </c>
      <c r="G8" s="195">
        <f t="shared" si="0"/>
        <v>0</v>
      </c>
      <c r="H8" s="196">
        <f t="shared" si="1"/>
        <v>0</v>
      </c>
    </row>
    <row r="9" spans="1:12" ht="18" customHeight="1">
      <c r="A9" s="21">
        <f t="shared" si="2"/>
        <v>4</v>
      </c>
      <c r="B9" s="26" t="s">
        <v>618</v>
      </c>
      <c r="C9" s="114"/>
      <c r="D9" s="114"/>
      <c r="E9" s="114">
        <v>0</v>
      </c>
      <c r="F9" s="114">
        <v>0</v>
      </c>
      <c r="G9" s="195">
        <f t="shared" si="0"/>
        <v>0</v>
      </c>
      <c r="H9" s="196">
        <f t="shared" si="1"/>
        <v>0</v>
      </c>
    </row>
    <row r="10" spans="1:12" ht="18" customHeight="1">
      <c r="A10" s="21">
        <f t="shared" si="2"/>
        <v>5</v>
      </c>
      <c r="B10" s="26" t="s">
        <v>619</v>
      </c>
      <c r="C10" s="114"/>
      <c r="D10" s="114"/>
      <c r="E10" s="114">
        <v>0</v>
      </c>
      <c r="F10" s="114">
        <v>0</v>
      </c>
      <c r="G10" s="195">
        <f t="shared" si="0"/>
        <v>0</v>
      </c>
      <c r="H10" s="196">
        <f t="shared" si="1"/>
        <v>0</v>
      </c>
    </row>
    <row r="11" spans="1:12" ht="18" customHeight="1">
      <c r="A11" s="21">
        <f t="shared" si="2"/>
        <v>6</v>
      </c>
      <c r="B11" s="42" t="s">
        <v>62</v>
      </c>
      <c r="C11" s="195">
        <f>C12+C13</f>
        <v>0</v>
      </c>
      <c r="D11" s="195">
        <f>D12+D13</f>
        <v>0</v>
      </c>
      <c r="E11" s="195">
        <f>E12+E13</f>
        <v>0</v>
      </c>
      <c r="F11" s="195">
        <f>F12+F13</f>
        <v>0</v>
      </c>
      <c r="G11" s="195">
        <f t="shared" si="0"/>
        <v>0</v>
      </c>
      <c r="H11" s="196">
        <f t="shared" si="1"/>
        <v>0</v>
      </c>
    </row>
    <row r="12" spans="1:12">
      <c r="A12" s="21">
        <f t="shared" si="2"/>
        <v>7</v>
      </c>
      <c r="B12" s="26" t="s">
        <v>620</v>
      </c>
      <c r="C12" s="114">
        <v>0</v>
      </c>
      <c r="D12" s="114">
        <v>0</v>
      </c>
      <c r="E12" s="114">
        <v>0</v>
      </c>
      <c r="F12" s="114">
        <v>0</v>
      </c>
      <c r="G12" s="195">
        <f t="shared" ref="G12:H20" si="3">C12+E12</f>
        <v>0</v>
      </c>
      <c r="H12" s="196">
        <f t="shared" ref="H12:H18" si="4">D12+F12</f>
        <v>0</v>
      </c>
    </row>
    <row r="13" spans="1:12">
      <c r="A13" s="21">
        <f t="shared" si="2"/>
        <v>8</v>
      </c>
      <c r="B13" s="26" t="s">
        <v>10</v>
      </c>
      <c r="C13" s="114"/>
      <c r="D13" s="114"/>
      <c r="E13" s="114"/>
      <c r="F13" s="114"/>
      <c r="G13" s="195">
        <f t="shared" si="3"/>
        <v>0</v>
      </c>
      <c r="H13" s="196">
        <f t="shared" si="4"/>
        <v>0</v>
      </c>
      <c r="I13" s="603"/>
      <c r="J13" s="603"/>
      <c r="K13" s="603"/>
      <c r="L13" s="603"/>
    </row>
    <row r="14" spans="1:12">
      <c r="A14" s="21">
        <f t="shared" si="2"/>
        <v>9</v>
      </c>
      <c r="B14" s="42" t="s">
        <v>63</v>
      </c>
      <c r="C14" s="195">
        <f>C15+C16</f>
        <v>319270.87</v>
      </c>
      <c r="D14" s="195">
        <f>D15+D16</f>
        <v>38521.879999999997</v>
      </c>
      <c r="E14" s="195">
        <f>E15+E16</f>
        <v>3402856.13</v>
      </c>
      <c r="F14" s="195">
        <f>F15+F16</f>
        <v>412273.56</v>
      </c>
      <c r="G14" s="195">
        <f t="shared" si="3"/>
        <v>3722127</v>
      </c>
      <c r="H14" s="196">
        <f t="shared" si="4"/>
        <v>450795.44</v>
      </c>
      <c r="I14" s="315"/>
      <c r="J14" s="315"/>
      <c r="K14" s="315"/>
      <c r="L14" s="315"/>
    </row>
    <row r="15" spans="1:12">
      <c r="A15" s="21">
        <f t="shared" si="2"/>
        <v>10</v>
      </c>
      <c r="B15" s="26" t="s">
        <v>57</v>
      </c>
      <c r="C15" s="114">
        <v>319270.87</v>
      </c>
      <c r="D15" s="114">
        <v>38521.879999999997</v>
      </c>
      <c r="E15" s="114">
        <v>3402856.13</v>
      </c>
      <c r="F15" s="114">
        <v>412273.56</v>
      </c>
      <c r="G15" s="195">
        <f t="shared" si="3"/>
        <v>3722127</v>
      </c>
      <c r="H15" s="196">
        <f t="shared" si="4"/>
        <v>450795.44</v>
      </c>
      <c r="I15" s="314"/>
      <c r="J15" s="314"/>
      <c r="K15" s="314"/>
      <c r="L15" s="314"/>
    </row>
    <row r="16" spans="1:12">
      <c r="A16" s="21">
        <f t="shared" si="2"/>
        <v>11</v>
      </c>
      <c r="B16" s="26" t="s">
        <v>58</v>
      </c>
      <c r="C16" s="114"/>
      <c r="D16" s="114"/>
      <c r="E16" s="114"/>
      <c r="F16" s="114"/>
      <c r="G16" s="195">
        <f t="shared" si="3"/>
        <v>0</v>
      </c>
      <c r="H16" s="196">
        <f t="shared" si="4"/>
        <v>0</v>
      </c>
    </row>
    <row r="17" spans="1:10">
      <c r="A17" s="21">
        <f t="shared" si="2"/>
        <v>12</v>
      </c>
      <c r="B17" s="42" t="s">
        <v>64</v>
      </c>
      <c r="C17" s="195">
        <f>C18</f>
        <v>977502.28</v>
      </c>
      <c r="D17" s="195">
        <f>D18</f>
        <v>115000.5</v>
      </c>
      <c r="E17" s="195">
        <f>E18</f>
        <v>2946341.08</v>
      </c>
      <c r="F17" s="195">
        <f>F18</f>
        <v>346628.64</v>
      </c>
      <c r="G17" s="195">
        <f t="shared" si="3"/>
        <v>3923843.3600000003</v>
      </c>
      <c r="H17" s="196">
        <f t="shared" si="4"/>
        <v>461629.14</v>
      </c>
    </row>
    <row r="18" spans="1:10">
      <c r="A18" s="21">
        <f t="shared" si="2"/>
        <v>13</v>
      </c>
      <c r="B18" s="26" t="s">
        <v>59</v>
      </c>
      <c r="C18" s="114">
        <v>977502.28</v>
      </c>
      <c r="D18" s="114">
        <v>115000.5</v>
      </c>
      <c r="E18" s="114">
        <v>2946341.08</v>
      </c>
      <c r="F18" s="114">
        <v>346628.64</v>
      </c>
      <c r="G18" s="195">
        <f t="shared" si="3"/>
        <v>3923843.3600000003</v>
      </c>
      <c r="H18" s="196">
        <f t="shared" si="4"/>
        <v>461629.14</v>
      </c>
      <c r="J18" s="141"/>
    </row>
    <row r="19" spans="1:10">
      <c r="A19" s="21">
        <f t="shared" si="2"/>
        <v>14</v>
      </c>
      <c r="B19" s="42" t="s">
        <v>1011</v>
      </c>
      <c r="C19" s="195">
        <f>C20</f>
        <v>512684.21</v>
      </c>
      <c r="D19" s="195">
        <f>D20</f>
        <v>60315.79</v>
      </c>
      <c r="E19" s="195">
        <f>E20</f>
        <v>0</v>
      </c>
      <c r="F19" s="195">
        <f>F20</f>
        <v>0</v>
      </c>
      <c r="G19" s="195">
        <f t="shared" si="3"/>
        <v>512684.21</v>
      </c>
      <c r="H19" s="196">
        <f t="shared" si="3"/>
        <v>60315.79</v>
      </c>
    </row>
    <row r="20" spans="1:10">
      <c r="A20" s="21">
        <f t="shared" si="2"/>
        <v>15</v>
      </c>
      <c r="B20" s="26" t="s">
        <v>1012</v>
      </c>
      <c r="C20" s="114">
        <v>512684.21</v>
      </c>
      <c r="D20" s="114">
        <v>60315.79</v>
      </c>
      <c r="E20" s="114"/>
      <c r="F20" s="114"/>
      <c r="G20" s="195">
        <f t="shared" si="3"/>
        <v>512684.21</v>
      </c>
      <c r="H20" s="196">
        <f t="shared" si="3"/>
        <v>60315.79</v>
      </c>
      <c r="J20" s="141"/>
    </row>
    <row r="21" spans="1:10" ht="35.25" customHeight="1">
      <c r="A21" s="21">
        <f>A18+1</f>
        <v>14</v>
      </c>
      <c r="B21" s="42" t="s">
        <v>60</v>
      </c>
      <c r="C21" s="195">
        <f>C6+C11+C14+C17+C19</f>
        <v>1829605.71</v>
      </c>
      <c r="D21" s="195">
        <f>D6+D11+D14+D17+D19</f>
        <v>219211.06</v>
      </c>
      <c r="E21" s="195">
        <f>E6+E11+E14+E17+E19</f>
        <v>6349197.21</v>
      </c>
      <c r="F21" s="195">
        <f>F6+F11+F14+F17+F19</f>
        <v>758902.2</v>
      </c>
      <c r="G21" s="195">
        <f>C21+E21</f>
        <v>8178802.9199999999</v>
      </c>
      <c r="H21" s="196">
        <f>D21+F21</f>
        <v>978113.26</v>
      </c>
      <c r="J21" s="141"/>
    </row>
    <row r="22" spans="1:10" ht="31.5">
      <c r="A22" s="21">
        <f t="shared" si="2"/>
        <v>15</v>
      </c>
      <c r="B22" s="42" t="s">
        <v>61</v>
      </c>
      <c r="C22" s="195">
        <f>SUM(C23:C24)</f>
        <v>0</v>
      </c>
      <c r="D22" s="195">
        <f>SUM(D23:D24)</f>
        <v>0</v>
      </c>
      <c r="E22" s="195">
        <f>SUM(E23:E24)</f>
        <v>0</v>
      </c>
      <c r="F22" s="195">
        <f>SUM(F23:F24)</f>
        <v>0</v>
      </c>
      <c r="G22" s="195">
        <f t="shared" si="0"/>
        <v>0</v>
      </c>
      <c r="H22" s="196">
        <f t="shared" si="1"/>
        <v>0</v>
      </c>
    </row>
    <row r="23" spans="1:10" ht="63">
      <c r="A23" s="145" t="s">
        <v>873</v>
      </c>
      <c r="B23" s="163" t="s">
        <v>745</v>
      </c>
      <c r="C23" s="316">
        <v>0</v>
      </c>
      <c r="D23" s="316">
        <v>0</v>
      </c>
      <c r="E23" s="316">
        <v>0</v>
      </c>
      <c r="F23" s="316">
        <v>0</v>
      </c>
      <c r="G23" s="195">
        <f t="shared" si="0"/>
        <v>0</v>
      </c>
      <c r="H23" s="196">
        <f t="shared" si="1"/>
        <v>0</v>
      </c>
    </row>
    <row r="24" spans="1:10">
      <c r="A24" s="145"/>
      <c r="B24" s="169"/>
      <c r="C24" s="316"/>
      <c r="D24" s="316"/>
      <c r="E24" s="316"/>
      <c r="F24" s="316"/>
      <c r="G24" s="195">
        <f t="shared" si="0"/>
        <v>0</v>
      </c>
      <c r="H24" s="196">
        <f t="shared" si="1"/>
        <v>0</v>
      </c>
    </row>
    <row r="25" spans="1:10" ht="31.9" customHeight="1" thickBot="1">
      <c r="A25" s="218">
        <v>16</v>
      </c>
      <c r="B25" s="35" t="s">
        <v>22</v>
      </c>
      <c r="C25" s="280">
        <f>C21+C22</f>
        <v>1829605.71</v>
      </c>
      <c r="D25" s="280">
        <f>D21+D22</f>
        <v>219211.06</v>
      </c>
      <c r="E25" s="280">
        <f>E21+E22</f>
        <v>6349197.21</v>
      </c>
      <c r="F25" s="280">
        <f>F21+F22</f>
        <v>758902.2</v>
      </c>
      <c r="G25" s="219">
        <f t="shared" si="0"/>
        <v>8178802.9199999999</v>
      </c>
      <c r="H25" s="269">
        <f t="shared" si="1"/>
        <v>978113.26</v>
      </c>
    </row>
    <row r="26" spans="1:10">
      <c r="F26" s="141"/>
    </row>
  </sheetData>
  <sheetProtection selectLockedCells="1"/>
  <protectedRanges>
    <protectedRange sqref="C6:F6" name="Rozsah2"/>
  </protectedRanges>
  <mergeCells count="9">
    <mergeCell ref="I13:J13"/>
    <mergeCell ref="K13:L13"/>
    <mergeCell ref="A1:H1"/>
    <mergeCell ref="G3:H3"/>
    <mergeCell ref="C3:D3"/>
    <mergeCell ref="E3:F3"/>
    <mergeCell ref="A3:A4"/>
    <mergeCell ref="B3:B4"/>
    <mergeCell ref="A2:H2"/>
  </mergeCells>
  <phoneticPr fontId="0" type="noConversion"/>
  <printOptions gridLines="1"/>
  <pageMargins left="0.74803149606299213" right="0.74803149606299213" top="0.98425196850393704" bottom="0.88" header="0.51181102362204722" footer="0.51181102362204722"/>
  <pageSetup paperSize="9" scale="7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árok22" enableFormatConditionsCalculation="0">
    <tabColor indexed="42"/>
    <pageSetUpPr fitToPage="1"/>
  </sheetPr>
  <dimension ref="A1:G2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2" sqref="D12"/>
    </sheetView>
  </sheetViews>
  <sheetFormatPr defaultRowHeight="15.75"/>
  <cols>
    <col min="1" max="1" width="9.5703125" style="174" customWidth="1"/>
    <col min="2" max="2" width="55.85546875" style="24" customWidth="1"/>
    <col min="3" max="3" width="18.42578125" style="64" customWidth="1"/>
    <col min="4" max="4" width="17.42578125" style="64" customWidth="1"/>
    <col min="5" max="5" width="18.140625" style="64" customWidth="1"/>
    <col min="6" max="16384" width="9.140625" style="24"/>
  </cols>
  <sheetData>
    <row r="1" spans="1:7" ht="61.5" customHeight="1">
      <c r="A1" s="479" t="s">
        <v>36</v>
      </c>
      <c r="B1" s="480"/>
      <c r="C1" s="480"/>
      <c r="D1" s="480"/>
      <c r="E1" s="481"/>
      <c r="F1" s="156"/>
      <c r="G1" s="156"/>
    </row>
    <row r="2" spans="1:7" ht="35.1" customHeight="1">
      <c r="A2" s="499" t="s">
        <v>1032</v>
      </c>
      <c r="B2" s="500"/>
      <c r="C2" s="500"/>
      <c r="D2" s="500"/>
      <c r="E2" s="501"/>
      <c r="F2" s="156"/>
      <c r="G2" s="156"/>
    </row>
    <row r="3" spans="1:7" s="160" customFormat="1" ht="46.9" customHeight="1">
      <c r="A3" s="79" t="s">
        <v>812</v>
      </c>
      <c r="B3" s="3" t="s">
        <v>916</v>
      </c>
      <c r="C3" s="3" t="s">
        <v>894</v>
      </c>
      <c r="D3" s="3" t="s">
        <v>895</v>
      </c>
      <c r="E3" s="2" t="s">
        <v>816</v>
      </c>
    </row>
    <row r="4" spans="1:7" s="160" customFormat="1" ht="16.5" customHeight="1">
      <c r="A4" s="79"/>
      <c r="B4" s="3"/>
      <c r="C4" s="3" t="s">
        <v>878</v>
      </c>
      <c r="D4" s="3" t="s">
        <v>879</v>
      </c>
      <c r="E4" s="2" t="s">
        <v>621</v>
      </c>
    </row>
    <row r="5" spans="1:7" s="160" customFormat="1" ht="17.45" customHeight="1">
      <c r="A5" s="79"/>
      <c r="B5" s="83" t="s">
        <v>959</v>
      </c>
      <c r="C5" s="114"/>
      <c r="D5" s="114"/>
      <c r="E5" s="116"/>
    </row>
    <row r="6" spans="1:7" s="160" customFormat="1" ht="17.45" customHeight="1">
      <c r="A6" s="71">
        <v>1</v>
      </c>
      <c r="B6" s="159" t="s">
        <v>69</v>
      </c>
      <c r="C6" s="153">
        <f>SUM(C7:C10)</f>
        <v>1443788.03</v>
      </c>
      <c r="D6" s="153">
        <f>SUM(D7:D10)</f>
        <v>0</v>
      </c>
      <c r="E6" s="132">
        <f>C6+D6</f>
        <v>1443788.03</v>
      </c>
    </row>
    <row r="7" spans="1:7" s="64" customFormat="1">
      <c r="A7" s="21">
        <f>A6+1</f>
        <v>2</v>
      </c>
      <c r="B7" s="68" t="s">
        <v>742</v>
      </c>
      <c r="C7" s="131">
        <v>1443788.03</v>
      </c>
      <c r="D7" s="167"/>
      <c r="E7" s="132">
        <f>C7+D7</f>
        <v>1443788.03</v>
      </c>
    </row>
    <row r="8" spans="1:7" s="64" customFormat="1">
      <c r="A8" s="21">
        <f>A7+1</f>
        <v>3</v>
      </c>
      <c r="B8" s="68" t="s">
        <v>65</v>
      </c>
      <c r="C8" s="131"/>
      <c r="D8" s="131"/>
      <c r="E8" s="132">
        <f t="shared" ref="E8:E15" si="0">C8+D8</f>
        <v>0</v>
      </c>
    </row>
    <row r="9" spans="1:7" s="64" customFormat="1">
      <c r="A9" s="21">
        <f>A8+1</f>
        <v>4</v>
      </c>
      <c r="B9" s="68" t="s">
        <v>67</v>
      </c>
      <c r="C9" s="131"/>
      <c r="D9" s="131"/>
      <c r="E9" s="132"/>
    </row>
    <row r="10" spans="1:7" s="64" customFormat="1">
      <c r="A10" s="21">
        <f>A9+1</f>
        <v>5</v>
      </c>
      <c r="B10" s="68" t="s">
        <v>68</v>
      </c>
      <c r="C10" s="131"/>
      <c r="D10" s="131"/>
      <c r="E10" s="132">
        <f t="shared" si="0"/>
        <v>0</v>
      </c>
    </row>
    <row r="11" spans="1:7" s="64" customFormat="1" ht="34.5">
      <c r="A11" s="21"/>
      <c r="B11" s="83" t="s">
        <v>66</v>
      </c>
      <c r="C11" s="131"/>
      <c r="D11" s="131"/>
      <c r="E11" s="132"/>
    </row>
    <row r="12" spans="1:7">
      <c r="A12" s="21">
        <v>6</v>
      </c>
      <c r="B12" s="68" t="s">
        <v>607</v>
      </c>
      <c r="C12" s="133">
        <v>6820</v>
      </c>
      <c r="D12" s="133"/>
      <c r="E12" s="132">
        <f t="shared" si="0"/>
        <v>6820</v>
      </c>
    </row>
    <row r="13" spans="1:7">
      <c r="A13" s="21">
        <v>7</v>
      </c>
      <c r="B13" s="68" t="s">
        <v>608</v>
      </c>
      <c r="C13" s="131">
        <v>22160</v>
      </c>
      <c r="D13" s="131"/>
      <c r="E13" s="132">
        <f t="shared" si="0"/>
        <v>22160</v>
      </c>
    </row>
    <row r="14" spans="1:7">
      <c r="A14" s="21"/>
      <c r="B14" s="42"/>
      <c r="C14" s="133"/>
      <c r="D14" s="133"/>
      <c r="E14" s="132"/>
    </row>
    <row r="15" spans="1:7">
      <c r="A15" s="21">
        <v>8</v>
      </c>
      <c r="B15" s="42" t="s">
        <v>70</v>
      </c>
      <c r="C15" s="317">
        <f>SUM(C16:C17)</f>
        <v>0</v>
      </c>
      <c r="D15" s="317">
        <f>SUM(D16:D17)</f>
        <v>0</v>
      </c>
      <c r="E15" s="132">
        <f t="shared" si="0"/>
        <v>0</v>
      </c>
    </row>
    <row r="16" spans="1:7">
      <c r="A16" s="21"/>
      <c r="B16" s="68"/>
      <c r="C16" s="133"/>
      <c r="D16" s="133"/>
      <c r="E16" s="132"/>
    </row>
    <row r="17" spans="1:5">
      <c r="A17" s="21"/>
      <c r="B17" s="42"/>
      <c r="C17" s="133"/>
      <c r="D17" s="133"/>
      <c r="E17" s="132"/>
    </row>
    <row r="18" spans="1:5" ht="16.5" thickBot="1">
      <c r="A18" s="76">
        <v>9</v>
      </c>
      <c r="B18" s="77" t="s">
        <v>511</v>
      </c>
      <c r="C18" s="134">
        <f>C6+C12+C13+C15</f>
        <v>1472768.03</v>
      </c>
      <c r="D18" s="134">
        <f>D6+D15</f>
        <v>0</v>
      </c>
      <c r="E18" s="203">
        <f>E6+E12+E13+E15</f>
        <v>1472768.03</v>
      </c>
    </row>
    <row r="19" spans="1:5">
      <c r="E19" s="142"/>
    </row>
    <row r="20" spans="1:5">
      <c r="B20" s="174"/>
      <c r="C20" s="174"/>
    </row>
    <row r="21" spans="1:5">
      <c r="B21" s="174"/>
      <c r="C21" s="174"/>
    </row>
  </sheetData>
  <protectedRanges>
    <protectedRange sqref="C8:D10" name="Rozsah2_1_1"/>
    <protectedRange sqref="C11:D11" name="Rozsah2_2_1"/>
  </protectedRanges>
  <mergeCells count="2">
    <mergeCell ref="A1:E1"/>
    <mergeCell ref="A2:E2"/>
  </mergeCells>
  <phoneticPr fontId="4" type="noConversion"/>
  <pageMargins left="0.79" right="0.74803149606299213" top="0.98425196850393704" bottom="0.77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F24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 activeCell="B5" sqref="B5"/>
    </sheetView>
  </sheetViews>
  <sheetFormatPr defaultRowHeight="15.75"/>
  <cols>
    <col min="1" max="1" width="9.140625" style="64"/>
    <col min="2" max="2" width="75.42578125" style="223" customWidth="1"/>
    <col min="3" max="3" width="17.28515625" style="209" customWidth="1"/>
    <col min="4" max="4" width="17.28515625" style="64" customWidth="1"/>
    <col min="5" max="5" width="17.28515625" style="209" customWidth="1"/>
    <col min="6" max="6" width="17.28515625" style="64" customWidth="1"/>
    <col min="7" max="7" width="16" style="64" customWidth="1"/>
    <col min="8" max="16384" width="9.140625" style="64"/>
  </cols>
  <sheetData>
    <row r="1" spans="1:6" ht="35.1" customHeight="1">
      <c r="A1" s="479" t="s">
        <v>25</v>
      </c>
      <c r="B1" s="480"/>
      <c r="C1" s="480"/>
      <c r="D1" s="480"/>
      <c r="E1" s="480"/>
      <c r="F1" s="481"/>
    </row>
    <row r="2" spans="1:6" ht="35.1" customHeight="1">
      <c r="A2" s="499" t="s">
        <v>1032</v>
      </c>
      <c r="B2" s="500"/>
      <c r="C2" s="500"/>
      <c r="D2" s="500"/>
      <c r="E2" s="500"/>
      <c r="F2" s="501"/>
    </row>
    <row r="3" spans="1:6" ht="22.9" customHeight="1">
      <c r="A3" s="496" t="s">
        <v>812</v>
      </c>
      <c r="B3" s="520" t="s">
        <v>916</v>
      </c>
      <c r="C3" s="521">
        <v>2009</v>
      </c>
      <c r="D3" s="521"/>
      <c r="E3" s="521">
        <v>2010</v>
      </c>
      <c r="F3" s="563"/>
    </row>
    <row r="4" spans="1:6" ht="75" customHeight="1">
      <c r="A4" s="496"/>
      <c r="B4" s="520"/>
      <c r="C4" s="15" t="s">
        <v>626</v>
      </c>
      <c r="D4" s="3" t="s">
        <v>806</v>
      </c>
      <c r="E4" s="15" t="s">
        <v>626</v>
      </c>
      <c r="F4" s="2" t="s">
        <v>807</v>
      </c>
    </row>
    <row r="5" spans="1:6">
      <c r="A5" s="21"/>
      <c r="B5" s="318"/>
      <c r="C5" s="17" t="s">
        <v>878</v>
      </c>
      <c r="D5" s="18" t="s">
        <v>879</v>
      </c>
      <c r="E5" s="17" t="s">
        <v>880</v>
      </c>
      <c r="F5" s="19" t="s">
        <v>886</v>
      </c>
    </row>
    <row r="6" spans="1:6" ht="31.5">
      <c r="A6" s="21">
        <v>1</v>
      </c>
      <c r="B6" s="42" t="s">
        <v>24</v>
      </c>
      <c r="C6" s="162">
        <f>C7+C10+C13</f>
        <v>7411</v>
      </c>
      <c r="D6" s="162">
        <f>D7+D10+D13</f>
        <v>153</v>
      </c>
      <c r="E6" s="162">
        <f>E7+E10+E13</f>
        <v>21489.89</v>
      </c>
      <c r="F6" s="192">
        <v>180</v>
      </c>
    </row>
    <row r="7" spans="1:6">
      <c r="A7" s="21">
        <v>2</v>
      </c>
      <c r="B7" s="42" t="s">
        <v>709</v>
      </c>
      <c r="C7" s="162">
        <f>SUM(C8:C9)</f>
        <v>4531</v>
      </c>
      <c r="D7" s="162">
        <f>SUM(D8:D9)</f>
        <v>97</v>
      </c>
      <c r="E7" s="162">
        <f>SUM(E8:E9)</f>
        <v>6409.89</v>
      </c>
      <c r="F7" s="192">
        <v>14</v>
      </c>
    </row>
    <row r="8" spans="1:6">
      <c r="A8" s="21">
        <v>3</v>
      </c>
      <c r="B8" s="26" t="s">
        <v>630</v>
      </c>
      <c r="C8" s="131">
        <v>4531</v>
      </c>
      <c r="D8" s="131">
        <v>97</v>
      </c>
      <c r="E8" s="131">
        <v>6409.89</v>
      </c>
      <c r="F8" s="190">
        <v>14</v>
      </c>
    </row>
    <row r="9" spans="1:6" ht="18.75">
      <c r="A9" s="21">
        <v>4</v>
      </c>
      <c r="B9" s="26" t="s">
        <v>746</v>
      </c>
      <c r="C9" s="131"/>
      <c r="D9" s="131"/>
      <c r="E9" s="131"/>
      <c r="F9" s="190">
        <v>0</v>
      </c>
    </row>
    <row r="10" spans="1:6">
      <c r="A10" s="21">
        <v>5</v>
      </c>
      <c r="B10" s="42" t="s">
        <v>710</v>
      </c>
      <c r="C10" s="162">
        <f>SUM(C11:C12)</f>
        <v>210</v>
      </c>
      <c r="D10" s="162">
        <f>SUM(D11:D12)</f>
        <v>5</v>
      </c>
      <c r="E10" s="162">
        <f>SUM(E11:E12)</f>
        <v>13610</v>
      </c>
      <c r="F10" s="192">
        <v>123</v>
      </c>
    </row>
    <row r="11" spans="1:6">
      <c r="A11" s="21">
        <v>6</v>
      </c>
      <c r="B11" s="26" t="s">
        <v>630</v>
      </c>
      <c r="C11" s="131">
        <v>210</v>
      </c>
      <c r="D11" s="131">
        <v>5</v>
      </c>
      <c r="E11" s="131">
        <v>13610</v>
      </c>
      <c r="F11" s="190">
        <v>123</v>
      </c>
    </row>
    <row r="12" spans="1:6" ht="18.75">
      <c r="A12" s="21">
        <v>7</v>
      </c>
      <c r="B12" s="26" t="s">
        <v>746</v>
      </c>
      <c r="C12" s="131"/>
      <c r="D12" s="131"/>
      <c r="E12" s="131"/>
      <c r="F12" s="190">
        <v>0</v>
      </c>
    </row>
    <row r="13" spans="1:6">
      <c r="A13" s="21">
        <v>8</v>
      </c>
      <c r="B13" s="42" t="s">
        <v>708</v>
      </c>
      <c r="C13" s="162">
        <f>SUM(C14:C15)</f>
        <v>2670</v>
      </c>
      <c r="D13" s="162">
        <f>SUM(D14:D15)</f>
        <v>51</v>
      </c>
      <c r="E13" s="162">
        <f>SUM(E14:E15)</f>
        <v>1470</v>
      </c>
      <c r="F13" s="192">
        <v>43</v>
      </c>
    </row>
    <row r="14" spans="1:6">
      <c r="A14" s="21">
        <v>9</v>
      </c>
      <c r="B14" s="26" t="s">
        <v>630</v>
      </c>
      <c r="C14" s="131">
        <v>2670</v>
      </c>
      <c r="D14" s="131">
        <v>51</v>
      </c>
      <c r="E14" s="131">
        <v>1470</v>
      </c>
      <c r="F14" s="190">
        <v>43</v>
      </c>
    </row>
    <row r="15" spans="1:6" ht="18.75">
      <c r="A15" s="21">
        <v>10</v>
      </c>
      <c r="B15" s="26" t="s">
        <v>746</v>
      </c>
      <c r="C15" s="131"/>
      <c r="D15" s="131"/>
      <c r="E15" s="131"/>
      <c r="F15" s="190">
        <v>0</v>
      </c>
    </row>
    <row r="16" spans="1:6">
      <c r="A16" s="21">
        <v>11</v>
      </c>
      <c r="B16" s="42" t="s">
        <v>645</v>
      </c>
      <c r="C16" s="162">
        <f>SUM(C17:C18)</f>
        <v>0</v>
      </c>
      <c r="D16" s="162">
        <f>SUM(D17:D18)</f>
        <v>0</v>
      </c>
      <c r="E16" s="162">
        <f>SUM(E17:E18)</f>
        <v>0</v>
      </c>
      <c r="F16" s="192">
        <v>0</v>
      </c>
    </row>
    <row r="17" spans="1:6">
      <c r="A17" s="21">
        <v>12</v>
      </c>
      <c r="B17" s="26" t="s">
        <v>630</v>
      </c>
      <c r="C17" s="131"/>
      <c r="D17" s="131"/>
      <c r="E17" s="131"/>
      <c r="F17" s="190"/>
    </row>
    <row r="18" spans="1:6" ht="18.75">
      <c r="A18" s="319">
        <v>13</v>
      </c>
      <c r="B18" s="320" t="s">
        <v>746</v>
      </c>
      <c r="C18" s="133"/>
      <c r="D18" s="133"/>
      <c r="E18" s="133"/>
      <c r="F18" s="321"/>
    </row>
    <row r="19" spans="1:6" ht="19.5" thickBot="1">
      <c r="A19" s="218">
        <v>14</v>
      </c>
      <c r="B19" s="62" t="s">
        <v>654</v>
      </c>
      <c r="C19" s="134" t="s">
        <v>902</v>
      </c>
      <c r="D19" s="322">
        <v>153</v>
      </c>
      <c r="E19" s="134" t="s">
        <v>902</v>
      </c>
      <c r="F19" s="323">
        <v>180</v>
      </c>
    </row>
    <row r="20" spans="1:6">
      <c r="A20" s="58"/>
      <c r="B20" s="63"/>
      <c r="C20" s="113"/>
      <c r="D20" s="60"/>
      <c r="E20" s="113"/>
      <c r="F20" s="60"/>
    </row>
    <row r="21" spans="1:6">
      <c r="A21" s="606" t="s">
        <v>865</v>
      </c>
      <c r="B21" s="607"/>
      <c r="C21" s="607"/>
      <c r="D21" s="607"/>
      <c r="E21" s="607"/>
      <c r="F21" s="608"/>
    </row>
    <row r="22" spans="1:6">
      <c r="A22" s="609" t="s">
        <v>968</v>
      </c>
      <c r="B22" s="610"/>
      <c r="C22" s="610"/>
      <c r="D22" s="610"/>
      <c r="E22" s="610"/>
      <c r="F22" s="611"/>
    </row>
    <row r="24" spans="1:6">
      <c r="F24" s="81"/>
    </row>
  </sheetData>
  <mergeCells count="8">
    <mergeCell ref="A21:F21"/>
    <mergeCell ref="A22:F22"/>
    <mergeCell ref="A1:F1"/>
    <mergeCell ref="A2:F2"/>
    <mergeCell ref="A3:A4"/>
    <mergeCell ref="B3:B4"/>
    <mergeCell ref="C3:D3"/>
    <mergeCell ref="E3:F3"/>
  </mergeCells>
  <phoneticPr fontId="86" type="noConversion"/>
  <pageMargins left="0.74803149606299213" right="0.56000000000000005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6" enableFormatConditionsCalculation="0">
    <tabColor indexed="42"/>
    <pageSetUpPr fitToPage="1"/>
  </sheetPr>
  <dimension ref="A1:G40"/>
  <sheetViews>
    <sheetView zoomScale="97" zoomScaleNormal="9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1" sqref="B11"/>
    </sheetView>
  </sheetViews>
  <sheetFormatPr defaultRowHeight="15.75"/>
  <cols>
    <col min="1" max="1" width="10.140625" style="174" customWidth="1"/>
    <col min="2" max="2" width="83" style="166" customWidth="1"/>
    <col min="3" max="3" width="15.42578125" style="24" customWidth="1"/>
    <col min="4" max="4" width="14.28515625" style="24" customWidth="1"/>
    <col min="5" max="5" width="16.85546875" style="24" customWidth="1"/>
    <col min="6" max="16384" width="9.140625" style="24"/>
  </cols>
  <sheetData>
    <row r="1" spans="1:7" ht="50.1" customHeight="1">
      <c r="A1" s="479" t="s">
        <v>23</v>
      </c>
      <c r="B1" s="480"/>
      <c r="C1" s="480"/>
      <c r="D1" s="480"/>
      <c r="E1" s="481"/>
      <c r="F1" s="156"/>
      <c r="G1" s="156"/>
    </row>
    <row r="2" spans="1:7" s="158" customFormat="1" ht="38.25" customHeight="1">
      <c r="A2" s="482" t="s">
        <v>1029</v>
      </c>
      <c r="B2" s="483"/>
      <c r="C2" s="483"/>
      <c r="D2" s="483"/>
      <c r="E2" s="484"/>
    </row>
    <row r="3" spans="1:7" s="160" customFormat="1" ht="35.25" customHeight="1">
      <c r="A3" s="79" t="s">
        <v>812</v>
      </c>
      <c r="B3" s="159" t="s">
        <v>916</v>
      </c>
      <c r="C3" s="3" t="s">
        <v>894</v>
      </c>
      <c r="D3" s="3" t="s">
        <v>895</v>
      </c>
      <c r="E3" s="19" t="s">
        <v>821</v>
      </c>
    </row>
    <row r="4" spans="1:7" s="64" customFormat="1" ht="17.25" customHeight="1">
      <c r="A4" s="21"/>
      <c r="B4" s="34"/>
      <c r="C4" s="15" t="s">
        <v>878</v>
      </c>
      <c r="D4" s="15" t="s">
        <v>879</v>
      </c>
      <c r="E4" s="16" t="s">
        <v>621</v>
      </c>
    </row>
    <row r="5" spans="1:7">
      <c r="A5" s="145">
        <v>1</v>
      </c>
      <c r="B5" s="161" t="s">
        <v>649</v>
      </c>
      <c r="C5" s="162">
        <f>SUM(C6:C12)</f>
        <v>196690.48</v>
      </c>
      <c r="D5" s="162">
        <f>SUM(D6:D12)</f>
        <v>8250.26</v>
      </c>
      <c r="E5" s="162">
        <f>SUM(E6:E12)</f>
        <v>204940.73999999996</v>
      </c>
    </row>
    <row r="6" spans="1:7">
      <c r="A6" s="145" t="s">
        <v>906</v>
      </c>
      <c r="B6" s="163" t="s">
        <v>969</v>
      </c>
      <c r="C6" s="131">
        <v>10255.379999999999</v>
      </c>
      <c r="D6" s="131">
        <v>5750.26</v>
      </c>
      <c r="E6" s="164">
        <f t="shared" ref="E6:E38" si="0">C6+D6</f>
        <v>16005.64</v>
      </c>
    </row>
    <row r="7" spans="1:7">
      <c r="A7" s="145" t="s">
        <v>45</v>
      </c>
      <c r="B7" s="163" t="s">
        <v>970</v>
      </c>
      <c r="C7" s="131">
        <v>50224.72</v>
      </c>
      <c r="D7" s="131"/>
      <c r="E7" s="164">
        <f t="shared" si="0"/>
        <v>50224.72</v>
      </c>
    </row>
    <row r="8" spans="1:7">
      <c r="A8" s="145" t="s">
        <v>971</v>
      </c>
      <c r="B8" s="163" t="s">
        <v>984</v>
      </c>
      <c r="C8" s="131">
        <v>2139.4299999999998</v>
      </c>
      <c r="D8" s="131"/>
      <c r="E8" s="164">
        <f t="shared" si="0"/>
        <v>2139.4299999999998</v>
      </c>
    </row>
    <row r="9" spans="1:7">
      <c r="A9" s="145" t="s">
        <v>973</v>
      </c>
      <c r="B9" s="163" t="s">
        <v>972</v>
      </c>
      <c r="C9" s="131">
        <v>65781</v>
      </c>
      <c r="D9" s="131"/>
      <c r="E9" s="164">
        <f t="shared" si="0"/>
        <v>65781</v>
      </c>
    </row>
    <row r="10" spans="1:7">
      <c r="A10" s="145" t="s">
        <v>974</v>
      </c>
      <c r="B10" s="163" t="s">
        <v>975</v>
      </c>
      <c r="C10" s="131">
        <v>63830.3</v>
      </c>
      <c r="D10" s="131">
        <v>2500</v>
      </c>
      <c r="E10" s="164">
        <f t="shared" si="0"/>
        <v>66330.3</v>
      </c>
    </row>
    <row r="11" spans="1:7">
      <c r="A11" s="145" t="s">
        <v>985</v>
      </c>
      <c r="B11" s="163" t="s">
        <v>978</v>
      </c>
      <c r="C11" s="131">
        <v>2541</v>
      </c>
      <c r="D11" s="131"/>
      <c r="E11" s="164">
        <f t="shared" si="0"/>
        <v>2541</v>
      </c>
    </row>
    <row r="12" spans="1:7">
      <c r="A12" s="145" t="s">
        <v>977</v>
      </c>
      <c r="B12" s="163" t="s">
        <v>979</v>
      </c>
      <c r="C12" s="131">
        <v>1918.65</v>
      </c>
      <c r="D12" s="131"/>
      <c r="E12" s="164">
        <f t="shared" si="0"/>
        <v>1918.65</v>
      </c>
    </row>
    <row r="13" spans="1:7">
      <c r="A13" s="145"/>
      <c r="B13" s="163"/>
      <c r="C13" s="131"/>
      <c r="D13" s="131"/>
      <c r="E13" s="164"/>
    </row>
    <row r="14" spans="1:7">
      <c r="A14" s="145">
        <v>2</v>
      </c>
      <c r="B14" s="161" t="s">
        <v>650</v>
      </c>
      <c r="C14" s="162">
        <f>SUM(C15:C16)</f>
        <v>0</v>
      </c>
      <c r="D14" s="162">
        <f>SUM(D15:D16)</f>
        <v>0</v>
      </c>
      <c r="E14" s="164">
        <f t="shared" si="0"/>
        <v>0</v>
      </c>
    </row>
    <row r="15" spans="1:7">
      <c r="A15" s="145" t="s">
        <v>907</v>
      </c>
      <c r="B15" s="163"/>
      <c r="C15" s="131"/>
      <c r="D15" s="131"/>
      <c r="E15" s="164">
        <f t="shared" si="0"/>
        <v>0</v>
      </c>
    </row>
    <row r="16" spans="1:7">
      <c r="A16" s="145" t="s">
        <v>46</v>
      </c>
      <c r="B16" s="163"/>
      <c r="C16" s="131"/>
      <c r="D16" s="131"/>
      <c r="E16" s="164">
        <f t="shared" si="0"/>
        <v>0</v>
      </c>
    </row>
    <row r="17" spans="1:5">
      <c r="A17" s="145"/>
      <c r="B17" s="163"/>
      <c r="C17" s="131"/>
      <c r="D17" s="131"/>
      <c r="E17" s="164">
        <f t="shared" si="0"/>
        <v>0</v>
      </c>
    </row>
    <row r="18" spans="1:5">
      <c r="A18" s="145">
        <v>3</v>
      </c>
      <c r="B18" s="161" t="s">
        <v>856</v>
      </c>
      <c r="C18" s="162">
        <f>SUM(C19:C23)</f>
        <v>53028.160000000003</v>
      </c>
      <c r="D18" s="162">
        <f>SUM(D21:D21)</f>
        <v>0</v>
      </c>
      <c r="E18" s="164">
        <f t="shared" si="0"/>
        <v>53028.160000000003</v>
      </c>
    </row>
    <row r="19" spans="1:5">
      <c r="A19" s="145" t="s">
        <v>908</v>
      </c>
      <c r="B19" s="163" t="s">
        <v>976</v>
      </c>
      <c r="C19" s="131">
        <v>4979</v>
      </c>
      <c r="D19" s="131"/>
      <c r="E19" s="164">
        <f t="shared" si="0"/>
        <v>4979</v>
      </c>
    </row>
    <row r="20" spans="1:5">
      <c r="A20" s="145" t="s">
        <v>47</v>
      </c>
      <c r="B20" s="165" t="s">
        <v>980</v>
      </c>
      <c r="C20" s="131">
        <v>42820.160000000003</v>
      </c>
      <c r="D20" s="131"/>
      <c r="E20" s="164">
        <f t="shared" si="0"/>
        <v>42820.160000000003</v>
      </c>
    </row>
    <row r="21" spans="1:5">
      <c r="A21" s="145" t="s">
        <v>982</v>
      </c>
      <c r="B21" s="163" t="s">
        <v>981</v>
      </c>
      <c r="C21" s="131">
        <v>4500</v>
      </c>
      <c r="D21" s="131"/>
      <c r="E21" s="164">
        <f t="shared" si="0"/>
        <v>4500</v>
      </c>
    </row>
    <row r="22" spans="1:5">
      <c r="A22" s="145" t="s">
        <v>983</v>
      </c>
      <c r="B22" s="163" t="s">
        <v>988</v>
      </c>
      <c r="C22" s="131">
        <v>500</v>
      </c>
      <c r="D22" s="131"/>
      <c r="E22" s="164">
        <f t="shared" si="0"/>
        <v>500</v>
      </c>
    </row>
    <row r="23" spans="1:5">
      <c r="A23" s="145" t="s">
        <v>986</v>
      </c>
      <c r="B23" s="166" t="s">
        <v>987</v>
      </c>
      <c r="C23" s="131">
        <v>229</v>
      </c>
      <c r="D23" s="131"/>
      <c r="E23" s="164">
        <f t="shared" si="0"/>
        <v>229</v>
      </c>
    </row>
    <row r="24" spans="1:5">
      <c r="A24" s="145"/>
      <c r="C24" s="131"/>
      <c r="D24" s="131"/>
      <c r="E24" s="164"/>
    </row>
    <row r="25" spans="1:5">
      <c r="A25" s="145">
        <v>4</v>
      </c>
      <c r="B25" s="161" t="s">
        <v>857</v>
      </c>
      <c r="C25" s="162">
        <f>SUM(C26:C37)</f>
        <v>854878.31</v>
      </c>
      <c r="D25" s="162">
        <f>SUM(D28:D28)</f>
        <v>0</v>
      </c>
      <c r="E25" s="164">
        <f t="shared" si="0"/>
        <v>854878.31</v>
      </c>
    </row>
    <row r="26" spans="1:5">
      <c r="A26" s="145" t="s">
        <v>842</v>
      </c>
      <c r="B26" s="163" t="s">
        <v>989</v>
      </c>
      <c r="C26" s="167">
        <v>4029.66</v>
      </c>
      <c r="D26" s="167"/>
      <c r="E26" s="164">
        <f t="shared" si="0"/>
        <v>4029.66</v>
      </c>
    </row>
    <row r="27" spans="1:5">
      <c r="A27" s="145" t="s">
        <v>48</v>
      </c>
      <c r="B27" s="163" t="s">
        <v>990</v>
      </c>
      <c r="C27" s="167">
        <v>13830</v>
      </c>
      <c r="D27" s="167"/>
      <c r="E27" s="164">
        <f t="shared" si="0"/>
        <v>13830</v>
      </c>
    </row>
    <row r="28" spans="1:5">
      <c r="A28" s="145" t="s">
        <v>992</v>
      </c>
      <c r="B28" s="163" t="s">
        <v>991</v>
      </c>
      <c r="C28" s="167">
        <v>211012</v>
      </c>
      <c r="D28" s="131"/>
      <c r="E28" s="164">
        <f t="shared" si="0"/>
        <v>211012</v>
      </c>
    </row>
    <row r="29" spans="1:5">
      <c r="A29" s="168" t="s">
        <v>993</v>
      </c>
      <c r="B29" s="169" t="s">
        <v>994</v>
      </c>
      <c r="C29" s="170">
        <v>1154</v>
      </c>
      <c r="D29" s="133"/>
      <c r="E29" s="171">
        <f t="shared" si="0"/>
        <v>1154</v>
      </c>
    </row>
    <row r="30" spans="1:5">
      <c r="A30" s="168" t="s">
        <v>995</v>
      </c>
      <c r="B30" s="169" t="s">
        <v>996</v>
      </c>
      <c r="C30" s="170">
        <v>18185.18</v>
      </c>
      <c r="D30" s="133"/>
      <c r="E30" s="171">
        <f t="shared" si="0"/>
        <v>18185.18</v>
      </c>
    </row>
    <row r="31" spans="1:5">
      <c r="A31" s="168" t="s">
        <v>997</v>
      </c>
      <c r="B31" s="169" t="s">
        <v>1002</v>
      </c>
      <c r="C31" s="170">
        <v>36825.699999999997</v>
      </c>
      <c r="D31" s="133"/>
      <c r="E31" s="171">
        <f t="shared" si="0"/>
        <v>36825.699999999997</v>
      </c>
    </row>
    <row r="32" spans="1:5">
      <c r="A32" s="168" t="s">
        <v>998</v>
      </c>
      <c r="B32" s="169" t="s">
        <v>1003</v>
      </c>
      <c r="C32" s="170">
        <v>37200.61</v>
      </c>
      <c r="D32" s="133"/>
      <c r="E32" s="171">
        <f t="shared" si="0"/>
        <v>37200.61</v>
      </c>
    </row>
    <row r="33" spans="1:5">
      <c r="A33" s="168" t="s">
        <v>999</v>
      </c>
      <c r="B33" s="169" t="s">
        <v>1005</v>
      </c>
      <c r="C33" s="170">
        <v>103671</v>
      </c>
      <c r="D33" s="133"/>
      <c r="E33" s="171">
        <f t="shared" si="0"/>
        <v>103671</v>
      </c>
    </row>
    <row r="34" spans="1:5">
      <c r="A34" s="168" t="s">
        <v>1000</v>
      </c>
      <c r="B34" s="169" t="s">
        <v>1004</v>
      </c>
      <c r="C34" s="170">
        <v>46250</v>
      </c>
      <c r="D34" s="133"/>
      <c r="E34" s="171">
        <f t="shared" si="0"/>
        <v>46250</v>
      </c>
    </row>
    <row r="35" spans="1:5">
      <c r="A35" s="168" t="s">
        <v>1001</v>
      </c>
      <c r="B35" s="169" t="s">
        <v>1006</v>
      </c>
      <c r="C35" s="170">
        <v>40824.51</v>
      </c>
      <c r="D35" s="133"/>
      <c r="E35" s="171">
        <f t="shared" si="0"/>
        <v>40824.51</v>
      </c>
    </row>
    <row r="36" spans="1:5">
      <c r="A36" s="168" t="s">
        <v>1007</v>
      </c>
      <c r="B36" s="169" t="s">
        <v>1009</v>
      </c>
      <c r="C36" s="170">
        <v>331895.65000000002</v>
      </c>
      <c r="D36" s="133"/>
      <c r="E36" s="171">
        <f t="shared" si="0"/>
        <v>331895.65000000002</v>
      </c>
    </row>
    <row r="37" spans="1:5">
      <c r="A37" s="168" t="s">
        <v>1008</v>
      </c>
      <c r="B37" s="169" t="s">
        <v>1010</v>
      </c>
      <c r="C37" s="170">
        <v>10000</v>
      </c>
      <c r="D37" s="133"/>
      <c r="E37" s="171">
        <f t="shared" si="0"/>
        <v>10000</v>
      </c>
    </row>
    <row r="38" spans="1:5" ht="16.5" thickBot="1">
      <c r="A38" s="76">
        <v>5</v>
      </c>
      <c r="B38" s="77" t="s">
        <v>897</v>
      </c>
      <c r="C38" s="172">
        <f>C5+C14+C18+C25</f>
        <v>1104596.9500000002</v>
      </c>
      <c r="D38" s="172">
        <f>D5+D14+D18+D25</f>
        <v>8250.26</v>
      </c>
      <c r="E38" s="173">
        <f t="shared" si="0"/>
        <v>1112847.2100000002</v>
      </c>
    </row>
    <row r="40" spans="1:5">
      <c r="B40" s="175"/>
    </row>
  </sheetData>
  <mergeCells count="2">
    <mergeCell ref="A1:E1"/>
    <mergeCell ref="A2:E2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árok24" enableFormatConditionsCalculation="0">
    <tabColor indexed="42"/>
  </sheetPr>
  <dimension ref="A1:E16"/>
  <sheetViews>
    <sheetView workbookViewId="0">
      <pane xSplit="2" ySplit="4" topLeftCell="C5" activePane="bottomRight" state="frozen"/>
      <selection pane="topRight"/>
      <selection pane="bottomLeft"/>
      <selection pane="bottomRight" activeCell="B5" sqref="B5"/>
    </sheetView>
  </sheetViews>
  <sheetFormatPr defaultRowHeight="18.75"/>
  <cols>
    <col min="1" max="1" width="9.140625" style="24"/>
    <col min="2" max="2" width="66.140625" style="194" customWidth="1"/>
    <col min="3" max="3" width="21.28515625" style="330" customWidth="1"/>
    <col min="4" max="4" width="20.28515625" style="24" customWidth="1"/>
    <col min="5" max="5" width="16.140625" style="24" customWidth="1"/>
    <col min="6" max="16384" width="9.140625" style="24"/>
  </cols>
  <sheetData>
    <row r="1" spans="1:5" ht="50.1" customHeight="1">
      <c r="A1" s="479" t="s">
        <v>567</v>
      </c>
      <c r="B1" s="480"/>
      <c r="C1" s="480"/>
      <c r="D1" s="481"/>
    </row>
    <row r="2" spans="1:5" ht="35.1" customHeight="1">
      <c r="A2" s="482" t="s">
        <v>1032</v>
      </c>
      <c r="B2" s="483"/>
      <c r="C2" s="483"/>
      <c r="D2" s="484"/>
    </row>
    <row r="3" spans="1:5" ht="33" customHeight="1">
      <c r="A3" s="79" t="s">
        <v>812</v>
      </c>
      <c r="B3" s="136" t="s">
        <v>916</v>
      </c>
      <c r="C3" s="18" t="s">
        <v>568</v>
      </c>
      <c r="D3" s="249" t="s">
        <v>541</v>
      </c>
    </row>
    <row r="4" spans="1:5" ht="22.9" customHeight="1">
      <c r="A4" s="79"/>
      <c r="B4" s="136"/>
      <c r="C4" s="3" t="s">
        <v>878</v>
      </c>
      <c r="D4" s="138" t="s">
        <v>879</v>
      </c>
    </row>
    <row r="5" spans="1:5" s="64" customFormat="1" ht="34.5">
      <c r="A5" s="21">
        <v>1</v>
      </c>
      <c r="B5" s="46" t="s">
        <v>794</v>
      </c>
      <c r="C5" s="324">
        <v>48520.590000000026</v>
      </c>
      <c r="D5" s="325">
        <f>C8</f>
        <v>57510.81</v>
      </c>
    </row>
    <row r="6" spans="1:5" ht="36" customHeight="1">
      <c r="A6" s="21">
        <v>2</v>
      </c>
      <c r="B6" s="46" t="s">
        <v>569</v>
      </c>
      <c r="C6" s="324">
        <v>340650</v>
      </c>
      <c r="D6" s="326">
        <v>350200</v>
      </c>
    </row>
    <row r="7" spans="1:5" ht="35.25" customHeight="1">
      <c r="A7" s="21">
        <v>3</v>
      </c>
      <c r="B7" s="46" t="s">
        <v>795</v>
      </c>
      <c r="C7" s="324">
        <v>331659.78000000003</v>
      </c>
      <c r="D7" s="326">
        <v>353549.79</v>
      </c>
    </row>
    <row r="8" spans="1:5" ht="39.75" customHeight="1">
      <c r="A8" s="21">
        <v>4</v>
      </c>
      <c r="B8" s="46" t="s">
        <v>796</v>
      </c>
      <c r="C8" s="162">
        <f>C5+C6-C7</f>
        <v>57510.81</v>
      </c>
      <c r="D8" s="325">
        <f>D5+D6-D7</f>
        <v>54161.020000000019</v>
      </c>
    </row>
    <row r="9" spans="1:5" ht="21" customHeight="1" thickBot="1">
      <c r="A9" s="327">
        <v>5</v>
      </c>
      <c r="B9" s="328" t="s">
        <v>797</v>
      </c>
      <c r="C9" s="322">
        <v>713</v>
      </c>
      <c r="D9" s="329">
        <v>1201</v>
      </c>
    </row>
    <row r="10" spans="1:5" ht="21" customHeight="1">
      <c r="A10" s="58"/>
      <c r="B10" s="63"/>
      <c r="C10" s="24"/>
      <c r="E10" s="64"/>
    </row>
    <row r="11" spans="1:5" ht="18.75" customHeight="1">
      <c r="A11" s="606" t="s">
        <v>846</v>
      </c>
      <c r="B11" s="607"/>
      <c r="C11" s="607"/>
      <c r="D11" s="608"/>
    </row>
    <row r="12" spans="1:5" ht="21" customHeight="1">
      <c r="A12" s="609" t="s">
        <v>711</v>
      </c>
      <c r="B12" s="610"/>
      <c r="C12" s="610"/>
      <c r="D12" s="611"/>
    </row>
    <row r="14" spans="1:5">
      <c r="D14" s="81"/>
    </row>
    <row r="16" spans="1:5">
      <c r="C16" s="330" t="s">
        <v>757</v>
      </c>
    </row>
  </sheetData>
  <mergeCells count="4">
    <mergeCell ref="A1:D1"/>
    <mergeCell ref="A2:D2"/>
    <mergeCell ref="A12:D12"/>
    <mergeCell ref="A11:D11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árok25" enableFormatConditionsCalculation="0">
    <tabColor indexed="42"/>
    <pageSetUpPr fitToPage="1"/>
  </sheetPr>
  <dimension ref="A1:M25"/>
  <sheetViews>
    <sheetView zoomScale="80" zoomScaleNormal="8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15" sqref="G15"/>
    </sheetView>
  </sheetViews>
  <sheetFormatPr defaultRowHeight="15.75"/>
  <cols>
    <col min="1" max="1" width="8.85546875" style="143" customWidth="1"/>
    <col min="2" max="3" width="20.5703125" style="143" customWidth="1"/>
    <col min="4" max="4" width="15.42578125" style="143" customWidth="1"/>
    <col min="5" max="5" width="15.85546875" style="143" customWidth="1"/>
    <col min="6" max="6" width="14.140625" style="143" customWidth="1"/>
    <col min="7" max="7" width="18" style="143" customWidth="1"/>
    <col min="8" max="9" width="18.5703125" style="143" customWidth="1"/>
    <col min="10" max="11" width="15.140625" style="143" customWidth="1"/>
    <col min="12" max="12" width="12" style="143" customWidth="1"/>
    <col min="13" max="13" width="17.42578125" style="143" customWidth="1"/>
    <col min="14" max="16384" width="9.140625" style="143"/>
  </cols>
  <sheetData>
    <row r="1" spans="1:13" s="331" customFormat="1" ht="35.1" customHeight="1">
      <c r="A1" s="616" t="s">
        <v>570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8"/>
    </row>
    <row r="2" spans="1:13" s="331" customFormat="1" ht="35.1" customHeight="1">
      <c r="A2" s="499" t="s">
        <v>1035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1"/>
    </row>
    <row r="3" spans="1:13" s="331" customFormat="1" ht="29.45" customHeight="1">
      <c r="A3" s="615" t="s">
        <v>812</v>
      </c>
      <c r="B3" s="613" t="s">
        <v>571</v>
      </c>
      <c r="C3" s="613"/>
      <c r="D3" s="613"/>
      <c r="E3" s="613"/>
      <c r="F3" s="613"/>
      <c r="G3" s="613"/>
      <c r="H3" s="613" t="s">
        <v>572</v>
      </c>
      <c r="I3" s="613"/>
      <c r="J3" s="613"/>
      <c r="K3" s="613"/>
      <c r="L3" s="613"/>
      <c r="M3" s="614"/>
    </row>
    <row r="4" spans="1:13" s="334" customFormat="1" ht="143.25" customHeight="1">
      <c r="A4" s="615"/>
      <c r="B4" s="332" t="s">
        <v>1043</v>
      </c>
      <c r="C4" s="332" t="s">
        <v>28</v>
      </c>
      <c r="D4" s="332" t="s">
        <v>822</v>
      </c>
      <c r="E4" s="332" t="s">
        <v>651</v>
      </c>
      <c r="F4" s="332" t="s">
        <v>652</v>
      </c>
      <c r="G4" s="332" t="s">
        <v>810</v>
      </c>
      <c r="H4" s="332" t="s">
        <v>1043</v>
      </c>
      <c r="I4" s="332" t="s">
        <v>28</v>
      </c>
      <c r="J4" s="332" t="s">
        <v>822</v>
      </c>
      <c r="K4" s="332" t="s">
        <v>651</v>
      </c>
      <c r="L4" s="332" t="s">
        <v>652</v>
      </c>
      <c r="M4" s="333" t="s">
        <v>810</v>
      </c>
    </row>
    <row r="5" spans="1:13" ht="31.5">
      <c r="A5" s="335"/>
      <c r="B5" s="336" t="s">
        <v>878</v>
      </c>
      <c r="C5" s="336" t="s">
        <v>879</v>
      </c>
      <c r="D5" s="336" t="s">
        <v>880</v>
      </c>
      <c r="E5" s="336" t="s">
        <v>886</v>
      </c>
      <c r="F5" s="336" t="s">
        <v>881</v>
      </c>
      <c r="G5" s="336" t="s">
        <v>29</v>
      </c>
      <c r="H5" s="336" t="s">
        <v>883</v>
      </c>
      <c r="I5" s="336" t="s">
        <v>884</v>
      </c>
      <c r="J5" s="336" t="s">
        <v>885</v>
      </c>
      <c r="K5" s="336" t="s">
        <v>887</v>
      </c>
      <c r="L5" s="337" t="s">
        <v>30</v>
      </c>
      <c r="M5" s="338" t="s">
        <v>31</v>
      </c>
    </row>
    <row r="6" spans="1:13" ht="36" customHeight="1" thickBot="1">
      <c r="A6" s="339">
        <v>1</v>
      </c>
      <c r="B6" s="322">
        <f>13839690.05-616548.93</f>
        <v>13223141.120000001</v>
      </c>
      <c r="C6" s="322">
        <v>709071.67</v>
      </c>
      <c r="D6" s="322">
        <v>452143.03</v>
      </c>
      <c r="E6" s="322">
        <v>113211.53</v>
      </c>
      <c r="F6" s="322">
        <v>830912.77</v>
      </c>
      <c r="G6" s="340">
        <f>SUM(B6:F6)</f>
        <v>15328480.119999999</v>
      </c>
      <c r="H6" s="322">
        <f>13223141.12+1613415.98+2500-960323.34</f>
        <v>13878733.76</v>
      </c>
      <c r="I6" s="322">
        <v>6819987.9900000002</v>
      </c>
      <c r="J6" s="322">
        <v>869754.08</v>
      </c>
      <c r="K6" s="322">
        <v>311245.26</v>
      </c>
      <c r="L6" s="322">
        <f>595987.82-2500</f>
        <v>593487.81999999995</v>
      </c>
      <c r="M6" s="341">
        <f>SUM(H6:L6)</f>
        <v>22473208.91</v>
      </c>
    </row>
    <row r="8" spans="1:13" ht="15.75" customHeight="1">
      <c r="A8" s="612" t="s">
        <v>1049</v>
      </c>
      <c r="B8" s="612"/>
      <c r="C8" s="612"/>
      <c r="D8" s="612"/>
      <c r="E8" s="612"/>
      <c r="F8" s="342"/>
      <c r="G8" s="343"/>
      <c r="I8" s="343"/>
      <c r="M8" s="343"/>
    </row>
    <row r="9" spans="1:13">
      <c r="A9" s="612" t="s">
        <v>1050</v>
      </c>
      <c r="B9" s="612"/>
      <c r="C9" s="612"/>
      <c r="D9" s="612"/>
      <c r="E9" s="612"/>
      <c r="F9" s="612"/>
    </row>
    <row r="10" spans="1:13">
      <c r="H10" s="144"/>
      <c r="I10" s="144"/>
    </row>
    <row r="11" spans="1:13">
      <c r="J11" s="343"/>
    </row>
    <row r="12" spans="1:13">
      <c r="H12" s="144"/>
      <c r="I12" s="144"/>
    </row>
    <row r="16" spans="1:13">
      <c r="I16" s="343"/>
    </row>
    <row r="17" spans="9:9">
      <c r="I17" s="343"/>
    </row>
    <row r="18" spans="9:9">
      <c r="I18" s="343"/>
    </row>
    <row r="19" spans="9:9">
      <c r="I19" s="344"/>
    </row>
    <row r="20" spans="9:9">
      <c r="I20" s="343"/>
    </row>
    <row r="21" spans="9:9">
      <c r="I21" s="343"/>
    </row>
    <row r="22" spans="9:9">
      <c r="I22" s="343"/>
    </row>
    <row r="23" spans="9:9">
      <c r="I23" s="343"/>
    </row>
    <row r="24" spans="9:9">
      <c r="I24" s="343"/>
    </row>
    <row r="25" spans="9:9">
      <c r="I25" s="343"/>
    </row>
  </sheetData>
  <mergeCells count="7">
    <mergeCell ref="A9:F9"/>
    <mergeCell ref="H3:M3"/>
    <mergeCell ref="B3:G3"/>
    <mergeCell ref="A3:A4"/>
    <mergeCell ref="A1:M1"/>
    <mergeCell ref="A2:M2"/>
    <mergeCell ref="A8:E8"/>
  </mergeCells>
  <phoneticPr fontId="21" type="noConversion"/>
  <pageMargins left="0.4" right="0.31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4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8" sqref="H8"/>
    </sheetView>
  </sheetViews>
  <sheetFormatPr defaultRowHeight="15.75"/>
  <cols>
    <col min="1" max="1" width="7.28515625" style="345" customWidth="1"/>
    <col min="2" max="2" width="39.85546875" style="345" customWidth="1"/>
    <col min="3" max="3" width="9.42578125" style="345" customWidth="1"/>
    <col min="4" max="4" width="18.42578125" style="345" customWidth="1"/>
    <col min="5" max="5" width="16.7109375" style="345" customWidth="1"/>
    <col min="6" max="6" width="14" style="345" customWidth="1"/>
    <col min="7" max="11" width="9.140625" style="345"/>
    <col min="12" max="12" width="21.28515625" style="345" customWidth="1"/>
    <col min="13" max="16384" width="9.140625" style="345"/>
  </cols>
  <sheetData>
    <row r="1" spans="1:13" ht="66.75" customHeight="1" thickBot="1">
      <c r="A1" s="624" t="s">
        <v>573</v>
      </c>
      <c r="B1" s="625"/>
      <c r="C1" s="625"/>
      <c r="D1" s="625"/>
      <c r="E1" s="625"/>
      <c r="F1" s="626"/>
    </row>
    <row r="2" spans="1:13" ht="36.75" customHeight="1" thickBot="1">
      <c r="A2" s="627" t="s">
        <v>1028</v>
      </c>
      <c r="B2" s="628"/>
      <c r="C2" s="628"/>
      <c r="D2" s="628"/>
      <c r="E2" s="628"/>
      <c r="F2" s="629"/>
    </row>
    <row r="3" spans="1:13" s="348" customFormat="1" ht="69" customHeight="1" thickBot="1">
      <c r="A3" s="85" t="s">
        <v>354</v>
      </c>
      <c r="B3" s="85" t="s">
        <v>71</v>
      </c>
      <c r="C3" s="346" t="s">
        <v>812</v>
      </c>
      <c r="D3" s="346" t="s">
        <v>1044</v>
      </c>
      <c r="E3" s="346" t="s">
        <v>1045</v>
      </c>
      <c r="F3" s="347" t="s">
        <v>1046</v>
      </c>
      <c r="G3" s="345"/>
    </row>
    <row r="4" spans="1:13" s="65" customFormat="1">
      <c r="A4" s="349">
        <v>601</v>
      </c>
      <c r="B4" s="350" t="s">
        <v>433</v>
      </c>
      <c r="C4" s="351" t="s">
        <v>434</v>
      </c>
      <c r="D4" s="119">
        <v>85488.98</v>
      </c>
      <c r="E4" s="119">
        <v>94777.32</v>
      </c>
      <c r="F4" s="352">
        <f>E4-D4</f>
        <v>9288.3400000000111</v>
      </c>
      <c r="G4" s="345"/>
      <c r="H4" s="348"/>
      <c r="I4" s="348"/>
      <c r="J4" s="348"/>
      <c r="K4" s="348"/>
      <c r="L4" s="348"/>
      <c r="M4" s="348"/>
    </row>
    <row r="5" spans="1:13" s="65" customFormat="1">
      <c r="A5" s="104">
        <v>602</v>
      </c>
      <c r="B5" s="353" t="s">
        <v>435</v>
      </c>
      <c r="C5" s="354" t="s">
        <v>436</v>
      </c>
      <c r="D5" s="120">
        <v>647858.25</v>
      </c>
      <c r="E5" s="120">
        <v>699152.04</v>
      </c>
      <c r="F5" s="355">
        <f t="shared" ref="F5:F38" si="0">E5-D5</f>
        <v>51293.790000000037</v>
      </c>
      <c r="G5" s="345"/>
      <c r="H5" s="348"/>
      <c r="I5" s="348"/>
      <c r="J5" s="348"/>
      <c r="K5" s="348"/>
      <c r="L5" s="348"/>
      <c r="M5" s="348"/>
    </row>
    <row r="6" spans="1:13" s="65" customFormat="1">
      <c r="A6" s="104">
        <v>604</v>
      </c>
      <c r="B6" s="356" t="s">
        <v>437</v>
      </c>
      <c r="C6" s="354" t="s">
        <v>438</v>
      </c>
      <c r="D6" s="120"/>
      <c r="E6" s="120">
        <v>0</v>
      </c>
      <c r="F6" s="355">
        <f t="shared" si="0"/>
        <v>0</v>
      </c>
      <c r="G6" s="345"/>
    </row>
    <row r="7" spans="1:13" s="65" customFormat="1">
      <c r="A7" s="104">
        <v>611</v>
      </c>
      <c r="B7" s="353" t="s">
        <v>26</v>
      </c>
      <c r="C7" s="354" t="s">
        <v>439</v>
      </c>
      <c r="D7" s="120"/>
      <c r="E7" s="120">
        <v>0</v>
      </c>
      <c r="F7" s="355">
        <f t="shared" si="0"/>
        <v>0</v>
      </c>
      <c r="G7" s="345"/>
    </row>
    <row r="8" spans="1:13" s="65" customFormat="1">
      <c r="A8" s="104">
        <v>612</v>
      </c>
      <c r="B8" s="353" t="s">
        <v>440</v>
      </c>
      <c r="C8" s="354" t="s">
        <v>441</v>
      </c>
      <c r="D8" s="120"/>
      <c r="E8" s="120">
        <v>0</v>
      </c>
      <c r="F8" s="355">
        <f t="shared" si="0"/>
        <v>0</v>
      </c>
      <c r="G8" s="345"/>
    </row>
    <row r="9" spans="1:13" s="65" customFormat="1">
      <c r="A9" s="104">
        <v>613</v>
      </c>
      <c r="B9" s="353" t="s">
        <v>442</v>
      </c>
      <c r="C9" s="354" t="s">
        <v>443</v>
      </c>
      <c r="D9" s="120"/>
      <c r="E9" s="120">
        <v>0</v>
      </c>
      <c r="F9" s="355">
        <f t="shared" si="0"/>
        <v>0</v>
      </c>
      <c r="G9" s="345"/>
    </row>
    <row r="10" spans="1:13" s="65" customFormat="1">
      <c r="A10" s="104">
        <v>614</v>
      </c>
      <c r="B10" s="353" t="s">
        <v>444</v>
      </c>
      <c r="C10" s="354" t="s">
        <v>445</v>
      </c>
      <c r="D10" s="120"/>
      <c r="E10" s="120">
        <v>0</v>
      </c>
      <c r="F10" s="355">
        <f t="shared" si="0"/>
        <v>0</v>
      </c>
      <c r="G10" s="345"/>
    </row>
    <row r="11" spans="1:13" s="65" customFormat="1">
      <c r="A11" s="104">
        <v>621</v>
      </c>
      <c r="B11" s="353" t="s">
        <v>446</v>
      </c>
      <c r="C11" s="354" t="s">
        <v>447</v>
      </c>
      <c r="D11" s="120"/>
      <c r="E11" s="120">
        <v>0</v>
      </c>
      <c r="F11" s="355">
        <f t="shared" si="0"/>
        <v>0</v>
      </c>
      <c r="G11" s="345"/>
    </row>
    <row r="12" spans="1:13" s="65" customFormat="1">
      <c r="A12" s="104">
        <v>622</v>
      </c>
      <c r="B12" s="353" t="s">
        <v>448</v>
      </c>
      <c r="C12" s="354" t="s">
        <v>449</v>
      </c>
      <c r="D12" s="120"/>
      <c r="E12" s="120">
        <v>0</v>
      </c>
      <c r="F12" s="355">
        <f t="shared" si="0"/>
        <v>0</v>
      </c>
      <c r="G12" s="345"/>
    </row>
    <row r="13" spans="1:13" s="65" customFormat="1">
      <c r="A13" s="104">
        <v>623</v>
      </c>
      <c r="B13" s="353" t="s">
        <v>450</v>
      </c>
      <c r="C13" s="354" t="s">
        <v>451</v>
      </c>
      <c r="D13" s="120"/>
      <c r="E13" s="120">
        <v>0</v>
      </c>
      <c r="F13" s="355">
        <f t="shared" si="0"/>
        <v>0</v>
      </c>
    </row>
    <row r="14" spans="1:13" s="65" customFormat="1">
      <c r="A14" s="104">
        <v>624</v>
      </c>
      <c r="B14" s="353" t="s">
        <v>452</v>
      </c>
      <c r="C14" s="354" t="s">
        <v>453</v>
      </c>
      <c r="D14" s="120"/>
      <c r="E14" s="120">
        <v>0</v>
      </c>
      <c r="F14" s="355">
        <f t="shared" si="0"/>
        <v>0</v>
      </c>
    </row>
    <row r="15" spans="1:13" s="65" customFormat="1">
      <c r="A15" s="104">
        <v>641</v>
      </c>
      <c r="B15" s="353" t="s">
        <v>385</v>
      </c>
      <c r="C15" s="354" t="s">
        <v>454</v>
      </c>
      <c r="D15" s="120"/>
      <c r="E15" s="120">
        <v>0</v>
      </c>
      <c r="F15" s="355">
        <f t="shared" si="0"/>
        <v>0</v>
      </c>
    </row>
    <row r="16" spans="1:13" s="65" customFormat="1">
      <c r="A16" s="104">
        <v>642</v>
      </c>
      <c r="B16" s="353" t="s">
        <v>387</v>
      </c>
      <c r="C16" s="354" t="s">
        <v>455</v>
      </c>
      <c r="D16" s="120"/>
      <c r="E16" s="120">
        <v>0</v>
      </c>
      <c r="F16" s="355">
        <f t="shared" si="0"/>
        <v>0</v>
      </c>
    </row>
    <row r="17" spans="1:6" s="65" customFormat="1">
      <c r="A17" s="104">
        <v>643</v>
      </c>
      <c r="B17" s="353" t="s">
        <v>456</v>
      </c>
      <c r="C17" s="354" t="s">
        <v>457</v>
      </c>
      <c r="D17" s="120"/>
      <c r="E17" s="120">
        <v>0</v>
      </c>
      <c r="F17" s="355">
        <f t="shared" si="0"/>
        <v>0</v>
      </c>
    </row>
    <row r="18" spans="1:6" s="65" customFormat="1">
      <c r="A18" s="104">
        <v>644</v>
      </c>
      <c r="B18" s="353" t="s">
        <v>391</v>
      </c>
      <c r="C18" s="354" t="s">
        <v>458</v>
      </c>
      <c r="D18" s="120"/>
      <c r="E18" s="120">
        <v>0</v>
      </c>
      <c r="F18" s="355">
        <f t="shared" si="0"/>
        <v>0</v>
      </c>
    </row>
    <row r="19" spans="1:6" s="65" customFormat="1">
      <c r="A19" s="104">
        <v>645</v>
      </c>
      <c r="B19" s="353" t="s">
        <v>459</v>
      </c>
      <c r="C19" s="354" t="s">
        <v>460</v>
      </c>
      <c r="D19" s="120">
        <v>1.4E-2</v>
      </c>
      <c r="E19" s="120">
        <v>0</v>
      </c>
      <c r="F19" s="355">
        <f t="shared" si="0"/>
        <v>-1.4E-2</v>
      </c>
    </row>
    <row r="20" spans="1:6" s="65" customFormat="1">
      <c r="A20" s="104">
        <v>646</v>
      </c>
      <c r="B20" s="353" t="s">
        <v>461</v>
      </c>
      <c r="C20" s="354" t="s">
        <v>462</v>
      </c>
      <c r="D20" s="120">
        <f>54.64+263.82+3056.16+7031.37</f>
        <v>10405.99</v>
      </c>
      <c r="E20" s="120">
        <v>0</v>
      </c>
      <c r="F20" s="355">
        <f t="shared" si="0"/>
        <v>-10405.99</v>
      </c>
    </row>
    <row r="21" spans="1:6" s="65" customFormat="1">
      <c r="A21" s="104">
        <v>647</v>
      </c>
      <c r="B21" s="353" t="s">
        <v>463</v>
      </c>
      <c r="C21" s="354" t="s">
        <v>464</v>
      </c>
      <c r="D21" s="120"/>
      <c r="E21" s="120">
        <v>0</v>
      </c>
      <c r="F21" s="355">
        <f t="shared" si="0"/>
        <v>0</v>
      </c>
    </row>
    <row r="22" spans="1:6" s="65" customFormat="1">
      <c r="A22" s="104">
        <v>648</v>
      </c>
      <c r="B22" s="353" t="s">
        <v>465</v>
      </c>
      <c r="C22" s="354" t="s">
        <v>466</v>
      </c>
      <c r="D22" s="120"/>
      <c r="E22" s="120">
        <v>0</v>
      </c>
      <c r="F22" s="355">
        <f t="shared" si="0"/>
        <v>0</v>
      </c>
    </row>
    <row r="23" spans="1:6" s="65" customFormat="1">
      <c r="A23" s="104">
        <v>649</v>
      </c>
      <c r="B23" s="353" t="s">
        <v>467</v>
      </c>
      <c r="C23" s="354" t="s">
        <v>468</v>
      </c>
      <c r="D23" s="120"/>
      <c r="E23" s="120">
        <f>25010.28+6717.6</f>
        <v>31727.879999999997</v>
      </c>
      <c r="F23" s="355">
        <f t="shared" si="0"/>
        <v>31727.879999999997</v>
      </c>
    </row>
    <row r="24" spans="1:6" s="65" customFormat="1">
      <c r="A24" s="104">
        <v>651</v>
      </c>
      <c r="B24" s="353" t="s">
        <v>469</v>
      </c>
      <c r="C24" s="354" t="s">
        <v>470</v>
      </c>
      <c r="D24" s="120"/>
      <c r="E24" s="120">
        <v>0</v>
      </c>
      <c r="F24" s="355">
        <f t="shared" si="0"/>
        <v>0</v>
      </c>
    </row>
    <row r="25" spans="1:6" s="65" customFormat="1">
      <c r="A25" s="104">
        <v>652</v>
      </c>
      <c r="B25" s="353" t="s">
        <v>471</v>
      </c>
      <c r="C25" s="354" t="s">
        <v>472</v>
      </c>
      <c r="D25" s="120"/>
      <c r="E25" s="120">
        <v>0</v>
      </c>
      <c r="F25" s="355">
        <f t="shared" si="0"/>
        <v>0</v>
      </c>
    </row>
    <row r="26" spans="1:6" s="65" customFormat="1">
      <c r="A26" s="104">
        <v>653</v>
      </c>
      <c r="B26" s="353" t="s">
        <v>473</v>
      </c>
      <c r="C26" s="354" t="s">
        <v>474</v>
      </c>
      <c r="D26" s="120"/>
      <c r="E26" s="120">
        <v>0</v>
      </c>
      <c r="F26" s="355">
        <f t="shared" si="0"/>
        <v>0</v>
      </c>
    </row>
    <row r="27" spans="1:6" s="65" customFormat="1">
      <c r="A27" s="104">
        <v>654</v>
      </c>
      <c r="B27" s="353" t="s">
        <v>475</v>
      </c>
      <c r="C27" s="354" t="s">
        <v>476</v>
      </c>
      <c r="D27" s="120"/>
      <c r="E27" s="120">
        <v>0</v>
      </c>
      <c r="F27" s="355">
        <f t="shared" si="0"/>
        <v>0</v>
      </c>
    </row>
    <row r="28" spans="1:6" s="65" customFormat="1">
      <c r="A28" s="104">
        <v>655</v>
      </c>
      <c r="B28" s="353" t="s">
        <v>477</v>
      </c>
      <c r="C28" s="354" t="s">
        <v>478</v>
      </c>
      <c r="D28" s="120"/>
      <c r="E28" s="120">
        <v>0</v>
      </c>
      <c r="F28" s="355">
        <f t="shared" si="0"/>
        <v>0</v>
      </c>
    </row>
    <row r="29" spans="1:6" s="65" customFormat="1">
      <c r="A29" s="104">
        <v>656</v>
      </c>
      <c r="B29" s="353" t="s">
        <v>479</v>
      </c>
      <c r="C29" s="354" t="s">
        <v>480</v>
      </c>
      <c r="D29" s="120"/>
      <c r="E29" s="120">
        <v>0</v>
      </c>
      <c r="F29" s="355">
        <f t="shared" si="0"/>
        <v>0</v>
      </c>
    </row>
    <row r="30" spans="1:6" s="65" customFormat="1">
      <c r="A30" s="104">
        <v>657</v>
      </c>
      <c r="B30" s="353" t="s">
        <v>481</v>
      </c>
      <c r="C30" s="354" t="s">
        <v>482</v>
      </c>
      <c r="D30" s="120"/>
      <c r="E30" s="120">
        <v>0</v>
      </c>
      <c r="F30" s="355">
        <f t="shared" si="0"/>
        <v>0</v>
      </c>
    </row>
    <row r="31" spans="1:6" s="65" customFormat="1">
      <c r="A31" s="104">
        <v>658</v>
      </c>
      <c r="B31" s="353" t="s">
        <v>483</v>
      </c>
      <c r="C31" s="354" t="s">
        <v>484</v>
      </c>
      <c r="D31" s="120"/>
      <c r="E31" s="120">
        <v>0</v>
      </c>
      <c r="F31" s="355">
        <f t="shared" si="0"/>
        <v>0</v>
      </c>
    </row>
    <row r="32" spans="1:6" s="65" customFormat="1">
      <c r="A32" s="104">
        <v>661</v>
      </c>
      <c r="B32" s="353" t="s">
        <v>485</v>
      </c>
      <c r="C32" s="354" t="s">
        <v>486</v>
      </c>
      <c r="D32" s="120"/>
      <c r="E32" s="120">
        <v>0</v>
      </c>
      <c r="F32" s="355">
        <f t="shared" si="0"/>
        <v>0</v>
      </c>
    </row>
    <row r="33" spans="1:12" s="65" customFormat="1">
      <c r="A33" s="104">
        <v>662</v>
      </c>
      <c r="B33" s="353" t="s">
        <v>487</v>
      </c>
      <c r="C33" s="354" t="s">
        <v>488</v>
      </c>
      <c r="D33" s="120"/>
      <c r="E33" s="120">
        <v>0</v>
      </c>
      <c r="F33" s="355">
        <f t="shared" si="0"/>
        <v>0</v>
      </c>
    </row>
    <row r="34" spans="1:12" s="65" customFormat="1">
      <c r="A34" s="104">
        <v>663</v>
      </c>
      <c r="B34" s="353" t="s">
        <v>489</v>
      </c>
      <c r="C34" s="354" t="s">
        <v>490</v>
      </c>
      <c r="D34" s="120"/>
      <c r="E34" s="120">
        <v>0</v>
      </c>
      <c r="F34" s="355">
        <f t="shared" si="0"/>
        <v>0</v>
      </c>
    </row>
    <row r="35" spans="1:12" s="65" customFormat="1">
      <c r="A35" s="104">
        <v>664</v>
      </c>
      <c r="B35" s="353" t="s">
        <v>491</v>
      </c>
      <c r="C35" s="354" t="s">
        <v>492</v>
      </c>
      <c r="D35" s="121"/>
      <c r="E35" s="121">
        <v>0</v>
      </c>
      <c r="F35" s="355">
        <f t="shared" si="0"/>
        <v>0</v>
      </c>
    </row>
    <row r="36" spans="1:12" s="65" customFormat="1">
      <c r="A36" s="104">
        <v>665</v>
      </c>
      <c r="B36" s="353" t="s">
        <v>493</v>
      </c>
      <c r="C36" s="354" t="s">
        <v>494</v>
      </c>
      <c r="D36" s="121"/>
      <c r="E36" s="121">
        <v>0</v>
      </c>
      <c r="F36" s="355">
        <f t="shared" si="0"/>
        <v>0</v>
      </c>
    </row>
    <row r="37" spans="1:12">
      <c r="A37" s="104">
        <v>667</v>
      </c>
      <c r="B37" s="353" t="s">
        <v>495</v>
      </c>
      <c r="C37" s="354" t="s">
        <v>496</v>
      </c>
      <c r="D37" s="121"/>
      <c r="E37" s="121">
        <v>0</v>
      </c>
      <c r="F37" s="355">
        <f t="shared" si="0"/>
        <v>0</v>
      </c>
    </row>
    <row r="38" spans="1:12" ht="15.75" customHeight="1">
      <c r="A38" s="104">
        <v>691</v>
      </c>
      <c r="B38" s="353" t="s">
        <v>497</v>
      </c>
      <c r="C38" s="354" t="s">
        <v>498</v>
      </c>
      <c r="D38" s="123">
        <f>761202+3353-8026.67</f>
        <v>756528.33</v>
      </c>
      <c r="E38" s="121">
        <v>795051.09</v>
      </c>
      <c r="F38" s="355">
        <f t="shared" si="0"/>
        <v>38522.760000000009</v>
      </c>
      <c r="G38" s="622"/>
      <c r="H38" s="623"/>
      <c r="I38" s="623"/>
      <c r="J38" s="623"/>
      <c r="K38" s="623"/>
      <c r="L38" s="623"/>
    </row>
    <row r="39" spans="1:12">
      <c r="A39" s="630" t="s">
        <v>499</v>
      </c>
      <c r="B39" s="631"/>
      <c r="C39" s="357" t="s">
        <v>500</v>
      </c>
      <c r="D39" s="358">
        <f>SUM(D4:D38)</f>
        <v>1500281.5639999998</v>
      </c>
      <c r="E39" s="359">
        <f>SUM(E4:E38)</f>
        <v>1620708.33</v>
      </c>
      <c r="F39" s="355">
        <f>SUM(F4:F38)</f>
        <v>120426.76600000006</v>
      </c>
    </row>
    <row r="40" spans="1:12">
      <c r="A40" s="630" t="s">
        <v>501</v>
      </c>
      <c r="B40" s="631"/>
      <c r="C40" s="357" t="s">
        <v>502</v>
      </c>
      <c r="D40" s="358">
        <f>D39-[5]T23_Náklady_soc_oblasť!D41</f>
        <v>98521.824000000022</v>
      </c>
      <c r="E40" s="360">
        <f>E39-[5]T23_Náklady_soc_oblasť!E41</f>
        <v>111275.63000000012</v>
      </c>
      <c r="F40" s="355">
        <f>F39-[5]T23_Náklady_soc_oblasť!F41</f>
        <v>12753.806000000041</v>
      </c>
    </row>
    <row r="41" spans="1:12">
      <c r="A41" s="104">
        <v>591</v>
      </c>
      <c r="B41" s="353" t="s">
        <v>503</v>
      </c>
      <c r="C41" s="354" t="s">
        <v>504</v>
      </c>
      <c r="D41" s="361"/>
      <c r="E41" s="362"/>
      <c r="F41" s="355">
        <f>F40-[5]T23_Náklady_soc_oblasť!F42</f>
        <v>-202592.114</v>
      </c>
    </row>
    <row r="42" spans="1:12">
      <c r="A42" s="104">
        <v>595</v>
      </c>
      <c r="B42" s="353" t="s">
        <v>505</v>
      </c>
      <c r="C42" s="354" t="s">
        <v>506</v>
      </c>
      <c r="D42" s="361"/>
      <c r="E42" s="362"/>
      <c r="F42" s="355">
        <f>F41-[5]T23_Náklady_soc_oblasť!F43</f>
        <v>-202592.114</v>
      </c>
    </row>
    <row r="43" spans="1:12">
      <c r="A43" s="630" t="s">
        <v>507</v>
      </c>
      <c r="B43" s="631"/>
      <c r="C43" s="357" t="s">
        <v>508</v>
      </c>
      <c r="D43" s="358">
        <f>D40-D41+D42</f>
        <v>98521.824000000022</v>
      </c>
      <c r="E43" s="360">
        <f>E40-E41+E42</f>
        <v>111275.63000000012</v>
      </c>
      <c r="F43" s="355">
        <f>F40-F41+F42</f>
        <v>12753.806000000041</v>
      </c>
    </row>
    <row r="44" spans="1:12" ht="16.5" thickBot="1">
      <c r="A44" s="620" t="s">
        <v>509</v>
      </c>
      <c r="B44" s="621"/>
      <c r="C44" s="363" t="s">
        <v>510</v>
      </c>
      <c r="D44" s="364">
        <f>SUM(D4:D42)</f>
        <v>3099084.9519999996</v>
      </c>
      <c r="E44" s="365">
        <f>SUM(E4:E42)</f>
        <v>3352692.29</v>
      </c>
      <c r="F44" s="366">
        <f>SUM(F4:F42)</f>
        <v>-151576.88999999984</v>
      </c>
    </row>
    <row r="47" spans="1:12" ht="18.75" customHeight="1">
      <c r="A47" s="619" t="s">
        <v>1055</v>
      </c>
      <c r="B47" s="619"/>
      <c r="C47" s="619"/>
      <c r="D47" s="619"/>
      <c r="E47" s="619"/>
      <c r="F47" s="619"/>
    </row>
  </sheetData>
  <mergeCells count="8">
    <mergeCell ref="A47:F47"/>
    <mergeCell ref="A44:B44"/>
    <mergeCell ref="G38:L38"/>
    <mergeCell ref="A1:F1"/>
    <mergeCell ref="A2:F2"/>
    <mergeCell ref="A39:B39"/>
    <mergeCell ref="A40:B40"/>
    <mergeCell ref="A43:B43"/>
  </mergeCells>
  <phoneticPr fontId="86" type="noConversion"/>
  <pageMargins left="0.55118110236220474" right="0.47244094488188981" top="0.59055118110236227" bottom="0.47244094488188981" header="0.15748031496062992" footer="0.15748031496062992"/>
  <pageSetup paperSize="9" scale="8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45"/>
  <sheetViews>
    <sheetView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2.75"/>
  <cols>
    <col min="1" max="1" width="9.140625" style="65"/>
    <col min="2" max="2" width="34.140625" style="65" customWidth="1"/>
    <col min="3" max="3" width="10.140625" style="65" customWidth="1"/>
    <col min="4" max="4" width="17.42578125" style="65" customWidth="1"/>
    <col min="5" max="5" width="15.5703125" style="65" customWidth="1"/>
    <col min="6" max="6" width="16.5703125" style="65" customWidth="1"/>
    <col min="7" max="16384" width="9.140625" style="65"/>
  </cols>
  <sheetData>
    <row r="1" spans="1:6" ht="61.5" customHeight="1" thickBot="1">
      <c r="A1" s="635" t="s">
        <v>574</v>
      </c>
      <c r="B1" s="636"/>
      <c r="C1" s="636"/>
      <c r="D1" s="636"/>
      <c r="E1" s="636"/>
      <c r="F1" s="637"/>
    </row>
    <row r="2" spans="1:6" ht="30.75" customHeight="1" thickBot="1">
      <c r="A2" s="632" t="s">
        <v>1028</v>
      </c>
      <c r="B2" s="633"/>
      <c r="C2" s="633"/>
      <c r="D2" s="633"/>
      <c r="E2" s="633"/>
      <c r="F2" s="634"/>
    </row>
    <row r="3" spans="1:6" ht="48" customHeight="1" thickBot="1">
      <c r="A3" s="85" t="s">
        <v>354</v>
      </c>
      <c r="B3" s="86" t="s">
        <v>71</v>
      </c>
      <c r="C3" s="101" t="s">
        <v>812</v>
      </c>
      <c r="D3" s="346" t="s">
        <v>1047</v>
      </c>
      <c r="E3" s="346" t="s">
        <v>1048</v>
      </c>
      <c r="F3" s="347" t="s">
        <v>1046</v>
      </c>
    </row>
    <row r="4" spans="1:6" ht="15.75">
      <c r="A4" s="367">
        <v>501</v>
      </c>
      <c r="B4" s="368" t="s">
        <v>355</v>
      </c>
      <c r="C4" s="369" t="s">
        <v>356</v>
      </c>
      <c r="D4" s="122">
        <f>10804.66+1292.22+1943.38+3550.34+117.17+7632.23+68058.52+22572.34+2741.85+2281.3+53.9+2335.4+374.93</f>
        <v>123758.23999999999</v>
      </c>
      <c r="E4" s="370">
        <v>156660.17000000001</v>
      </c>
      <c r="F4" s="371">
        <f>E4-D4</f>
        <v>32901.930000000022</v>
      </c>
    </row>
    <row r="5" spans="1:6" ht="15.75">
      <c r="A5" s="102">
        <v>502</v>
      </c>
      <c r="B5" s="372" t="s">
        <v>357</v>
      </c>
      <c r="C5" s="373" t="s">
        <v>358</v>
      </c>
      <c r="D5" s="123">
        <f>59.27+84412.19-4418.06+185760.42+163992.47</f>
        <v>429806.29000000004</v>
      </c>
      <c r="E5" s="361">
        <v>459266.23</v>
      </c>
      <c r="F5" s="132">
        <f t="shared" ref="F5:F40" si="0">E5-D5</f>
        <v>29459.939999999944</v>
      </c>
    </row>
    <row r="6" spans="1:6" ht="15.75">
      <c r="A6" s="102">
        <v>504</v>
      </c>
      <c r="B6" s="372" t="s">
        <v>359</v>
      </c>
      <c r="C6" s="373" t="s">
        <v>360</v>
      </c>
      <c r="D6" s="123"/>
      <c r="E6" s="361">
        <v>0</v>
      </c>
      <c r="F6" s="132">
        <f t="shared" si="0"/>
        <v>0</v>
      </c>
    </row>
    <row r="7" spans="1:6" ht="15.75">
      <c r="A7" s="102">
        <v>511</v>
      </c>
      <c r="B7" s="372" t="s">
        <v>361</v>
      </c>
      <c r="C7" s="373" t="s">
        <v>362</v>
      </c>
      <c r="D7" s="123">
        <f>2273.78+166+24.5+92.84+3576.02+2263.96+141145.27</f>
        <v>149542.37</v>
      </c>
      <c r="E7" s="361">
        <v>46722.1</v>
      </c>
      <c r="F7" s="132">
        <f t="shared" si="0"/>
        <v>-102820.26999999999</v>
      </c>
    </row>
    <row r="8" spans="1:6" ht="15.75">
      <c r="A8" s="102">
        <v>512</v>
      </c>
      <c r="B8" s="372" t="s">
        <v>363</v>
      </c>
      <c r="C8" s="373" t="s">
        <v>364</v>
      </c>
      <c r="D8" s="123">
        <f>1656+191.6</f>
        <v>1847.6</v>
      </c>
      <c r="E8" s="361">
        <v>1018</v>
      </c>
      <c r="F8" s="132">
        <f t="shared" si="0"/>
        <v>-829.59999999999991</v>
      </c>
    </row>
    <row r="9" spans="1:6" ht="15.75">
      <c r="A9" s="102">
        <v>513</v>
      </c>
      <c r="B9" s="372" t="s">
        <v>365</v>
      </c>
      <c r="C9" s="373" t="s">
        <v>366</v>
      </c>
      <c r="D9" s="123">
        <v>67.989999999999995</v>
      </c>
      <c r="E9" s="361">
        <v>430.7</v>
      </c>
      <c r="F9" s="132">
        <f t="shared" si="0"/>
        <v>362.71</v>
      </c>
    </row>
    <row r="10" spans="1:6" ht="15.75">
      <c r="A10" s="102">
        <v>518</v>
      </c>
      <c r="B10" s="372" t="s">
        <v>367</v>
      </c>
      <c r="C10" s="373" t="s">
        <v>368</v>
      </c>
      <c r="D10" s="123">
        <f>8880.17+152.36+15741.9+41792.57+30.2+236.81+282.65+238+160.65+395.28+6371.53+1840.7+1279.15+1089.73+19.8+499.8+52507.84</f>
        <v>131519.13999999996</v>
      </c>
      <c r="E10" s="361">
        <v>117827.72</v>
      </c>
      <c r="F10" s="132">
        <f t="shared" si="0"/>
        <v>-13691.419999999955</v>
      </c>
    </row>
    <row r="11" spans="1:6" ht="15.75">
      <c r="A11" s="102">
        <v>521</v>
      </c>
      <c r="B11" s="372" t="s">
        <v>369</v>
      </c>
      <c r="C11" s="373" t="s">
        <v>370</v>
      </c>
      <c r="D11" s="123">
        <f>3155+1657+30748.19+307043.45+3217.66</f>
        <v>345821.3</v>
      </c>
      <c r="E11" s="361">
        <v>344947.51</v>
      </c>
      <c r="F11" s="132">
        <f t="shared" si="0"/>
        <v>-873.78999999997905</v>
      </c>
    </row>
    <row r="12" spans="1:6" ht="15.75">
      <c r="A12" s="102">
        <v>524</v>
      </c>
      <c r="B12" s="372" t="s">
        <v>371</v>
      </c>
      <c r="C12" s="373" t="s">
        <v>372</v>
      </c>
      <c r="D12" s="123">
        <v>117067.76</v>
      </c>
      <c r="E12" s="361">
        <v>116978.31</v>
      </c>
      <c r="F12" s="132">
        <f t="shared" si="0"/>
        <v>-89.44999999999709</v>
      </c>
    </row>
    <row r="13" spans="1:6" ht="15.75">
      <c r="A13" s="102">
        <v>525</v>
      </c>
      <c r="B13" s="372" t="s">
        <v>373</v>
      </c>
      <c r="C13" s="373" t="s">
        <v>374</v>
      </c>
      <c r="D13" s="123">
        <v>5992.13</v>
      </c>
      <c r="E13" s="361">
        <v>5609.66</v>
      </c>
      <c r="F13" s="132">
        <f t="shared" si="0"/>
        <v>-382.47000000000025</v>
      </c>
    </row>
    <row r="14" spans="1:6" ht="15.75">
      <c r="A14" s="102">
        <v>527</v>
      </c>
      <c r="B14" s="372" t="s">
        <v>375</v>
      </c>
      <c r="C14" s="373" t="s">
        <v>376</v>
      </c>
      <c r="D14" s="123">
        <f>3781.05+8357.66+5233.46+788.14+87.59</f>
        <v>18247.899999999998</v>
      </c>
      <c r="E14" s="361">
        <v>29085.07</v>
      </c>
      <c r="F14" s="132">
        <f t="shared" si="0"/>
        <v>10837.170000000002</v>
      </c>
    </row>
    <row r="15" spans="1:6" ht="15.75">
      <c r="A15" s="102">
        <v>528</v>
      </c>
      <c r="B15" s="372" t="s">
        <v>377</v>
      </c>
      <c r="C15" s="373" t="s">
        <v>378</v>
      </c>
      <c r="D15" s="123"/>
      <c r="E15" s="361">
        <v>0</v>
      </c>
      <c r="F15" s="132">
        <f t="shared" si="0"/>
        <v>0</v>
      </c>
    </row>
    <row r="16" spans="1:6" ht="15.75">
      <c r="A16" s="102">
        <v>531</v>
      </c>
      <c r="B16" s="372" t="s">
        <v>379</v>
      </c>
      <c r="C16" s="373" t="s">
        <v>380</v>
      </c>
      <c r="D16" s="123"/>
      <c r="E16" s="361">
        <v>0</v>
      </c>
      <c r="F16" s="132">
        <f t="shared" si="0"/>
        <v>0</v>
      </c>
    </row>
    <row r="17" spans="1:6" ht="15.75">
      <c r="A17" s="102">
        <v>532</v>
      </c>
      <c r="B17" s="372" t="s">
        <v>381</v>
      </c>
      <c r="C17" s="373" t="s">
        <v>382</v>
      </c>
      <c r="D17" s="123"/>
      <c r="E17" s="361">
        <v>25610.74</v>
      </c>
      <c r="F17" s="132">
        <f t="shared" si="0"/>
        <v>25610.74</v>
      </c>
    </row>
    <row r="18" spans="1:6" ht="15.75">
      <c r="A18" s="102">
        <v>538</v>
      </c>
      <c r="B18" s="372" t="s">
        <v>383</v>
      </c>
      <c r="C18" s="373" t="s">
        <v>384</v>
      </c>
      <c r="D18" s="123"/>
      <c r="E18" s="361">
        <v>0</v>
      </c>
      <c r="F18" s="132">
        <f t="shared" si="0"/>
        <v>0</v>
      </c>
    </row>
    <row r="19" spans="1:6" ht="15.75">
      <c r="A19" s="102">
        <v>541</v>
      </c>
      <c r="B19" s="372" t="s">
        <v>385</v>
      </c>
      <c r="C19" s="373" t="s">
        <v>386</v>
      </c>
      <c r="D19" s="123"/>
      <c r="E19" s="361">
        <v>0</v>
      </c>
      <c r="F19" s="132">
        <f t="shared" si="0"/>
        <v>0</v>
      </c>
    </row>
    <row r="20" spans="1:6" ht="15.75">
      <c r="A20" s="102">
        <v>542</v>
      </c>
      <c r="B20" s="372" t="s">
        <v>387</v>
      </c>
      <c r="C20" s="373" t="s">
        <v>388</v>
      </c>
      <c r="D20" s="123">
        <v>10.98</v>
      </c>
      <c r="E20" s="361">
        <v>0</v>
      </c>
      <c r="F20" s="132">
        <f t="shared" si="0"/>
        <v>-10.98</v>
      </c>
    </row>
    <row r="21" spans="1:6" ht="15.75">
      <c r="A21" s="102">
        <v>543</v>
      </c>
      <c r="B21" s="372" t="s">
        <v>389</v>
      </c>
      <c r="C21" s="373" t="s">
        <v>390</v>
      </c>
      <c r="D21" s="123"/>
      <c r="E21" s="361">
        <v>0</v>
      </c>
      <c r="F21" s="132">
        <f t="shared" si="0"/>
        <v>0</v>
      </c>
    </row>
    <row r="22" spans="1:6" ht="15.75">
      <c r="A22" s="102">
        <v>544</v>
      </c>
      <c r="B22" s="372" t="s">
        <v>391</v>
      </c>
      <c r="C22" s="373" t="s">
        <v>392</v>
      </c>
      <c r="D22" s="123"/>
      <c r="E22" s="361">
        <v>0</v>
      </c>
      <c r="F22" s="132">
        <f t="shared" si="0"/>
        <v>0</v>
      </c>
    </row>
    <row r="23" spans="1:6" ht="15.75">
      <c r="A23" s="102">
        <v>545</v>
      </c>
      <c r="B23" s="372" t="s">
        <v>393</v>
      </c>
      <c r="C23" s="373" t="s">
        <v>394</v>
      </c>
      <c r="D23" s="123">
        <v>0.01</v>
      </c>
      <c r="E23" s="361">
        <v>0</v>
      </c>
      <c r="F23" s="132">
        <f t="shared" si="0"/>
        <v>-0.01</v>
      </c>
    </row>
    <row r="24" spans="1:6" ht="15.75">
      <c r="A24" s="102">
        <v>546</v>
      </c>
      <c r="B24" s="372" t="s">
        <v>395</v>
      </c>
      <c r="C24" s="373" t="s">
        <v>396</v>
      </c>
      <c r="D24" s="123"/>
      <c r="E24" s="361">
        <v>0</v>
      </c>
      <c r="F24" s="132">
        <f t="shared" si="0"/>
        <v>0</v>
      </c>
    </row>
    <row r="25" spans="1:6" ht="15.75">
      <c r="A25" s="102">
        <v>547</v>
      </c>
      <c r="B25" s="372" t="s">
        <v>397</v>
      </c>
      <c r="C25" s="373" t="s">
        <v>398</v>
      </c>
      <c r="D25" s="123"/>
      <c r="E25" s="361">
        <v>0</v>
      </c>
      <c r="F25" s="132">
        <f t="shared" si="0"/>
        <v>0</v>
      </c>
    </row>
    <row r="26" spans="1:6" ht="15.75">
      <c r="A26" s="102">
        <v>548</v>
      </c>
      <c r="B26" s="372" t="s">
        <v>399</v>
      </c>
      <c r="C26" s="373" t="s">
        <v>400</v>
      </c>
      <c r="D26" s="123"/>
      <c r="E26" s="361">
        <v>0</v>
      </c>
      <c r="F26" s="132">
        <f t="shared" si="0"/>
        <v>0</v>
      </c>
    </row>
    <row r="27" spans="1:6" ht="15.75">
      <c r="A27" s="102">
        <v>549</v>
      </c>
      <c r="B27" s="372" t="s">
        <v>401</v>
      </c>
      <c r="C27" s="373" t="s">
        <v>402</v>
      </c>
      <c r="D27" s="123">
        <f>92.2+0.02+56174.64+2676.23</f>
        <v>58943.090000000004</v>
      </c>
      <c r="E27" s="361">
        <f>618.74+181025.33</f>
        <v>181644.06999999998</v>
      </c>
      <c r="F27" s="132">
        <f t="shared" si="0"/>
        <v>122700.97999999998</v>
      </c>
    </row>
    <row r="28" spans="1:6" ht="15.75">
      <c r="A28" s="102">
        <v>551</v>
      </c>
      <c r="B28" s="372" t="s">
        <v>403</v>
      </c>
      <c r="C28" s="373" t="s">
        <v>404</v>
      </c>
      <c r="D28" s="123">
        <f>3353+12131.94</f>
        <v>15484.94</v>
      </c>
      <c r="E28" s="361">
        <v>17182.419999999998</v>
      </c>
      <c r="F28" s="132">
        <f t="shared" si="0"/>
        <v>1697.4799999999977</v>
      </c>
    </row>
    <row r="29" spans="1:6" ht="15.75">
      <c r="A29" s="102">
        <v>552</v>
      </c>
      <c r="B29" s="372" t="s">
        <v>405</v>
      </c>
      <c r="C29" s="373" t="s">
        <v>406</v>
      </c>
      <c r="D29" s="123"/>
      <c r="E29" s="361">
        <v>0</v>
      </c>
      <c r="F29" s="132">
        <f t="shared" si="0"/>
        <v>0</v>
      </c>
    </row>
    <row r="30" spans="1:6" ht="15.75">
      <c r="A30" s="102">
        <v>553</v>
      </c>
      <c r="B30" s="372" t="s">
        <v>407</v>
      </c>
      <c r="C30" s="373" t="s">
        <v>408</v>
      </c>
      <c r="D30" s="123"/>
      <c r="E30" s="361">
        <v>0</v>
      </c>
      <c r="F30" s="132">
        <f t="shared" si="0"/>
        <v>0</v>
      </c>
    </row>
    <row r="31" spans="1:6" ht="15.75">
      <c r="A31" s="102">
        <v>554</v>
      </c>
      <c r="B31" s="372" t="s">
        <v>409</v>
      </c>
      <c r="C31" s="373" t="s">
        <v>410</v>
      </c>
      <c r="D31" s="123"/>
      <c r="E31" s="361">
        <v>0</v>
      </c>
      <c r="F31" s="132">
        <f t="shared" si="0"/>
        <v>0</v>
      </c>
    </row>
    <row r="32" spans="1:6" ht="15.75">
      <c r="A32" s="102">
        <v>555</v>
      </c>
      <c r="B32" s="372" t="s">
        <v>411</v>
      </c>
      <c r="C32" s="373" t="s">
        <v>412</v>
      </c>
      <c r="D32" s="123"/>
      <c r="E32" s="361">
        <v>0</v>
      </c>
      <c r="F32" s="132">
        <f t="shared" si="0"/>
        <v>0</v>
      </c>
    </row>
    <row r="33" spans="1:6" ht="15.75">
      <c r="A33" s="102">
        <v>556</v>
      </c>
      <c r="B33" s="372" t="s">
        <v>413</v>
      </c>
      <c r="C33" s="373" t="s">
        <v>414</v>
      </c>
      <c r="D33" s="123"/>
      <c r="E33" s="361">
        <v>0</v>
      </c>
      <c r="F33" s="132">
        <f t="shared" si="0"/>
        <v>0</v>
      </c>
    </row>
    <row r="34" spans="1:6" ht="15.75">
      <c r="A34" s="102">
        <v>557</v>
      </c>
      <c r="B34" s="372" t="s">
        <v>415</v>
      </c>
      <c r="C34" s="373" t="s">
        <v>416</v>
      </c>
      <c r="D34" s="123"/>
      <c r="E34" s="361">
        <v>0</v>
      </c>
      <c r="F34" s="132">
        <f t="shared" si="0"/>
        <v>0</v>
      </c>
    </row>
    <row r="35" spans="1:6" ht="15.75">
      <c r="A35" s="102">
        <v>558</v>
      </c>
      <c r="B35" s="372" t="s">
        <v>417</v>
      </c>
      <c r="C35" s="373" t="s">
        <v>418</v>
      </c>
      <c r="D35" s="123"/>
      <c r="E35" s="361">
        <v>0</v>
      </c>
      <c r="F35" s="132">
        <f t="shared" si="0"/>
        <v>0</v>
      </c>
    </row>
    <row r="36" spans="1:6" ht="15.75">
      <c r="A36" s="102">
        <v>559</v>
      </c>
      <c r="B36" s="372" t="s">
        <v>419</v>
      </c>
      <c r="C36" s="373" t="s">
        <v>420</v>
      </c>
      <c r="D36" s="123"/>
      <c r="E36" s="361">
        <v>0</v>
      </c>
      <c r="F36" s="132">
        <f t="shared" si="0"/>
        <v>0</v>
      </c>
    </row>
    <row r="37" spans="1:6" ht="20.25" customHeight="1">
      <c r="A37" s="102">
        <v>561</v>
      </c>
      <c r="B37" s="372" t="s">
        <v>421</v>
      </c>
      <c r="C37" s="373" t="s">
        <v>422</v>
      </c>
      <c r="D37" s="123"/>
      <c r="E37" s="361">
        <v>0</v>
      </c>
      <c r="F37" s="132">
        <f t="shared" si="0"/>
        <v>0</v>
      </c>
    </row>
    <row r="38" spans="1:6" ht="15.75">
      <c r="A38" s="102">
        <v>562</v>
      </c>
      <c r="B38" s="372" t="s">
        <v>423</v>
      </c>
      <c r="C38" s="373" t="s">
        <v>424</v>
      </c>
      <c r="D38" s="123">
        <v>3650</v>
      </c>
      <c r="E38" s="361">
        <v>6450</v>
      </c>
      <c r="F38" s="132">
        <f t="shared" si="0"/>
        <v>2800</v>
      </c>
    </row>
    <row r="39" spans="1:6" ht="15.75">
      <c r="A39" s="102">
        <v>563</v>
      </c>
      <c r="B39" s="372" t="s">
        <v>425</v>
      </c>
      <c r="C39" s="373" t="s">
        <v>426</v>
      </c>
      <c r="D39" s="123"/>
      <c r="E39" s="361">
        <v>0</v>
      </c>
      <c r="F39" s="132">
        <f t="shared" si="0"/>
        <v>0</v>
      </c>
    </row>
    <row r="40" spans="1:6" ht="16.5" thickBot="1">
      <c r="A40" s="103">
        <v>567</v>
      </c>
      <c r="B40" s="374" t="s">
        <v>427</v>
      </c>
      <c r="C40" s="375" t="s">
        <v>428</v>
      </c>
      <c r="D40" s="124"/>
      <c r="E40" s="376">
        <v>0</v>
      </c>
      <c r="F40" s="377">
        <f t="shared" si="0"/>
        <v>0</v>
      </c>
    </row>
    <row r="41" spans="1:6" ht="24.75" customHeight="1" thickBot="1">
      <c r="A41" s="638" t="s">
        <v>429</v>
      </c>
      <c r="B41" s="639"/>
      <c r="C41" s="378" t="s">
        <v>430</v>
      </c>
      <c r="D41" s="379">
        <f>SUM(D4:D40)</f>
        <v>1401759.7399999998</v>
      </c>
      <c r="E41" s="379">
        <f>SUM(E4:E40)</f>
        <v>1509432.7</v>
      </c>
      <c r="F41" s="380">
        <f>SUM(F4:F40)</f>
        <v>107672.96000000002</v>
      </c>
    </row>
    <row r="42" spans="1:6" ht="16.5" thickBot="1">
      <c r="A42" s="640" t="s">
        <v>431</v>
      </c>
      <c r="B42" s="641"/>
      <c r="C42" s="381" t="s">
        <v>432</v>
      </c>
      <c r="D42" s="382">
        <f>SUM(D4:D41)</f>
        <v>2803519.4799999995</v>
      </c>
      <c r="E42" s="382">
        <f>SUM(E4:E41)</f>
        <v>3018865.4</v>
      </c>
      <c r="F42" s="383">
        <f>SUM(F4:F41)</f>
        <v>215345.92000000004</v>
      </c>
    </row>
    <row r="43" spans="1:6">
      <c r="B43" s="384"/>
      <c r="C43" s="384"/>
      <c r="D43" s="384"/>
      <c r="E43" s="384"/>
    </row>
    <row r="45" spans="1:6" ht="15.75">
      <c r="F45" s="81"/>
    </row>
  </sheetData>
  <mergeCells count="4">
    <mergeCell ref="A2:F2"/>
    <mergeCell ref="A1:F1"/>
    <mergeCell ref="A41:B41"/>
    <mergeCell ref="A42:B42"/>
  </mergeCells>
  <phoneticPr fontId="86" type="noConversion"/>
  <pageMargins left="0.39370078740157483" right="0.23622047244094491" top="0.59055118110236227" bottom="0.74803149606299213" header="0.31496062992125984" footer="0.31496062992125984"/>
  <pageSetup paperSize="9" scale="9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4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2" sqref="G12"/>
    </sheetView>
  </sheetViews>
  <sheetFormatPr defaultRowHeight="12.75"/>
  <cols>
    <col min="1" max="1" width="3.5703125" style="385" customWidth="1"/>
    <col min="2" max="2" width="50" style="385" customWidth="1"/>
    <col min="3" max="3" width="7.42578125" style="409" customWidth="1"/>
    <col min="4" max="4" width="14.7109375" style="410" customWidth="1"/>
    <col min="5" max="5" width="12.85546875" style="410" customWidth="1"/>
    <col min="6" max="6" width="13.85546875" style="410" customWidth="1"/>
    <col min="7" max="7" width="17.42578125" style="410" customWidth="1"/>
    <col min="8" max="16384" width="9.140625" style="385"/>
  </cols>
  <sheetData>
    <row r="1" spans="1:7" ht="35.25" customHeight="1">
      <c r="A1" s="613" t="s">
        <v>575</v>
      </c>
      <c r="B1" s="613"/>
      <c r="C1" s="613"/>
      <c r="D1" s="613"/>
      <c r="E1" s="613"/>
      <c r="F1" s="613"/>
      <c r="G1" s="613"/>
    </row>
    <row r="2" spans="1:7" ht="30" customHeight="1">
      <c r="A2" s="646" t="s">
        <v>1028</v>
      </c>
      <c r="B2" s="646"/>
      <c r="C2" s="646"/>
      <c r="D2" s="646"/>
      <c r="E2" s="646"/>
      <c r="F2" s="646"/>
      <c r="G2" s="646"/>
    </row>
    <row r="3" spans="1:7" ht="57.75" customHeight="1">
      <c r="A3" s="647" t="s">
        <v>195</v>
      </c>
      <c r="B3" s="647"/>
      <c r="C3" s="647" t="s">
        <v>243</v>
      </c>
      <c r="D3" s="648" t="s">
        <v>244</v>
      </c>
      <c r="E3" s="648"/>
      <c r="F3" s="648"/>
      <c r="G3" s="387" t="s">
        <v>245</v>
      </c>
    </row>
    <row r="4" spans="1:7" ht="15.75">
      <c r="A4" s="647"/>
      <c r="B4" s="647"/>
      <c r="C4" s="647"/>
      <c r="D4" s="386" t="s">
        <v>191</v>
      </c>
      <c r="E4" s="386" t="s">
        <v>192</v>
      </c>
      <c r="F4" s="386" t="s">
        <v>193</v>
      </c>
      <c r="G4" s="386" t="s">
        <v>193</v>
      </c>
    </row>
    <row r="5" spans="1:7" ht="26.25" customHeight="1" thickBot="1">
      <c r="A5" s="649" t="s">
        <v>246</v>
      </c>
      <c r="B5" s="650"/>
      <c r="C5" s="388" t="s">
        <v>247</v>
      </c>
      <c r="D5" s="389">
        <v>1</v>
      </c>
      <c r="E5" s="389">
        <v>2</v>
      </c>
      <c r="F5" s="389">
        <v>3</v>
      </c>
      <c r="G5" s="389">
        <v>4</v>
      </c>
    </row>
    <row r="6" spans="1:7" ht="15.95" customHeight="1">
      <c r="A6" s="642" t="s">
        <v>344</v>
      </c>
      <c r="B6" s="643"/>
      <c r="C6" s="390" t="s">
        <v>75</v>
      </c>
      <c r="D6" s="391">
        <f>D7+D14+D26</f>
        <v>75189278.269999996</v>
      </c>
      <c r="E6" s="391">
        <f>E7+E14+E26</f>
        <v>20635579.829999998</v>
      </c>
      <c r="F6" s="391">
        <f>F7+F14+F26</f>
        <v>54553698.440000005</v>
      </c>
      <c r="G6" s="392">
        <f>G7+G14+G26</f>
        <v>26229677.380000003</v>
      </c>
    </row>
    <row r="7" spans="1:7" ht="15.95" customHeight="1">
      <c r="A7" s="393" t="s">
        <v>248</v>
      </c>
      <c r="B7" s="394" t="s">
        <v>352</v>
      </c>
      <c r="C7" s="395" t="s">
        <v>77</v>
      </c>
      <c r="D7" s="153">
        <f>D8+D9+D10+D11+D12+D13</f>
        <v>714803.99</v>
      </c>
      <c r="E7" s="153">
        <f>E8+E9+E10+E11+E12+E13</f>
        <v>364417.24</v>
      </c>
      <c r="F7" s="153">
        <f>F8+F9+F10+F11+F12+F13</f>
        <v>350386.75</v>
      </c>
      <c r="G7" s="132">
        <f>G8+G9+G10+G11+G12+G13</f>
        <v>95084.54</v>
      </c>
    </row>
    <row r="8" spans="1:7" ht="31.5">
      <c r="A8" s="644"/>
      <c r="B8" s="396" t="s">
        <v>249</v>
      </c>
      <c r="C8" s="397" t="s">
        <v>79</v>
      </c>
      <c r="D8" s="361"/>
      <c r="E8" s="361"/>
      <c r="F8" s="361"/>
      <c r="G8" s="123"/>
    </row>
    <row r="9" spans="1:7" ht="15.95" customHeight="1">
      <c r="A9" s="645"/>
      <c r="B9" s="396" t="s">
        <v>250</v>
      </c>
      <c r="C9" s="397" t="s">
        <v>81</v>
      </c>
      <c r="D9" s="361">
        <v>535652.35</v>
      </c>
      <c r="E9" s="361">
        <v>364417.24</v>
      </c>
      <c r="F9" s="361">
        <v>171235.11</v>
      </c>
      <c r="G9" s="123">
        <v>95084.54</v>
      </c>
    </row>
    <row r="10" spans="1:7" ht="15.95" customHeight="1">
      <c r="A10" s="645"/>
      <c r="B10" s="396" t="s">
        <v>251</v>
      </c>
      <c r="C10" s="397" t="s">
        <v>82</v>
      </c>
      <c r="D10" s="361"/>
      <c r="E10" s="361"/>
      <c r="F10" s="361"/>
      <c r="G10" s="123"/>
    </row>
    <row r="11" spans="1:7" ht="31.5">
      <c r="A11" s="645"/>
      <c r="B11" s="396" t="s">
        <v>252</v>
      </c>
      <c r="C11" s="397" t="s">
        <v>84</v>
      </c>
      <c r="D11" s="361"/>
      <c r="E11" s="361"/>
      <c r="F11" s="361"/>
      <c r="G11" s="123"/>
    </row>
    <row r="12" spans="1:7" ht="15.95" customHeight="1">
      <c r="A12" s="645"/>
      <c r="B12" s="396" t="s">
        <v>342</v>
      </c>
      <c r="C12" s="397" t="s">
        <v>86</v>
      </c>
      <c r="D12" s="361">
        <v>179151.64</v>
      </c>
      <c r="E12" s="361"/>
      <c r="F12" s="361">
        <v>179151.64</v>
      </c>
      <c r="G12" s="123"/>
    </row>
    <row r="13" spans="1:7" ht="31.5">
      <c r="A13" s="645"/>
      <c r="B13" s="396" t="s">
        <v>253</v>
      </c>
      <c r="C13" s="397" t="s">
        <v>88</v>
      </c>
      <c r="D13" s="361"/>
      <c r="E13" s="361"/>
      <c r="F13" s="361"/>
      <c r="G13" s="123"/>
    </row>
    <row r="14" spans="1:7" ht="15.95" customHeight="1">
      <c r="A14" s="393" t="s">
        <v>254</v>
      </c>
      <c r="B14" s="398" t="s">
        <v>341</v>
      </c>
      <c r="C14" s="395" t="s">
        <v>90</v>
      </c>
      <c r="D14" s="153">
        <f>SUM(D15:D25)</f>
        <v>74474474.280000001</v>
      </c>
      <c r="E14" s="153">
        <f>SUM(E15:E25)</f>
        <v>20271162.59</v>
      </c>
      <c r="F14" s="153">
        <f>SUM(F15:F25)</f>
        <v>54203311.690000005</v>
      </c>
      <c r="G14" s="132">
        <f>SUM(G15:G25)</f>
        <v>26134592.840000004</v>
      </c>
    </row>
    <row r="15" spans="1:7" ht="15.95" customHeight="1">
      <c r="A15" s="399"/>
      <c r="B15" s="400" t="s">
        <v>255</v>
      </c>
      <c r="C15" s="397" t="s">
        <v>92</v>
      </c>
      <c r="D15" s="361">
        <v>9248933.6300000008</v>
      </c>
      <c r="E15" s="361"/>
      <c r="F15" s="361">
        <v>9248933.6300000008</v>
      </c>
      <c r="G15" s="123">
        <v>8832629.6400000006</v>
      </c>
    </row>
    <row r="16" spans="1:7" ht="15.95" customHeight="1">
      <c r="A16" s="399"/>
      <c r="B16" s="400" t="s">
        <v>256</v>
      </c>
      <c r="C16" s="397" t="s">
        <v>94</v>
      </c>
      <c r="D16" s="361">
        <v>45301.03</v>
      </c>
      <c r="E16" s="361"/>
      <c r="F16" s="361">
        <v>45301.03</v>
      </c>
      <c r="G16" s="123">
        <v>45301.03</v>
      </c>
    </row>
    <row r="17" spans="1:7" ht="15.95" customHeight="1">
      <c r="A17" s="399"/>
      <c r="B17" s="400" t="s">
        <v>257</v>
      </c>
      <c r="C17" s="397" t="s">
        <v>96</v>
      </c>
      <c r="D17" s="361">
        <v>41013211.130000003</v>
      </c>
      <c r="E17" s="361">
        <v>9914666.5600000005</v>
      </c>
      <c r="F17" s="361">
        <v>31098544.57</v>
      </c>
      <c r="G17" s="123">
        <v>11624871.130000001</v>
      </c>
    </row>
    <row r="18" spans="1:7" ht="15.95" customHeight="1">
      <c r="A18" s="399"/>
      <c r="B18" s="400" t="s">
        <v>518</v>
      </c>
      <c r="C18" s="397" t="s">
        <v>98</v>
      </c>
      <c r="D18" s="361">
        <v>18015666.079999998</v>
      </c>
      <c r="E18" s="361">
        <v>10014125.02</v>
      </c>
      <c r="F18" s="361">
        <v>8001541.0599999996</v>
      </c>
      <c r="G18" s="123">
        <v>3814022.58</v>
      </c>
    </row>
    <row r="19" spans="1:7" ht="15.95" customHeight="1">
      <c r="A19" s="399"/>
      <c r="B19" s="400" t="s">
        <v>258</v>
      </c>
      <c r="C19" s="397" t="s">
        <v>100</v>
      </c>
      <c r="D19" s="361">
        <v>368121.08</v>
      </c>
      <c r="E19" s="361">
        <v>342371.01</v>
      </c>
      <c r="F19" s="361">
        <v>25750.07</v>
      </c>
      <c r="G19" s="123">
        <v>46971.91</v>
      </c>
    </row>
    <row r="20" spans="1:7" ht="31.5">
      <c r="A20" s="399"/>
      <c r="B20" s="400" t="s">
        <v>259</v>
      </c>
      <c r="C20" s="397" t="s">
        <v>102</v>
      </c>
      <c r="D20" s="361"/>
      <c r="E20" s="361"/>
      <c r="F20" s="361"/>
      <c r="G20" s="123"/>
    </row>
    <row r="21" spans="1:7" ht="15.95" customHeight="1">
      <c r="A21" s="399"/>
      <c r="B21" s="400" t="s">
        <v>260</v>
      </c>
      <c r="C21" s="397" t="s">
        <v>104</v>
      </c>
      <c r="D21" s="361"/>
      <c r="E21" s="361"/>
      <c r="F21" s="361"/>
      <c r="G21" s="123"/>
    </row>
    <row r="22" spans="1:7" ht="15.95" customHeight="1">
      <c r="A22" s="399"/>
      <c r="B22" s="400" t="s">
        <v>261</v>
      </c>
      <c r="C22" s="397" t="s">
        <v>106</v>
      </c>
      <c r="D22" s="361"/>
      <c r="E22" s="361"/>
      <c r="F22" s="361"/>
      <c r="G22" s="123"/>
    </row>
    <row r="23" spans="1:7" ht="15.95" customHeight="1">
      <c r="A23" s="399"/>
      <c r="B23" s="400" t="s">
        <v>262</v>
      </c>
      <c r="C23" s="397" t="s">
        <v>108</v>
      </c>
      <c r="D23" s="361"/>
      <c r="E23" s="361"/>
      <c r="F23" s="361"/>
      <c r="G23" s="123"/>
    </row>
    <row r="24" spans="1:7" ht="15.95" customHeight="1">
      <c r="A24" s="399"/>
      <c r="B24" s="400" t="s">
        <v>263</v>
      </c>
      <c r="C24" s="397" t="s">
        <v>110</v>
      </c>
      <c r="D24" s="361">
        <v>5783241.3300000001</v>
      </c>
      <c r="E24" s="361"/>
      <c r="F24" s="361">
        <v>5783241.3300000001</v>
      </c>
      <c r="G24" s="123">
        <v>1770796.55</v>
      </c>
    </row>
    <row r="25" spans="1:7" ht="31.5">
      <c r="A25" s="401"/>
      <c r="B25" s="400" t="s">
        <v>264</v>
      </c>
      <c r="C25" s="397" t="s">
        <v>112</v>
      </c>
      <c r="D25" s="361"/>
      <c r="E25" s="361"/>
      <c r="F25" s="361"/>
      <c r="G25" s="123"/>
    </row>
    <row r="26" spans="1:7" ht="15.95" customHeight="1">
      <c r="A26" s="393" t="s">
        <v>265</v>
      </c>
      <c r="B26" s="398" t="s">
        <v>353</v>
      </c>
      <c r="C26" s="395" t="s">
        <v>114</v>
      </c>
      <c r="D26" s="153">
        <f>SUM(D27:D33)</f>
        <v>0</v>
      </c>
      <c r="E26" s="153">
        <f>SUM(E27:E33)</f>
        <v>0</v>
      </c>
      <c r="F26" s="153">
        <f>SUM(F27:F33)</f>
        <v>0</v>
      </c>
      <c r="G26" s="132">
        <f>SUM(G27:G33)</f>
        <v>0</v>
      </c>
    </row>
    <row r="27" spans="1:7" ht="31.5">
      <c r="A27" s="399"/>
      <c r="B27" s="400" t="s">
        <v>266</v>
      </c>
      <c r="C27" s="397" t="s">
        <v>116</v>
      </c>
      <c r="D27" s="361"/>
      <c r="E27" s="361"/>
      <c r="F27" s="361"/>
      <c r="G27" s="402"/>
    </row>
    <row r="28" spans="1:7" ht="31.5">
      <c r="A28" s="399"/>
      <c r="B28" s="400" t="s">
        <v>267</v>
      </c>
      <c r="C28" s="397" t="s">
        <v>118</v>
      </c>
      <c r="D28" s="361"/>
      <c r="E28" s="361"/>
      <c r="F28" s="361"/>
      <c r="G28" s="402"/>
    </row>
    <row r="29" spans="1:7" ht="31.5">
      <c r="A29" s="399"/>
      <c r="B29" s="400" t="s">
        <v>268</v>
      </c>
      <c r="C29" s="397" t="s">
        <v>120</v>
      </c>
      <c r="D29" s="361"/>
      <c r="E29" s="361"/>
      <c r="F29" s="361"/>
      <c r="G29" s="402"/>
    </row>
    <row r="30" spans="1:7" ht="31.5">
      <c r="A30" s="399"/>
      <c r="B30" s="400" t="s">
        <v>269</v>
      </c>
      <c r="C30" s="397" t="s">
        <v>122</v>
      </c>
      <c r="D30" s="361"/>
      <c r="E30" s="361"/>
      <c r="F30" s="361"/>
      <c r="G30" s="402"/>
    </row>
    <row r="31" spans="1:7" ht="15.75">
      <c r="A31" s="399"/>
      <c r="B31" s="400" t="s">
        <v>270</v>
      </c>
      <c r="C31" s="397" t="s">
        <v>124</v>
      </c>
      <c r="D31" s="361"/>
      <c r="E31" s="361"/>
      <c r="F31" s="361"/>
      <c r="G31" s="402"/>
    </row>
    <row r="32" spans="1:7" ht="31.5">
      <c r="A32" s="401"/>
      <c r="B32" s="400" t="s">
        <v>271</v>
      </c>
      <c r="C32" s="397" t="s">
        <v>126</v>
      </c>
      <c r="D32" s="361"/>
      <c r="E32" s="361"/>
      <c r="F32" s="361"/>
      <c r="G32" s="402"/>
    </row>
    <row r="33" spans="1:7" ht="19.5" customHeight="1" thickBot="1">
      <c r="A33" s="399"/>
      <c r="B33" s="403" t="s">
        <v>272</v>
      </c>
      <c r="C33" s="404" t="s">
        <v>128</v>
      </c>
      <c r="D33" s="361"/>
      <c r="E33" s="361"/>
      <c r="F33" s="361"/>
      <c r="G33" s="402"/>
    </row>
    <row r="34" spans="1:7" ht="22.5" customHeight="1" thickBot="1">
      <c r="A34" s="405"/>
      <c r="B34" s="406" t="s">
        <v>345</v>
      </c>
      <c r="C34" s="407">
        <v>991</v>
      </c>
      <c r="D34" s="172">
        <f>SUM(D6:D33)</f>
        <v>225567834.81</v>
      </c>
      <c r="E34" s="172">
        <f>SUM(E6:E33)</f>
        <v>61906739.489999987</v>
      </c>
      <c r="F34" s="172">
        <f>SUM(F6:F33)</f>
        <v>163661095.32000002</v>
      </c>
      <c r="G34" s="155">
        <f>SUM(G6:G33)</f>
        <v>78689032.140000001</v>
      </c>
    </row>
    <row r="35" spans="1:7" s="409" customFormat="1" ht="18" customHeight="1">
      <c r="A35" s="408"/>
      <c r="B35" s="408"/>
      <c r="D35" s="410"/>
      <c r="E35" s="410"/>
      <c r="F35" s="410"/>
      <c r="G35" s="410"/>
    </row>
    <row r="36" spans="1:7" s="409" customFormat="1" ht="18" customHeight="1">
      <c r="A36" s="408"/>
      <c r="B36" s="408"/>
      <c r="D36" s="410"/>
      <c r="E36" s="410"/>
      <c r="F36" s="410"/>
      <c r="G36" s="410"/>
    </row>
    <row r="37" spans="1:7" s="409" customFormat="1" ht="18" customHeight="1">
      <c r="A37" s="408"/>
      <c r="B37" s="408"/>
      <c r="D37" s="410"/>
      <c r="E37" s="410"/>
      <c r="F37" s="410"/>
      <c r="G37" s="410"/>
    </row>
    <row r="38" spans="1:7" s="409" customFormat="1" ht="18" customHeight="1">
      <c r="A38" s="408"/>
      <c r="B38" s="408"/>
      <c r="D38" s="410"/>
      <c r="E38" s="410"/>
      <c r="F38" s="410"/>
      <c r="G38" s="410"/>
    </row>
    <row r="39" spans="1:7" s="409" customFormat="1" ht="18" customHeight="1">
      <c r="A39" s="408"/>
      <c r="B39" s="408"/>
      <c r="D39" s="410"/>
      <c r="E39" s="410"/>
      <c r="F39" s="410"/>
      <c r="G39" s="410"/>
    </row>
    <row r="40" spans="1:7" s="409" customFormat="1" ht="18" customHeight="1">
      <c r="A40" s="408"/>
      <c r="B40" s="408"/>
      <c r="D40" s="410"/>
      <c r="E40" s="410"/>
      <c r="F40" s="410"/>
      <c r="G40" s="410"/>
    </row>
    <row r="41" spans="1:7" s="409" customFormat="1" ht="18" customHeight="1">
      <c r="A41" s="408"/>
      <c r="B41" s="408"/>
      <c r="D41" s="410"/>
      <c r="E41" s="410"/>
      <c r="F41" s="410"/>
      <c r="G41" s="410"/>
    </row>
    <row r="42" spans="1:7" s="409" customFormat="1" ht="18" customHeight="1">
      <c r="A42" s="408"/>
      <c r="B42" s="408"/>
      <c r="D42" s="410"/>
      <c r="E42" s="410"/>
      <c r="F42" s="410"/>
      <c r="G42" s="410"/>
    </row>
    <row r="43" spans="1:7" s="409" customFormat="1" ht="18" customHeight="1">
      <c r="A43" s="385"/>
      <c r="B43" s="385"/>
      <c r="D43" s="410"/>
      <c r="E43" s="410"/>
      <c r="F43" s="410"/>
      <c r="G43" s="410"/>
    </row>
    <row r="44" spans="1:7" s="409" customFormat="1" ht="18" customHeight="1">
      <c r="A44" s="385"/>
      <c r="B44" s="385"/>
      <c r="D44" s="410"/>
      <c r="E44" s="410"/>
      <c r="F44" s="410"/>
      <c r="G44" s="410"/>
    </row>
    <row r="45" spans="1:7" s="409" customFormat="1" ht="18" customHeight="1">
      <c r="A45" s="385"/>
      <c r="B45" s="385"/>
      <c r="D45" s="410"/>
      <c r="E45" s="410"/>
      <c r="F45" s="410"/>
      <c r="G45" s="410"/>
    </row>
    <row r="46" spans="1:7" s="409" customFormat="1" ht="18" customHeight="1">
      <c r="A46" s="385"/>
      <c r="B46" s="385"/>
      <c r="D46" s="410"/>
      <c r="E46" s="410"/>
      <c r="F46" s="410"/>
      <c r="G46" s="410"/>
    </row>
    <row r="47" spans="1:7" s="409" customFormat="1" ht="18" customHeight="1">
      <c r="A47" s="385"/>
      <c r="B47" s="385"/>
      <c r="D47" s="410"/>
      <c r="E47" s="410"/>
      <c r="F47" s="410"/>
      <c r="G47" s="410"/>
    </row>
    <row r="48" spans="1:7" s="409" customFormat="1" ht="18" customHeight="1">
      <c r="A48" s="385"/>
      <c r="B48" s="385"/>
      <c r="D48" s="410"/>
      <c r="E48" s="410"/>
      <c r="F48" s="410"/>
      <c r="G48" s="410"/>
    </row>
    <row r="49" spans="1:7" s="409" customFormat="1" ht="18" customHeight="1">
      <c r="A49" s="385"/>
      <c r="B49" s="385"/>
      <c r="D49" s="410"/>
      <c r="E49" s="410"/>
      <c r="F49" s="410"/>
      <c r="G49" s="410"/>
    </row>
  </sheetData>
  <mergeCells count="8">
    <mergeCell ref="A6:B6"/>
    <mergeCell ref="A8:A13"/>
    <mergeCell ref="A2:G2"/>
    <mergeCell ref="A1:G1"/>
    <mergeCell ref="A3:B4"/>
    <mergeCell ref="C3:C4"/>
    <mergeCell ref="D3:F3"/>
    <mergeCell ref="A5:B5"/>
  </mergeCells>
  <phoneticPr fontId="86" type="noConversion"/>
  <pageMargins left="0.35433070866141736" right="0.35433070866141736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4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9" sqref="J19"/>
    </sheetView>
  </sheetViews>
  <sheetFormatPr defaultRowHeight="12.75"/>
  <cols>
    <col min="1" max="1" width="2.42578125" style="411" customWidth="1"/>
    <col min="2" max="2" width="50" style="411" customWidth="1"/>
    <col min="3" max="3" width="7.42578125" style="411" customWidth="1"/>
    <col min="4" max="4" width="13.85546875" style="448" customWidth="1"/>
    <col min="5" max="5" width="13.140625" style="449" customWidth="1"/>
    <col min="6" max="6" width="13.7109375" style="449" customWidth="1"/>
    <col min="7" max="7" width="17.7109375" style="448" customWidth="1"/>
    <col min="8" max="16384" width="9.140625" style="411"/>
  </cols>
  <sheetData>
    <row r="1" spans="1:7" ht="24.75" customHeight="1" thickBot="1">
      <c r="A1" s="670" t="s">
        <v>576</v>
      </c>
      <c r="B1" s="671"/>
      <c r="C1" s="671"/>
      <c r="D1" s="671"/>
      <c r="E1" s="671"/>
      <c r="F1" s="671"/>
      <c r="G1" s="672"/>
    </row>
    <row r="2" spans="1:7" ht="33" customHeight="1">
      <c r="A2" s="666" t="s">
        <v>1028</v>
      </c>
      <c r="B2" s="667"/>
      <c r="C2" s="667"/>
      <c r="D2" s="667"/>
      <c r="E2" s="667"/>
      <c r="F2" s="667"/>
      <c r="G2" s="668"/>
    </row>
    <row r="3" spans="1:7" ht="61.5" customHeight="1">
      <c r="A3" s="674" t="s">
        <v>195</v>
      </c>
      <c r="B3" s="651"/>
      <c r="C3" s="651"/>
      <c r="D3" s="653" t="s">
        <v>273</v>
      </c>
      <c r="E3" s="653"/>
      <c r="F3" s="653"/>
      <c r="G3" s="412" t="s">
        <v>245</v>
      </c>
    </row>
    <row r="4" spans="1:7" ht="16.5" thickBot="1">
      <c r="A4" s="675"/>
      <c r="B4" s="652"/>
      <c r="C4" s="652"/>
      <c r="D4" s="413" t="s">
        <v>191</v>
      </c>
      <c r="E4" s="413" t="s">
        <v>192</v>
      </c>
      <c r="F4" s="413" t="s">
        <v>193</v>
      </c>
      <c r="G4" s="414" t="s">
        <v>193</v>
      </c>
    </row>
    <row r="5" spans="1:7" ht="21.75" customHeight="1" thickBot="1">
      <c r="A5" s="654" t="s">
        <v>246</v>
      </c>
      <c r="B5" s="655"/>
      <c r="C5" s="415" t="s">
        <v>247</v>
      </c>
      <c r="D5" s="416">
        <v>1</v>
      </c>
      <c r="E5" s="416">
        <v>2</v>
      </c>
      <c r="F5" s="416">
        <v>3</v>
      </c>
      <c r="G5" s="417">
        <v>4</v>
      </c>
    </row>
    <row r="6" spans="1:7" ht="15.95" customHeight="1">
      <c r="A6" s="656" t="s">
        <v>346</v>
      </c>
      <c r="B6" s="657"/>
      <c r="C6" s="418" t="s">
        <v>130</v>
      </c>
      <c r="D6" s="139">
        <f>D7+D14+D19+D28</f>
        <v>8430420.7300000004</v>
      </c>
      <c r="E6" s="139">
        <f>E7+E14+E19+E28</f>
        <v>0</v>
      </c>
      <c r="F6" s="139">
        <f>F7+F14+F19+F28</f>
        <v>8430420.7300000004</v>
      </c>
      <c r="G6" s="419">
        <f>G7+G14+G19+G28</f>
        <v>6753707.3000000007</v>
      </c>
    </row>
    <row r="7" spans="1:7" ht="15.95" customHeight="1">
      <c r="A7" s="420" t="s">
        <v>248</v>
      </c>
      <c r="B7" s="100" t="s">
        <v>274</v>
      </c>
      <c r="C7" s="96" t="s">
        <v>132</v>
      </c>
      <c r="D7" s="15">
        <f>SUM(D8:D13)</f>
        <v>172364.72999999998</v>
      </c>
      <c r="E7" s="15">
        <f>SUM(E8:E13)</f>
        <v>0</v>
      </c>
      <c r="F7" s="15">
        <f>SUM(F8:F13)</f>
        <v>172364.72999999998</v>
      </c>
      <c r="G7" s="421">
        <f>SUM(G8:G13)</f>
        <v>191809.39</v>
      </c>
    </row>
    <row r="8" spans="1:7" ht="15.95" customHeight="1">
      <c r="A8" s="658"/>
      <c r="B8" s="423" t="s">
        <v>275</v>
      </c>
      <c r="C8" s="373" t="s">
        <v>134</v>
      </c>
      <c r="D8" s="424">
        <v>99177.23</v>
      </c>
      <c r="E8" s="425"/>
      <c r="F8" s="426">
        <v>99177.23</v>
      </c>
      <c r="G8" s="148">
        <v>119557.82</v>
      </c>
    </row>
    <row r="9" spans="1:7" ht="31.5">
      <c r="A9" s="659"/>
      <c r="B9" s="423" t="s">
        <v>276</v>
      </c>
      <c r="C9" s="373" t="s">
        <v>136</v>
      </c>
      <c r="D9" s="424"/>
      <c r="E9" s="425"/>
      <c r="F9" s="426"/>
      <c r="G9" s="148"/>
    </row>
    <row r="10" spans="1:7" ht="15.95" customHeight="1">
      <c r="A10" s="659"/>
      <c r="B10" s="423" t="s">
        <v>277</v>
      </c>
      <c r="C10" s="373" t="s">
        <v>138</v>
      </c>
      <c r="D10" s="424">
        <v>50394.23</v>
      </c>
      <c r="E10" s="425"/>
      <c r="F10" s="426">
        <v>50394.23</v>
      </c>
      <c r="G10" s="148">
        <v>58653.32</v>
      </c>
    </row>
    <row r="11" spans="1:7" ht="15.95" customHeight="1">
      <c r="A11" s="659"/>
      <c r="B11" s="423" t="s">
        <v>278</v>
      </c>
      <c r="C11" s="373" t="s">
        <v>140</v>
      </c>
      <c r="D11" s="424"/>
      <c r="E11" s="425"/>
      <c r="F11" s="426"/>
      <c r="G11" s="148"/>
    </row>
    <row r="12" spans="1:7" ht="15.95" customHeight="1">
      <c r="A12" s="659"/>
      <c r="B12" s="423" t="s">
        <v>279</v>
      </c>
      <c r="C12" s="373" t="s">
        <v>142</v>
      </c>
      <c r="D12" s="424">
        <v>22793.27</v>
      </c>
      <c r="E12" s="425"/>
      <c r="F12" s="426">
        <v>22793.27</v>
      </c>
      <c r="G12" s="148">
        <v>13598.25</v>
      </c>
    </row>
    <row r="13" spans="1:7" ht="15.95" customHeight="1">
      <c r="A13" s="659"/>
      <c r="B13" s="423" t="s">
        <v>280</v>
      </c>
      <c r="C13" s="373" t="s">
        <v>144</v>
      </c>
      <c r="D13" s="424"/>
      <c r="E13" s="425"/>
      <c r="F13" s="426"/>
      <c r="G13" s="428"/>
    </row>
    <row r="14" spans="1:7" ht="15.95" customHeight="1">
      <c r="A14" s="427" t="s">
        <v>254</v>
      </c>
      <c r="B14" s="100" t="s">
        <v>350</v>
      </c>
      <c r="C14" s="429" t="s">
        <v>146</v>
      </c>
      <c r="D14" s="15">
        <f>SUM(D15:D18)</f>
        <v>631.84</v>
      </c>
      <c r="E14" s="15">
        <f>SUM(E15:E18)</f>
        <v>0</v>
      </c>
      <c r="F14" s="15">
        <f>SUM(F15:F18)</f>
        <v>631.84</v>
      </c>
      <c r="G14" s="421">
        <f>SUM(G15:G18)</f>
        <v>127342.74</v>
      </c>
    </row>
    <row r="15" spans="1:7" ht="31.5">
      <c r="A15" s="673"/>
      <c r="B15" s="431" t="s">
        <v>281</v>
      </c>
      <c r="C15" s="373" t="s">
        <v>148</v>
      </c>
      <c r="D15" s="424">
        <v>631.84</v>
      </c>
      <c r="E15" s="425"/>
      <c r="F15" s="426">
        <v>631.84</v>
      </c>
      <c r="G15" s="148">
        <v>127342.74</v>
      </c>
    </row>
    <row r="16" spans="1:7" ht="15.75">
      <c r="A16" s="673"/>
      <c r="B16" s="423" t="s">
        <v>282</v>
      </c>
      <c r="C16" s="373" t="s">
        <v>150</v>
      </c>
      <c r="D16" s="424"/>
      <c r="E16" s="425"/>
      <c r="F16" s="426"/>
      <c r="G16" s="428"/>
    </row>
    <row r="17" spans="1:7" ht="15.95" customHeight="1">
      <c r="A17" s="673"/>
      <c r="B17" s="423" t="s">
        <v>283</v>
      </c>
      <c r="C17" s="373" t="s">
        <v>152</v>
      </c>
      <c r="D17" s="424"/>
      <c r="E17" s="425"/>
      <c r="F17" s="426"/>
      <c r="G17" s="428"/>
    </row>
    <row r="18" spans="1:7" ht="31.5">
      <c r="A18" s="658"/>
      <c r="B18" s="423" t="s">
        <v>284</v>
      </c>
      <c r="C18" s="373" t="s">
        <v>154</v>
      </c>
      <c r="D18" s="424"/>
      <c r="E18" s="425"/>
      <c r="F18" s="426"/>
      <c r="G18" s="428"/>
    </row>
    <row r="19" spans="1:7" ht="15.95" customHeight="1">
      <c r="A19" s="99" t="s">
        <v>265</v>
      </c>
      <c r="B19" s="100" t="s">
        <v>351</v>
      </c>
      <c r="C19" s="429" t="s">
        <v>156</v>
      </c>
      <c r="D19" s="15">
        <f>SUM(D20:D27)</f>
        <v>1316337.3599999999</v>
      </c>
      <c r="E19" s="15">
        <f>SUM(E20:E27)</f>
        <v>0</v>
      </c>
      <c r="F19" s="15">
        <f>SUM(F20:F27)</f>
        <v>1316337.3599999999</v>
      </c>
      <c r="G19" s="421">
        <f>SUM(G20:G27)</f>
        <v>1138763.6499999999</v>
      </c>
    </row>
    <row r="20" spans="1:7" ht="31.5">
      <c r="A20" s="673"/>
      <c r="B20" s="431" t="s">
        <v>285</v>
      </c>
      <c r="C20" s="373" t="s">
        <v>158</v>
      </c>
      <c r="D20" s="424">
        <v>731869.27</v>
      </c>
      <c r="E20" s="425"/>
      <c r="F20" s="426">
        <v>731869.27</v>
      </c>
      <c r="G20" s="148">
        <v>929427.36</v>
      </c>
    </row>
    <row r="21" spans="1:7" ht="15.95" customHeight="1">
      <c r="A21" s="673"/>
      <c r="B21" s="423" t="s">
        <v>282</v>
      </c>
      <c r="C21" s="373" t="s">
        <v>159</v>
      </c>
      <c r="D21" s="424">
        <v>20444.57</v>
      </c>
      <c r="E21" s="425"/>
      <c r="F21" s="426">
        <v>20444.57</v>
      </c>
      <c r="G21" s="148">
        <v>42087.46</v>
      </c>
    </row>
    <row r="22" spans="1:7" ht="15.95" customHeight="1">
      <c r="A22" s="673"/>
      <c r="B22" s="423" t="s">
        <v>286</v>
      </c>
      <c r="C22" s="373" t="s">
        <v>161</v>
      </c>
      <c r="D22" s="424"/>
      <c r="E22" s="425"/>
      <c r="F22" s="426"/>
      <c r="G22" s="148"/>
    </row>
    <row r="23" spans="1:7" ht="15.75">
      <c r="A23" s="673"/>
      <c r="B23" s="423" t="s">
        <v>287</v>
      </c>
      <c r="C23" s="373" t="s">
        <v>163</v>
      </c>
      <c r="D23" s="424"/>
      <c r="E23" s="425"/>
      <c r="F23" s="426"/>
      <c r="G23" s="148">
        <v>96129.31</v>
      </c>
    </row>
    <row r="24" spans="1:7" ht="31.5">
      <c r="A24" s="673"/>
      <c r="B24" s="423" t="s">
        <v>288</v>
      </c>
      <c r="C24" s="373" t="s">
        <v>165</v>
      </c>
      <c r="D24" s="424">
        <v>449808.88</v>
      </c>
      <c r="E24" s="425"/>
      <c r="F24" s="426">
        <v>449808.88</v>
      </c>
      <c r="G24" s="148">
        <v>69385.19</v>
      </c>
    </row>
    <row r="25" spans="1:7" ht="15.95" customHeight="1">
      <c r="A25" s="673"/>
      <c r="B25" s="423" t="s">
        <v>283</v>
      </c>
      <c r="C25" s="373" t="s">
        <v>166</v>
      </c>
      <c r="D25" s="424"/>
      <c r="E25" s="425"/>
      <c r="F25" s="426"/>
      <c r="G25" s="148"/>
    </row>
    <row r="26" spans="1:7" ht="15.95" customHeight="1">
      <c r="A26" s="658"/>
      <c r="B26" s="423" t="s">
        <v>289</v>
      </c>
      <c r="C26" s="373" t="s">
        <v>168</v>
      </c>
      <c r="D26" s="424"/>
      <c r="E26" s="425"/>
      <c r="F26" s="426"/>
      <c r="G26" s="148"/>
    </row>
    <row r="27" spans="1:7" ht="15.95" customHeight="1">
      <c r="A27" s="422"/>
      <c r="B27" s="423" t="s">
        <v>284</v>
      </c>
      <c r="C27" s="373" t="s">
        <v>169</v>
      </c>
      <c r="D27" s="424">
        <v>114214.64</v>
      </c>
      <c r="E27" s="425"/>
      <c r="F27" s="426">
        <v>114214.64</v>
      </c>
      <c r="G27" s="148">
        <v>1734.33</v>
      </c>
    </row>
    <row r="28" spans="1:7" ht="15.95" customHeight="1">
      <c r="A28" s="99" t="s">
        <v>290</v>
      </c>
      <c r="B28" s="100" t="s">
        <v>349</v>
      </c>
      <c r="C28" s="429" t="s">
        <v>171</v>
      </c>
      <c r="D28" s="15">
        <f>SUM(D29:D33)</f>
        <v>6941086.7999999998</v>
      </c>
      <c r="E28" s="15">
        <f>SUM(E29:E33)</f>
        <v>0</v>
      </c>
      <c r="F28" s="15">
        <f>SUM(F29:F33)</f>
        <v>6941086.7999999998</v>
      </c>
      <c r="G28" s="421">
        <f>SUM(G29:G33)</f>
        <v>5295791.5200000005</v>
      </c>
    </row>
    <row r="29" spans="1:7" ht="15.95" customHeight="1">
      <c r="A29" s="673"/>
      <c r="B29" s="431" t="s">
        <v>291</v>
      </c>
      <c r="C29" s="373" t="s">
        <v>173</v>
      </c>
      <c r="D29" s="424">
        <v>4648.03</v>
      </c>
      <c r="E29" s="425"/>
      <c r="F29" s="426">
        <v>4648.03</v>
      </c>
      <c r="G29" s="149">
        <v>1148.1099999999999</v>
      </c>
    </row>
    <row r="30" spans="1:7" ht="15.95" customHeight="1">
      <c r="A30" s="673"/>
      <c r="B30" s="423" t="s">
        <v>292</v>
      </c>
      <c r="C30" s="373" t="s">
        <v>175</v>
      </c>
      <c r="D30" s="424">
        <v>6936438.7699999996</v>
      </c>
      <c r="E30" s="425"/>
      <c r="F30" s="426">
        <v>6936438.7699999996</v>
      </c>
      <c r="G30" s="149">
        <v>5294643.41</v>
      </c>
    </row>
    <row r="31" spans="1:7" ht="15.95" customHeight="1">
      <c r="A31" s="673"/>
      <c r="B31" s="423" t="s">
        <v>293</v>
      </c>
      <c r="C31" s="373" t="s">
        <v>177</v>
      </c>
      <c r="D31" s="424"/>
      <c r="E31" s="425"/>
      <c r="F31" s="426"/>
      <c r="G31" s="149"/>
    </row>
    <row r="32" spans="1:7" ht="31.5" customHeight="1">
      <c r="A32" s="673"/>
      <c r="B32" s="423" t="s">
        <v>294</v>
      </c>
      <c r="C32" s="373" t="s">
        <v>179</v>
      </c>
      <c r="D32" s="424"/>
      <c r="E32" s="425"/>
      <c r="F32" s="426"/>
      <c r="G32" s="428"/>
    </row>
    <row r="33" spans="1:7" ht="31.5" customHeight="1" thickBot="1">
      <c r="A33" s="673"/>
      <c r="B33" s="432" t="s">
        <v>295</v>
      </c>
      <c r="C33" s="375" t="s">
        <v>181</v>
      </c>
      <c r="D33" s="433"/>
      <c r="E33" s="434"/>
      <c r="F33" s="435"/>
      <c r="G33" s="436"/>
    </row>
    <row r="34" spans="1:7" ht="33" customHeight="1" thickBot="1">
      <c r="A34" s="660" t="s">
        <v>296</v>
      </c>
      <c r="B34" s="669"/>
      <c r="C34" s="378" t="s">
        <v>183</v>
      </c>
      <c r="D34" s="437">
        <f>D35+D36</f>
        <v>113587.04</v>
      </c>
      <c r="E34" s="437">
        <f>E35+E36</f>
        <v>0</v>
      </c>
      <c r="F34" s="437">
        <f>F35+F36</f>
        <v>113587.04</v>
      </c>
      <c r="G34" s="438">
        <f>G35+G36</f>
        <v>88949.31</v>
      </c>
    </row>
    <row r="35" spans="1:7" ht="18" customHeight="1">
      <c r="A35" s="662" t="s">
        <v>248</v>
      </c>
      <c r="B35" s="431" t="s">
        <v>297</v>
      </c>
      <c r="C35" s="369" t="s">
        <v>185</v>
      </c>
      <c r="D35" s="439">
        <v>113587.04</v>
      </c>
      <c r="E35" s="440"/>
      <c r="F35" s="441">
        <v>113587.04</v>
      </c>
      <c r="G35" s="150">
        <v>88949.31</v>
      </c>
    </row>
    <row r="36" spans="1:7" ht="18" customHeight="1" thickBot="1">
      <c r="A36" s="663"/>
      <c r="B36" s="432" t="s">
        <v>298</v>
      </c>
      <c r="C36" s="375" t="s">
        <v>187</v>
      </c>
      <c r="D36" s="433"/>
      <c r="E36" s="434"/>
      <c r="F36" s="435"/>
      <c r="G36" s="436"/>
    </row>
    <row r="37" spans="1:7" ht="18" customHeight="1" thickBot="1">
      <c r="A37" s="664" t="s">
        <v>347</v>
      </c>
      <c r="B37" s="665"/>
      <c r="C37" s="442" t="s">
        <v>189</v>
      </c>
      <c r="D37" s="443">
        <f>[5]T24a_Aktíva_1!D6+[5]T24b_Aktíva_2!D6+[5]T24b_Aktíva_2!D34</f>
        <v>83733286.040000007</v>
      </c>
      <c r="E37" s="443">
        <f>[5]T24a_Aktíva_1!E6+[5]T24b_Aktíva_2!E6+[5]T24b_Aktíva_2!E34</f>
        <v>20635579.829999998</v>
      </c>
      <c r="F37" s="443">
        <f>[5]T24a_Aktíva_1!F6+[5]T24b_Aktíva_2!F6+[5]T24b_Aktíva_2!F34</f>
        <v>63097706.210000001</v>
      </c>
      <c r="G37" s="444">
        <f>[5]T24a_Aktíva_1!G6+[5]T24b_Aktíva_2!G6+[5]T24b_Aktíva_2!G34</f>
        <v>33072333.990000002</v>
      </c>
    </row>
    <row r="38" spans="1:7" ht="25.5" customHeight="1" thickBot="1">
      <c r="A38" s="660" t="s">
        <v>348</v>
      </c>
      <c r="B38" s="661"/>
      <c r="C38" s="445">
        <v>992</v>
      </c>
      <c r="D38" s="437">
        <f>SUM(D6:D37)</f>
        <v>109251722.31</v>
      </c>
      <c r="E38" s="437">
        <f>SUM(E6:E37)</f>
        <v>20635579.829999998</v>
      </c>
      <c r="F38" s="437">
        <f>SUM(F6:F37)</f>
        <v>88616142.480000004</v>
      </c>
      <c r="G38" s="438">
        <f>SUM(G6:G37)</f>
        <v>53511354.510000005</v>
      </c>
    </row>
    <row r="39" spans="1:7" ht="18" customHeight="1">
      <c r="A39" s="446"/>
      <c r="B39" s="446"/>
      <c r="C39" s="447"/>
    </row>
    <row r="40" spans="1:7" ht="18" customHeight="1">
      <c r="A40" s="446"/>
      <c r="B40" s="446"/>
      <c r="C40" s="447"/>
    </row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</sheetData>
  <mergeCells count="15">
    <mergeCell ref="A2:G2"/>
    <mergeCell ref="A34:B34"/>
    <mergeCell ref="A1:G1"/>
    <mergeCell ref="A15:A18"/>
    <mergeCell ref="A20:A26"/>
    <mergeCell ref="A29:A33"/>
    <mergeCell ref="A3:B4"/>
    <mergeCell ref="C3:C4"/>
    <mergeCell ref="D3:F3"/>
    <mergeCell ref="A5:B5"/>
    <mergeCell ref="A6:B6"/>
    <mergeCell ref="A8:A13"/>
    <mergeCell ref="A38:B38"/>
    <mergeCell ref="A35:A36"/>
    <mergeCell ref="A37:B37"/>
  </mergeCells>
  <phoneticPr fontId="86" type="noConversion"/>
  <pageMargins left="0.39370078740157483" right="0.35433070866141736" top="0.52" bottom="0.98425196850393704" header="0.51181102362204722" footer="0.51181102362204722"/>
  <pageSetup paperSize="9" scale="8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55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13" sqref="J13"/>
    </sheetView>
  </sheetViews>
  <sheetFormatPr defaultRowHeight="12.75"/>
  <cols>
    <col min="1" max="1" width="4" style="411" customWidth="1"/>
    <col min="2" max="2" width="60.140625" style="411" customWidth="1"/>
    <col min="3" max="3" width="6.5703125" style="411" customWidth="1"/>
    <col min="4" max="5" width="11.7109375" style="411" hidden="1" customWidth="1"/>
    <col min="6" max="6" width="18" style="470" customWidth="1"/>
    <col min="7" max="7" width="16.5703125" style="471" customWidth="1"/>
    <col min="8" max="9" width="9.85546875" style="411" bestFit="1" customWidth="1"/>
    <col min="10" max="16384" width="9.140625" style="411"/>
  </cols>
  <sheetData>
    <row r="1" spans="1:10" ht="38.25" customHeight="1" thickBot="1">
      <c r="A1" s="670" t="s">
        <v>577</v>
      </c>
      <c r="B1" s="671"/>
      <c r="C1" s="671"/>
      <c r="D1" s="671"/>
      <c r="E1" s="671"/>
      <c r="F1" s="671"/>
      <c r="G1" s="672"/>
    </row>
    <row r="2" spans="1:10" ht="33" customHeight="1" thickBot="1">
      <c r="A2" s="678" t="s">
        <v>1037</v>
      </c>
      <c r="B2" s="679"/>
      <c r="C2" s="679"/>
      <c r="D2" s="679"/>
      <c r="E2" s="679"/>
      <c r="F2" s="679"/>
      <c r="G2" s="680"/>
    </row>
    <row r="3" spans="1:10" ht="35.25" customHeight="1">
      <c r="A3" s="683" t="s">
        <v>299</v>
      </c>
      <c r="B3" s="684"/>
      <c r="C3" s="684"/>
      <c r="D3" s="687" t="s">
        <v>273</v>
      </c>
      <c r="E3" s="688"/>
      <c r="F3" s="689"/>
      <c r="G3" s="693" t="s">
        <v>245</v>
      </c>
    </row>
    <row r="4" spans="1:10" ht="42.75" customHeight="1" thickBot="1">
      <c r="A4" s="685"/>
      <c r="B4" s="686"/>
      <c r="C4" s="686"/>
      <c r="D4" s="690"/>
      <c r="E4" s="691"/>
      <c r="F4" s="692"/>
      <c r="G4" s="694"/>
    </row>
    <row r="5" spans="1:10" ht="19.5" customHeight="1" thickBot="1">
      <c r="A5" s="695" t="s">
        <v>246</v>
      </c>
      <c r="B5" s="696"/>
      <c r="C5" s="450" t="s">
        <v>247</v>
      </c>
      <c r="D5" s="450">
        <v>1</v>
      </c>
      <c r="E5" s="450">
        <v>2</v>
      </c>
      <c r="F5" s="105">
        <v>5</v>
      </c>
      <c r="G5" s="106">
        <v>6</v>
      </c>
    </row>
    <row r="6" spans="1:10" ht="30.75" customHeight="1">
      <c r="A6" s="697" t="s">
        <v>343</v>
      </c>
      <c r="B6" s="698"/>
      <c r="C6" s="112" t="s">
        <v>198</v>
      </c>
      <c r="D6" s="451">
        <f>D7+D13</f>
        <v>207980</v>
      </c>
      <c r="E6" s="451">
        <f>E7+E13</f>
        <v>0</v>
      </c>
      <c r="F6" s="391">
        <f>F7+F13+F17+F18</f>
        <v>34534387.099999994</v>
      </c>
      <c r="G6" s="392">
        <f>G7+G13+G17+G18</f>
        <v>14067319.300000001</v>
      </c>
      <c r="H6" s="452"/>
      <c r="I6" s="453"/>
      <c r="J6" s="453"/>
    </row>
    <row r="7" spans="1:10" ht="15.75">
      <c r="A7" s="454" t="s">
        <v>248</v>
      </c>
      <c r="B7" s="100" t="s">
        <v>513</v>
      </c>
      <c r="C7" s="96" t="s">
        <v>199</v>
      </c>
      <c r="D7" s="455">
        <f>SUM(D8:D10)</f>
        <v>193386</v>
      </c>
      <c r="E7" s="455">
        <f>SUM(E8:E10)</f>
        <v>0</v>
      </c>
      <c r="F7" s="153">
        <f>SUM(F8:F12)</f>
        <v>33627913.299999997</v>
      </c>
      <c r="G7" s="132">
        <f>SUM(G8:G12)</f>
        <v>13483078.459999999</v>
      </c>
    </row>
    <row r="8" spans="1:10" ht="18" customHeight="1">
      <c r="A8" s="673"/>
      <c r="B8" s="423" t="s">
        <v>514</v>
      </c>
      <c r="C8" s="98" t="s">
        <v>200</v>
      </c>
      <c r="D8" s="456">
        <v>169934</v>
      </c>
      <c r="E8" s="456"/>
      <c r="F8" s="324">
        <v>29719774.379999999</v>
      </c>
      <c r="G8" s="151">
        <v>12632490.68</v>
      </c>
    </row>
    <row r="9" spans="1:10" ht="15.95" customHeight="1">
      <c r="A9" s="673"/>
      <c r="B9" s="423" t="s">
        <v>311</v>
      </c>
      <c r="C9" s="98" t="s">
        <v>201</v>
      </c>
      <c r="D9" s="456"/>
      <c r="E9" s="456"/>
      <c r="F9" s="324">
        <v>370028.19</v>
      </c>
      <c r="G9" s="151">
        <v>271007.87</v>
      </c>
    </row>
    <row r="10" spans="1:10" ht="15.75">
      <c r="A10" s="658"/>
      <c r="B10" s="423" t="s">
        <v>515</v>
      </c>
      <c r="C10" s="98" t="s">
        <v>202</v>
      </c>
      <c r="D10" s="456">
        <v>23452</v>
      </c>
      <c r="E10" s="456"/>
      <c r="F10" s="324">
        <v>3538110.73</v>
      </c>
      <c r="G10" s="151">
        <v>579579.91</v>
      </c>
    </row>
    <row r="11" spans="1:10" ht="18" customHeight="1">
      <c r="A11" s="430"/>
      <c r="B11" s="423" t="s">
        <v>300</v>
      </c>
      <c r="C11" s="98" t="s">
        <v>203</v>
      </c>
      <c r="D11" s="456"/>
      <c r="E11" s="456"/>
      <c r="F11" s="324"/>
      <c r="G11" s="151"/>
    </row>
    <row r="12" spans="1:10" ht="15.75">
      <c r="A12" s="430"/>
      <c r="B12" s="423" t="s">
        <v>301</v>
      </c>
      <c r="C12" s="98" t="s">
        <v>204</v>
      </c>
      <c r="D12" s="456"/>
      <c r="E12" s="456"/>
      <c r="F12" s="324"/>
      <c r="G12" s="151"/>
    </row>
    <row r="13" spans="1:10" ht="18" customHeight="1">
      <c r="A13" s="99" t="s">
        <v>254</v>
      </c>
      <c r="B13" s="100" t="s">
        <v>312</v>
      </c>
      <c r="C13" s="96" t="s">
        <v>205</v>
      </c>
      <c r="D13" s="455">
        <f>SUM(D14:D16)</f>
        <v>14594</v>
      </c>
      <c r="E13" s="455">
        <f>SUM(E14:E16)</f>
        <v>0</v>
      </c>
      <c r="F13" s="153">
        <f>SUM(F14:F16)</f>
        <v>541024.93000000005</v>
      </c>
      <c r="G13" s="132">
        <f>SUM(G14:G16)</f>
        <v>208545.16</v>
      </c>
      <c r="H13" s="457"/>
    </row>
    <row r="14" spans="1:10" ht="14.25" customHeight="1">
      <c r="A14" s="659"/>
      <c r="B14" s="423" t="s">
        <v>313</v>
      </c>
      <c r="C14" s="98" t="s">
        <v>206</v>
      </c>
      <c r="D14" s="456">
        <v>3949</v>
      </c>
      <c r="E14" s="456"/>
      <c r="F14" s="324">
        <v>375695.71</v>
      </c>
      <c r="G14" s="151"/>
    </row>
    <row r="15" spans="1:10" ht="15.75">
      <c r="A15" s="659"/>
      <c r="B15" s="423" t="s">
        <v>315</v>
      </c>
      <c r="C15" s="98" t="s">
        <v>207</v>
      </c>
      <c r="D15" s="456">
        <v>-5033</v>
      </c>
      <c r="E15" s="456"/>
      <c r="F15" s="324"/>
      <c r="G15" s="151"/>
    </row>
    <row r="16" spans="1:10" ht="15.75">
      <c r="A16" s="659"/>
      <c r="B16" s="423" t="s">
        <v>314</v>
      </c>
      <c r="C16" s="98" t="s">
        <v>208</v>
      </c>
      <c r="D16" s="97">
        <v>15678</v>
      </c>
      <c r="E16" s="97"/>
      <c r="F16" s="324">
        <v>165329.22</v>
      </c>
      <c r="G16" s="151">
        <v>208545.16</v>
      </c>
      <c r="H16" s="458"/>
      <c r="I16" s="458"/>
    </row>
    <row r="17" spans="1:7" ht="36" customHeight="1">
      <c r="A17" s="427" t="s">
        <v>265</v>
      </c>
      <c r="B17" s="459" t="s">
        <v>302</v>
      </c>
      <c r="C17" s="96" t="s">
        <v>209</v>
      </c>
      <c r="D17" s="97"/>
      <c r="E17" s="97"/>
      <c r="F17" s="324"/>
      <c r="G17" s="151">
        <v>-729685.12</v>
      </c>
    </row>
    <row r="18" spans="1:7" ht="31.5">
      <c r="A18" s="427" t="s">
        <v>290</v>
      </c>
      <c r="B18" s="100" t="s">
        <v>303</v>
      </c>
      <c r="C18" s="96" t="s">
        <v>210</v>
      </c>
      <c r="D18" s="97"/>
      <c r="E18" s="97"/>
      <c r="F18" s="125">
        <v>365448.87</v>
      </c>
      <c r="G18" s="152">
        <v>1105380.8</v>
      </c>
    </row>
    <row r="19" spans="1:7" ht="15" customHeight="1">
      <c r="A19" s="681" t="s">
        <v>340</v>
      </c>
      <c r="B19" s="682"/>
      <c r="C19" s="96" t="s">
        <v>211</v>
      </c>
      <c r="D19" s="97">
        <v>77905</v>
      </c>
      <c r="E19" s="97"/>
      <c r="F19" s="153">
        <f>F20+F24+F32+F42</f>
        <v>6090110.1999999993</v>
      </c>
      <c r="G19" s="132">
        <f>G20+G24+G32+G42</f>
        <v>3676193.2</v>
      </c>
    </row>
    <row r="20" spans="1:7" ht="15.75">
      <c r="A20" s="99" t="s">
        <v>248</v>
      </c>
      <c r="B20" s="460" t="s">
        <v>305</v>
      </c>
      <c r="C20" s="96" t="s">
        <v>212</v>
      </c>
      <c r="D20" s="97"/>
      <c r="E20" s="97"/>
      <c r="F20" s="153">
        <f>SUM(F21:F23)</f>
        <v>468540.76</v>
      </c>
      <c r="G20" s="132">
        <f>SUM(G21:G23)</f>
        <v>890151.08</v>
      </c>
    </row>
    <row r="21" spans="1:7" ht="13.5" customHeight="1">
      <c r="A21" s="99"/>
      <c r="B21" s="431" t="s">
        <v>316</v>
      </c>
      <c r="C21" s="98" t="s">
        <v>213</v>
      </c>
      <c r="D21" s="456"/>
      <c r="E21" s="456"/>
      <c r="F21" s="324"/>
      <c r="G21" s="151"/>
    </row>
    <row r="22" spans="1:7" ht="15.75">
      <c r="A22" s="99"/>
      <c r="B22" s="431" t="s">
        <v>317</v>
      </c>
      <c r="C22" s="98" t="s">
        <v>214</v>
      </c>
      <c r="D22" s="456"/>
      <c r="E22" s="456"/>
      <c r="F22" s="324"/>
      <c r="G22" s="151"/>
    </row>
    <row r="23" spans="1:7" ht="15.75">
      <c r="A23" s="99"/>
      <c r="B23" s="431" t="s">
        <v>318</v>
      </c>
      <c r="C23" s="98" t="s">
        <v>215</v>
      </c>
      <c r="D23" s="456"/>
      <c r="E23" s="456"/>
      <c r="F23" s="324">
        <v>468540.76</v>
      </c>
      <c r="G23" s="151">
        <v>890151.08</v>
      </c>
    </row>
    <row r="24" spans="1:7" ht="14.25" customHeight="1">
      <c r="A24" s="99" t="s">
        <v>254</v>
      </c>
      <c r="B24" s="100" t="s">
        <v>319</v>
      </c>
      <c r="C24" s="96" t="s">
        <v>216</v>
      </c>
      <c r="D24" s="461">
        <f>SUM(D25:D31)</f>
        <v>327</v>
      </c>
      <c r="E24" s="461">
        <f>SUM(E25:E31)</f>
        <v>0</v>
      </c>
      <c r="F24" s="153">
        <f>SUM(F25:F31)</f>
        <v>105753.46</v>
      </c>
      <c r="G24" s="132">
        <f>SUM(G25:G31)</f>
        <v>87007.89</v>
      </c>
    </row>
    <row r="25" spans="1:7" ht="15.75">
      <c r="A25" s="673"/>
      <c r="B25" s="431" t="s">
        <v>320</v>
      </c>
      <c r="C25" s="98" t="s">
        <v>217</v>
      </c>
      <c r="D25" s="456"/>
      <c r="E25" s="456"/>
      <c r="F25" s="324">
        <v>105753.46</v>
      </c>
      <c r="G25" s="151">
        <v>87007.89</v>
      </c>
    </row>
    <row r="26" spans="1:7" ht="15.75">
      <c r="A26" s="673"/>
      <c r="B26" s="431" t="s">
        <v>321</v>
      </c>
      <c r="C26" s="98" t="s">
        <v>218</v>
      </c>
      <c r="D26" s="456"/>
      <c r="E26" s="456"/>
      <c r="F26" s="324"/>
      <c r="G26" s="151"/>
    </row>
    <row r="27" spans="1:7" ht="15.75">
      <c r="A27" s="673"/>
      <c r="B27" s="423" t="s">
        <v>322</v>
      </c>
      <c r="C27" s="98" t="s">
        <v>219</v>
      </c>
      <c r="D27" s="456"/>
      <c r="E27" s="456"/>
      <c r="F27" s="324"/>
      <c r="G27" s="151"/>
    </row>
    <row r="28" spans="1:7" ht="15.75">
      <c r="A28" s="673"/>
      <c r="B28" s="423" t="s">
        <v>323</v>
      </c>
      <c r="C28" s="98" t="s">
        <v>220</v>
      </c>
      <c r="D28" s="456"/>
      <c r="E28" s="456"/>
      <c r="F28" s="324"/>
      <c r="G28" s="151"/>
    </row>
    <row r="29" spans="1:7" ht="15.75">
      <c r="A29" s="673"/>
      <c r="B29" s="423" t="s">
        <v>324</v>
      </c>
      <c r="C29" s="98" t="s">
        <v>221</v>
      </c>
      <c r="D29" s="456">
        <v>327</v>
      </c>
      <c r="E29" s="456"/>
      <c r="F29" s="324"/>
      <c r="G29" s="151"/>
    </row>
    <row r="30" spans="1:7" ht="15.75">
      <c r="A30" s="673"/>
      <c r="B30" s="423" t="s">
        <v>325</v>
      </c>
      <c r="C30" s="98" t="s">
        <v>222</v>
      </c>
      <c r="D30" s="456"/>
      <c r="E30" s="456"/>
      <c r="F30" s="324"/>
      <c r="G30" s="151"/>
    </row>
    <row r="31" spans="1:7" ht="15.75">
      <c r="A31" s="673"/>
      <c r="B31" s="423" t="s">
        <v>310</v>
      </c>
      <c r="C31" s="98" t="s">
        <v>223</v>
      </c>
      <c r="D31" s="456"/>
      <c r="E31" s="456"/>
      <c r="F31" s="324"/>
      <c r="G31" s="151"/>
    </row>
    <row r="32" spans="1:7" ht="15.75">
      <c r="A32" s="99" t="s">
        <v>265</v>
      </c>
      <c r="B32" s="100" t="s">
        <v>306</v>
      </c>
      <c r="C32" s="96" t="s">
        <v>224</v>
      </c>
      <c r="D32" s="461">
        <f>SUM(D33:D41)</f>
        <v>306</v>
      </c>
      <c r="E32" s="461">
        <f>SUM(E33:E41)</f>
        <v>0</v>
      </c>
      <c r="F32" s="153">
        <f>SUM(F33:F41)</f>
        <v>5515815.9799999995</v>
      </c>
      <c r="G32" s="132">
        <f>SUM(G33:G41)</f>
        <v>2699034.23</v>
      </c>
    </row>
    <row r="33" spans="1:7" ht="15.75">
      <c r="A33" s="673"/>
      <c r="B33" s="423" t="s">
        <v>307</v>
      </c>
      <c r="C33" s="98" t="s">
        <v>225</v>
      </c>
      <c r="D33" s="456">
        <v>133</v>
      </c>
      <c r="E33" s="456"/>
      <c r="F33" s="324">
        <v>3448391.59</v>
      </c>
      <c r="G33" s="151">
        <v>981105.23</v>
      </c>
    </row>
    <row r="34" spans="1:7" ht="15.75">
      <c r="A34" s="673"/>
      <c r="B34" s="423" t="s">
        <v>326</v>
      </c>
      <c r="C34" s="98" t="s">
        <v>226</v>
      </c>
      <c r="D34" s="97">
        <v>25</v>
      </c>
      <c r="E34" s="97"/>
      <c r="F34" s="324">
        <v>1050334.04</v>
      </c>
      <c r="G34" s="151">
        <v>883460.59</v>
      </c>
    </row>
    <row r="35" spans="1:7" ht="15.75">
      <c r="A35" s="673"/>
      <c r="B35" s="423" t="s">
        <v>327</v>
      </c>
      <c r="C35" s="98" t="s">
        <v>227</v>
      </c>
      <c r="D35" s="456"/>
      <c r="E35" s="456"/>
      <c r="F35" s="324">
        <v>560583.07999999996</v>
      </c>
      <c r="G35" s="151">
        <v>516428.95</v>
      </c>
    </row>
    <row r="36" spans="1:7" ht="15.75">
      <c r="A36" s="673"/>
      <c r="B36" s="423" t="s">
        <v>328</v>
      </c>
      <c r="C36" s="98" t="s">
        <v>228</v>
      </c>
      <c r="D36" s="456"/>
      <c r="E36" s="456"/>
      <c r="F36" s="324">
        <v>252869.35</v>
      </c>
      <c r="G36" s="151">
        <v>145034.89000000001</v>
      </c>
    </row>
    <row r="37" spans="1:7" ht="31.5">
      <c r="A37" s="673"/>
      <c r="B37" s="423" t="s">
        <v>329</v>
      </c>
      <c r="C37" s="98" t="s">
        <v>229</v>
      </c>
      <c r="D37" s="456"/>
      <c r="E37" s="456"/>
      <c r="F37" s="324"/>
      <c r="G37" s="151"/>
    </row>
    <row r="38" spans="1:7" ht="30" customHeight="1">
      <c r="A38" s="673"/>
      <c r="B38" s="423" t="s">
        <v>338</v>
      </c>
      <c r="C38" s="98" t="s">
        <v>230</v>
      </c>
      <c r="D38" s="456"/>
      <c r="E38" s="456"/>
      <c r="F38" s="324"/>
      <c r="G38" s="151"/>
    </row>
    <row r="39" spans="1:7" ht="15.75">
      <c r="A39" s="673"/>
      <c r="B39" s="423" t="s">
        <v>330</v>
      </c>
      <c r="C39" s="98" t="s">
        <v>231</v>
      </c>
      <c r="D39" s="456"/>
      <c r="E39" s="456"/>
      <c r="F39" s="324"/>
      <c r="G39" s="151"/>
    </row>
    <row r="40" spans="1:7" ht="15.75">
      <c r="A40" s="673"/>
      <c r="B40" s="423" t="s">
        <v>331</v>
      </c>
      <c r="C40" s="98" t="s">
        <v>232</v>
      </c>
      <c r="D40" s="456"/>
      <c r="E40" s="456"/>
      <c r="F40" s="324"/>
      <c r="G40" s="151"/>
    </row>
    <row r="41" spans="1:7" ht="15.75">
      <c r="A41" s="658"/>
      <c r="B41" s="423" t="s">
        <v>309</v>
      </c>
      <c r="C41" s="98" t="s">
        <v>233</v>
      </c>
      <c r="D41" s="456">
        <v>148</v>
      </c>
      <c r="E41" s="456"/>
      <c r="F41" s="324">
        <v>203637.92</v>
      </c>
      <c r="G41" s="151">
        <v>173004.57</v>
      </c>
    </row>
    <row r="42" spans="1:7" ht="15" customHeight="1">
      <c r="A42" s="454" t="s">
        <v>290</v>
      </c>
      <c r="B42" s="100" t="s">
        <v>332</v>
      </c>
      <c r="C42" s="96" t="s">
        <v>234</v>
      </c>
      <c r="D42" s="461">
        <f>SUM(D43:D45)</f>
        <v>0</v>
      </c>
      <c r="E42" s="461">
        <f>SUM(E43:E45)</f>
        <v>0</v>
      </c>
      <c r="F42" s="153">
        <f>SUM(F43:F45)</f>
        <v>0</v>
      </c>
      <c r="G42" s="132">
        <f>SUM(G43:G45)</f>
        <v>0</v>
      </c>
    </row>
    <row r="43" spans="1:7" ht="15.75">
      <c r="A43" s="673"/>
      <c r="B43" s="423" t="s">
        <v>333</v>
      </c>
      <c r="C43" s="98" t="s">
        <v>235</v>
      </c>
      <c r="D43" s="456"/>
      <c r="E43" s="456"/>
      <c r="F43" s="324"/>
      <c r="G43" s="151"/>
    </row>
    <row r="44" spans="1:7" ht="15.75">
      <c r="A44" s="673"/>
      <c r="B44" s="423" t="s">
        <v>308</v>
      </c>
      <c r="C44" s="98" t="s">
        <v>236</v>
      </c>
      <c r="D44" s="456"/>
      <c r="E44" s="456"/>
      <c r="F44" s="324"/>
      <c r="G44" s="151"/>
    </row>
    <row r="45" spans="1:7" ht="15.75">
      <c r="A45" s="658"/>
      <c r="B45" s="423" t="s">
        <v>334</v>
      </c>
      <c r="C45" s="98" t="s">
        <v>237</v>
      </c>
      <c r="D45" s="456"/>
      <c r="E45" s="456"/>
      <c r="F45" s="324"/>
      <c r="G45" s="151"/>
    </row>
    <row r="46" spans="1:7" ht="14.25" customHeight="1">
      <c r="A46" s="676" t="s">
        <v>335</v>
      </c>
      <c r="B46" s="677"/>
      <c r="C46" s="96" t="s">
        <v>238</v>
      </c>
      <c r="D46" s="461">
        <f>SUM(D47:D48)</f>
        <v>77272</v>
      </c>
      <c r="E46" s="461">
        <f>SUM(E47:E48)</f>
        <v>0</v>
      </c>
      <c r="F46" s="153">
        <f>SUM(F47:F48)</f>
        <v>22473208.91</v>
      </c>
      <c r="G46" s="132">
        <f>SUM(G47:G48)</f>
        <v>15328821.489999998</v>
      </c>
    </row>
    <row r="47" spans="1:7" ht="14.25" customHeight="1">
      <c r="A47" s="673"/>
      <c r="B47" s="423" t="s">
        <v>336</v>
      </c>
      <c r="C47" s="98" t="s">
        <v>239</v>
      </c>
      <c r="D47" s="456"/>
      <c r="E47" s="456"/>
      <c r="F47" s="324"/>
      <c r="G47" s="151">
        <v>341.37</v>
      </c>
    </row>
    <row r="48" spans="1:7" ht="15.75">
      <c r="A48" s="673"/>
      <c r="B48" s="423" t="s">
        <v>337</v>
      </c>
      <c r="C48" s="98" t="s">
        <v>240</v>
      </c>
      <c r="D48" s="456">
        <v>77272</v>
      </c>
      <c r="E48" s="456"/>
      <c r="F48" s="324">
        <v>22473208.91</v>
      </c>
      <c r="G48" s="151">
        <v>15328480.119999999</v>
      </c>
    </row>
    <row r="49" spans="1:7" ht="17.25" customHeight="1">
      <c r="A49" s="656" t="s">
        <v>339</v>
      </c>
      <c r="B49" s="657"/>
      <c r="C49" s="96" t="s">
        <v>241</v>
      </c>
      <c r="D49" s="461">
        <f>D6+D19</f>
        <v>285885</v>
      </c>
      <c r="E49" s="461">
        <f>E6+E19</f>
        <v>0</v>
      </c>
      <c r="F49" s="153">
        <f>F6+F19+F46</f>
        <v>63097706.209999993</v>
      </c>
      <c r="G49" s="132">
        <f>G6+G19+G46</f>
        <v>33072333.989999998</v>
      </c>
    </row>
    <row r="50" spans="1:7" ht="20.25" customHeight="1" thickBot="1">
      <c r="A50" s="462"/>
      <c r="B50" s="463" t="s">
        <v>512</v>
      </c>
      <c r="C50" s="464" t="s">
        <v>304</v>
      </c>
      <c r="D50" s="465">
        <f>SUM(D6:D49)</f>
        <v>1143540</v>
      </c>
      <c r="E50" s="465">
        <f>SUM(E6:E49)</f>
        <v>0</v>
      </c>
      <c r="F50" s="172">
        <f>SUM(F6:F49)</f>
        <v>229552167.06</v>
      </c>
      <c r="G50" s="155">
        <f>SUM(G6:G49)</f>
        <v>116584818.78999999</v>
      </c>
    </row>
    <row r="51" spans="1:7" ht="18" customHeight="1">
      <c r="A51" s="466"/>
      <c r="B51" s="466"/>
      <c r="C51" s="467"/>
      <c r="D51" s="466"/>
      <c r="E51" s="466"/>
      <c r="F51" s="468"/>
      <c r="G51" s="469"/>
    </row>
    <row r="52" spans="1:7" ht="18" customHeight="1">
      <c r="A52" s="466"/>
      <c r="B52" s="466"/>
      <c r="C52" s="467"/>
      <c r="D52" s="466"/>
      <c r="E52" s="466"/>
      <c r="F52" s="468"/>
      <c r="G52" s="469"/>
    </row>
    <row r="53" spans="1:7" ht="18" customHeight="1">
      <c r="A53" s="466"/>
      <c r="B53" s="466"/>
      <c r="C53" s="466"/>
      <c r="D53" s="466"/>
      <c r="E53" s="466"/>
      <c r="F53" s="468"/>
      <c r="G53" s="469"/>
    </row>
    <row r="54" spans="1:7" ht="18" customHeight="1">
      <c r="A54" s="466"/>
      <c r="B54" s="466"/>
      <c r="C54" s="466"/>
      <c r="D54" s="466"/>
      <c r="E54" s="466"/>
      <c r="F54" s="468"/>
      <c r="G54" s="469"/>
    </row>
    <row r="55" spans="1:7" ht="18" customHeight="1"/>
  </sheetData>
  <mergeCells count="17">
    <mergeCell ref="A1:G1"/>
    <mergeCell ref="A8:A10"/>
    <mergeCell ref="A14:A16"/>
    <mergeCell ref="A19:B19"/>
    <mergeCell ref="A3:B4"/>
    <mergeCell ref="C3:C4"/>
    <mergeCell ref="D3:F4"/>
    <mergeCell ref="G3:G4"/>
    <mergeCell ref="A5:B5"/>
    <mergeCell ref="A6:B6"/>
    <mergeCell ref="A46:B46"/>
    <mergeCell ref="A47:A48"/>
    <mergeCell ref="A49:B49"/>
    <mergeCell ref="A2:G2"/>
    <mergeCell ref="A25:A31"/>
    <mergeCell ref="A33:A41"/>
    <mergeCell ref="A43:A45"/>
  </mergeCells>
  <phoneticPr fontId="86" type="noConversion"/>
  <printOptions horizontalCentered="1" verticalCentered="1"/>
  <pageMargins left="0.35433070866141736" right="0.31496062992125984" top="0.51181102362204722" bottom="0.35" header="0.51181102362204722" footer="0.35433070866141736"/>
  <pageSetup paperSize="9" scale="8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67"/>
  <sheetViews>
    <sheetView workbookViewId="0">
      <selection sqref="A1:F1"/>
    </sheetView>
  </sheetViews>
  <sheetFormatPr defaultRowHeight="12.75"/>
  <cols>
    <col min="1" max="1" width="60.85546875" customWidth="1"/>
    <col min="2" max="2" width="8.85546875" customWidth="1"/>
    <col min="3" max="3" width="13.140625" customWidth="1"/>
    <col min="4" max="4" width="14.7109375" customWidth="1"/>
    <col min="5" max="5" width="14.28515625" customWidth="1"/>
    <col min="6" max="6" width="13.7109375" customWidth="1"/>
  </cols>
  <sheetData>
    <row r="1" spans="1:6" ht="45.75" customHeight="1">
      <c r="A1" s="700" t="s">
        <v>196</v>
      </c>
      <c r="B1" s="701"/>
      <c r="C1" s="701"/>
      <c r="D1" s="701"/>
      <c r="E1" s="701"/>
      <c r="F1" s="702"/>
    </row>
    <row r="2" spans="1:6" ht="19.5" customHeight="1">
      <c r="A2" s="699" t="s">
        <v>51</v>
      </c>
      <c r="B2" s="699"/>
      <c r="C2" s="699"/>
      <c r="D2" s="699"/>
      <c r="E2" s="699"/>
      <c r="F2" s="699"/>
    </row>
    <row r="3" spans="1:6" ht="42" customHeight="1">
      <c r="A3" s="87" t="s">
        <v>72</v>
      </c>
      <c r="B3" s="88" t="s">
        <v>73</v>
      </c>
      <c r="C3" s="95" t="s">
        <v>242</v>
      </c>
      <c r="D3" s="88" t="s">
        <v>192</v>
      </c>
      <c r="E3" s="88" t="s">
        <v>193</v>
      </c>
      <c r="F3" s="88" t="s">
        <v>194</v>
      </c>
    </row>
    <row r="4" spans="1:6" ht="15.75">
      <c r="A4" s="89" t="s">
        <v>74</v>
      </c>
      <c r="B4" s="89" t="s">
        <v>75</v>
      </c>
      <c r="C4" s="90"/>
      <c r="D4" s="90"/>
      <c r="E4" s="90"/>
      <c r="F4" s="90"/>
    </row>
    <row r="5" spans="1:6" ht="15.75">
      <c r="A5" s="94" t="s">
        <v>76</v>
      </c>
      <c r="B5" s="89" t="s">
        <v>77</v>
      </c>
      <c r="C5" s="90"/>
      <c r="D5" s="90"/>
      <c r="E5" s="90"/>
      <c r="F5" s="90"/>
    </row>
    <row r="6" spans="1:6" ht="15.75">
      <c r="A6" s="89" t="s">
        <v>78</v>
      </c>
      <c r="B6" s="89" t="s">
        <v>79</v>
      </c>
      <c r="C6" s="90"/>
      <c r="D6" s="90"/>
      <c r="E6" s="90"/>
      <c r="F6" s="90"/>
    </row>
    <row r="7" spans="1:6" ht="15.75">
      <c r="A7" s="89" t="s">
        <v>80</v>
      </c>
      <c r="B7" s="89" t="s">
        <v>81</v>
      </c>
      <c r="C7" s="90"/>
      <c r="D7" s="90"/>
      <c r="E7" s="90"/>
      <c r="F7" s="90"/>
    </row>
    <row r="8" spans="1:6" ht="15.75">
      <c r="A8" s="93" t="s">
        <v>197</v>
      </c>
      <c r="B8" s="89" t="s">
        <v>82</v>
      </c>
      <c r="C8" s="90"/>
      <c r="D8" s="90"/>
      <c r="E8" s="90"/>
      <c r="F8" s="90"/>
    </row>
    <row r="9" spans="1:6" ht="15.75">
      <c r="A9" s="89" t="s">
        <v>83</v>
      </c>
      <c r="B9" s="89" t="s">
        <v>84</v>
      </c>
      <c r="C9" s="90"/>
      <c r="D9" s="90"/>
      <c r="E9" s="90"/>
      <c r="F9" s="90"/>
    </row>
    <row r="10" spans="1:6" ht="15.75">
      <c r="A10" s="89" t="s">
        <v>85</v>
      </c>
      <c r="B10" s="89" t="s">
        <v>86</v>
      </c>
      <c r="C10" s="90"/>
      <c r="D10" s="90"/>
      <c r="E10" s="90"/>
      <c r="F10" s="90"/>
    </row>
    <row r="11" spans="1:6" ht="15.75">
      <c r="A11" s="89" t="s">
        <v>87</v>
      </c>
      <c r="B11" s="89" t="s">
        <v>88</v>
      </c>
      <c r="C11" s="90"/>
      <c r="D11" s="90"/>
      <c r="E11" s="90"/>
      <c r="F11" s="90"/>
    </row>
    <row r="12" spans="1:6" ht="15.75">
      <c r="A12" s="94" t="s">
        <v>89</v>
      </c>
      <c r="B12" s="89" t="s">
        <v>90</v>
      </c>
      <c r="C12" s="90"/>
      <c r="D12" s="90"/>
      <c r="E12" s="90"/>
      <c r="F12" s="90"/>
    </row>
    <row r="13" spans="1:6" ht="15.75">
      <c r="A13" s="89" t="s">
        <v>91</v>
      </c>
      <c r="B13" s="89" t="s">
        <v>92</v>
      </c>
      <c r="C13" s="90"/>
      <c r="D13" s="90"/>
      <c r="E13" s="90"/>
      <c r="F13" s="90"/>
    </row>
    <row r="14" spans="1:6" ht="15.75">
      <c r="A14" s="89" t="s">
        <v>93</v>
      </c>
      <c r="B14" s="89" t="s">
        <v>94</v>
      </c>
      <c r="C14" s="90"/>
      <c r="D14" s="90"/>
      <c r="E14" s="90"/>
      <c r="F14" s="90"/>
    </row>
    <row r="15" spans="1:6" ht="15.75">
      <c r="A15" s="89" t="s">
        <v>95</v>
      </c>
      <c r="B15" s="89" t="s">
        <v>96</v>
      </c>
      <c r="C15" s="90"/>
      <c r="D15" s="90"/>
      <c r="E15" s="90"/>
      <c r="F15" s="90"/>
    </row>
    <row r="16" spans="1:6" ht="15.75">
      <c r="A16" s="89" t="s">
        <v>97</v>
      </c>
      <c r="B16" s="89" t="s">
        <v>98</v>
      </c>
      <c r="C16" s="90"/>
      <c r="D16" s="90"/>
      <c r="E16" s="90"/>
      <c r="F16" s="90"/>
    </row>
    <row r="17" spans="1:6" ht="15.75">
      <c r="A17" s="89" t="s">
        <v>99</v>
      </c>
      <c r="B17" s="89" t="s">
        <v>100</v>
      </c>
      <c r="C17" s="90"/>
      <c r="D17" s="90"/>
      <c r="E17" s="90"/>
      <c r="F17" s="90"/>
    </row>
    <row r="18" spans="1:6" ht="15.75">
      <c r="A18" s="89" t="s">
        <v>101</v>
      </c>
      <c r="B18" s="89" t="s">
        <v>102</v>
      </c>
      <c r="C18" s="90"/>
      <c r="D18" s="90"/>
      <c r="E18" s="90"/>
      <c r="F18" s="90"/>
    </row>
    <row r="19" spans="1:6" ht="15.75">
      <c r="A19" s="89" t="s">
        <v>103</v>
      </c>
      <c r="B19" s="89" t="s">
        <v>104</v>
      </c>
      <c r="C19" s="90"/>
      <c r="D19" s="90"/>
      <c r="E19" s="90"/>
      <c r="F19" s="90"/>
    </row>
    <row r="20" spans="1:6" ht="15.75">
      <c r="A20" s="89" t="s">
        <v>105</v>
      </c>
      <c r="B20" s="89" t="s">
        <v>106</v>
      </c>
      <c r="C20" s="90"/>
      <c r="D20" s="90"/>
      <c r="E20" s="90"/>
      <c r="F20" s="90"/>
    </row>
    <row r="21" spans="1:6" ht="15.75">
      <c r="A21" s="89" t="s">
        <v>107</v>
      </c>
      <c r="B21" s="89" t="s">
        <v>108</v>
      </c>
      <c r="C21" s="90"/>
      <c r="D21" s="90"/>
      <c r="E21" s="90"/>
      <c r="F21" s="90"/>
    </row>
    <row r="22" spans="1:6" ht="15.75">
      <c r="A22" s="89" t="s">
        <v>109</v>
      </c>
      <c r="B22" s="89" t="s">
        <v>110</v>
      </c>
      <c r="C22" s="90"/>
      <c r="D22" s="90"/>
      <c r="E22" s="90"/>
      <c r="F22" s="90"/>
    </row>
    <row r="23" spans="1:6" ht="15.75">
      <c r="A23" s="89" t="s">
        <v>111</v>
      </c>
      <c r="B23" s="89" t="s">
        <v>112</v>
      </c>
      <c r="C23" s="90"/>
      <c r="D23" s="90"/>
      <c r="E23" s="90"/>
      <c r="F23" s="90"/>
    </row>
    <row r="24" spans="1:6" ht="15.75">
      <c r="A24" s="94" t="s">
        <v>113</v>
      </c>
      <c r="B24" s="89" t="s">
        <v>114</v>
      </c>
      <c r="C24" s="90"/>
      <c r="D24" s="90"/>
      <c r="E24" s="90"/>
      <c r="F24" s="90"/>
    </row>
    <row r="25" spans="1:6" ht="15.75">
      <c r="A25" s="89" t="s">
        <v>115</v>
      </c>
      <c r="B25" s="89" t="s">
        <v>116</v>
      </c>
      <c r="C25" s="90"/>
      <c r="D25" s="90"/>
      <c r="E25" s="90"/>
      <c r="F25" s="90"/>
    </row>
    <row r="26" spans="1:6" ht="15.75">
      <c r="A26" s="89" t="s">
        <v>117</v>
      </c>
      <c r="B26" s="89" t="s">
        <v>118</v>
      </c>
      <c r="C26" s="90"/>
      <c r="D26" s="90"/>
      <c r="E26" s="90"/>
      <c r="F26" s="90"/>
    </row>
    <row r="27" spans="1:6" ht="15.75">
      <c r="A27" s="89" t="s">
        <v>119</v>
      </c>
      <c r="B27" s="89" t="s">
        <v>120</v>
      </c>
      <c r="C27" s="90"/>
      <c r="D27" s="90"/>
      <c r="E27" s="90"/>
      <c r="F27" s="90"/>
    </row>
    <row r="28" spans="1:6" ht="15.75">
      <c r="A28" s="89" t="s">
        <v>121</v>
      </c>
      <c r="B28" s="89" t="s">
        <v>122</v>
      </c>
      <c r="C28" s="90"/>
      <c r="D28" s="90"/>
      <c r="E28" s="90"/>
      <c r="F28" s="90"/>
    </row>
    <row r="29" spans="1:6" ht="15.75">
      <c r="A29" s="89" t="s">
        <v>123</v>
      </c>
      <c r="B29" s="89" t="s">
        <v>124</v>
      </c>
      <c r="C29" s="90"/>
      <c r="D29" s="90"/>
      <c r="E29" s="90"/>
      <c r="F29" s="90"/>
    </row>
    <row r="30" spans="1:6" ht="15.75">
      <c r="A30" s="89" t="s">
        <v>125</v>
      </c>
      <c r="B30" s="89" t="s">
        <v>126</v>
      </c>
      <c r="C30" s="90"/>
      <c r="D30" s="90"/>
      <c r="E30" s="90"/>
      <c r="F30" s="90"/>
    </row>
    <row r="31" spans="1:6" ht="15.75">
      <c r="A31" s="89" t="s">
        <v>127</v>
      </c>
      <c r="B31" s="89" t="s">
        <v>128</v>
      </c>
      <c r="C31" s="90"/>
      <c r="D31" s="90"/>
      <c r="E31" s="90"/>
      <c r="F31" s="90"/>
    </row>
    <row r="32" spans="1:6" ht="15.75">
      <c r="A32" s="89" t="s">
        <v>129</v>
      </c>
      <c r="B32" s="89" t="s">
        <v>130</v>
      </c>
      <c r="C32" s="90"/>
      <c r="D32" s="90"/>
      <c r="E32" s="90"/>
      <c r="F32" s="90"/>
    </row>
    <row r="33" spans="1:6" ht="15.75">
      <c r="A33" s="94" t="s">
        <v>131</v>
      </c>
      <c r="B33" s="89" t="s">
        <v>132</v>
      </c>
      <c r="C33" s="90"/>
      <c r="D33" s="90"/>
      <c r="E33" s="90"/>
      <c r="F33" s="90"/>
    </row>
    <row r="34" spans="1:6" ht="15.75">
      <c r="A34" s="89" t="s">
        <v>133</v>
      </c>
      <c r="B34" s="89" t="s">
        <v>134</v>
      </c>
      <c r="C34" s="90"/>
      <c r="D34" s="90"/>
      <c r="E34" s="90"/>
      <c r="F34" s="90"/>
    </row>
    <row r="35" spans="1:6" ht="15.75">
      <c r="A35" s="89" t="s">
        <v>135</v>
      </c>
      <c r="B35" s="89" t="s">
        <v>136</v>
      </c>
      <c r="C35" s="90"/>
      <c r="D35" s="90"/>
      <c r="E35" s="90"/>
      <c r="F35" s="90"/>
    </row>
    <row r="36" spans="1:6" ht="15.75">
      <c r="A36" s="89" t="s">
        <v>137</v>
      </c>
      <c r="B36" s="89" t="s">
        <v>138</v>
      </c>
      <c r="C36" s="90"/>
      <c r="D36" s="90"/>
      <c r="E36" s="90"/>
      <c r="F36" s="90"/>
    </row>
    <row r="37" spans="1:6" ht="15.75">
      <c r="A37" s="89" t="s">
        <v>139</v>
      </c>
      <c r="B37" s="89" t="s">
        <v>140</v>
      </c>
      <c r="C37" s="90"/>
      <c r="D37" s="90"/>
      <c r="E37" s="90"/>
      <c r="F37" s="90"/>
    </row>
    <row r="38" spans="1:6" ht="15.75">
      <c r="A38" s="89" t="s">
        <v>141</v>
      </c>
      <c r="B38" s="89" t="s">
        <v>142</v>
      </c>
      <c r="C38" s="90"/>
      <c r="D38" s="90"/>
      <c r="E38" s="90"/>
      <c r="F38" s="90"/>
    </row>
    <row r="39" spans="1:6" ht="15.75">
      <c r="A39" s="89" t="s">
        <v>143</v>
      </c>
      <c r="B39" s="89" t="s">
        <v>144</v>
      </c>
      <c r="C39" s="90"/>
      <c r="D39" s="90"/>
      <c r="E39" s="90"/>
      <c r="F39" s="90"/>
    </row>
    <row r="40" spans="1:6" ht="15.75">
      <c r="A40" s="94" t="s">
        <v>145</v>
      </c>
      <c r="B40" s="89" t="s">
        <v>146</v>
      </c>
      <c r="C40" s="90"/>
      <c r="D40" s="90"/>
      <c r="E40" s="90"/>
      <c r="F40" s="90"/>
    </row>
    <row r="41" spans="1:6" ht="15.75">
      <c r="A41" s="89" t="s">
        <v>147</v>
      </c>
      <c r="B41" s="89" t="s">
        <v>148</v>
      </c>
      <c r="C41" s="90"/>
      <c r="D41" s="90"/>
      <c r="E41" s="90"/>
      <c r="F41" s="90"/>
    </row>
    <row r="42" spans="1:6" ht="15.75">
      <c r="A42" s="89" t="s">
        <v>149</v>
      </c>
      <c r="B42" s="89" t="s">
        <v>150</v>
      </c>
      <c r="C42" s="90"/>
      <c r="D42" s="90"/>
      <c r="E42" s="90"/>
      <c r="F42" s="90"/>
    </row>
    <row r="43" spans="1:6" ht="15.75">
      <c r="A43" s="89" t="s">
        <v>151</v>
      </c>
      <c r="B43" s="89" t="s">
        <v>152</v>
      </c>
      <c r="C43" s="90"/>
      <c r="D43" s="90"/>
      <c r="E43" s="90"/>
      <c r="F43" s="90"/>
    </row>
    <row r="44" spans="1:6" ht="15.75">
      <c r="A44" s="89" t="s">
        <v>153</v>
      </c>
      <c r="B44" s="89" t="s">
        <v>154</v>
      </c>
      <c r="C44" s="90"/>
      <c r="D44" s="90"/>
      <c r="E44" s="90"/>
      <c r="F44" s="90"/>
    </row>
    <row r="45" spans="1:6" ht="15.75">
      <c r="A45" s="94" t="s">
        <v>155</v>
      </c>
      <c r="B45" s="89" t="s">
        <v>156</v>
      </c>
      <c r="C45" s="90"/>
      <c r="D45" s="90"/>
      <c r="E45" s="90"/>
      <c r="F45" s="90"/>
    </row>
    <row r="46" spans="1:6" ht="15.75">
      <c r="A46" s="89" t="s">
        <v>157</v>
      </c>
      <c r="B46" s="89" t="s">
        <v>158</v>
      </c>
      <c r="C46" s="90"/>
      <c r="D46" s="90"/>
      <c r="E46" s="90"/>
      <c r="F46" s="90"/>
    </row>
    <row r="47" spans="1:6" ht="15.75">
      <c r="A47" s="89" t="s">
        <v>149</v>
      </c>
      <c r="B47" s="89" t="s">
        <v>159</v>
      </c>
      <c r="C47" s="90"/>
      <c r="D47" s="90"/>
      <c r="E47" s="90"/>
      <c r="F47" s="90"/>
    </row>
    <row r="48" spans="1:6" ht="15.75">
      <c r="A48" s="89" t="s">
        <v>160</v>
      </c>
      <c r="B48" s="89" t="s">
        <v>161</v>
      </c>
      <c r="C48" s="90"/>
      <c r="D48" s="90"/>
      <c r="E48" s="90"/>
      <c r="F48" s="90"/>
    </row>
    <row r="49" spans="1:6" ht="15.75">
      <c r="A49" s="89" t="s">
        <v>162</v>
      </c>
      <c r="B49" s="89" t="s">
        <v>163</v>
      </c>
      <c r="C49" s="90"/>
      <c r="D49" s="90"/>
      <c r="E49" s="90"/>
      <c r="F49" s="90"/>
    </row>
    <row r="50" spans="1:6" ht="15.75">
      <c r="A50" s="89" t="s">
        <v>164</v>
      </c>
      <c r="B50" s="89" t="s">
        <v>165</v>
      </c>
      <c r="C50" s="90"/>
      <c r="D50" s="90"/>
      <c r="E50" s="90"/>
      <c r="F50" s="90"/>
    </row>
    <row r="51" spans="1:6" ht="15.75">
      <c r="A51" s="89" t="s">
        <v>151</v>
      </c>
      <c r="B51" s="89" t="s">
        <v>166</v>
      </c>
      <c r="C51" s="90"/>
      <c r="D51" s="90"/>
      <c r="E51" s="90"/>
      <c r="F51" s="90"/>
    </row>
    <row r="52" spans="1:6" ht="15.75">
      <c r="A52" s="89" t="s">
        <v>167</v>
      </c>
      <c r="B52" s="89" t="s">
        <v>168</v>
      </c>
      <c r="C52" s="90"/>
      <c r="D52" s="90"/>
      <c r="E52" s="90"/>
      <c r="F52" s="90"/>
    </row>
    <row r="53" spans="1:6" ht="15.75">
      <c r="A53" s="89" t="s">
        <v>153</v>
      </c>
      <c r="B53" s="89" t="s">
        <v>169</v>
      </c>
      <c r="C53" s="90"/>
      <c r="D53" s="90"/>
      <c r="E53" s="90"/>
      <c r="F53" s="90"/>
    </row>
    <row r="54" spans="1:6" ht="15.75">
      <c r="A54" s="94" t="s">
        <v>170</v>
      </c>
      <c r="B54" s="89" t="s">
        <v>171</v>
      </c>
      <c r="C54" s="90"/>
      <c r="D54" s="90"/>
      <c r="E54" s="90"/>
      <c r="F54" s="90"/>
    </row>
    <row r="55" spans="1:6" ht="15.75">
      <c r="A55" s="89" t="s">
        <v>172</v>
      </c>
      <c r="B55" s="89" t="s">
        <v>173</v>
      </c>
      <c r="C55" s="90"/>
      <c r="D55" s="90"/>
      <c r="E55" s="90"/>
      <c r="F55" s="90"/>
    </row>
    <row r="56" spans="1:6" ht="15.75">
      <c r="A56" s="89" t="s">
        <v>174</v>
      </c>
      <c r="B56" s="89" t="s">
        <v>175</v>
      </c>
      <c r="C56" s="90"/>
      <c r="D56" s="90"/>
      <c r="E56" s="90"/>
      <c r="F56" s="90"/>
    </row>
    <row r="57" spans="1:6" ht="15.75">
      <c r="A57" s="89" t="s">
        <v>176</v>
      </c>
      <c r="B57" s="89" t="s">
        <v>177</v>
      </c>
      <c r="C57" s="90"/>
      <c r="D57" s="90"/>
      <c r="E57" s="90"/>
      <c r="F57" s="90"/>
    </row>
    <row r="58" spans="1:6" ht="15.75">
      <c r="A58" s="89" t="s">
        <v>178</v>
      </c>
      <c r="B58" s="89" t="s">
        <v>179</v>
      </c>
      <c r="C58" s="90"/>
      <c r="D58" s="90"/>
      <c r="E58" s="90"/>
      <c r="F58" s="90"/>
    </row>
    <row r="59" spans="1:6" ht="15.75">
      <c r="A59" s="89" t="s">
        <v>180</v>
      </c>
      <c r="B59" s="89" t="s">
        <v>181</v>
      </c>
      <c r="C59" s="90"/>
      <c r="D59" s="90"/>
      <c r="E59" s="90"/>
      <c r="F59" s="90"/>
    </row>
    <row r="60" spans="1:6" ht="15.75">
      <c r="A60" s="89" t="s">
        <v>182</v>
      </c>
      <c r="B60" s="89" t="s">
        <v>183</v>
      </c>
      <c r="C60" s="90"/>
      <c r="D60" s="90"/>
      <c r="E60" s="90"/>
      <c r="F60" s="90"/>
    </row>
    <row r="61" spans="1:6" ht="15.75">
      <c r="A61" s="94" t="s">
        <v>184</v>
      </c>
      <c r="B61" s="89" t="s">
        <v>185</v>
      </c>
      <c r="C61" s="90"/>
      <c r="D61" s="90"/>
      <c r="E61" s="90"/>
      <c r="F61" s="90"/>
    </row>
    <row r="62" spans="1:6" ht="15.75">
      <c r="A62" s="89" t="s">
        <v>186</v>
      </c>
      <c r="B62" s="89" t="s">
        <v>187</v>
      </c>
      <c r="C62" s="90"/>
      <c r="D62" s="90"/>
      <c r="E62" s="90"/>
      <c r="F62" s="90"/>
    </row>
    <row r="63" spans="1:6" ht="15.75">
      <c r="A63" s="89" t="s">
        <v>188</v>
      </c>
      <c r="B63" s="89" t="s">
        <v>189</v>
      </c>
      <c r="C63" s="90"/>
      <c r="D63" s="90"/>
      <c r="E63" s="90"/>
      <c r="F63" s="90"/>
    </row>
    <row r="64" spans="1:6" ht="15.75">
      <c r="A64" s="91" t="s">
        <v>190</v>
      </c>
      <c r="B64" s="92"/>
      <c r="C64" s="90"/>
      <c r="D64" s="90"/>
      <c r="E64" s="90"/>
      <c r="F64" s="90"/>
    </row>
    <row r="65" spans="1:6" ht="15.75">
      <c r="A65" s="47"/>
      <c r="B65" s="47"/>
      <c r="C65" s="47"/>
      <c r="D65" s="47"/>
      <c r="E65" s="47"/>
      <c r="F65" s="47"/>
    </row>
    <row r="66" spans="1:6" ht="15.75">
      <c r="A66" s="47"/>
      <c r="B66" s="47"/>
      <c r="C66" s="47"/>
      <c r="D66" s="47"/>
      <c r="E66" s="47"/>
      <c r="F66" s="47"/>
    </row>
    <row r="67" spans="1:6" ht="15.75">
      <c r="A67" s="47"/>
      <c r="B67" s="47"/>
      <c r="C67" s="47"/>
      <c r="D67" s="47"/>
      <c r="E67" s="47"/>
      <c r="F67" s="47"/>
    </row>
  </sheetData>
  <mergeCells count="2">
    <mergeCell ref="A2:F2"/>
    <mergeCell ref="A1:F1"/>
  </mergeCells>
  <phoneticPr fontId="8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7" enableFormatConditionsCalculation="0">
    <tabColor indexed="42"/>
  </sheetPr>
  <dimension ref="A1:I63"/>
  <sheetViews>
    <sheetView topLeftCell="A22" zoomScale="90" zoomScaleNormal="90" workbookViewId="0">
      <pane xSplit="2" topLeftCell="E1" activePane="topRight" state="frozen"/>
      <selection activeCell="A5" sqref="A5"/>
      <selection pane="topRight" activeCell="B36" sqref="B36"/>
    </sheetView>
  </sheetViews>
  <sheetFormatPr defaultRowHeight="15.75"/>
  <cols>
    <col min="1" max="1" width="7.85546875" style="174" customWidth="1"/>
    <col min="2" max="2" width="70.5703125" style="186" customWidth="1"/>
    <col min="3" max="3" width="17.28515625" style="188" bestFit="1" customWidth="1"/>
    <col min="4" max="4" width="16.5703125" style="188" customWidth="1"/>
    <col min="5" max="5" width="17.42578125" style="188" bestFit="1" customWidth="1"/>
    <col min="6" max="6" width="19.140625" style="188" customWidth="1"/>
    <col min="7" max="7" width="19.28515625" style="188" customWidth="1"/>
    <col min="8" max="8" width="20.140625" style="188" customWidth="1"/>
    <col min="9" max="9" width="11" style="24" customWidth="1"/>
    <col min="10" max="16384" width="9.140625" style="24"/>
  </cols>
  <sheetData>
    <row r="1" spans="1:8" ht="35.1" customHeight="1">
      <c r="A1" s="491" t="s">
        <v>520</v>
      </c>
      <c r="B1" s="492"/>
      <c r="C1" s="492"/>
      <c r="D1" s="492"/>
      <c r="E1" s="492"/>
      <c r="F1" s="492"/>
      <c r="G1" s="492"/>
      <c r="H1" s="493"/>
    </row>
    <row r="2" spans="1:8" ht="31.9" customHeight="1">
      <c r="A2" s="499" t="s">
        <v>1030</v>
      </c>
      <c r="B2" s="500"/>
      <c r="C2" s="500"/>
      <c r="D2" s="500"/>
      <c r="E2" s="500"/>
      <c r="F2" s="500"/>
      <c r="G2" s="500"/>
      <c r="H2" s="501"/>
    </row>
    <row r="3" spans="1:8" ht="24" customHeight="1">
      <c r="A3" s="496" t="s">
        <v>812</v>
      </c>
      <c r="B3" s="497" t="s">
        <v>916</v>
      </c>
      <c r="C3" s="494" t="s">
        <v>579</v>
      </c>
      <c r="D3" s="495"/>
      <c r="E3" s="494" t="s">
        <v>580</v>
      </c>
      <c r="F3" s="495"/>
      <c r="G3" s="494" t="s">
        <v>581</v>
      </c>
      <c r="H3" s="498"/>
    </row>
    <row r="4" spans="1:8" s="160" customFormat="1" ht="31.5">
      <c r="A4" s="496"/>
      <c r="B4" s="497"/>
      <c r="C4" s="3" t="s">
        <v>917</v>
      </c>
      <c r="D4" s="3" t="s">
        <v>918</v>
      </c>
      <c r="E4" s="3" t="s">
        <v>917</v>
      </c>
      <c r="F4" s="3" t="s">
        <v>918</v>
      </c>
      <c r="G4" s="3" t="s">
        <v>917</v>
      </c>
      <c r="H4" s="2" t="s">
        <v>918</v>
      </c>
    </row>
    <row r="5" spans="1:8" s="160" customFormat="1">
      <c r="A5" s="79"/>
      <c r="B5" s="34"/>
      <c r="C5" s="3" t="s">
        <v>878</v>
      </c>
      <c r="D5" s="3" t="s">
        <v>879</v>
      </c>
      <c r="E5" s="3" t="s">
        <v>880</v>
      </c>
      <c r="F5" s="3" t="s">
        <v>886</v>
      </c>
      <c r="G5" s="3" t="s">
        <v>622</v>
      </c>
      <c r="H5" s="2" t="s">
        <v>623</v>
      </c>
    </row>
    <row r="6" spans="1:8">
      <c r="A6" s="145">
        <v>1</v>
      </c>
      <c r="B6" s="36" t="s">
        <v>850</v>
      </c>
      <c r="C6" s="162">
        <v>115962.38</v>
      </c>
      <c r="D6" s="162">
        <v>181987.67</v>
      </c>
      <c r="E6" s="162">
        <f>SUM(E7:E10)</f>
        <v>117527.87000000001</v>
      </c>
      <c r="F6" s="162">
        <f>SUM(F7:F10)</f>
        <v>185401.26</v>
      </c>
      <c r="G6" s="176">
        <f>E6-C6</f>
        <v>1565.4900000000052</v>
      </c>
      <c r="H6" s="177">
        <f>F6-D6/30.126</f>
        <v>179360.37604594039</v>
      </c>
    </row>
    <row r="7" spans="1:8">
      <c r="A7" s="145">
        <f>A6+1</f>
        <v>2</v>
      </c>
      <c r="B7" s="32" t="s">
        <v>869</v>
      </c>
      <c r="C7" s="178"/>
      <c r="D7" s="178"/>
      <c r="E7" s="178"/>
      <c r="F7" s="178"/>
      <c r="G7" s="176">
        <f t="shared" ref="G7:H57" si="0">E7-C7</f>
        <v>0</v>
      </c>
      <c r="H7" s="177">
        <f>F7-D7/30.126</f>
        <v>0</v>
      </c>
    </row>
    <row r="8" spans="1:8">
      <c r="A8" s="145">
        <f t="shared" ref="A8:A57" si="1">A7+1</f>
        <v>3</v>
      </c>
      <c r="B8" s="32" t="s">
        <v>892</v>
      </c>
      <c r="C8" s="178"/>
      <c r="D8" s="178"/>
      <c r="E8" s="178"/>
      <c r="F8" s="178"/>
      <c r="G8" s="176">
        <f t="shared" si="0"/>
        <v>0</v>
      </c>
      <c r="H8" s="177">
        <f>F8-D8/30.126</f>
        <v>0</v>
      </c>
    </row>
    <row r="9" spans="1:8">
      <c r="A9" s="145">
        <f t="shared" si="1"/>
        <v>4</v>
      </c>
      <c r="B9" s="32" t="s">
        <v>637</v>
      </c>
      <c r="C9" s="178">
        <v>85488.98</v>
      </c>
      <c r="D9" s="178">
        <v>181915.44</v>
      </c>
      <c r="E9" s="178">
        <v>94777.32</v>
      </c>
      <c r="F9" s="178">
        <v>177014.23</v>
      </c>
      <c r="G9" s="176">
        <f t="shared" si="0"/>
        <v>9288.3400000000111</v>
      </c>
      <c r="H9" s="177">
        <f t="shared" si="0"/>
        <v>-4901.2099999999919</v>
      </c>
    </row>
    <row r="10" spans="1:8">
      <c r="A10" s="145">
        <f t="shared" si="1"/>
        <v>5</v>
      </c>
      <c r="B10" s="32" t="s">
        <v>891</v>
      </c>
      <c r="C10" s="178">
        <v>30473.4</v>
      </c>
      <c r="D10" s="178">
        <v>72.23</v>
      </c>
      <c r="E10" s="178">
        <v>22750.55</v>
      </c>
      <c r="F10" s="178">
        <v>8387.0300000000007</v>
      </c>
      <c r="G10" s="176">
        <f t="shared" si="0"/>
        <v>-7722.8500000000022</v>
      </c>
      <c r="H10" s="177">
        <f t="shared" si="0"/>
        <v>8314.8000000000011</v>
      </c>
    </row>
    <row r="11" spans="1:8">
      <c r="A11" s="145">
        <f t="shared" si="1"/>
        <v>6</v>
      </c>
      <c r="B11" s="36" t="s">
        <v>759</v>
      </c>
      <c r="C11" s="162">
        <v>1822600.93</v>
      </c>
      <c r="D11" s="162">
        <v>790095.21</v>
      </c>
      <c r="E11" s="162">
        <f>SUM(E12:E15)</f>
        <v>2143119.7800000003</v>
      </c>
      <c r="F11" s="162">
        <f>SUM(F12:F15)</f>
        <v>911068.59</v>
      </c>
      <c r="G11" s="176">
        <f t="shared" si="0"/>
        <v>320518.85000000033</v>
      </c>
      <c r="H11" s="177">
        <f t="shared" si="0"/>
        <v>120973.38</v>
      </c>
    </row>
    <row r="12" spans="1:8">
      <c r="A12" s="145">
        <f t="shared" si="1"/>
        <v>7</v>
      </c>
      <c r="B12" s="32" t="s">
        <v>666</v>
      </c>
      <c r="C12" s="178">
        <v>647858.25</v>
      </c>
      <c r="D12" s="178">
        <v>28136.38</v>
      </c>
      <c r="E12" s="178">
        <v>697609.04</v>
      </c>
      <c r="F12" s="178">
        <v>26669.31</v>
      </c>
      <c r="G12" s="176">
        <f t="shared" si="0"/>
        <v>49750.790000000037</v>
      </c>
      <c r="H12" s="177">
        <f t="shared" si="0"/>
        <v>-1467.0699999999997</v>
      </c>
    </row>
    <row r="13" spans="1:8">
      <c r="A13" s="145">
        <f t="shared" si="1"/>
        <v>8</v>
      </c>
      <c r="B13" s="32" t="s">
        <v>667</v>
      </c>
      <c r="C13" s="178"/>
      <c r="D13" s="178"/>
      <c r="E13" s="178">
        <v>1160.5</v>
      </c>
      <c r="F13" s="178"/>
      <c r="G13" s="176">
        <f t="shared" si="0"/>
        <v>1160.5</v>
      </c>
      <c r="H13" s="177">
        <f t="shared" si="0"/>
        <v>0</v>
      </c>
    </row>
    <row r="14" spans="1:8" ht="19.5" customHeight="1">
      <c r="A14" s="145">
        <f>A13+1</f>
        <v>9</v>
      </c>
      <c r="B14" s="32" t="s">
        <v>668</v>
      </c>
      <c r="C14" s="178"/>
      <c r="D14" s="178">
        <v>64004.45</v>
      </c>
      <c r="E14" s="178"/>
      <c r="F14" s="178">
        <v>62454.91</v>
      </c>
      <c r="G14" s="176">
        <f t="shared" si="0"/>
        <v>0</v>
      </c>
      <c r="H14" s="177">
        <f t="shared" si="0"/>
        <v>-1549.5399999999936</v>
      </c>
    </row>
    <row r="15" spans="1:8">
      <c r="A15" s="145">
        <f t="shared" si="1"/>
        <v>10</v>
      </c>
      <c r="B15" s="32" t="s">
        <v>671</v>
      </c>
      <c r="C15" s="178">
        <v>1174742.68</v>
      </c>
      <c r="D15" s="178">
        <v>697954.38</v>
      </c>
      <c r="E15" s="178">
        <f>10489.28+332+34831.32+1398697.64</f>
        <v>1444350.24</v>
      </c>
      <c r="F15" s="178">
        <v>821944.37</v>
      </c>
      <c r="G15" s="176">
        <f t="shared" si="0"/>
        <v>269607.56000000006</v>
      </c>
      <c r="H15" s="177">
        <f t="shared" si="0"/>
        <v>123989.98999999999</v>
      </c>
    </row>
    <row r="16" spans="1:8">
      <c r="A16" s="145">
        <f t="shared" si="1"/>
        <v>11</v>
      </c>
      <c r="B16" s="36" t="s">
        <v>613</v>
      </c>
      <c r="C16" s="178"/>
      <c r="D16" s="178">
        <v>17415.72</v>
      </c>
      <c r="E16" s="178"/>
      <c r="F16" s="178">
        <v>27358.93</v>
      </c>
      <c r="G16" s="176">
        <f t="shared" si="0"/>
        <v>0</v>
      </c>
      <c r="H16" s="177">
        <f t="shared" si="0"/>
        <v>9943.2099999999991</v>
      </c>
    </row>
    <row r="17" spans="1:8">
      <c r="A17" s="145">
        <f t="shared" si="1"/>
        <v>12</v>
      </c>
      <c r="B17" s="36" t="s">
        <v>923</v>
      </c>
      <c r="C17" s="178">
        <v>0.05</v>
      </c>
      <c r="D17" s="178">
        <v>-0.05</v>
      </c>
      <c r="E17" s="178"/>
      <c r="F17" s="178"/>
      <c r="G17" s="176">
        <f t="shared" si="0"/>
        <v>-0.05</v>
      </c>
      <c r="H17" s="177">
        <f t="shared" si="0"/>
        <v>0.05</v>
      </c>
    </row>
    <row r="18" spans="1:8">
      <c r="A18" s="145">
        <f t="shared" si="1"/>
        <v>13</v>
      </c>
      <c r="B18" s="36" t="s">
        <v>924</v>
      </c>
      <c r="C18" s="178"/>
      <c r="D18" s="178"/>
      <c r="E18" s="178"/>
      <c r="F18" s="178"/>
      <c r="G18" s="176">
        <f t="shared" si="0"/>
        <v>0</v>
      </c>
      <c r="H18" s="177">
        <f t="shared" si="0"/>
        <v>0</v>
      </c>
    </row>
    <row r="19" spans="1:8">
      <c r="A19" s="145">
        <f t="shared" si="1"/>
        <v>14</v>
      </c>
      <c r="B19" s="36" t="s">
        <v>925</v>
      </c>
      <c r="C19" s="178">
        <v>56753.81</v>
      </c>
      <c r="D19" s="178"/>
      <c r="E19" s="178">
        <f>1578.47+3747.11</f>
        <v>5325.58</v>
      </c>
      <c r="F19" s="178">
        <v>746.64</v>
      </c>
      <c r="G19" s="176">
        <f t="shared" si="0"/>
        <v>-51428.229999999996</v>
      </c>
      <c r="H19" s="177">
        <f t="shared" si="0"/>
        <v>746.64</v>
      </c>
    </row>
    <row r="20" spans="1:8">
      <c r="A20" s="145">
        <f t="shared" si="1"/>
        <v>15</v>
      </c>
      <c r="B20" s="36" t="s">
        <v>926</v>
      </c>
      <c r="C20" s="178"/>
      <c r="D20" s="178"/>
      <c r="E20" s="178">
        <v>7575.35</v>
      </c>
      <c r="F20" s="178"/>
      <c r="G20" s="176">
        <f t="shared" si="0"/>
        <v>7575.35</v>
      </c>
      <c r="H20" s="177">
        <f t="shared" si="0"/>
        <v>0</v>
      </c>
    </row>
    <row r="21" spans="1:8">
      <c r="A21" s="145">
        <f t="shared" si="1"/>
        <v>16</v>
      </c>
      <c r="B21" s="36" t="s">
        <v>590</v>
      </c>
      <c r="C21" s="162">
        <v>350.3</v>
      </c>
      <c r="D21" s="162">
        <v>137.13</v>
      </c>
      <c r="E21" s="162">
        <f>SUM(E22:E23)</f>
        <v>151.97</v>
      </c>
      <c r="F21" s="162">
        <f>SUM(F22:F23)</f>
        <v>127.76</v>
      </c>
      <c r="G21" s="176">
        <f t="shared" si="0"/>
        <v>-198.33</v>
      </c>
      <c r="H21" s="177">
        <f t="shared" si="0"/>
        <v>-9.3699999999999903</v>
      </c>
    </row>
    <row r="22" spans="1:8">
      <c r="A22" s="145">
        <f t="shared" si="1"/>
        <v>17</v>
      </c>
      <c r="B22" s="32" t="s">
        <v>672</v>
      </c>
      <c r="C22" s="178"/>
      <c r="D22" s="178"/>
      <c r="E22" s="178"/>
      <c r="F22" s="178"/>
      <c r="G22" s="176">
        <f t="shared" si="0"/>
        <v>0</v>
      </c>
      <c r="H22" s="177">
        <f t="shared" si="0"/>
        <v>0</v>
      </c>
    </row>
    <row r="23" spans="1:8">
      <c r="A23" s="145">
        <f t="shared" si="1"/>
        <v>18</v>
      </c>
      <c r="B23" s="73" t="s">
        <v>673</v>
      </c>
      <c r="C23" s="178">
        <v>350.3</v>
      </c>
      <c r="D23" s="178">
        <v>137.13</v>
      </c>
      <c r="E23" s="178">
        <v>151.97</v>
      </c>
      <c r="F23" s="179">
        <v>127.76</v>
      </c>
      <c r="G23" s="176">
        <f t="shared" si="0"/>
        <v>-198.33</v>
      </c>
      <c r="H23" s="177">
        <f t="shared" si="0"/>
        <v>-9.3699999999999903</v>
      </c>
    </row>
    <row r="24" spans="1:8">
      <c r="A24" s="145">
        <f t="shared" si="1"/>
        <v>19</v>
      </c>
      <c r="B24" s="36" t="s">
        <v>927</v>
      </c>
      <c r="C24" s="178">
        <v>2088.34</v>
      </c>
      <c r="D24" s="178">
        <v>113.07</v>
      </c>
      <c r="E24" s="178">
        <v>36208.57</v>
      </c>
      <c r="F24" s="178">
        <v>2.93</v>
      </c>
      <c r="G24" s="176">
        <f t="shared" si="0"/>
        <v>34120.229999999996</v>
      </c>
      <c r="H24" s="177">
        <f t="shared" si="0"/>
        <v>-110.13999999999999</v>
      </c>
    </row>
    <row r="25" spans="1:8" ht="15.75" customHeight="1">
      <c r="A25" s="145">
        <f t="shared" si="1"/>
        <v>20</v>
      </c>
      <c r="B25" s="36" t="s">
        <v>591</v>
      </c>
      <c r="C25" s="162">
        <v>4409764.17</v>
      </c>
      <c r="D25" s="162">
        <v>28380.28</v>
      </c>
      <c r="E25" s="162">
        <f>SUM(E26:E38)</f>
        <v>4726001.4899999993</v>
      </c>
      <c r="F25" s="162">
        <f>SUM(F26:F38)</f>
        <v>10461.59</v>
      </c>
      <c r="G25" s="176">
        <f t="shared" si="0"/>
        <v>316237.31999999937</v>
      </c>
      <c r="H25" s="177">
        <f t="shared" si="0"/>
        <v>-17918.689999999999</v>
      </c>
    </row>
    <row r="26" spans="1:8" ht="16.149999999999999" customHeight="1">
      <c r="A26" s="145">
        <f t="shared" si="1"/>
        <v>21</v>
      </c>
      <c r="B26" s="32" t="s">
        <v>675</v>
      </c>
      <c r="C26" s="178">
        <v>2446522.2999999998</v>
      </c>
      <c r="D26" s="178"/>
      <c r="E26" s="178">
        <f>234363.82+2331918.09</f>
        <v>2566281.9099999997</v>
      </c>
      <c r="F26" s="178"/>
      <c r="G26" s="176">
        <f t="shared" si="0"/>
        <v>119759.60999999987</v>
      </c>
      <c r="H26" s="177">
        <f t="shared" si="0"/>
        <v>0</v>
      </c>
    </row>
    <row r="27" spans="1:8">
      <c r="A27" s="145">
        <f t="shared" si="1"/>
        <v>22</v>
      </c>
      <c r="B27" s="32" t="s">
        <v>674</v>
      </c>
      <c r="C27" s="178">
        <v>430918.19</v>
      </c>
      <c r="D27" s="178"/>
      <c r="E27" s="178">
        <v>434541.12</v>
      </c>
      <c r="F27" s="178"/>
      <c r="G27" s="176">
        <f t="shared" si="0"/>
        <v>3622.929999999993</v>
      </c>
      <c r="H27" s="177">
        <f t="shared" si="0"/>
        <v>0</v>
      </c>
    </row>
    <row r="28" spans="1:8">
      <c r="A28" s="145">
        <f t="shared" si="1"/>
        <v>23</v>
      </c>
      <c r="B28" s="32" t="s">
        <v>676</v>
      </c>
      <c r="C28" s="178">
        <v>265225.19</v>
      </c>
      <c r="D28" s="178"/>
      <c r="E28" s="178">
        <v>124230.23</v>
      </c>
      <c r="F28" s="178"/>
      <c r="G28" s="176">
        <f t="shared" si="0"/>
        <v>-140994.96000000002</v>
      </c>
      <c r="H28" s="177">
        <f t="shared" si="0"/>
        <v>0</v>
      </c>
    </row>
    <row r="29" spans="1:8">
      <c r="A29" s="145">
        <f t="shared" si="1"/>
        <v>24</v>
      </c>
      <c r="B29" s="32" t="s">
        <v>677</v>
      </c>
      <c r="C29" s="178">
        <v>4706.7700000000004</v>
      </c>
      <c r="D29" s="178"/>
      <c r="E29" s="178">
        <v>17204.28</v>
      </c>
      <c r="F29" s="178"/>
      <c r="G29" s="176">
        <f t="shared" si="0"/>
        <v>12497.509999999998</v>
      </c>
      <c r="H29" s="177">
        <f t="shared" si="0"/>
        <v>0</v>
      </c>
    </row>
    <row r="30" spans="1:8">
      <c r="A30" s="145">
        <f t="shared" si="1"/>
        <v>25</v>
      </c>
      <c r="B30" s="32" t="s">
        <v>678</v>
      </c>
      <c r="C30" s="178">
        <v>47</v>
      </c>
      <c r="D30" s="178"/>
      <c r="E30" s="178"/>
      <c r="F30" s="178"/>
      <c r="G30" s="176">
        <f t="shared" si="0"/>
        <v>-47</v>
      </c>
      <c r="H30" s="177">
        <f t="shared" si="0"/>
        <v>0</v>
      </c>
    </row>
    <row r="31" spans="1:8">
      <c r="A31" s="145">
        <f t="shared" si="1"/>
        <v>26</v>
      </c>
      <c r="B31" s="32" t="s">
        <v>679</v>
      </c>
      <c r="C31" s="178"/>
      <c r="D31" s="178"/>
      <c r="E31" s="178"/>
      <c r="F31" s="178"/>
      <c r="G31" s="176">
        <f t="shared" si="0"/>
        <v>0</v>
      </c>
      <c r="H31" s="177">
        <f t="shared" si="0"/>
        <v>0</v>
      </c>
    </row>
    <row r="32" spans="1:8">
      <c r="A32" s="145">
        <f t="shared" si="1"/>
        <v>27</v>
      </c>
      <c r="B32" s="32" t="s">
        <v>680</v>
      </c>
      <c r="C32" s="178"/>
      <c r="D32" s="178"/>
      <c r="E32" s="178"/>
      <c r="F32" s="178"/>
      <c r="G32" s="176">
        <f t="shared" si="0"/>
        <v>0</v>
      </c>
      <c r="H32" s="177">
        <f t="shared" si="0"/>
        <v>0</v>
      </c>
    </row>
    <row r="33" spans="1:9">
      <c r="A33" s="145">
        <f t="shared" si="1"/>
        <v>28</v>
      </c>
      <c r="B33" s="32" t="s">
        <v>681</v>
      </c>
      <c r="C33" s="178">
        <v>-1578.77</v>
      </c>
      <c r="D33" s="178">
        <v>-2986.46</v>
      </c>
      <c r="E33" s="178">
        <v>7458.78</v>
      </c>
      <c r="F33" s="178"/>
      <c r="G33" s="176">
        <f t="shared" si="0"/>
        <v>9037.5499999999993</v>
      </c>
      <c r="H33" s="177">
        <f t="shared" si="0"/>
        <v>2986.46</v>
      </c>
    </row>
    <row r="34" spans="1:9">
      <c r="A34" s="145">
        <f t="shared" si="1"/>
        <v>29</v>
      </c>
      <c r="B34" s="32" t="s">
        <v>682</v>
      </c>
      <c r="C34" s="178">
        <v>259562.14</v>
      </c>
      <c r="D34" s="178">
        <v>30384.17</v>
      </c>
      <c r="E34" s="178">
        <v>176243.29</v>
      </c>
      <c r="F34" s="178">
        <v>9545</v>
      </c>
      <c r="G34" s="176">
        <f t="shared" si="0"/>
        <v>-83318.850000000006</v>
      </c>
      <c r="H34" s="177">
        <f t="shared" si="0"/>
        <v>-20839.169999999998</v>
      </c>
    </row>
    <row r="35" spans="1:9">
      <c r="A35" s="145">
        <f t="shared" si="1"/>
        <v>30</v>
      </c>
      <c r="B35" s="32" t="s">
        <v>683</v>
      </c>
      <c r="C35" s="178">
        <v>546720.52</v>
      </c>
      <c r="D35" s="178"/>
      <c r="E35" s="178">
        <v>768196.38</v>
      </c>
      <c r="F35" s="178"/>
      <c r="G35" s="176">
        <f t="shared" si="0"/>
        <v>221475.86</v>
      </c>
      <c r="H35" s="177">
        <f t="shared" si="0"/>
        <v>0</v>
      </c>
    </row>
    <row r="36" spans="1:9" ht="31.5">
      <c r="A36" s="145">
        <f t="shared" si="1"/>
        <v>31</v>
      </c>
      <c r="B36" s="142" t="s">
        <v>1057</v>
      </c>
      <c r="C36" s="178"/>
      <c r="D36" s="178"/>
      <c r="E36" s="178">
        <v>0</v>
      </c>
      <c r="F36" s="178">
        <v>0</v>
      </c>
      <c r="G36" s="176">
        <f t="shared" si="0"/>
        <v>0</v>
      </c>
      <c r="H36" s="177">
        <f t="shared" si="0"/>
        <v>0</v>
      </c>
      <c r="I36" s="180"/>
    </row>
    <row r="37" spans="1:9">
      <c r="A37" s="145">
        <f t="shared" si="1"/>
        <v>32</v>
      </c>
      <c r="B37" s="32" t="s">
        <v>684</v>
      </c>
      <c r="C37" s="178">
        <v>38.799999999999997</v>
      </c>
      <c r="D37" s="178"/>
      <c r="E37" s="178"/>
      <c r="F37" s="178"/>
      <c r="G37" s="176">
        <f t="shared" si="0"/>
        <v>-38.799999999999997</v>
      </c>
      <c r="H37" s="177">
        <f t="shared" si="0"/>
        <v>0</v>
      </c>
    </row>
    <row r="38" spans="1:9">
      <c r="A38" s="145">
        <f t="shared" si="1"/>
        <v>33</v>
      </c>
      <c r="B38" s="32" t="s">
        <v>685</v>
      </c>
      <c r="C38" s="178">
        <v>457602.03</v>
      </c>
      <c r="D38" s="178">
        <v>982.57</v>
      </c>
      <c r="E38" s="178">
        <v>631845.5</v>
      </c>
      <c r="F38" s="178">
        <v>916.59</v>
      </c>
      <c r="G38" s="176">
        <f t="shared" si="0"/>
        <v>174243.46999999997</v>
      </c>
      <c r="H38" s="177">
        <f t="shared" si="0"/>
        <v>-65.980000000000018</v>
      </c>
    </row>
    <row r="39" spans="1:9">
      <c r="A39" s="145">
        <f t="shared" si="1"/>
        <v>34</v>
      </c>
      <c r="B39" s="36" t="s">
        <v>933</v>
      </c>
      <c r="C39" s="178">
        <v>83510</v>
      </c>
      <c r="D39" s="178"/>
      <c r="E39" s="178">
        <v>898564.11</v>
      </c>
      <c r="F39" s="178"/>
      <c r="G39" s="176">
        <f t="shared" si="0"/>
        <v>815054.11</v>
      </c>
      <c r="H39" s="177">
        <f t="shared" si="0"/>
        <v>0</v>
      </c>
    </row>
    <row r="40" spans="1:9">
      <c r="A40" s="145">
        <f t="shared" si="1"/>
        <v>35</v>
      </c>
      <c r="B40" s="36" t="s">
        <v>748</v>
      </c>
      <c r="C40" s="178"/>
      <c r="D40" s="178"/>
      <c r="E40" s="178"/>
      <c r="F40" s="178"/>
      <c r="G40" s="176">
        <f t="shared" si="0"/>
        <v>0</v>
      </c>
      <c r="H40" s="177">
        <f t="shared" si="0"/>
        <v>0</v>
      </c>
    </row>
    <row r="41" spans="1:9">
      <c r="A41" s="145">
        <f t="shared" si="1"/>
        <v>36</v>
      </c>
      <c r="B41" s="36" t="s">
        <v>743</v>
      </c>
      <c r="C41" s="178"/>
      <c r="D41" s="178"/>
      <c r="E41" s="178"/>
      <c r="F41" s="178"/>
      <c r="G41" s="176">
        <f t="shared" si="0"/>
        <v>0</v>
      </c>
      <c r="H41" s="177">
        <f t="shared" si="0"/>
        <v>0</v>
      </c>
    </row>
    <row r="42" spans="1:9" ht="23.25" customHeight="1">
      <c r="A42" s="145">
        <f t="shared" si="1"/>
        <v>37</v>
      </c>
      <c r="B42" s="36" t="s">
        <v>912</v>
      </c>
      <c r="C42" s="178"/>
      <c r="D42" s="178"/>
      <c r="E42" s="178"/>
      <c r="F42" s="178"/>
      <c r="G42" s="176">
        <f t="shared" si="0"/>
        <v>0</v>
      </c>
      <c r="H42" s="177">
        <f t="shared" si="0"/>
        <v>0</v>
      </c>
    </row>
    <row r="43" spans="1:9">
      <c r="A43" s="145">
        <f t="shared" si="1"/>
        <v>38</v>
      </c>
      <c r="B43" s="36" t="s">
        <v>852</v>
      </c>
      <c r="C43" s="178"/>
      <c r="D43" s="178"/>
      <c r="E43" s="178"/>
      <c r="F43" s="178"/>
      <c r="G43" s="176">
        <f t="shared" si="0"/>
        <v>0</v>
      </c>
      <c r="H43" s="177">
        <f t="shared" si="0"/>
        <v>0</v>
      </c>
    </row>
    <row r="44" spans="1:9" ht="18.75">
      <c r="A44" s="145">
        <f t="shared" si="1"/>
        <v>39</v>
      </c>
      <c r="B44" s="36" t="s">
        <v>761</v>
      </c>
      <c r="C44" s="181">
        <v>4631</v>
      </c>
      <c r="D44" s="181">
        <v>0</v>
      </c>
      <c r="E44" s="181">
        <f>SUM(E45:E48)</f>
        <v>24773.89</v>
      </c>
      <c r="F44" s="181">
        <f>SUM(F45:F48)</f>
        <v>0</v>
      </c>
      <c r="G44" s="176">
        <f t="shared" si="0"/>
        <v>20142.89</v>
      </c>
      <c r="H44" s="177">
        <f t="shared" si="0"/>
        <v>0</v>
      </c>
    </row>
    <row r="45" spans="1:9">
      <c r="A45" s="145">
        <f>A44+1</f>
        <v>40</v>
      </c>
      <c r="B45" s="32" t="s">
        <v>837</v>
      </c>
      <c r="C45" s="178"/>
      <c r="D45" s="178"/>
      <c r="E45" s="178"/>
      <c r="F45" s="178"/>
      <c r="G45" s="176">
        <f t="shared" si="0"/>
        <v>0</v>
      </c>
      <c r="H45" s="177">
        <f t="shared" si="0"/>
        <v>0</v>
      </c>
    </row>
    <row r="46" spans="1:9">
      <c r="A46" s="145">
        <f t="shared" si="1"/>
        <v>41</v>
      </c>
      <c r="B46" s="32" t="s">
        <v>686</v>
      </c>
      <c r="C46" s="178">
        <v>4631</v>
      </c>
      <c r="D46" s="178"/>
      <c r="E46" s="178">
        <v>24773.89</v>
      </c>
      <c r="F46" s="178"/>
      <c r="G46" s="176">
        <f t="shared" si="0"/>
        <v>20142.89</v>
      </c>
      <c r="H46" s="177">
        <f t="shared" si="0"/>
        <v>0</v>
      </c>
    </row>
    <row r="47" spans="1:9" ht="18.75">
      <c r="A47" s="145">
        <f t="shared" si="1"/>
        <v>42</v>
      </c>
      <c r="B47" s="32" t="s">
        <v>838</v>
      </c>
      <c r="C47" s="178"/>
      <c r="D47" s="178"/>
      <c r="E47" s="178"/>
      <c r="F47" s="178"/>
      <c r="G47" s="176">
        <f t="shared" si="0"/>
        <v>0</v>
      </c>
      <c r="H47" s="177">
        <f t="shared" si="0"/>
        <v>0</v>
      </c>
    </row>
    <row r="48" spans="1:9">
      <c r="A48" s="145">
        <f t="shared" si="1"/>
        <v>43</v>
      </c>
      <c r="B48" s="32" t="s">
        <v>763</v>
      </c>
      <c r="C48" s="178"/>
      <c r="D48" s="178"/>
      <c r="E48" s="178"/>
      <c r="F48" s="178"/>
      <c r="G48" s="176">
        <f t="shared" si="0"/>
        <v>0</v>
      </c>
      <c r="H48" s="177">
        <f t="shared" si="0"/>
        <v>0</v>
      </c>
    </row>
    <row r="49" spans="1:8">
      <c r="A49" s="145">
        <f t="shared" si="1"/>
        <v>44</v>
      </c>
      <c r="B49" s="36" t="s">
        <v>934</v>
      </c>
      <c r="C49" s="178"/>
      <c r="D49" s="178"/>
      <c r="E49" s="178"/>
      <c r="F49" s="178"/>
      <c r="G49" s="176">
        <f t="shared" si="0"/>
        <v>0</v>
      </c>
      <c r="H49" s="177">
        <f t="shared" si="0"/>
        <v>0</v>
      </c>
    </row>
    <row r="50" spans="1:8">
      <c r="A50" s="145">
        <f t="shared" si="1"/>
        <v>45</v>
      </c>
      <c r="B50" s="36" t="s">
        <v>744</v>
      </c>
      <c r="C50" s="178">
        <v>6905.99</v>
      </c>
      <c r="D50" s="178">
        <v>131116.73000000001</v>
      </c>
      <c r="E50" s="178">
        <v>7649.22</v>
      </c>
      <c r="F50" s="178">
        <v>188789.11</v>
      </c>
      <c r="G50" s="176">
        <f t="shared" si="0"/>
        <v>743.23000000000047</v>
      </c>
      <c r="H50" s="177">
        <f t="shared" si="0"/>
        <v>57672.379999999976</v>
      </c>
    </row>
    <row r="51" spans="1:8">
      <c r="A51" s="145">
        <f t="shared" si="1"/>
        <v>46</v>
      </c>
      <c r="B51" s="36" t="s">
        <v>784</v>
      </c>
      <c r="C51" s="22" t="s">
        <v>902</v>
      </c>
      <c r="D51" s="22" t="s">
        <v>902</v>
      </c>
      <c r="E51" s="22" t="s">
        <v>902</v>
      </c>
      <c r="F51" s="22" t="s">
        <v>902</v>
      </c>
      <c r="G51" s="126" t="s">
        <v>757</v>
      </c>
      <c r="H51" s="127" t="s">
        <v>757</v>
      </c>
    </row>
    <row r="52" spans="1:8">
      <c r="A52" s="145">
        <f t="shared" si="1"/>
        <v>47</v>
      </c>
      <c r="B52" s="82" t="s">
        <v>749</v>
      </c>
      <c r="C52" s="178">
        <v>17035</v>
      </c>
      <c r="D52" s="178"/>
      <c r="E52" s="178">
        <v>2228.9899999999998</v>
      </c>
      <c r="F52" s="178"/>
      <c r="G52" s="176">
        <f t="shared" si="0"/>
        <v>-14806.01</v>
      </c>
      <c r="H52" s="177">
        <f t="shared" ref="H52:H57" si="2">F52-D52</f>
        <v>0</v>
      </c>
    </row>
    <row r="53" spans="1:8">
      <c r="A53" s="145">
        <f t="shared" si="1"/>
        <v>48</v>
      </c>
      <c r="B53" s="36" t="s">
        <v>750</v>
      </c>
      <c r="C53" s="178">
        <v>678140.88</v>
      </c>
      <c r="D53" s="178">
        <v>20917.509999999998</v>
      </c>
      <c r="E53" s="178">
        <v>1101704.54</v>
      </c>
      <c r="F53" s="178">
        <v>35256.85</v>
      </c>
      <c r="G53" s="176">
        <f t="shared" si="0"/>
        <v>423563.66000000003</v>
      </c>
      <c r="H53" s="177">
        <f t="shared" si="2"/>
        <v>14339.34</v>
      </c>
    </row>
    <row r="54" spans="1:8">
      <c r="A54" s="145">
        <f t="shared" si="1"/>
        <v>49</v>
      </c>
      <c r="B54" s="36" t="s">
        <v>751</v>
      </c>
      <c r="C54" s="178">
        <v>25584823.5</v>
      </c>
      <c r="D54" s="178"/>
      <c r="E54" s="178">
        <v>27009865.530000001</v>
      </c>
      <c r="F54" s="178">
        <v>7725</v>
      </c>
      <c r="G54" s="176">
        <f t="shared" si="0"/>
        <v>1425042.0300000012</v>
      </c>
      <c r="H54" s="177">
        <f t="shared" si="2"/>
        <v>7725</v>
      </c>
    </row>
    <row r="55" spans="1:8">
      <c r="A55" s="145">
        <f t="shared" si="1"/>
        <v>50</v>
      </c>
      <c r="B55" s="74" t="s">
        <v>893</v>
      </c>
      <c r="C55" s="128"/>
      <c r="D55" s="128"/>
      <c r="E55" s="128"/>
      <c r="F55" s="128"/>
      <c r="G55" s="176">
        <f t="shared" si="0"/>
        <v>0</v>
      </c>
      <c r="H55" s="177">
        <f t="shared" si="2"/>
        <v>0</v>
      </c>
    </row>
    <row r="56" spans="1:8">
      <c r="A56" s="145">
        <f t="shared" si="1"/>
        <v>51</v>
      </c>
      <c r="B56" s="74" t="s">
        <v>762</v>
      </c>
      <c r="C56" s="128">
        <v>1175890.6499999999</v>
      </c>
      <c r="D56" s="128"/>
      <c r="E56" s="128">
        <v>1528632.23</v>
      </c>
      <c r="F56" s="128"/>
      <c r="G56" s="176">
        <f t="shared" si="0"/>
        <v>352741.58000000007</v>
      </c>
      <c r="H56" s="177">
        <f t="shared" si="2"/>
        <v>0</v>
      </c>
    </row>
    <row r="57" spans="1:8" s="184" customFormat="1" ht="32.25" thickBot="1">
      <c r="A57" s="76">
        <f t="shared" si="1"/>
        <v>52</v>
      </c>
      <c r="B57" s="78" t="s">
        <v>758</v>
      </c>
      <c r="C57" s="134">
        <v>32782566.350000001</v>
      </c>
      <c r="D57" s="134">
        <v>1170163.27</v>
      </c>
      <c r="E57" s="134">
        <f>E6+E11+SUM(E16:E21)+E24+E25+SUM(E39:E44)+SUM(E49:E54)</f>
        <v>36080696.890000001</v>
      </c>
      <c r="F57" s="134">
        <f>F6+F11+SUM(F16:F21)+F24+F25+SUM(F39:F44)+SUM(F49:F54)</f>
        <v>1366938.6600000001</v>
      </c>
      <c r="G57" s="182">
        <f t="shared" si="0"/>
        <v>3298130.5399999991</v>
      </c>
      <c r="H57" s="183">
        <f t="shared" si="2"/>
        <v>196775.39000000013</v>
      </c>
    </row>
    <row r="58" spans="1:8">
      <c r="B58" s="174"/>
      <c r="C58" s="174"/>
      <c r="D58" s="174"/>
      <c r="E58" s="185"/>
      <c r="F58" s="185"/>
      <c r="G58" s="174"/>
      <c r="H58" s="174"/>
    </row>
    <row r="59" spans="1:8" ht="33" customHeight="1">
      <c r="A59" s="488" t="s">
        <v>840</v>
      </c>
      <c r="B59" s="489"/>
      <c r="C59" s="489"/>
      <c r="D59" s="489"/>
      <c r="E59" s="489"/>
      <c r="F59" s="489"/>
      <c r="G59" s="489"/>
      <c r="H59" s="490"/>
    </row>
    <row r="60" spans="1:8" ht="30.75" customHeight="1">
      <c r="A60" s="485" t="s">
        <v>839</v>
      </c>
      <c r="B60" s="486"/>
      <c r="C60" s="486"/>
      <c r="D60" s="486"/>
      <c r="E60" s="486"/>
      <c r="F60" s="486"/>
      <c r="G60" s="486"/>
      <c r="H60" s="487"/>
    </row>
    <row r="61" spans="1:8">
      <c r="C61" s="187"/>
      <c r="D61" s="187"/>
      <c r="E61" s="187"/>
      <c r="F61" s="187"/>
    </row>
    <row r="62" spans="1:8">
      <c r="E62" s="189"/>
      <c r="F62" s="189"/>
    </row>
    <row r="63" spans="1:8" ht="42" customHeight="1"/>
  </sheetData>
  <mergeCells count="9">
    <mergeCell ref="A60:H60"/>
    <mergeCell ref="A59:H59"/>
    <mergeCell ref="A1:H1"/>
    <mergeCell ref="C3:D3"/>
    <mergeCell ref="E3:F3"/>
    <mergeCell ref="A3:A4"/>
    <mergeCell ref="B3:B4"/>
    <mergeCell ref="G3:H3"/>
    <mergeCell ref="A2:H2"/>
  </mergeCells>
  <phoneticPr fontId="0" type="noConversion"/>
  <printOptions gridLines="1"/>
  <pageMargins left="0.51181102362204722" right="0.31496062992125984" top="0.43307086614173229" bottom="0.47244094488188981" header="0.39370078740157483" footer="0.23622047244094491"/>
  <pageSetup paperSize="9" scale="75" fitToWidth="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8" enableFormatConditionsCalculation="0">
    <tabColor indexed="42"/>
    <pageSetUpPr fitToPage="1"/>
  </sheetPr>
  <dimension ref="A1:E24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4" sqref="B24"/>
    </sheetView>
  </sheetViews>
  <sheetFormatPr defaultRowHeight="15.75"/>
  <cols>
    <col min="1" max="1" width="9.140625" style="174"/>
    <col min="2" max="2" width="79.42578125" style="194" customWidth="1"/>
    <col min="3" max="3" width="16.140625" style="24" customWidth="1"/>
    <col min="4" max="4" width="16" style="24" customWidth="1"/>
    <col min="5" max="16384" width="9.140625" style="24"/>
  </cols>
  <sheetData>
    <row r="1" spans="1:5" ht="50.1" customHeight="1">
      <c r="A1" s="479" t="s">
        <v>521</v>
      </c>
      <c r="B1" s="480"/>
      <c r="C1" s="480"/>
      <c r="D1" s="481"/>
    </row>
    <row r="2" spans="1:5" ht="34.9" customHeight="1">
      <c r="A2" s="499" t="s">
        <v>1031</v>
      </c>
      <c r="B2" s="500"/>
      <c r="C2" s="500"/>
      <c r="D2" s="501"/>
    </row>
    <row r="3" spans="1:5" s="160" customFormat="1" ht="31.5">
      <c r="A3" s="79" t="s">
        <v>812</v>
      </c>
      <c r="B3" s="136" t="s">
        <v>916</v>
      </c>
      <c r="C3" s="3" t="s">
        <v>539</v>
      </c>
      <c r="D3" s="2" t="s">
        <v>582</v>
      </c>
    </row>
    <row r="4" spans="1:5" s="160" customFormat="1">
      <c r="A4" s="79"/>
      <c r="B4" s="136"/>
      <c r="C4" s="3" t="s">
        <v>878</v>
      </c>
      <c r="D4" s="2" t="s">
        <v>879</v>
      </c>
    </row>
    <row r="5" spans="1:5">
      <c r="A5" s="145">
        <v>1</v>
      </c>
      <c r="B5" s="34" t="s">
        <v>592</v>
      </c>
      <c r="C5" s="153">
        <f>C6+C7</f>
        <v>2446522.3000000003</v>
      </c>
      <c r="D5" s="132">
        <f>D6+D7</f>
        <v>2566281.9099999997</v>
      </c>
    </row>
    <row r="6" spans="1:5" ht="31.5">
      <c r="A6" s="145">
        <v>2</v>
      </c>
      <c r="B6" s="26" t="s">
        <v>593</v>
      </c>
      <c r="C6" s="131">
        <v>211349.85</v>
      </c>
      <c r="D6" s="190">
        <v>234363.82</v>
      </c>
      <c r="E6" s="184"/>
    </row>
    <row r="7" spans="1:5">
      <c r="A7" s="145">
        <v>3</v>
      </c>
      <c r="B7" s="26" t="s">
        <v>594</v>
      </c>
      <c r="C7" s="167">
        <v>2235172.4500000002</v>
      </c>
      <c r="D7" s="191">
        <v>2331918.09</v>
      </c>
    </row>
    <row r="8" spans="1:5">
      <c r="A8" s="145">
        <v>4</v>
      </c>
      <c r="B8" s="34" t="s">
        <v>909</v>
      </c>
      <c r="C8" s="162">
        <f>SUM(C9:C12)</f>
        <v>430918.19000000006</v>
      </c>
      <c r="D8" s="192">
        <f>SUM(D9:D12)</f>
        <v>434541.11999999994</v>
      </c>
    </row>
    <row r="9" spans="1:5">
      <c r="A9" s="145">
        <v>5</v>
      </c>
      <c r="B9" s="26" t="s">
        <v>595</v>
      </c>
      <c r="C9" s="131">
        <v>256534.48</v>
      </c>
      <c r="D9" s="190">
        <v>283642.23999999999</v>
      </c>
    </row>
    <row r="10" spans="1:5">
      <c r="A10" s="145">
        <v>6</v>
      </c>
      <c r="B10" s="26" t="s">
        <v>596</v>
      </c>
      <c r="C10" s="131">
        <v>108356.94</v>
      </c>
      <c r="D10" s="190">
        <v>61932.09</v>
      </c>
    </row>
    <row r="11" spans="1:5">
      <c r="A11" s="145">
        <v>7</v>
      </c>
      <c r="B11" s="26" t="s">
        <v>597</v>
      </c>
      <c r="C11" s="131">
        <v>54507.31</v>
      </c>
      <c r="D11" s="190">
        <v>74350.720000000001</v>
      </c>
    </row>
    <row r="12" spans="1:5">
      <c r="A12" s="145">
        <v>8</v>
      </c>
      <c r="B12" s="26" t="s">
        <v>598</v>
      </c>
      <c r="C12" s="131">
        <v>11519.46</v>
      </c>
      <c r="D12" s="190">
        <v>14616.07</v>
      </c>
    </row>
    <row r="13" spans="1:5">
      <c r="A13" s="145">
        <v>9</v>
      </c>
      <c r="B13" s="34" t="s">
        <v>844</v>
      </c>
      <c r="C13" s="162">
        <f>C6*0.2</f>
        <v>42269.97</v>
      </c>
      <c r="D13" s="192">
        <f>D6*0.2</f>
        <v>46872.764000000003</v>
      </c>
    </row>
    <row r="14" spans="1:5" ht="16.5" thickBot="1">
      <c r="A14" s="76">
        <v>10</v>
      </c>
      <c r="B14" s="35" t="s">
        <v>922</v>
      </c>
      <c r="C14" s="172">
        <v>30088.89</v>
      </c>
      <c r="D14" s="155">
        <v>51477</v>
      </c>
    </row>
    <row r="15" spans="1:5">
      <c r="B15" s="193"/>
    </row>
    <row r="16" spans="1:5">
      <c r="A16" s="502"/>
      <c r="B16" s="502"/>
      <c r="C16" s="502"/>
      <c r="D16" s="502"/>
    </row>
    <row r="17" spans="2:4">
      <c r="B17" s="193"/>
      <c r="D17" s="64"/>
    </row>
    <row r="18" spans="2:4">
      <c r="B18" s="193"/>
    </row>
    <row r="19" spans="2:4">
      <c r="B19" s="193"/>
    </row>
    <row r="20" spans="2:4">
      <c r="B20" s="193"/>
    </row>
    <row r="21" spans="2:4">
      <c r="B21" s="193"/>
    </row>
    <row r="22" spans="2:4">
      <c r="B22" s="193"/>
    </row>
    <row r="23" spans="2:4">
      <c r="B23" s="193"/>
    </row>
    <row r="24" spans="2:4">
      <c r="B24" s="193"/>
    </row>
  </sheetData>
  <mergeCells count="3">
    <mergeCell ref="A1:D1"/>
    <mergeCell ref="A2:D2"/>
    <mergeCell ref="A16:D16"/>
  </mergeCells>
  <phoneticPr fontId="0" type="noConversion"/>
  <printOptions gridLines="1"/>
  <pageMargins left="0.85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9" enableFormatConditionsCalculation="0">
    <tabColor indexed="42"/>
  </sheetPr>
  <dimension ref="A1:I991"/>
  <sheetViews>
    <sheetView topLeftCell="B1" workbookViewId="0">
      <pane xSplit="1" topLeftCell="D1" activePane="topRight" state="frozen"/>
      <selection activeCell="B5" sqref="B5"/>
      <selection pane="topRight" activeCell="B9" sqref="B9"/>
    </sheetView>
  </sheetViews>
  <sheetFormatPr defaultRowHeight="15.75"/>
  <cols>
    <col min="1" max="1" width="8.42578125" style="174" customWidth="1"/>
    <col min="2" max="2" width="74.140625" style="206" customWidth="1"/>
    <col min="3" max="3" width="15.7109375" style="24" bestFit="1" customWidth="1"/>
    <col min="4" max="4" width="15.85546875" style="24" customWidth="1"/>
    <col min="5" max="5" width="17.28515625" style="24" bestFit="1" customWidth="1"/>
    <col min="6" max="6" width="16.85546875" style="24" customWidth="1"/>
    <col min="7" max="7" width="16" style="24" bestFit="1" customWidth="1"/>
    <col min="8" max="8" width="17" style="24" customWidth="1"/>
    <col min="9" max="16384" width="9.140625" style="24"/>
  </cols>
  <sheetData>
    <row r="1" spans="1:8" ht="35.1" customHeight="1" thickBot="1">
      <c r="A1" s="506" t="s">
        <v>522</v>
      </c>
      <c r="B1" s="507"/>
      <c r="C1" s="507"/>
      <c r="D1" s="507"/>
      <c r="E1" s="507"/>
      <c r="F1" s="507"/>
      <c r="G1" s="507"/>
      <c r="H1" s="508"/>
    </row>
    <row r="2" spans="1:8" ht="32.450000000000003" customHeight="1">
      <c r="A2" s="513" t="s">
        <v>1032</v>
      </c>
      <c r="B2" s="514"/>
      <c r="C2" s="514"/>
      <c r="D2" s="514"/>
      <c r="E2" s="514"/>
      <c r="F2" s="514"/>
      <c r="G2" s="514"/>
      <c r="H2" s="515"/>
    </row>
    <row r="3" spans="1:8" s="160" customFormat="1" ht="31.5" customHeight="1">
      <c r="A3" s="496" t="s">
        <v>812</v>
      </c>
      <c r="B3" s="509" t="s">
        <v>916</v>
      </c>
      <c r="C3" s="511" t="s">
        <v>583</v>
      </c>
      <c r="D3" s="511"/>
      <c r="E3" s="511" t="s">
        <v>580</v>
      </c>
      <c r="F3" s="511"/>
      <c r="G3" s="511" t="s">
        <v>581</v>
      </c>
      <c r="H3" s="512"/>
    </row>
    <row r="4" spans="1:8" ht="31.5" customHeight="1">
      <c r="A4" s="496"/>
      <c r="B4" s="510"/>
      <c r="C4" s="3" t="s">
        <v>917</v>
      </c>
      <c r="D4" s="3" t="s">
        <v>918</v>
      </c>
      <c r="E4" s="3" t="s">
        <v>917</v>
      </c>
      <c r="F4" s="3" t="s">
        <v>918</v>
      </c>
      <c r="G4" s="3" t="s">
        <v>917</v>
      </c>
      <c r="H4" s="2" t="s">
        <v>918</v>
      </c>
    </row>
    <row r="5" spans="1:8">
      <c r="A5" s="145"/>
      <c r="B5" s="72"/>
      <c r="C5" s="17" t="s">
        <v>878</v>
      </c>
      <c r="D5" s="17" t="s">
        <v>879</v>
      </c>
      <c r="E5" s="17" t="s">
        <v>880</v>
      </c>
      <c r="F5" s="17" t="s">
        <v>886</v>
      </c>
      <c r="G5" s="17" t="s">
        <v>622</v>
      </c>
      <c r="H5" s="41" t="s">
        <v>623</v>
      </c>
    </row>
    <row r="6" spans="1:8">
      <c r="A6" s="145">
        <v>1</v>
      </c>
      <c r="B6" s="36" t="s">
        <v>896</v>
      </c>
      <c r="C6" s="162">
        <f>SUM(C7:C18)</f>
        <v>2340874.23</v>
      </c>
      <c r="D6" s="195">
        <f>SUM(D7:D18)</f>
        <v>172841.02</v>
      </c>
      <c r="E6" s="195">
        <f>SUM(E7:E18)</f>
        <v>3092513.7199999997</v>
      </c>
      <c r="F6" s="195">
        <f>SUM(F7:F18)</f>
        <v>202372.37</v>
      </c>
      <c r="G6" s="195">
        <f>E6-C6</f>
        <v>751639.48999999976</v>
      </c>
      <c r="H6" s="196">
        <f>F6-D6</f>
        <v>29531.350000000006</v>
      </c>
    </row>
    <row r="7" spans="1:8" ht="17.25" customHeight="1">
      <c r="A7" s="145">
        <f>A6+1</f>
        <v>2</v>
      </c>
      <c r="B7" s="32" t="s">
        <v>687</v>
      </c>
      <c r="C7" s="197">
        <v>143998.71</v>
      </c>
      <c r="D7" s="197">
        <v>3154.63</v>
      </c>
      <c r="E7" s="114">
        <v>155377.51999999999</v>
      </c>
      <c r="F7" s="114">
        <v>1902.48</v>
      </c>
      <c r="G7" s="198">
        <f>E7-C7</f>
        <v>11378.809999999998</v>
      </c>
      <c r="H7" s="199">
        <f>F7-D7</f>
        <v>-1252.1500000000001</v>
      </c>
    </row>
    <row r="8" spans="1:8" ht="30.6" customHeight="1">
      <c r="A8" s="145">
        <f t="shared" ref="A8:A71" si="0">A7+1</f>
        <v>3</v>
      </c>
      <c r="B8" s="73" t="s">
        <v>688</v>
      </c>
      <c r="C8" s="197">
        <v>512238.98</v>
      </c>
      <c r="D8" s="197">
        <v>871.1</v>
      </c>
      <c r="E8" s="114">
        <v>388095.9</v>
      </c>
      <c r="F8" s="114">
        <v>469.15</v>
      </c>
      <c r="G8" s="198">
        <f t="shared" ref="G8:G71" si="1">E8-C8</f>
        <v>-124143.07999999996</v>
      </c>
      <c r="H8" s="199">
        <f t="shared" ref="H8:H71" si="2">F8-D8</f>
        <v>-401.95000000000005</v>
      </c>
    </row>
    <row r="9" spans="1:8">
      <c r="A9" s="145">
        <f t="shared" si="0"/>
        <v>4</v>
      </c>
      <c r="B9" s="32" t="s">
        <v>689</v>
      </c>
      <c r="C9" s="197">
        <v>190606.24</v>
      </c>
      <c r="D9" s="197">
        <v>3852.13</v>
      </c>
      <c r="E9" s="114">
        <v>189461.45</v>
      </c>
      <c r="F9" s="114">
        <v>3685.85</v>
      </c>
      <c r="G9" s="198">
        <f t="shared" si="1"/>
        <v>-1144.789999999979</v>
      </c>
      <c r="H9" s="199">
        <f t="shared" si="2"/>
        <v>-166.2800000000002</v>
      </c>
    </row>
    <row r="10" spans="1:8">
      <c r="A10" s="145">
        <f t="shared" si="0"/>
        <v>5</v>
      </c>
      <c r="B10" s="32" t="s">
        <v>690</v>
      </c>
      <c r="C10" s="197">
        <v>15210.46</v>
      </c>
      <c r="D10" s="197">
        <v>554.87</v>
      </c>
      <c r="E10" s="114">
        <v>14629.35</v>
      </c>
      <c r="F10" s="114">
        <v>535.05999999999995</v>
      </c>
      <c r="G10" s="198">
        <f t="shared" si="1"/>
        <v>-581.10999999999876</v>
      </c>
      <c r="H10" s="199">
        <f t="shared" si="2"/>
        <v>-19.810000000000059</v>
      </c>
    </row>
    <row r="11" spans="1:8">
      <c r="A11" s="145">
        <f t="shared" si="0"/>
        <v>6</v>
      </c>
      <c r="B11" s="32" t="s">
        <v>691</v>
      </c>
      <c r="C11" s="197">
        <v>32703.26</v>
      </c>
      <c r="D11" s="197">
        <v>511.99</v>
      </c>
      <c r="E11" s="114">
        <v>34811.599999999999</v>
      </c>
      <c r="F11" s="114">
        <v>295.58999999999997</v>
      </c>
      <c r="G11" s="198">
        <f t="shared" si="1"/>
        <v>2108.34</v>
      </c>
      <c r="H11" s="199">
        <f t="shared" si="2"/>
        <v>-216.40000000000003</v>
      </c>
    </row>
    <row r="12" spans="1:8">
      <c r="A12" s="145">
        <f t="shared" si="0"/>
        <v>7</v>
      </c>
      <c r="B12" s="32" t="s">
        <v>692</v>
      </c>
      <c r="C12" s="197">
        <v>33172.69</v>
      </c>
      <c r="D12" s="197">
        <v>18342.46</v>
      </c>
      <c r="E12" s="114">
        <v>38248.51</v>
      </c>
      <c r="F12" s="114">
        <v>14446.75</v>
      </c>
      <c r="G12" s="198">
        <f t="shared" si="1"/>
        <v>5075.82</v>
      </c>
      <c r="H12" s="199">
        <f t="shared" si="2"/>
        <v>-3895.7099999999991</v>
      </c>
    </row>
    <row r="13" spans="1:8" ht="31.5">
      <c r="A13" s="145">
        <f t="shared" si="0"/>
        <v>8</v>
      </c>
      <c r="B13" s="32" t="s">
        <v>693</v>
      </c>
      <c r="C13" s="197">
        <v>69303.199999999997</v>
      </c>
      <c r="D13" s="197">
        <v>1267.58</v>
      </c>
      <c r="E13" s="114">
        <v>125805.73</v>
      </c>
      <c r="F13" s="114">
        <v>3955.91</v>
      </c>
      <c r="G13" s="198">
        <f t="shared" si="1"/>
        <v>56502.53</v>
      </c>
      <c r="H13" s="199">
        <f t="shared" si="2"/>
        <v>2688.33</v>
      </c>
    </row>
    <row r="14" spans="1:8">
      <c r="A14" s="145">
        <f t="shared" si="0"/>
        <v>9</v>
      </c>
      <c r="B14" s="32" t="s">
        <v>694</v>
      </c>
      <c r="C14" s="197">
        <v>69824.77</v>
      </c>
      <c r="D14" s="197">
        <v>94250.7</v>
      </c>
      <c r="E14" s="114">
        <v>75620.94</v>
      </c>
      <c r="F14" s="114">
        <v>99260.61</v>
      </c>
      <c r="G14" s="198">
        <f t="shared" si="1"/>
        <v>5796.1699999999983</v>
      </c>
      <c r="H14" s="199">
        <f t="shared" si="2"/>
        <v>5009.9100000000035</v>
      </c>
    </row>
    <row r="15" spans="1:8">
      <c r="A15" s="145">
        <f t="shared" si="0"/>
        <v>10</v>
      </c>
      <c r="B15" s="26" t="s">
        <v>695</v>
      </c>
      <c r="C15" s="197">
        <v>618810.93000000005</v>
      </c>
      <c r="D15" s="197">
        <v>12368.6</v>
      </c>
      <c r="E15" s="114">
        <v>1053578.1599999999</v>
      </c>
      <c r="F15" s="114">
        <v>22026.26</v>
      </c>
      <c r="G15" s="198">
        <f t="shared" si="1"/>
        <v>434767.22999999986</v>
      </c>
      <c r="H15" s="199">
        <f t="shared" si="2"/>
        <v>9657.659999999998</v>
      </c>
    </row>
    <row r="16" spans="1:8" ht="16.149999999999999" customHeight="1">
      <c r="A16" s="145">
        <f t="shared" si="0"/>
        <v>11</v>
      </c>
      <c r="B16" s="32" t="s">
        <v>696</v>
      </c>
      <c r="C16" s="197">
        <v>243945.79</v>
      </c>
      <c r="D16" s="197">
        <v>8569.44</v>
      </c>
      <c r="E16" s="114">
        <v>385938.35</v>
      </c>
      <c r="F16" s="114">
        <v>23686.65</v>
      </c>
      <c r="G16" s="198">
        <f t="shared" si="1"/>
        <v>141992.55999999997</v>
      </c>
      <c r="H16" s="199">
        <f t="shared" si="2"/>
        <v>15117.210000000001</v>
      </c>
    </row>
    <row r="17" spans="1:8">
      <c r="A17" s="145">
        <f t="shared" si="0"/>
        <v>12</v>
      </c>
      <c r="B17" s="26" t="s">
        <v>697</v>
      </c>
      <c r="C17" s="197">
        <v>208461.81</v>
      </c>
      <c r="D17" s="197">
        <v>14818.22</v>
      </c>
      <c r="E17" s="114">
        <v>259165.85</v>
      </c>
      <c r="F17" s="114">
        <f>8447.05+561.75+49.57</f>
        <v>9058.369999999999</v>
      </c>
      <c r="G17" s="198">
        <f t="shared" si="1"/>
        <v>50704.040000000008</v>
      </c>
      <c r="H17" s="199">
        <f t="shared" si="2"/>
        <v>-5759.85</v>
      </c>
    </row>
    <row r="18" spans="1:8">
      <c r="A18" s="145">
        <f t="shared" si="0"/>
        <v>13</v>
      </c>
      <c r="B18" s="32" t="s">
        <v>698</v>
      </c>
      <c r="C18" s="197">
        <v>202597.39</v>
      </c>
      <c r="D18" s="197">
        <v>14279.3</v>
      </c>
      <c r="E18" s="114">
        <v>371780.36</v>
      </c>
      <c r="F18" s="114">
        <v>23049.69</v>
      </c>
      <c r="G18" s="198">
        <f t="shared" si="1"/>
        <v>169182.96999999997</v>
      </c>
      <c r="H18" s="199">
        <f t="shared" si="2"/>
        <v>8770.39</v>
      </c>
    </row>
    <row r="19" spans="1:8">
      <c r="A19" s="145">
        <f t="shared" si="0"/>
        <v>14</v>
      </c>
      <c r="B19" s="36" t="s">
        <v>935</v>
      </c>
      <c r="C19" s="162">
        <f>SUM(C20:C25)</f>
        <v>1884439.1</v>
      </c>
      <c r="D19" s="195">
        <f>SUM(D20:D25)</f>
        <v>29639.18</v>
      </c>
      <c r="E19" s="195">
        <f>SUM(E20:E25)</f>
        <v>1731248.24</v>
      </c>
      <c r="F19" s="195">
        <f>SUM(F20:F25)</f>
        <v>53970.280000000006</v>
      </c>
      <c r="G19" s="195">
        <f t="shared" si="1"/>
        <v>-153190.8600000001</v>
      </c>
      <c r="H19" s="196">
        <f t="shared" si="2"/>
        <v>24331.100000000006</v>
      </c>
    </row>
    <row r="20" spans="1:8">
      <c r="A20" s="145">
        <f t="shared" si="0"/>
        <v>15</v>
      </c>
      <c r="B20" s="32" t="s">
        <v>699</v>
      </c>
      <c r="C20" s="197">
        <v>718123.89</v>
      </c>
      <c r="D20" s="197">
        <v>5603.37</v>
      </c>
      <c r="E20" s="114">
        <f>610133.63-82895.96</f>
        <v>527237.67000000004</v>
      </c>
      <c r="F20" s="114">
        <v>13076.32</v>
      </c>
      <c r="G20" s="198">
        <f t="shared" si="1"/>
        <v>-190886.21999999997</v>
      </c>
      <c r="H20" s="199">
        <f t="shared" si="2"/>
        <v>7472.95</v>
      </c>
    </row>
    <row r="21" spans="1:8">
      <c r="A21" s="145">
        <f t="shared" si="0"/>
        <v>16</v>
      </c>
      <c r="B21" s="32" t="s">
        <v>700</v>
      </c>
      <c r="C21" s="197">
        <v>798119.15</v>
      </c>
      <c r="D21" s="197">
        <v>8003.29</v>
      </c>
      <c r="E21" s="114">
        <f>888753.22-74171.18</f>
        <v>814582.04</v>
      </c>
      <c r="F21" s="114">
        <v>15506.9</v>
      </c>
      <c r="G21" s="198">
        <f t="shared" si="1"/>
        <v>16462.890000000014</v>
      </c>
      <c r="H21" s="199">
        <f t="shared" si="2"/>
        <v>7503.61</v>
      </c>
    </row>
    <row r="22" spans="1:8">
      <c r="A22" s="145">
        <f t="shared" si="0"/>
        <v>17</v>
      </c>
      <c r="B22" s="32" t="s">
        <v>701</v>
      </c>
      <c r="C22" s="197">
        <v>187741.2</v>
      </c>
      <c r="D22" s="197">
        <v>4963.45</v>
      </c>
      <c r="E22" s="114">
        <f>229908.69-16979.06</f>
        <v>212929.63</v>
      </c>
      <c r="F22" s="114">
        <v>13565.57</v>
      </c>
      <c r="G22" s="198">
        <f t="shared" si="1"/>
        <v>25188.429999999993</v>
      </c>
      <c r="H22" s="199">
        <f t="shared" si="2"/>
        <v>8602.119999999999</v>
      </c>
    </row>
    <row r="23" spans="1:8">
      <c r="A23" s="145">
        <f t="shared" si="0"/>
        <v>18</v>
      </c>
      <c r="B23" s="32" t="s">
        <v>702</v>
      </c>
      <c r="C23" s="197">
        <v>179257.79</v>
      </c>
      <c r="D23" s="197">
        <v>11069.07</v>
      </c>
      <c r="E23" s="114">
        <v>164789.07</v>
      </c>
      <c r="F23" s="114">
        <v>11789.26</v>
      </c>
      <c r="G23" s="198">
        <f t="shared" si="1"/>
        <v>-14468.720000000001</v>
      </c>
      <c r="H23" s="199">
        <f t="shared" si="2"/>
        <v>720.19000000000051</v>
      </c>
    </row>
    <row r="24" spans="1:8">
      <c r="A24" s="145">
        <f t="shared" si="0"/>
        <v>19</v>
      </c>
      <c r="B24" s="32" t="s">
        <v>703</v>
      </c>
      <c r="C24" s="197">
        <v>1197.07</v>
      </c>
      <c r="D24" s="197"/>
      <c r="E24" s="114">
        <v>1180.23</v>
      </c>
      <c r="F24" s="114">
        <v>32.229999999999997</v>
      </c>
      <c r="G24" s="198">
        <f t="shared" si="1"/>
        <v>-16.839999999999918</v>
      </c>
      <c r="H24" s="199">
        <f t="shared" si="2"/>
        <v>32.229999999999997</v>
      </c>
    </row>
    <row r="25" spans="1:8">
      <c r="A25" s="145">
        <f t="shared" si="0"/>
        <v>20</v>
      </c>
      <c r="B25" s="32" t="s">
        <v>517</v>
      </c>
      <c r="C25" s="197"/>
      <c r="D25" s="197"/>
      <c r="E25" s="114">
        <v>10529.6</v>
      </c>
      <c r="F25" s="114"/>
      <c r="G25" s="198">
        <f t="shared" si="1"/>
        <v>10529.6</v>
      </c>
      <c r="H25" s="199">
        <f t="shared" si="2"/>
        <v>0</v>
      </c>
    </row>
    <row r="26" spans="1:8">
      <c r="A26" s="145">
        <f t="shared" si="0"/>
        <v>21</v>
      </c>
      <c r="B26" s="36" t="s">
        <v>913</v>
      </c>
      <c r="C26" s="15" t="s">
        <v>902</v>
      </c>
      <c r="D26" s="117" t="s">
        <v>902</v>
      </c>
      <c r="E26" s="117" t="s">
        <v>902</v>
      </c>
      <c r="F26" s="117" t="s">
        <v>902</v>
      </c>
      <c r="G26" s="114" t="s">
        <v>757</v>
      </c>
      <c r="H26" s="115" t="s">
        <v>757</v>
      </c>
    </row>
    <row r="27" spans="1:8">
      <c r="A27" s="145">
        <f t="shared" si="0"/>
        <v>22</v>
      </c>
      <c r="B27" s="36" t="s">
        <v>936</v>
      </c>
      <c r="C27" s="162">
        <f>SUM(C28:C31)</f>
        <v>0.01</v>
      </c>
      <c r="D27" s="195">
        <f>SUM(D28:D31)</f>
        <v>11090.24</v>
      </c>
      <c r="E27" s="195">
        <f>SUM(E28:E31)</f>
        <v>0</v>
      </c>
      <c r="F27" s="195">
        <f>SUM(F28:F31)</f>
        <v>18251.04</v>
      </c>
      <c r="G27" s="195">
        <f t="shared" si="1"/>
        <v>-0.01</v>
      </c>
      <c r="H27" s="196">
        <f t="shared" si="2"/>
        <v>7160.8000000000011</v>
      </c>
    </row>
    <row r="28" spans="1:8">
      <c r="A28" s="145">
        <f t="shared" si="0"/>
        <v>23</v>
      </c>
      <c r="B28" s="32" t="s">
        <v>869</v>
      </c>
      <c r="C28" s="131"/>
      <c r="D28" s="114"/>
      <c r="E28" s="114"/>
      <c r="F28" s="114"/>
      <c r="G28" s="198">
        <f t="shared" si="1"/>
        <v>0</v>
      </c>
      <c r="H28" s="199">
        <f t="shared" si="2"/>
        <v>0</v>
      </c>
    </row>
    <row r="29" spans="1:8">
      <c r="A29" s="145">
        <f t="shared" si="0"/>
        <v>24</v>
      </c>
      <c r="B29" s="73" t="s">
        <v>892</v>
      </c>
      <c r="C29" s="131"/>
      <c r="D29" s="114"/>
      <c r="E29" s="114"/>
      <c r="F29" s="114"/>
      <c r="G29" s="198">
        <f t="shared" si="1"/>
        <v>0</v>
      </c>
      <c r="H29" s="199">
        <f t="shared" si="2"/>
        <v>0</v>
      </c>
    </row>
    <row r="30" spans="1:8">
      <c r="A30" s="145">
        <f t="shared" si="0"/>
        <v>25</v>
      </c>
      <c r="B30" s="73" t="s">
        <v>637</v>
      </c>
      <c r="C30" s="131"/>
      <c r="D30" s="114"/>
      <c r="E30" s="114"/>
      <c r="F30" s="114"/>
      <c r="G30" s="198">
        <f t="shared" si="1"/>
        <v>0</v>
      </c>
      <c r="H30" s="199">
        <f t="shared" si="2"/>
        <v>0</v>
      </c>
    </row>
    <row r="31" spans="1:8">
      <c r="A31" s="145">
        <f t="shared" si="0"/>
        <v>26</v>
      </c>
      <c r="B31" s="32" t="s">
        <v>638</v>
      </c>
      <c r="C31" s="197">
        <v>0.01</v>
      </c>
      <c r="D31" s="197">
        <v>11090.24</v>
      </c>
      <c r="E31" s="114"/>
      <c r="F31" s="114">
        <v>18251.04</v>
      </c>
      <c r="G31" s="198">
        <f t="shared" si="1"/>
        <v>-0.01</v>
      </c>
      <c r="H31" s="199">
        <f t="shared" si="2"/>
        <v>7160.8000000000011</v>
      </c>
    </row>
    <row r="32" spans="1:8">
      <c r="A32" s="145">
        <f t="shared" si="0"/>
        <v>27</v>
      </c>
      <c r="B32" s="36" t="s">
        <v>614</v>
      </c>
      <c r="C32" s="162">
        <f>SUM(C33:C39)</f>
        <v>499097.51</v>
      </c>
      <c r="D32" s="195">
        <f>SUM(D33:D39)</f>
        <v>35463.99</v>
      </c>
      <c r="E32" s="195">
        <f>SUM(E33:E39)</f>
        <v>639144.77999999991</v>
      </c>
      <c r="F32" s="195">
        <f>SUM(F33:F39)</f>
        <v>55609.62</v>
      </c>
      <c r="G32" s="195">
        <f t="shared" si="1"/>
        <v>140047.2699999999</v>
      </c>
      <c r="H32" s="196">
        <f t="shared" si="2"/>
        <v>20145.630000000005</v>
      </c>
    </row>
    <row r="33" spans="1:8">
      <c r="A33" s="145">
        <f t="shared" si="0"/>
        <v>28</v>
      </c>
      <c r="B33" s="32" t="s">
        <v>704</v>
      </c>
      <c r="C33" s="197">
        <v>387599.98</v>
      </c>
      <c r="D33" s="197">
        <v>10270.129999999999</v>
      </c>
      <c r="E33" s="114">
        <v>520253.32</v>
      </c>
      <c r="F33" s="114">
        <v>40163.03</v>
      </c>
      <c r="G33" s="198">
        <f t="shared" si="1"/>
        <v>132653.34000000003</v>
      </c>
      <c r="H33" s="199">
        <f t="shared" si="2"/>
        <v>29892.9</v>
      </c>
    </row>
    <row r="34" spans="1:8">
      <c r="A34" s="145">
        <f t="shared" si="0"/>
        <v>29</v>
      </c>
      <c r="B34" s="32" t="s">
        <v>705</v>
      </c>
      <c r="C34" s="197">
        <v>53974.33</v>
      </c>
      <c r="D34" s="197">
        <v>1371.99</v>
      </c>
      <c r="E34" s="114">
        <v>42807.38</v>
      </c>
      <c r="F34" s="114">
        <v>2116.0300000000002</v>
      </c>
      <c r="G34" s="198">
        <f t="shared" si="1"/>
        <v>-11166.950000000004</v>
      </c>
      <c r="H34" s="199">
        <f t="shared" si="2"/>
        <v>744.04000000000019</v>
      </c>
    </row>
    <row r="35" spans="1:8">
      <c r="A35" s="145">
        <f t="shared" si="0"/>
        <v>30</v>
      </c>
      <c r="B35" s="32" t="s">
        <v>706</v>
      </c>
      <c r="C35" s="197">
        <v>18135.439999999999</v>
      </c>
      <c r="D35" s="197">
        <v>609.02</v>
      </c>
      <c r="E35" s="114">
        <v>16535.11</v>
      </c>
      <c r="F35" s="114">
        <v>2088.19</v>
      </c>
      <c r="G35" s="198">
        <f t="shared" si="1"/>
        <v>-1600.3299999999981</v>
      </c>
      <c r="H35" s="199">
        <f t="shared" si="2"/>
        <v>1479.17</v>
      </c>
    </row>
    <row r="36" spans="1:8">
      <c r="A36" s="145">
        <f t="shared" si="0"/>
        <v>31</v>
      </c>
      <c r="B36" s="32" t="s">
        <v>707</v>
      </c>
      <c r="C36" s="197">
        <v>16982.57</v>
      </c>
      <c r="D36" s="197">
        <v>1134.83</v>
      </c>
      <c r="E36" s="114">
        <v>19754.740000000002</v>
      </c>
      <c r="F36" s="114">
        <v>1106.3</v>
      </c>
      <c r="G36" s="198">
        <f t="shared" si="1"/>
        <v>2772.1700000000019</v>
      </c>
      <c r="H36" s="199">
        <f t="shared" si="2"/>
        <v>-28.529999999999973</v>
      </c>
    </row>
    <row r="37" spans="1:8">
      <c r="A37" s="145">
        <f t="shared" si="0"/>
        <v>32</v>
      </c>
      <c r="B37" s="26" t="s">
        <v>712</v>
      </c>
      <c r="C37" s="197">
        <v>8375.06</v>
      </c>
      <c r="D37" s="197">
        <v>3976.9</v>
      </c>
      <c r="E37" s="114">
        <v>9017.1</v>
      </c>
      <c r="F37" s="114"/>
      <c r="G37" s="198">
        <f t="shared" si="1"/>
        <v>642.04000000000087</v>
      </c>
      <c r="H37" s="199">
        <f t="shared" si="2"/>
        <v>-3976.9</v>
      </c>
    </row>
    <row r="38" spans="1:8">
      <c r="A38" s="145">
        <f t="shared" si="0"/>
        <v>33</v>
      </c>
      <c r="B38" s="32" t="s">
        <v>713</v>
      </c>
      <c r="C38" s="197">
        <v>4596.9799999999996</v>
      </c>
      <c r="D38" s="197"/>
      <c r="E38" s="114">
        <v>19445.23</v>
      </c>
      <c r="F38" s="114">
        <f>613.23+3202.65</f>
        <v>3815.88</v>
      </c>
      <c r="G38" s="198">
        <f t="shared" si="1"/>
        <v>14848.25</v>
      </c>
      <c r="H38" s="199">
        <f t="shared" si="2"/>
        <v>3815.88</v>
      </c>
    </row>
    <row r="39" spans="1:8">
      <c r="A39" s="145">
        <f t="shared" si="0"/>
        <v>34</v>
      </c>
      <c r="B39" s="32" t="s">
        <v>714</v>
      </c>
      <c r="C39" s="197">
        <v>9433.15</v>
      </c>
      <c r="D39" s="197">
        <v>18101.12</v>
      </c>
      <c r="E39" s="114">
        <v>11331.9</v>
      </c>
      <c r="F39" s="114">
        <v>6320.19</v>
      </c>
      <c r="G39" s="198">
        <f t="shared" si="1"/>
        <v>1898.75</v>
      </c>
      <c r="H39" s="199">
        <f t="shared" si="2"/>
        <v>-11780.93</v>
      </c>
    </row>
    <row r="40" spans="1:8">
      <c r="A40" s="145">
        <f t="shared" si="0"/>
        <v>35</v>
      </c>
      <c r="B40" s="36" t="s">
        <v>937</v>
      </c>
      <c r="C40" s="162">
        <f>C41+C42</f>
        <v>668672.97</v>
      </c>
      <c r="D40" s="195">
        <f>D41+D42</f>
        <v>4049.3700000000003</v>
      </c>
      <c r="E40" s="195">
        <f>E41+E42</f>
        <v>682332.39</v>
      </c>
      <c r="F40" s="195">
        <f>F41+F42</f>
        <v>5414.1</v>
      </c>
      <c r="G40" s="195">
        <f t="shared" si="1"/>
        <v>13659.420000000042</v>
      </c>
      <c r="H40" s="196">
        <f t="shared" si="2"/>
        <v>1364.73</v>
      </c>
    </row>
    <row r="41" spans="1:8">
      <c r="A41" s="145">
        <f t="shared" si="0"/>
        <v>36</v>
      </c>
      <c r="B41" s="32" t="s">
        <v>715</v>
      </c>
      <c r="C41" s="197">
        <f>95177.1-13328.77</f>
        <v>81848.33</v>
      </c>
      <c r="D41" s="197">
        <v>3923.61</v>
      </c>
      <c r="E41" s="114">
        <f>104913.91-22785.64</f>
        <v>82128.27</v>
      </c>
      <c r="F41" s="114">
        <v>2920.35</v>
      </c>
      <c r="G41" s="198">
        <f t="shared" si="1"/>
        <v>279.94000000000233</v>
      </c>
      <c r="H41" s="199">
        <f t="shared" si="2"/>
        <v>-1003.2600000000002</v>
      </c>
    </row>
    <row r="42" spans="1:8">
      <c r="A42" s="145">
        <f t="shared" si="0"/>
        <v>37</v>
      </c>
      <c r="B42" s="32" t="s">
        <v>716</v>
      </c>
      <c r="C42" s="197">
        <f>598068.43-11243.79</f>
        <v>586824.64</v>
      </c>
      <c r="D42" s="197">
        <v>125.76</v>
      </c>
      <c r="E42" s="114">
        <f>605017.21-4813.09</f>
        <v>600204.12</v>
      </c>
      <c r="F42" s="114">
        <v>2493.75</v>
      </c>
      <c r="G42" s="198">
        <f t="shared" si="1"/>
        <v>13379.479999999981</v>
      </c>
      <c r="H42" s="199">
        <f t="shared" si="2"/>
        <v>2367.9899999999998</v>
      </c>
    </row>
    <row r="43" spans="1:8">
      <c r="A43" s="145">
        <f t="shared" si="0"/>
        <v>38</v>
      </c>
      <c r="B43" s="36" t="s">
        <v>914</v>
      </c>
      <c r="C43" s="197">
        <v>43265.04</v>
      </c>
      <c r="D43" s="197">
        <v>16465.060000000001</v>
      </c>
      <c r="E43" s="195">
        <v>41026.47</v>
      </c>
      <c r="F43" s="195">
        <v>1833.81</v>
      </c>
      <c r="G43" s="198">
        <f t="shared" si="1"/>
        <v>-2238.5699999999997</v>
      </c>
      <c r="H43" s="199">
        <f t="shared" si="2"/>
        <v>-14631.250000000002</v>
      </c>
    </row>
    <row r="44" spans="1:8">
      <c r="A44" s="145">
        <f t="shared" si="0"/>
        <v>39</v>
      </c>
      <c r="B44" s="36" t="s">
        <v>818</v>
      </c>
      <c r="C44" s="162">
        <f>SUM(C45:C59)</f>
        <v>3930074.3</v>
      </c>
      <c r="D44" s="195">
        <f>SUM(D45:D59)</f>
        <v>310110.86</v>
      </c>
      <c r="E44" s="195">
        <f>SUM(E45:E59)</f>
        <v>3806724.01</v>
      </c>
      <c r="F44" s="195">
        <f>SUM(F45:F59)</f>
        <v>308852.42000000004</v>
      </c>
      <c r="G44" s="195">
        <f t="shared" si="1"/>
        <v>-123350.29000000004</v>
      </c>
      <c r="H44" s="196">
        <f t="shared" si="2"/>
        <v>-1258.4399999999441</v>
      </c>
    </row>
    <row r="45" spans="1:8">
      <c r="A45" s="145">
        <f t="shared" si="0"/>
        <v>40</v>
      </c>
      <c r="B45" s="32" t="s">
        <v>718</v>
      </c>
      <c r="C45" s="197">
        <v>325178.15999999997</v>
      </c>
      <c r="D45" s="197">
        <v>1671.09</v>
      </c>
      <c r="E45" s="114">
        <v>98471</v>
      </c>
      <c r="F45" s="114">
        <v>1512.25</v>
      </c>
      <c r="G45" s="198">
        <f t="shared" si="1"/>
        <v>-226707.15999999997</v>
      </c>
      <c r="H45" s="199">
        <f t="shared" si="2"/>
        <v>-158.83999999999992</v>
      </c>
    </row>
    <row r="46" spans="1:8">
      <c r="A46" s="145">
        <f t="shared" si="0"/>
        <v>41</v>
      </c>
      <c r="B46" s="32" t="s">
        <v>717</v>
      </c>
      <c r="C46" s="197">
        <v>2175.6</v>
      </c>
      <c r="D46" s="197">
        <v>858.4</v>
      </c>
      <c r="E46" s="114">
        <v>6991.49</v>
      </c>
      <c r="F46" s="114">
        <v>2663</v>
      </c>
      <c r="G46" s="198">
        <f t="shared" si="1"/>
        <v>4815.8899999999994</v>
      </c>
      <c r="H46" s="199">
        <f t="shared" si="2"/>
        <v>1804.6</v>
      </c>
    </row>
    <row r="47" spans="1:8">
      <c r="A47" s="145">
        <f t="shared" si="0"/>
        <v>42</v>
      </c>
      <c r="B47" s="32" t="s">
        <v>719</v>
      </c>
      <c r="C47" s="197">
        <v>81653.69</v>
      </c>
      <c r="D47" s="197">
        <v>223.53</v>
      </c>
      <c r="E47" s="114">
        <v>93032.1</v>
      </c>
      <c r="F47" s="114">
        <v>60</v>
      </c>
      <c r="G47" s="198">
        <f t="shared" si="1"/>
        <v>11378.410000000003</v>
      </c>
      <c r="H47" s="199">
        <f t="shared" si="2"/>
        <v>-163.53</v>
      </c>
    </row>
    <row r="48" spans="1:8">
      <c r="A48" s="145">
        <f t="shared" si="0"/>
        <v>43</v>
      </c>
      <c r="B48" s="32" t="s">
        <v>720</v>
      </c>
      <c r="C48" s="197">
        <v>69286.679999999993</v>
      </c>
      <c r="D48" s="197">
        <v>102765.19</v>
      </c>
      <c r="E48" s="114">
        <v>43312.38</v>
      </c>
      <c r="F48" s="114">
        <v>136966.34</v>
      </c>
      <c r="G48" s="198">
        <f t="shared" si="1"/>
        <v>-25974.299999999996</v>
      </c>
      <c r="H48" s="199">
        <f t="shared" si="2"/>
        <v>34201.149999999994</v>
      </c>
    </row>
    <row r="49" spans="1:8">
      <c r="A49" s="145">
        <f t="shared" si="0"/>
        <v>44</v>
      </c>
      <c r="B49" s="32" t="s">
        <v>721</v>
      </c>
      <c r="C49" s="197">
        <v>89276.34</v>
      </c>
      <c r="D49" s="197">
        <v>8101.78</v>
      </c>
      <c r="E49" s="114">
        <f>87009.86-2844.74</f>
        <v>84165.119999999995</v>
      </c>
      <c r="F49" s="114">
        <v>7625.63</v>
      </c>
      <c r="G49" s="198">
        <f t="shared" si="1"/>
        <v>-5111.2200000000012</v>
      </c>
      <c r="H49" s="199">
        <f t="shared" si="2"/>
        <v>-476.14999999999964</v>
      </c>
    </row>
    <row r="50" spans="1:8">
      <c r="A50" s="145">
        <f t="shared" si="0"/>
        <v>45</v>
      </c>
      <c r="B50" s="32" t="s">
        <v>722</v>
      </c>
      <c r="C50" s="197">
        <v>5608.96</v>
      </c>
      <c r="D50" s="197">
        <v>584.87</v>
      </c>
      <c r="E50" s="114">
        <v>8391.5</v>
      </c>
      <c r="F50" s="114">
        <v>1977.12</v>
      </c>
      <c r="G50" s="198">
        <f t="shared" si="1"/>
        <v>2782.54</v>
      </c>
      <c r="H50" s="199">
        <f t="shared" si="2"/>
        <v>1392.25</v>
      </c>
    </row>
    <row r="51" spans="1:8">
      <c r="A51" s="145">
        <f t="shared" si="0"/>
        <v>46</v>
      </c>
      <c r="B51" s="32" t="s">
        <v>723</v>
      </c>
      <c r="C51" s="197">
        <v>52577.38</v>
      </c>
      <c r="D51" s="197">
        <v>1148.95</v>
      </c>
      <c r="E51" s="114">
        <v>55140.25</v>
      </c>
      <c r="F51" s="114">
        <v>1637.88</v>
      </c>
      <c r="G51" s="198">
        <f t="shared" si="1"/>
        <v>2562.8700000000026</v>
      </c>
      <c r="H51" s="199">
        <f t="shared" si="2"/>
        <v>488.93000000000006</v>
      </c>
    </row>
    <row r="52" spans="1:8">
      <c r="A52" s="145">
        <f t="shared" si="0"/>
        <v>47</v>
      </c>
      <c r="B52" s="32" t="s">
        <v>724</v>
      </c>
      <c r="C52" s="197">
        <v>85566.03</v>
      </c>
      <c r="D52" s="197">
        <v>188.66</v>
      </c>
      <c r="E52" s="114">
        <f>102476.14-1659.4</f>
        <v>100816.74</v>
      </c>
      <c r="F52" s="114"/>
      <c r="G52" s="198">
        <f t="shared" si="1"/>
        <v>15250.710000000006</v>
      </c>
      <c r="H52" s="199">
        <f t="shared" si="2"/>
        <v>-188.66</v>
      </c>
    </row>
    <row r="53" spans="1:8">
      <c r="A53" s="145">
        <f t="shared" si="0"/>
        <v>48</v>
      </c>
      <c r="B53" s="32" t="s">
        <v>725</v>
      </c>
      <c r="C53" s="197">
        <v>24190.6</v>
      </c>
      <c r="D53" s="197">
        <v>1596.91</v>
      </c>
      <c r="E53" s="114">
        <v>14672.96</v>
      </c>
      <c r="F53" s="114">
        <v>550.38</v>
      </c>
      <c r="G53" s="198">
        <f t="shared" si="1"/>
        <v>-9517.64</v>
      </c>
      <c r="H53" s="199">
        <f t="shared" si="2"/>
        <v>-1046.5300000000002</v>
      </c>
    </row>
    <row r="54" spans="1:8">
      <c r="A54" s="145">
        <f t="shared" si="0"/>
        <v>49</v>
      </c>
      <c r="B54" s="32" t="s">
        <v>726</v>
      </c>
      <c r="C54" s="197"/>
      <c r="D54" s="197"/>
      <c r="E54" s="114">
        <v>1010.55</v>
      </c>
      <c r="F54" s="114"/>
      <c r="G54" s="198">
        <f t="shared" si="1"/>
        <v>1010.55</v>
      </c>
      <c r="H54" s="199">
        <f t="shared" si="2"/>
        <v>0</v>
      </c>
    </row>
    <row r="55" spans="1:8">
      <c r="A55" s="145">
        <f t="shared" si="0"/>
        <v>50</v>
      </c>
      <c r="B55" s="32" t="s">
        <v>727</v>
      </c>
      <c r="C55" s="197">
        <v>13886.45</v>
      </c>
      <c r="D55" s="197">
        <v>235.56</v>
      </c>
      <c r="E55" s="114">
        <v>19487.11</v>
      </c>
      <c r="F55" s="114">
        <v>35.799999999999997</v>
      </c>
      <c r="G55" s="198">
        <f t="shared" si="1"/>
        <v>5600.66</v>
      </c>
      <c r="H55" s="199">
        <f t="shared" si="2"/>
        <v>-199.76</v>
      </c>
    </row>
    <row r="56" spans="1:8">
      <c r="A56" s="145">
        <f t="shared" si="0"/>
        <v>51</v>
      </c>
      <c r="B56" s="32" t="s">
        <v>669</v>
      </c>
      <c r="C56" s="197">
        <v>30307.95</v>
      </c>
      <c r="D56" s="197">
        <v>5781.69</v>
      </c>
      <c r="E56" s="114">
        <v>90901.47</v>
      </c>
      <c r="F56" s="114">
        <v>3453.09</v>
      </c>
      <c r="G56" s="198">
        <f t="shared" si="1"/>
        <v>60593.520000000004</v>
      </c>
      <c r="H56" s="199">
        <f t="shared" si="2"/>
        <v>-2328.5999999999995</v>
      </c>
    </row>
    <row r="57" spans="1:8">
      <c r="A57" s="145">
        <f t="shared" si="0"/>
        <v>52</v>
      </c>
      <c r="B57" s="32" t="s">
        <v>670</v>
      </c>
      <c r="C57" s="197"/>
      <c r="D57" s="197"/>
      <c r="E57" s="114"/>
      <c r="F57" s="114"/>
      <c r="G57" s="198">
        <f t="shared" si="1"/>
        <v>0</v>
      </c>
      <c r="H57" s="199">
        <f t="shared" si="2"/>
        <v>0</v>
      </c>
    </row>
    <row r="58" spans="1:8" ht="31.5">
      <c r="A58" s="145">
        <f t="shared" si="0"/>
        <v>53</v>
      </c>
      <c r="B58" s="32" t="s">
        <v>728</v>
      </c>
      <c r="C58" s="197">
        <v>782833.95</v>
      </c>
      <c r="D58" s="197">
        <v>111293.26</v>
      </c>
      <c r="E58" s="114">
        <v>993154.57</v>
      </c>
      <c r="F58" s="114">
        <v>75556.02</v>
      </c>
      <c r="G58" s="198">
        <f t="shared" si="1"/>
        <v>210320.62</v>
      </c>
      <c r="H58" s="199">
        <f t="shared" si="2"/>
        <v>-35737.239999999991</v>
      </c>
    </row>
    <row r="59" spans="1:8">
      <c r="A59" s="145">
        <f t="shared" si="0"/>
        <v>54</v>
      </c>
      <c r="B59" s="32" t="s">
        <v>729</v>
      </c>
      <c r="C59" s="197">
        <v>2367532.5099999998</v>
      </c>
      <c r="D59" s="197">
        <v>75660.97</v>
      </c>
      <c r="E59" s="114">
        <f>2198338.82-1162.05</f>
        <v>2197176.77</v>
      </c>
      <c r="F59" s="114">
        <v>76814.91</v>
      </c>
      <c r="G59" s="198">
        <f t="shared" si="1"/>
        <v>-170355.73999999976</v>
      </c>
      <c r="H59" s="199">
        <f t="shared" si="2"/>
        <v>1153.9400000000023</v>
      </c>
    </row>
    <row r="60" spans="1:8">
      <c r="A60" s="145">
        <f t="shared" si="0"/>
        <v>55</v>
      </c>
      <c r="B60" s="36" t="s">
        <v>819</v>
      </c>
      <c r="C60" s="162">
        <f>C61+C62</f>
        <v>13433972.529999999</v>
      </c>
      <c r="D60" s="195">
        <f>D61+D62</f>
        <v>311049.71999999997</v>
      </c>
      <c r="E60" s="195">
        <f>E61+E62</f>
        <v>14709860.789999999</v>
      </c>
      <c r="F60" s="195">
        <f>F61+F62</f>
        <v>348603.36</v>
      </c>
      <c r="G60" s="195">
        <f t="shared" si="1"/>
        <v>1275888.2599999998</v>
      </c>
      <c r="H60" s="196">
        <f t="shared" si="2"/>
        <v>37553.640000000014</v>
      </c>
    </row>
    <row r="61" spans="1:8">
      <c r="A61" s="145">
        <f t="shared" si="0"/>
        <v>56</v>
      </c>
      <c r="B61" s="32" t="s">
        <v>730</v>
      </c>
      <c r="C61" s="197">
        <v>12971472.01</v>
      </c>
      <c r="D61" s="197">
        <v>268845.62</v>
      </c>
      <c r="E61" s="114">
        <v>13759405.68</v>
      </c>
      <c r="F61" s="114">
        <v>290693.23</v>
      </c>
      <c r="G61" s="198">
        <f t="shared" si="1"/>
        <v>787933.66999999993</v>
      </c>
      <c r="H61" s="199">
        <f t="shared" si="2"/>
        <v>21847.609999999986</v>
      </c>
    </row>
    <row r="62" spans="1:8">
      <c r="A62" s="145">
        <f t="shared" si="0"/>
        <v>57</v>
      </c>
      <c r="B62" s="53" t="s">
        <v>601</v>
      </c>
      <c r="C62" s="162">
        <f>SUM(C63:C65)</f>
        <v>462500.52</v>
      </c>
      <c r="D62" s="195">
        <f>SUM(D63:D65)</f>
        <v>42204.100000000006</v>
      </c>
      <c r="E62" s="195">
        <f>SUM(E63:E65)</f>
        <v>950455.11</v>
      </c>
      <c r="F62" s="195">
        <f>SUM(F63:F65)</f>
        <v>57910.13</v>
      </c>
      <c r="G62" s="195">
        <f t="shared" si="1"/>
        <v>487954.58999999997</v>
      </c>
      <c r="H62" s="196">
        <f t="shared" si="2"/>
        <v>15706.029999999992</v>
      </c>
    </row>
    <row r="63" spans="1:8" s="188" customFormat="1" ht="16.5" customHeight="1">
      <c r="A63" s="145">
        <f t="shared" si="0"/>
        <v>58</v>
      </c>
      <c r="B63" s="80" t="s">
        <v>599</v>
      </c>
      <c r="C63" s="200"/>
      <c r="D63" s="201"/>
      <c r="E63" s="201">
        <v>0</v>
      </c>
      <c r="F63" s="201"/>
      <c r="G63" s="198">
        <f t="shared" si="1"/>
        <v>0</v>
      </c>
      <c r="H63" s="199">
        <f t="shared" si="2"/>
        <v>0</v>
      </c>
    </row>
    <row r="64" spans="1:8" ht="31.5">
      <c r="A64" s="145">
        <f t="shared" si="0"/>
        <v>59</v>
      </c>
      <c r="B64" s="80" t="s">
        <v>600</v>
      </c>
      <c r="C64" s="197">
        <v>431301.58</v>
      </c>
      <c r="D64" s="197">
        <v>41253.300000000003</v>
      </c>
      <c r="E64" s="114">
        <v>926050.92</v>
      </c>
      <c r="F64" s="114">
        <v>54479.07</v>
      </c>
      <c r="G64" s="198">
        <f t="shared" si="1"/>
        <v>494749.34</v>
      </c>
      <c r="H64" s="199">
        <f t="shared" si="2"/>
        <v>13225.769999999997</v>
      </c>
    </row>
    <row r="65" spans="1:8">
      <c r="A65" s="145">
        <f t="shared" si="0"/>
        <v>60</v>
      </c>
      <c r="B65" s="32" t="s">
        <v>841</v>
      </c>
      <c r="C65" s="197">
        <v>31198.94</v>
      </c>
      <c r="D65" s="197">
        <v>950.8</v>
      </c>
      <c r="E65" s="114">
        <v>24404.19</v>
      </c>
      <c r="F65" s="114">
        <v>3431.06</v>
      </c>
      <c r="G65" s="198">
        <f t="shared" si="1"/>
        <v>-6794.75</v>
      </c>
      <c r="H65" s="199">
        <f t="shared" si="2"/>
        <v>2480.2600000000002</v>
      </c>
    </row>
    <row r="66" spans="1:8">
      <c r="A66" s="145">
        <f t="shared" si="0"/>
        <v>61</v>
      </c>
      <c r="B66" s="36" t="s">
        <v>783</v>
      </c>
      <c r="C66" s="197">
        <v>4384819.5599999996</v>
      </c>
      <c r="D66" s="197">
        <v>92575.28</v>
      </c>
      <c r="E66" s="114">
        <v>4669564.83</v>
      </c>
      <c r="F66" s="114">
        <v>101683.44</v>
      </c>
      <c r="G66" s="198">
        <f t="shared" si="1"/>
        <v>284745.27000000048</v>
      </c>
      <c r="H66" s="199">
        <f t="shared" si="2"/>
        <v>9108.1600000000035</v>
      </c>
    </row>
    <row r="67" spans="1:8">
      <c r="A67" s="145">
        <f t="shared" si="0"/>
        <v>62</v>
      </c>
      <c r="B67" s="36" t="s">
        <v>615</v>
      </c>
      <c r="C67" s="197">
        <v>98025.08</v>
      </c>
      <c r="D67" s="197">
        <v>2844.61</v>
      </c>
      <c r="E67" s="114">
        <v>95632.03</v>
      </c>
      <c r="F67" s="114">
        <v>3142.76</v>
      </c>
      <c r="G67" s="198">
        <f t="shared" si="1"/>
        <v>-2393.0500000000029</v>
      </c>
      <c r="H67" s="199">
        <f t="shared" si="2"/>
        <v>298.15000000000009</v>
      </c>
    </row>
    <row r="68" spans="1:8">
      <c r="A68" s="145">
        <f t="shared" si="0"/>
        <v>63</v>
      </c>
      <c r="B68" s="36" t="s">
        <v>602</v>
      </c>
      <c r="C68" s="162">
        <f>SUM(C69:C74)</f>
        <v>433606.55</v>
      </c>
      <c r="D68" s="195">
        <f>SUM(D69:D74)</f>
        <v>3658.9599999999996</v>
      </c>
      <c r="E68" s="195">
        <f>SUM(E69:E74)</f>
        <v>504524.61</v>
      </c>
      <c r="F68" s="195">
        <f>SUM(F69:F74)</f>
        <v>4512.82</v>
      </c>
      <c r="G68" s="195">
        <f t="shared" si="1"/>
        <v>70918.06</v>
      </c>
      <c r="H68" s="196">
        <f t="shared" si="2"/>
        <v>853.86000000000013</v>
      </c>
    </row>
    <row r="69" spans="1:8">
      <c r="A69" s="145">
        <f t="shared" si="0"/>
        <v>64</v>
      </c>
      <c r="B69" s="32" t="s">
        <v>656</v>
      </c>
      <c r="C69" s="197">
        <v>138571.01</v>
      </c>
      <c r="D69" s="197">
        <v>3173.33</v>
      </c>
      <c r="E69" s="114">
        <v>147005.97</v>
      </c>
      <c r="F69" s="114">
        <v>3862.02</v>
      </c>
      <c r="G69" s="198">
        <f t="shared" si="1"/>
        <v>8434.9599999999919</v>
      </c>
      <c r="H69" s="199">
        <f t="shared" si="2"/>
        <v>688.69</v>
      </c>
    </row>
    <row r="70" spans="1:8">
      <c r="A70" s="145">
        <f t="shared" si="0"/>
        <v>65</v>
      </c>
      <c r="B70" s="32" t="s">
        <v>731</v>
      </c>
      <c r="C70" s="197">
        <v>239107.51</v>
      </c>
      <c r="D70" s="197">
        <v>77.739999999999995</v>
      </c>
      <c r="E70" s="114">
        <v>234514.55</v>
      </c>
      <c r="F70" s="114">
        <v>106.24</v>
      </c>
      <c r="G70" s="198">
        <f t="shared" si="1"/>
        <v>-4592.960000000021</v>
      </c>
      <c r="H70" s="199">
        <f t="shared" si="2"/>
        <v>28.5</v>
      </c>
    </row>
    <row r="71" spans="1:8">
      <c r="A71" s="145">
        <f t="shared" si="0"/>
        <v>66</v>
      </c>
      <c r="B71" s="32" t="s">
        <v>732</v>
      </c>
      <c r="C71" s="197">
        <v>33777.85</v>
      </c>
      <c r="D71" s="197"/>
      <c r="E71" s="114">
        <v>97077.440000000002</v>
      </c>
      <c r="F71" s="114"/>
      <c r="G71" s="198">
        <f t="shared" si="1"/>
        <v>63299.590000000004</v>
      </c>
      <c r="H71" s="199">
        <f t="shared" si="2"/>
        <v>0</v>
      </c>
    </row>
    <row r="72" spans="1:8">
      <c r="A72" s="145">
        <f t="shared" ref="A72:A80" si="3">A71+1</f>
        <v>67</v>
      </c>
      <c r="B72" s="32" t="s">
        <v>733</v>
      </c>
      <c r="C72" s="197">
        <v>21681.82</v>
      </c>
      <c r="D72" s="197">
        <v>407.89</v>
      </c>
      <c r="E72" s="114">
        <v>25551.43</v>
      </c>
      <c r="F72" s="114">
        <v>544.55999999999995</v>
      </c>
      <c r="G72" s="198">
        <f t="shared" ref="G72:G99" si="4">E72-C72</f>
        <v>3869.6100000000006</v>
      </c>
      <c r="H72" s="199">
        <f t="shared" ref="H72:H99" si="5">F72-D72</f>
        <v>136.66999999999996</v>
      </c>
    </row>
    <row r="73" spans="1:8">
      <c r="A73" s="145">
        <f t="shared" si="3"/>
        <v>68</v>
      </c>
      <c r="B73" s="32" t="s">
        <v>734</v>
      </c>
      <c r="C73" s="197">
        <v>468.36</v>
      </c>
      <c r="D73" s="197"/>
      <c r="E73" s="114">
        <v>375.22</v>
      </c>
      <c r="F73" s="114"/>
      <c r="G73" s="198">
        <f t="shared" si="4"/>
        <v>-93.139999999999986</v>
      </c>
      <c r="H73" s="199">
        <f t="shared" si="5"/>
        <v>0</v>
      </c>
    </row>
    <row r="74" spans="1:8">
      <c r="A74" s="145">
        <f t="shared" si="3"/>
        <v>69</v>
      </c>
      <c r="B74" s="32" t="s">
        <v>735</v>
      </c>
      <c r="C74" s="197"/>
      <c r="D74" s="197"/>
      <c r="E74" s="114"/>
      <c r="F74" s="114"/>
      <c r="G74" s="198">
        <f t="shared" si="4"/>
        <v>0</v>
      </c>
      <c r="H74" s="199">
        <f t="shared" si="5"/>
        <v>0</v>
      </c>
    </row>
    <row r="75" spans="1:8">
      <c r="A75" s="145">
        <f t="shared" si="3"/>
        <v>70</v>
      </c>
      <c r="B75" s="36" t="s">
        <v>628</v>
      </c>
      <c r="C75" s="197"/>
      <c r="D75" s="197"/>
      <c r="E75" s="114"/>
      <c r="F75" s="114"/>
      <c r="G75" s="198">
        <f t="shared" si="4"/>
        <v>0</v>
      </c>
      <c r="H75" s="199">
        <f t="shared" si="5"/>
        <v>0</v>
      </c>
    </row>
    <row r="76" spans="1:8">
      <c r="A76" s="145">
        <f t="shared" si="3"/>
        <v>71</v>
      </c>
      <c r="B76" s="36" t="s">
        <v>965</v>
      </c>
      <c r="C76" s="197"/>
      <c r="D76" s="197"/>
      <c r="E76" s="114"/>
      <c r="F76" s="114">
        <v>112.86</v>
      </c>
      <c r="G76" s="198">
        <f t="shared" si="4"/>
        <v>0</v>
      </c>
      <c r="H76" s="199">
        <f t="shared" si="5"/>
        <v>112.86</v>
      </c>
    </row>
    <row r="77" spans="1:8">
      <c r="A77" s="145">
        <f t="shared" si="3"/>
        <v>72</v>
      </c>
      <c r="B77" s="36" t="s">
        <v>785</v>
      </c>
      <c r="C77" s="197">
        <v>16023.38</v>
      </c>
      <c r="D77" s="197">
        <v>2288.17</v>
      </c>
      <c r="E77" s="114">
        <v>12805.37</v>
      </c>
      <c r="F77" s="114">
        <v>5774.17</v>
      </c>
      <c r="G77" s="198">
        <f t="shared" si="4"/>
        <v>-3218.0099999999984</v>
      </c>
      <c r="H77" s="199">
        <f t="shared" si="5"/>
        <v>3486</v>
      </c>
    </row>
    <row r="78" spans="1:8">
      <c r="A78" s="145">
        <f t="shared" si="3"/>
        <v>73</v>
      </c>
      <c r="B78" s="36" t="s">
        <v>889</v>
      </c>
      <c r="C78" s="197">
        <v>9634.0300000000007</v>
      </c>
      <c r="D78" s="197">
        <v>1413.09</v>
      </c>
      <c r="E78" s="114">
        <v>28127.03</v>
      </c>
      <c r="F78" s="114">
        <v>1593.93</v>
      </c>
      <c r="G78" s="198">
        <f t="shared" si="4"/>
        <v>18493</v>
      </c>
      <c r="H78" s="199">
        <f t="shared" si="5"/>
        <v>180.84000000000015</v>
      </c>
    </row>
    <row r="79" spans="1:8">
      <c r="A79" s="145">
        <f t="shared" si="3"/>
        <v>74</v>
      </c>
      <c r="B79" s="36" t="s">
        <v>603</v>
      </c>
      <c r="C79" s="162">
        <f>C80+C81</f>
        <v>1707582.56</v>
      </c>
      <c r="D79" s="162">
        <f>D80+D81</f>
        <v>1976.7399999999998</v>
      </c>
      <c r="E79" s="162">
        <f>E80+E81</f>
        <v>2111508.0799999996</v>
      </c>
      <c r="F79" s="162">
        <f>F80+F81</f>
        <v>3769.3700000000003</v>
      </c>
      <c r="G79" s="162">
        <f t="shared" si="4"/>
        <v>403925.51999999955</v>
      </c>
      <c r="H79" s="192">
        <f t="shared" si="5"/>
        <v>1792.6300000000006</v>
      </c>
    </row>
    <row r="80" spans="1:8" ht="31.5">
      <c r="A80" s="145">
        <f t="shared" si="3"/>
        <v>75</v>
      </c>
      <c r="B80" s="36" t="s">
        <v>843</v>
      </c>
      <c r="C80" s="162">
        <f>977.08+4660.62+82.67+81395.45+3342.16</f>
        <v>90457.98</v>
      </c>
      <c r="D80" s="162">
        <v>548.34</v>
      </c>
      <c r="E80" s="162">
        <v>76920.34</v>
      </c>
      <c r="F80" s="162">
        <v>0.02</v>
      </c>
      <c r="G80" s="167">
        <f t="shared" si="4"/>
        <v>-13537.64</v>
      </c>
      <c r="H80" s="191">
        <f t="shared" si="5"/>
        <v>-548.32000000000005</v>
      </c>
    </row>
    <row r="81" spans="1:8">
      <c r="A81" s="145">
        <f t="shared" ref="A81:A100" si="6">A80+1</f>
        <v>76</v>
      </c>
      <c r="B81" s="53" t="s">
        <v>604</v>
      </c>
      <c r="C81" s="162">
        <f>SUM(C82:C88)</f>
        <v>1617124.58</v>
      </c>
      <c r="D81" s="162">
        <f>SUM(D82:D88)</f>
        <v>1428.3999999999999</v>
      </c>
      <c r="E81" s="162">
        <f>SUM(E82:E88)</f>
        <v>2034587.7399999998</v>
      </c>
      <c r="F81" s="162">
        <f>SUM(F82:F88)</f>
        <v>3769.3500000000004</v>
      </c>
      <c r="G81" s="162">
        <f t="shared" si="4"/>
        <v>417463.15999999968</v>
      </c>
      <c r="H81" s="192">
        <f t="shared" si="5"/>
        <v>2340.9500000000007</v>
      </c>
    </row>
    <row r="82" spans="1:8">
      <c r="A82" s="145">
        <f t="shared" si="6"/>
        <v>77</v>
      </c>
      <c r="B82" s="32" t="s">
        <v>736</v>
      </c>
      <c r="C82" s="202">
        <v>1411596.39</v>
      </c>
      <c r="D82" s="202"/>
      <c r="E82" s="131">
        <v>1712262.91</v>
      </c>
      <c r="F82" s="131"/>
      <c r="G82" s="167">
        <f t="shared" si="4"/>
        <v>300666.52</v>
      </c>
      <c r="H82" s="191">
        <f t="shared" si="5"/>
        <v>0</v>
      </c>
    </row>
    <row r="83" spans="1:8">
      <c r="A83" s="145">
        <f t="shared" si="6"/>
        <v>78</v>
      </c>
      <c r="B83" s="32" t="s">
        <v>737</v>
      </c>
      <c r="C83" s="202">
        <v>5112.37</v>
      </c>
      <c r="D83" s="202">
        <v>156.94999999999999</v>
      </c>
      <c r="E83" s="131">
        <v>5754.58</v>
      </c>
      <c r="F83" s="131">
        <v>193.1</v>
      </c>
      <c r="G83" s="167">
        <f t="shared" si="4"/>
        <v>642.21</v>
      </c>
      <c r="H83" s="191">
        <f t="shared" si="5"/>
        <v>36.150000000000006</v>
      </c>
    </row>
    <row r="84" spans="1:8">
      <c r="A84" s="145">
        <f t="shared" si="6"/>
        <v>79</v>
      </c>
      <c r="B84" s="32" t="s">
        <v>738</v>
      </c>
      <c r="C84" s="202">
        <v>5.05</v>
      </c>
      <c r="D84" s="202"/>
      <c r="E84" s="131"/>
      <c r="F84" s="131"/>
      <c r="G84" s="167">
        <f t="shared" si="4"/>
        <v>-5.05</v>
      </c>
      <c r="H84" s="191">
        <f t="shared" si="5"/>
        <v>0</v>
      </c>
    </row>
    <row r="85" spans="1:8">
      <c r="A85" s="145">
        <f t="shared" si="6"/>
        <v>80</v>
      </c>
      <c r="B85" s="32" t="s">
        <v>739</v>
      </c>
      <c r="C85" s="202">
        <v>18540.189999999999</v>
      </c>
      <c r="D85" s="202">
        <v>878.62</v>
      </c>
      <c r="E85" s="131">
        <v>31696.48</v>
      </c>
      <c r="F85" s="131">
        <v>865.6</v>
      </c>
      <c r="G85" s="167">
        <f t="shared" si="4"/>
        <v>13156.29</v>
      </c>
      <c r="H85" s="191">
        <f t="shared" si="5"/>
        <v>-13.019999999999982</v>
      </c>
    </row>
    <row r="86" spans="1:8">
      <c r="A86" s="145">
        <f t="shared" si="6"/>
        <v>81</v>
      </c>
      <c r="B86" s="32" t="s">
        <v>740</v>
      </c>
      <c r="C86" s="202">
        <v>4531</v>
      </c>
      <c r="D86" s="202"/>
      <c r="E86" s="131">
        <v>6409.89</v>
      </c>
      <c r="F86" s="131"/>
      <c r="G86" s="167">
        <f t="shared" si="4"/>
        <v>1878.8900000000003</v>
      </c>
      <c r="H86" s="191">
        <f t="shared" si="5"/>
        <v>0</v>
      </c>
    </row>
    <row r="87" spans="1:8">
      <c r="A87" s="145">
        <f t="shared" si="6"/>
        <v>82</v>
      </c>
      <c r="B87" s="32" t="s">
        <v>741</v>
      </c>
      <c r="C87" s="202">
        <v>12885.28</v>
      </c>
      <c r="D87" s="202"/>
      <c r="E87" s="131">
        <v>46381.46</v>
      </c>
      <c r="F87" s="131"/>
      <c r="G87" s="167">
        <f t="shared" si="4"/>
        <v>33496.18</v>
      </c>
      <c r="H87" s="191">
        <f t="shared" si="5"/>
        <v>0</v>
      </c>
    </row>
    <row r="88" spans="1:8">
      <c r="A88" s="145">
        <f t="shared" si="6"/>
        <v>83</v>
      </c>
      <c r="B88" s="32" t="s">
        <v>769</v>
      </c>
      <c r="C88" s="202">
        <v>164454.29999999999</v>
      </c>
      <c r="D88" s="202">
        <v>392.83</v>
      </c>
      <c r="E88" s="131">
        <v>232082.42</v>
      </c>
      <c r="F88" s="131">
        <v>2710.65</v>
      </c>
      <c r="G88" s="167">
        <f t="shared" si="4"/>
        <v>67628.120000000024</v>
      </c>
      <c r="H88" s="191">
        <f t="shared" si="5"/>
        <v>2317.8200000000002</v>
      </c>
    </row>
    <row r="89" spans="1:8" ht="31.5">
      <c r="A89" s="145">
        <f t="shared" si="6"/>
        <v>84</v>
      </c>
      <c r="B89" s="36" t="s">
        <v>605</v>
      </c>
      <c r="C89" s="162">
        <f>SUM(C90:C96)</f>
        <v>1617155.1899999997</v>
      </c>
      <c r="D89" s="162">
        <f>SUM(D90:D96)</f>
        <v>37013.800000000003</v>
      </c>
      <c r="E89" s="162">
        <f>SUM(E90:E96)</f>
        <v>2485647.4700000002</v>
      </c>
      <c r="F89" s="162">
        <f>SUM(F90:F96)</f>
        <v>26037</v>
      </c>
      <c r="G89" s="162">
        <f t="shared" si="4"/>
        <v>868492.28000000049</v>
      </c>
      <c r="H89" s="192">
        <f t="shared" si="5"/>
        <v>-10976.800000000003</v>
      </c>
    </row>
    <row r="90" spans="1:8" ht="31.5">
      <c r="A90" s="145">
        <f t="shared" si="6"/>
        <v>85</v>
      </c>
      <c r="B90" s="32" t="s">
        <v>1040</v>
      </c>
      <c r="C90" s="202">
        <v>1155554.6499999999</v>
      </c>
      <c r="D90" s="202">
        <v>0</v>
      </c>
      <c r="E90" s="131">
        <f>960323.34+568308.89</f>
        <v>1528632.23</v>
      </c>
      <c r="F90" s="131"/>
      <c r="G90" s="167">
        <f t="shared" si="4"/>
        <v>373077.58000000007</v>
      </c>
      <c r="H90" s="191">
        <f t="shared" si="5"/>
        <v>0</v>
      </c>
    </row>
    <row r="91" spans="1:8">
      <c r="A91" s="145">
        <f t="shared" si="6"/>
        <v>86</v>
      </c>
      <c r="B91" s="32" t="s">
        <v>1039</v>
      </c>
      <c r="C91" s="202">
        <v>397964.47</v>
      </c>
      <c r="D91" s="202">
        <v>37013.800000000003</v>
      </c>
      <c r="E91" s="131">
        <v>828528.35</v>
      </c>
      <c r="F91" s="131">
        <v>26037</v>
      </c>
      <c r="G91" s="167">
        <f t="shared" si="4"/>
        <v>430563.88</v>
      </c>
      <c r="H91" s="191">
        <f t="shared" si="5"/>
        <v>-10976.800000000003</v>
      </c>
    </row>
    <row r="92" spans="1:8">
      <c r="A92" s="145">
        <f t="shared" si="6"/>
        <v>87</v>
      </c>
      <c r="B92" s="32" t="s">
        <v>760</v>
      </c>
      <c r="C92" s="202">
        <v>33547.18</v>
      </c>
      <c r="D92" s="202"/>
      <c r="E92" s="131">
        <v>77009.89</v>
      </c>
      <c r="F92" s="131"/>
      <c r="G92" s="167">
        <f t="shared" si="4"/>
        <v>43462.71</v>
      </c>
      <c r="H92" s="191">
        <f t="shared" si="5"/>
        <v>0</v>
      </c>
    </row>
    <row r="93" spans="1:8">
      <c r="A93" s="145">
        <f t="shared" si="6"/>
        <v>88</v>
      </c>
      <c r="B93" s="32" t="s">
        <v>764</v>
      </c>
      <c r="C93" s="202"/>
      <c r="D93" s="202"/>
      <c r="E93" s="131"/>
      <c r="F93" s="131"/>
      <c r="G93" s="167">
        <f t="shared" si="4"/>
        <v>0</v>
      </c>
      <c r="H93" s="191">
        <f t="shared" si="5"/>
        <v>0</v>
      </c>
    </row>
    <row r="94" spans="1:8">
      <c r="A94" s="145">
        <f t="shared" si="6"/>
        <v>89</v>
      </c>
      <c r="B94" s="32" t="s">
        <v>765</v>
      </c>
      <c r="C94" s="202">
        <v>30088.89</v>
      </c>
      <c r="D94" s="202"/>
      <c r="E94" s="131">
        <v>51477</v>
      </c>
      <c r="F94" s="131"/>
      <c r="G94" s="167">
        <f t="shared" si="4"/>
        <v>21388.11</v>
      </c>
      <c r="H94" s="191">
        <f t="shared" si="5"/>
        <v>0</v>
      </c>
    </row>
    <row r="95" spans="1:8">
      <c r="A95" s="145">
        <f t="shared" si="6"/>
        <v>90</v>
      </c>
      <c r="B95" s="32" t="s">
        <v>766</v>
      </c>
      <c r="C95" s="202"/>
      <c r="D95" s="202"/>
      <c r="E95" s="131"/>
      <c r="F95" s="131"/>
      <c r="G95" s="167">
        <f t="shared" si="4"/>
        <v>0</v>
      </c>
      <c r="H95" s="191">
        <f t="shared" si="5"/>
        <v>0</v>
      </c>
    </row>
    <row r="96" spans="1:8">
      <c r="A96" s="145">
        <f t="shared" si="6"/>
        <v>91</v>
      </c>
      <c r="B96" s="32" t="s">
        <v>767</v>
      </c>
      <c r="C96" s="202"/>
      <c r="D96" s="202"/>
      <c r="E96" s="131"/>
      <c r="F96" s="131"/>
      <c r="G96" s="167">
        <f t="shared" si="4"/>
        <v>0</v>
      </c>
      <c r="H96" s="191">
        <f t="shared" si="5"/>
        <v>0</v>
      </c>
    </row>
    <row r="97" spans="1:9">
      <c r="A97" s="145">
        <f t="shared" si="6"/>
        <v>92</v>
      </c>
      <c r="B97" s="53" t="s">
        <v>851</v>
      </c>
      <c r="C97" s="202">
        <v>3650</v>
      </c>
      <c r="D97" s="202"/>
      <c r="E97" s="131">
        <v>10678.39</v>
      </c>
      <c r="F97" s="131"/>
      <c r="G97" s="167">
        <f t="shared" si="4"/>
        <v>7028.3899999999994</v>
      </c>
      <c r="H97" s="191">
        <f t="shared" si="5"/>
        <v>0</v>
      </c>
    </row>
    <row r="98" spans="1:9">
      <c r="A98" s="145" t="s">
        <v>44</v>
      </c>
      <c r="B98" s="53" t="s">
        <v>15</v>
      </c>
      <c r="C98" s="202">
        <v>654049.97</v>
      </c>
      <c r="D98" s="202">
        <v>45008.42</v>
      </c>
      <c r="E98" s="131">
        <v>1081293.32</v>
      </c>
      <c r="F98" s="131">
        <v>55668.07</v>
      </c>
      <c r="G98" s="167">
        <f t="shared" si="4"/>
        <v>427243.35000000009</v>
      </c>
      <c r="H98" s="191">
        <f t="shared" si="5"/>
        <v>10659.650000000001</v>
      </c>
    </row>
    <row r="99" spans="1:9">
      <c r="A99" s="145">
        <f>A97+1</f>
        <v>93</v>
      </c>
      <c r="B99" s="36" t="s">
        <v>868</v>
      </c>
      <c r="C99" s="202">
        <v>14702.68</v>
      </c>
      <c r="D99" s="202">
        <v>30215.61</v>
      </c>
      <c r="E99" s="131">
        <v>141633.81</v>
      </c>
      <c r="F99" s="131">
        <f>40696.12+23.8</f>
        <v>40719.920000000006</v>
      </c>
      <c r="G99" s="167">
        <f t="shared" si="4"/>
        <v>126931.13</v>
      </c>
      <c r="H99" s="191">
        <f t="shared" si="5"/>
        <v>10504.310000000005</v>
      </c>
    </row>
    <row r="100" spans="1:9" ht="32.25" thickBot="1">
      <c r="A100" s="76">
        <f t="shared" si="6"/>
        <v>94</v>
      </c>
      <c r="B100" s="33" t="s">
        <v>606</v>
      </c>
      <c r="C100" s="134">
        <f>C6+C19+C27+C32+C40+C43+C44+C60+C66+C67+C68+SUM(C75:C79)+C89+C97+C99</f>
        <v>31085594.719999995</v>
      </c>
      <c r="D100" s="134">
        <f>D6+D19+D27+D32+D40+D43+D44+D60+D66+D67+D68+SUM(D75:D79)+D89+D97+D99</f>
        <v>1062695.7</v>
      </c>
      <c r="E100" s="134">
        <f>E6+E19+E27+E32+E40+E43+E44+E60+E66+E67+E68+SUM(E75:E79)+E89+E97+E99</f>
        <v>34762972.020000003</v>
      </c>
      <c r="F100" s="134">
        <f>F6+F19+F27+F32+F40+F43+F44+F60+F66+F67+F68+SUM(F75:F79)+F89+F97+F99</f>
        <v>1182253.27</v>
      </c>
      <c r="G100" s="134">
        <f>E100-C100</f>
        <v>3677377.3000000082</v>
      </c>
      <c r="H100" s="203">
        <f>F100-D100</f>
        <v>119557.57000000007</v>
      </c>
      <c r="I100" s="204"/>
    </row>
    <row r="101" spans="1:9">
      <c r="A101" s="205"/>
      <c r="E101" s="207"/>
      <c r="F101" s="207"/>
    </row>
    <row r="102" spans="1:9" s="188" customFormat="1" ht="27" customHeight="1">
      <c r="A102" s="503" t="s">
        <v>768</v>
      </c>
      <c r="B102" s="504"/>
      <c r="C102" s="504"/>
      <c r="D102" s="504"/>
      <c r="E102" s="504"/>
      <c r="F102" s="504"/>
      <c r="G102" s="504"/>
      <c r="H102" s="505"/>
    </row>
    <row r="103" spans="1:9">
      <c r="E103" s="208"/>
      <c r="F103" s="208"/>
    </row>
    <row r="104" spans="1:9">
      <c r="E104" s="207"/>
      <c r="F104" s="208"/>
    </row>
    <row r="972" spans="6:6">
      <c r="F972" s="24" t="s">
        <v>38</v>
      </c>
    </row>
    <row r="991" spans="4:4">
      <c r="D991" s="24" t="s">
        <v>588</v>
      </c>
    </row>
  </sheetData>
  <mergeCells count="8">
    <mergeCell ref="A102:H102"/>
    <mergeCell ref="A1:H1"/>
    <mergeCell ref="A3:A4"/>
    <mergeCell ref="B3:B4"/>
    <mergeCell ref="C3:D3"/>
    <mergeCell ref="E3:F3"/>
    <mergeCell ref="G3:H3"/>
    <mergeCell ref="A2:H2"/>
  </mergeCells>
  <phoneticPr fontId="0" type="noConversion"/>
  <printOptions gridLines="1"/>
  <pageMargins left="0.74803149606299213" right="0.74803149606299213" top="0.43" bottom="0.39370078740157483" header="0.39" footer="0.23622047244094491"/>
  <pageSetup paperSize="9" scale="69" fitToWidth="3" fitToHeight="3" orientation="landscape" r:id="rId1"/>
  <headerFooter alignWithMargins="0"/>
  <rowBreaks count="1" manualBreakCount="1">
    <brk id="3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M33"/>
  <sheetViews>
    <sheetView workbookViewId="0">
      <pane xSplit="2" ySplit="6" topLeftCell="F22" activePane="bottomRight" state="frozen"/>
      <selection pane="topRight"/>
      <selection pane="bottomLeft"/>
      <selection pane="bottomRight" activeCell="B3" sqref="B3:B5"/>
    </sheetView>
  </sheetViews>
  <sheetFormatPr defaultRowHeight="15.75"/>
  <cols>
    <col min="1" max="1" width="5.5703125" style="221" customWidth="1"/>
    <col min="2" max="2" width="62.5703125" style="222" bestFit="1" customWidth="1"/>
    <col min="3" max="3" width="14.7109375" style="64" customWidth="1"/>
    <col min="4" max="4" width="14" style="64" customWidth="1"/>
    <col min="5" max="5" width="16.85546875" style="64" customWidth="1"/>
    <col min="6" max="6" width="15.7109375" style="64" customWidth="1"/>
    <col min="7" max="7" width="19.140625" style="64" customWidth="1"/>
    <col min="8" max="8" width="18.7109375" style="64" customWidth="1"/>
    <col min="9" max="9" width="17.7109375" style="64" customWidth="1"/>
    <col min="10" max="10" width="17.7109375" style="64" bestFit="1" customWidth="1"/>
    <col min="11" max="11" width="9.140625" style="64"/>
    <col min="12" max="12" width="11.42578125" style="209" bestFit="1" customWidth="1"/>
    <col min="13" max="13" width="11" style="64" bestFit="1" customWidth="1"/>
    <col min="14" max="16384" width="9.140625" style="64"/>
  </cols>
  <sheetData>
    <row r="1" spans="1:13" ht="35.1" customHeight="1">
      <c r="A1" s="516" t="s">
        <v>523</v>
      </c>
      <c r="B1" s="517"/>
      <c r="C1" s="517"/>
      <c r="D1" s="517"/>
      <c r="E1" s="517"/>
      <c r="F1" s="517"/>
      <c r="G1" s="517"/>
      <c r="H1" s="517"/>
      <c r="I1" s="517"/>
      <c r="J1" s="518"/>
    </row>
    <row r="2" spans="1:13" ht="35.450000000000003" customHeight="1">
      <c r="A2" s="499" t="s">
        <v>50</v>
      </c>
      <c r="B2" s="500"/>
      <c r="C2" s="500"/>
      <c r="D2" s="500"/>
      <c r="E2" s="500"/>
      <c r="F2" s="500"/>
      <c r="G2" s="500"/>
      <c r="H2" s="500"/>
      <c r="I2" s="500"/>
      <c r="J2" s="501"/>
    </row>
    <row r="3" spans="1:13" ht="42.75" customHeight="1">
      <c r="A3" s="519" t="s">
        <v>812</v>
      </c>
      <c r="B3" s="520" t="s">
        <v>830</v>
      </c>
      <c r="C3" s="521" t="s">
        <v>524</v>
      </c>
      <c r="D3" s="521"/>
      <c r="E3" s="521"/>
      <c r="F3" s="521"/>
      <c r="G3" s="522" t="s">
        <v>829</v>
      </c>
      <c r="H3" s="522" t="s">
        <v>893</v>
      </c>
      <c r="I3" s="522" t="s">
        <v>814</v>
      </c>
      <c r="J3" s="523" t="s">
        <v>815</v>
      </c>
    </row>
    <row r="4" spans="1:13" ht="34.5" customHeight="1">
      <c r="A4" s="519"/>
      <c r="B4" s="520"/>
      <c r="C4" s="521" t="s">
        <v>825</v>
      </c>
      <c r="D4" s="3" t="s">
        <v>893</v>
      </c>
      <c r="E4" s="521" t="s">
        <v>826</v>
      </c>
      <c r="F4" s="521" t="s">
        <v>789</v>
      </c>
      <c r="G4" s="522"/>
      <c r="H4" s="522"/>
      <c r="I4" s="522"/>
      <c r="J4" s="523"/>
    </row>
    <row r="5" spans="1:13" s="210" customFormat="1" ht="63">
      <c r="A5" s="519"/>
      <c r="B5" s="520"/>
      <c r="C5" s="521"/>
      <c r="D5" s="3" t="s">
        <v>584</v>
      </c>
      <c r="E5" s="521"/>
      <c r="F5" s="521"/>
      <c r="G5" s="522"/>
      <c r="H5" s="117" t="s">
        <v>585</v>
      </c>
      <c r="I5" s="522"/>
      <c r="J5" s="523"/>
      <c r="L5" s="211"/>
    </row>
    <row r="6" spans="1:13" s="212" customFormat="1" ht="18" customHeight="1">
      <c r="A6" s="79"/>
      <c r="B6" s="34"/>
      <c r="C6" s="3" t="s">
        <v>878</v>
      </c>
      <c r="D6" s="3" t="s">
        <v>879</v>
      </c>
      <c r="E6" s="3" t="s">
        <v>880</v>
      </c>
      <c r="F6" s="3" t="s">
        <v>790</v>
      </c>
      <c r="G6" s="117" t="s">
        <v>881</v>
      </c>
      <c r="H6" s="117" t="s">
        <v>882</v>
      </c>
      <c r="I6" s="117" t="s">
        <v>883</v>
      </c>
      <c r="J6" s="135" t="s">
        <v>791</v>
      </c>
      <c r="L6" s="213"/>
    </row>
    <row r="7" spans="1:13" s="142" customFormat="1">
      <c r="A7" s="21">
        <v>1</v>
      </c>
      <c r="B7" s="34" t="s">
        <v>874</v>
      </c>
      <c r="C7" s="195">
        <f>SUM(C8:C12)</f>
        <v>550.16</v>
      </c>
      <c r="D7" s="195">
        <f>SUM(D8:D12)</f>
        <v>547.08000000000004</v>
      </c>
      <c r="E7" s="195">
        <f>SUM(E8:E12)</f>
        <v>33.709999999999994</v>
      </c>
      <c r="F7" s="162">
        <f t="shared" ref="F7:F13" si="0">C7+E7</f>
        <v>583.87</v>
      </c>
      <c r="G7" s="162">
        <f>SUM(G8:G12)</f>
        <v>7008852.7699999996</v>
      </c>
      <c r="H7" s="162">
        <f>SUM(H8:H12)</f>
        <v>6679145.9399999995</v>
      </c>
      <c r="I7" s="162">
        <f>SUM(I8:I12)</f>
        <v>1285078.4299999997</v>
      </c>
      <c r="J7" s="192">
        <f t="shared" ref="J7:J13" si="1">G7+I7</f>
        <v>8293931.1999999993</v>
      </c>
      <c r="L7" s="141"/>
      <c r="M7" s="141"/>
    </row>
    <row r="8" spans="1:13">
      <c r="A8" s="21">
        <v>2</v>
      </c>
      <c r="B8" s="26" t="s">
        <v>831</v>
      </c>
      <c r="C8" s="214">
        <v>88.55</v>
      </c>
      <c r="D8" s="214">
        <v>87.65</v>
      </c>
      <c r="E8" s="214">
        <v>13.12</v>
      </c>
      <c r="F8" s="162">
        <f t="shared" si="0"/>
        <v>101.67</v>
      </c>
      <c r="G8" s="215">
        <v>1754372.21</v>
      </c>
      <c r="H8" s="215">
        <v>1590130</v>
      </c>
      <c r="I8" s="215">
        <v>471218.73</v>
      </c>
      <c r="J8" s="192">
        <f t="shared" si="1"/>
        <v>2225590.94</v>
      </c>
      <c r="M8" s="141"/>
    </row>
    <row r="9" spans="1:13">
      <c r="A9" s="21">
        <v>3</v>
      </c>
      <c r="B9" s="26" t="s">
        <v>832</v>
      </c>
      <c r="C9" s="214">
        <v>102.26</v>
      </c>
      <c r="D9" s="214">
        <v>101.88</v>
      </c>
      <c r="E9" s="214">
        <v>4.83</v>
      </c>
      <c r="F9" s="162">
        <f t="shared" si="0"/>
        <v>107.09</v>
      </c>
      <c r="G9" s="215">
        <v>1482619.42</v>
      </c>
      <c r="H9" s="215">
        <v>1409451.95</v>
      </c>
      <c r="I9" s="215">
        <v>225060.83</v>
      </c>
      <c r="J9" s="192">
        <f t="shared" si="1"/>
        <v>1707680.25</v>
      </c>
      <c r="M9" s="141"/>
    </row>
    <row r="10" spans="1:13">
      <c r="A10" s="21">
        <v>4</v>
      </c>
      <c r="B10" s="26" t="s">
        <v>833</v>
      </c>
      <c r="C10" s="214">
        <v>301.7</v>
      </c>
      <c r="D10" s="214">
        <v>300</v>
      </c>
      <c r="E10" s="214">
        <v>12.37</v>
      </c>
      <c r="F10" s="162">
        <f t="shared" si="0"/>
        <v>314.07</v>
      </c>
      <c r="G10" s="215">
        <v>3262746.91</v>
      </c>
      <c r="H10" s="215">
        <v>3174173.82</v>
      </c>
      <c r="I10" s="215">
        <v>518996.97</v>
      </c>
      <c r="J10" s="192">
        <f t="shared" si="1"/>
        <v>3781743.88</v>
      </c>
      <c r="M10" s="141"/>
    </row>
    <row r="11" spans="1:13">
      <c r="A11" s="21">
        <v>5</v>
      </c>
      <c r="B11" s="26" t="s">
        <v>834</v>
      </c>
      <c r="C11" s="214">
        <v>39.299999999999997</v>
      </c>
      <c r="D11" s="214">
        <v>39.200000000000003</v>
      </c>
      <c r="E11" s="214">
        <v>3.09</v>
      </c>
      <c r="F11" s="162">
        <f t="shared" si="0"/>
        <v>42.39</v>
      </c>
      <c r="G11" s="215">
        <v>340237.3</v>
      </c>
      <c r="H11" s="215">
        <v>337765.24</v>
      </c>
      <c r="I11" s="215">
        <v>56107.27</v>
      </c>
      <c r="J11" s="192">
        <f t="shared" si="1"/>
        <v>396344.57</v>
      </c>
      <c r="M11" s="141"/>
    </row>
    <row r="12" spans="1:13">
      <c r="A12" s="21">
        <v>6</v>
      </c>
      <c r="B12" s="26" t="s">
        <v>835</v>
      </c>
      <c r="C12" s="214">
        <v>18.350000000000001</v>
      </c>
      <c r="D12" s="214">
        <v>18.350000000000001</v>
      </c>
      <c r="E12" s="214">
        <v>0.3</v>
      </c>
      <c r="F12" s="162">
        <f t="shared" si="0"/>
        <v>18.650000000000002</v>
      </c>
      <c r="G12" s="215">
        <v>168876.93</v>
      </c>
      <c r="H12" s="215">
        <v>167624.93</v>
      </c>
      <c r="I12" s="215">
        <v>13694.63</v>
      </c>
      <c r="J12" s="192">
        <f t="shared" si="1"/>
        <v>182571.56</v>
      </c>
      <c r="M12" s="141"/>
    </row>
    <row r="13" spans="1:13">
      <c r="A13" s="21">
        <v>7</v>
      </c>
      <c r="B13" s="34" t="s">
        <v>639</v>
      </c>
      <c r="C13" s="214">
        <v>167.46</v>
      </c>
      <c r="D13" s="214">
        <v>158.57</v>
      </c>
      <c r="E13" s="214">
        <v>25.56</v>
      </c>
      <c r="F13" s="162">
        <f t="shared" si="0"/>
        <v>193.02</v>
      </c>
      <c r="G13" s="215">
        <v>1272016.33</v>
      </c>
      <c r="H13" s="215">
        <v>1161359.19</v>
      </c>
      <c r="I13" s="215">
        <v>302915.59000000003</v>
      </c>
      <c r="J13" s="192">
        <f t="shared" si="1"/>
        <v>1574931.9200000002</v>
      </c>
      <c r="M13" s="141"/>
    </row>
    <row r="14" spans="1:13">
      <c r="A14" s="21"/>
      <c r="B14" s="26" t="s">
        <v>893</v>
      </c>
      <c r="C14" s="214"/>
      <c r="D14" s="214"/>
      <c r="E14" s="214"/>
      <c r="F14" s="162"/>
      <c r="G14" s="216"/>
      <c r="H14" s="216"/>
      <c r="I14" s="216"/>
      <c r="J14" s="192"/>
      <c r="M14" s="141"/>
    </row>
    <row r="15" spans="1:13">
      <c r="A15" s="21">
        <v>8</v>
      </c>
      <c r="B15" s="26" t="s">
        <v>643</v>
      </c>
      <c r="C15" s="214">
        <v>31</v>
      </c>
      <c r="D15" s="214">
        <v>31</v>
      </c>
      <c r="E15" s="214">
        <v>6</v>
      </c>
      <c r="F15" s="162">
        <f t="shared" ref="F15:F21" si="2">C15+E15</f>
        <v>37</v>
      </c>
      <c r="G15" s="215">
        <v>294292</v>
      </c>
      <c r="H15" s="215">
        <v>294292</v>
      </c>
      <c r="I15" s="215">
        <v>66032</v>
      </c>
      <c r="J15" s="192">
        <f t="shared" ref="J15:J21" si="3">G15+I15</f>
        <v>360324</v>
      </c>
      <c r="M15" s="141"/>
    </row>
    <row r="16" spans="1:13">
      <c r="A16" s="21">
        <v>9</v>
      </c>
      <c r="B16" s="34" t="s">
        <v>875</v>
      </c>
      <c r="C16" s="195">
        <v>167.95</v>
      </c>
      <c r="D16" s="195">
        <v>167.95</v>
      </c>
      <c r="E16" s="195">
        <v>15.49</v>
      </c>
      <c r="F16" s="162">
        <f t="shared" si="2"/>
        <v>183.44</v>
      </c>
      <c r="G16" s="162">
        <f>SUM(G17:G19)</f>
        <v>1321519.93</v>
      </c>
      <c r="H16" s="162">
        <f>SUM(H17:H19)</f>
        <v>1296848.7</v>
      </c>
      <c r="I16" s="162">
        <f>SUM(I17:I19)</f>
        <v>212498.66</v>
      </c>
      <c r="J16" s="192">
        <f t="shared" si="3"/>
        <v>1534018.5899999999</v>
      </c>
      <c r="M16" s="141"/>
    </row>
    <row r="17" spans="1:13">
      <c r="A17" s="21">
        <v>10</v>
      </c>
      <c r="B17" s="26" t="s">
        <v>836</v>
      </c>
      <c r="C17" s="214">
        <v>57.15</v>
      </c>
      <c r="D17" s="214">
        <v>57.13</v>
      </c>
      <c r="E17" s="214">
        <v>1.45</v>
      </c>
      <c r="F17" s="162">
        <f t="shared" si="2"/>
        <v>58.6</v>
      </c>
      <c r="G17" s="215">
        <v>531475</v>
      </c>
      <c r="H17" s="215">
        <v>515741</v>
      </c>
      <c r="I17" s="215">
        <v>24947</v>
      </c>
      <c r="J17" s="192">
        <f t="shared" si="3"/>
        <v>556422</v>
      </c>
      <c r="M17" s="141"/>
    </row>
    <row r="18" spans="1:13">
      <c r="A18" s="21">
        <v>11</v>
      </c>
      <c r="B18" s="26" t="s">
        <v>792</v>
      </c>
      <c r="C18" s="214">
        <v>64.13</v>
      </c>
      <c r="D18" s="214">
        <v>64.13</v>
      </c>
      <c r="E18" s="214">
        <v>8.86</v>
      </c>
      <c r="F18" s="162">
        <f t="shared" si="2"/>
        <v>72.989999999999995</v>
      </c>
      <c r="G18" s="215">
        <v>526575</v>
      </c>
      <c r="H18" s="215">
        <v>518187</v>
      </c>
      <c r="I18" s="215">
        <v>142588</v>
      </c>
      <c r="J18" s="192">
        <f t="shared" si="3"/>
        <v>669163</v>
      </c>
      <c r="M18" s="141"/>
    </row>
    <row r="19" spans="1:13">
      <c r="A19" s="21">
        <v>12</v>
      </c>
      <c r="B19" s="26" t="s">
        <v>771</v>
      </c>
      <c r="C19" s="214">
        <v>46.65</v>
      </c>
      <c r="D19" s="214">
        <v>46.65</v>
      </c>
      <c r="E19" s="214">
        <v>5.17</v>
      </c>
      <c r="F19" s="162">
        <f t="shared" si="2"/>
        <v>51.82</v>
      </c>
      <c r="G19" s="215">
        <v>263469.93</v>
      </c>
      <c r="H19" s="215">
        <v>262920.7</v>
      </c>
      <c r="I19" s="215">
        <v>44963.66</v>
      </c>
      <c r="J19" s="192">
        <f t="shared" si="3"/>
        <v>308433.58999999997</v>
      </c>
      <c r="M19" s="141"/>
    </row>
    <row r="20" spans="1:13">
      <c r="A20" s="21">
        <v>13</v>
      </c>
      <c r="B20" s="34" t="s">
        <v>872</v>
      </c>
      <c r="C20" s="214">
        <v>89.96</v>
      </c>
      <c r="D20" s="214">
        <v>78.400000000000006</v>
      </c>
      <c r="E20" s="214">
        <v>24.15</v>
      </c>
      <c r="F20" s="162">
        <f t="shared" si="2"/>
        <v>114.10999999999999</v>
      </c>
      <c r="G20" s="215">
        <v>950813.12</v>
      </c>
      <c r="H20" s="215">
        <v>778905.69</v>
      </c>
      <c r="I20" s="215">
        <v>331750.74</v>
      </c>
      <c r="J20" s="192">
        <f t="shared" si="3"/>
        <v>1282563.8599999999</v>
      </c>
      <c r="M20" s="141"/>
    </row>
    <row r="21" spans="1:13" ht="31.5">
      <c r="A21" s="21">
        <v>14</v>
      </c>
      <c r="B21" s="34" t="s">
        <v>640</v>
      </c>
      <c r="C21" s="214">
        <v>141.4</v>
      </c>
      <c r="D21" s="214">
        <v>141.4</v>
      </c>
      <c r="E21" s="214">
        <v>9.35</v>
      </c>
      <c r="F21" s="162">
        <f t="shared" si="2"/>
        <v>150.75</v>
      </c>
      <c r="G21" s="215">
        <v>744979.12</v>
      </c>
      <c r="H21" s="215">
        <v>7433600.7400000002</v>
      </c>
      <c r="I21" s="215">
        <v>104689.75</v>
      </c>
      <c r="J21" s="192">
        <f t="shared" si="3"/>
        <v>849668.87</v>
      </c>
      <c r="M21" s="141"/>
    </row>
    <row r="22" spans="1:13" ht="47.25">
      <c r="A22" s="21">
        <v>15</v>
      </c>
      <c r="B22" s="34" t="s">
        <v>910</v>
      </c>
      <c r="C22" s="195">
        <f>SUM(C23:C24)</f>
        <v>44.08</v>
      </c>
      <c r="D22" s="195">
        <f>SUM(D23:D24)</f>
        <v>44.08</v>
      </c>
      <c r="E22" s="195">
        <f>SUM(E23:E24)</f>
        <v>2.87</v>
      </c>
      <c r="F22" s="162">
        <f>SUM(F25:F25)</f>
        <v>0</v>
      </c>
      <c r="G22" s="162">
        <f>SUM(G23:G24)</f>
        <v>285085.02</v>
      </c>
      <c r="H22" s="162">
        <f>SUM(H23:H24)</f>
        <v>285085.02</v>
      </c>
      <c r="I22" s="162">
        <f>SUM(I23:I24)</f>
        <v>25334</v>
      </c>
      <c r="J22" s="192">
        <f>SUM(J23:J24)</f>
        <v>310419.02</v>
      </c>
      <c r="M22" s="141"/>
    </row>
    <row r="23" spans="1:13">
      <c r="A23" s="21" t="s">
        <v>873</v>
      </c>
      <c r="B23" s="26" t="s">
        <v>1013</v>
      </c>
      <c r="C23" s="214">
        <v>7</v>
      </c>
      <c r="D23" s="214">
        <v>7</v>
      </c>
      <c r="E23" s="214"/>
      <c r="F23" s="162">
        <f>C23+E23</f>
        <v>7</v>
      </c>
      <c r="G23" s="215">
        <v>57521</v>
      </c>
      <c r="H23" s="215">
        <v>57521</v>
      </c>
      <c r="I23" s="215"/>
      <c r="J23" s="192">
        <f>G23+I23</f>
        <v>57521</v>
      </c>
      <c r="M23" s="141"/>
    </row>
    <row r="24" spans="1:13">
      <c r="A24" s="21" t="s">
        <v>49</v>
      </c>
      <c r="B24" s="26" t="s">
        <v>1014</v>
      </c>
      <c r="C24" s="214">
        <v>37.08</v>
      </c>
      <c r="D24" s="214">
        <v>37.08</v>
      </c>
      <c r="E24" s="214">
        <v>2.87</v>
      </c>
      <c r="F24" s="162">
        <f>C24+E24</f>
        <v>39.949999999999996</v>
      </c>
      <c r="G24" s="215">
        <v>227564.02</v>
      </c>
      <c r="H24" s="215">
        <v>227564.02</v>
      </c>
      <c r="I24" s="215">
        <v>25334</v>
      </c>
      <c r="J24" s="192">
        <f>G24+I24</f>
        <v>252898.02</v>
      </c>
      <c r="M24" s="141"/>
    </row>
    <row r="25" spans="1:13">
      <c r="A25" s="21"/>
      <c r="B25" s="26"/>
      <c r="C25" s="214"/>
      <c r="D25" s="214"/>
      <c r="E25" s="214"/>
      <c r="F25" s="162">
        <f>C25+E25</f>
        <v>0</v>
      </c>
      <c r="G25" s="215"/>
      <c r="H25" s="215"/>
      <c r="I25" s="215"/>
      <c r="J25" s="192"/>
      <c r="M25" s="141"/>
    </row>
    <row r="26" spans="1:13">
      <c r="A26" s="21">
        <v>16</v>
      </c>
      <c r="B26" s="34" t="s">
        <v>641</v>
      </c>
      <c r="C26" s="214">
        <v>56.11</v>
      </c>
      <c r="D26" s="214">
        <v>56.1</v>
      </c>
      <c r="E26" s="214">
        <v>4</v>
      </c>
      <c r="F26" s="162">
        <f>C26+E26</f>
        <v>60.11</v>
      </c>
      <c r="G26" s="215">
        <v>308226.46000000002</v>
      </c>
      <c r="H26" s="215">
        <v>308227.46000000002</v>
      </c>
      <c r="I26" s="215">
        <v>39072.49</v>
      </c>
      <c r="J26" s="192">
        <f>G26+I26</f>
        <v>347298.95</v>
      </c>
      <c r="L26" s="217"/>
      <c r="M26" s="141"/>
    </row>
    <row r="27" spans="1:13">
      <c r="A27" s="21">
        <v>17</v>
      </c>
      <c r="B27" s="34" t="s">
        <v>642</v>
      </c>
      <c r="C27" s="214"/>
      <c r="D27" s="214"/>
      <c r="E27" s="214">
        <v>17</v>
      </c>
      <c r="F27" s="162">
        <f>C27+E27</f>
        <v>17</v>
      </c>
      <c r="G27" s="215"/>
      <c r="H27" s="215"/>
      <c r="I27" s="215">
        <v>93035.3</v>
      </c>
      <c r="J27" s="192">
        <f>G27+I27</f>
        <v>93035.3</v>
      </c>
      <c r="L27" s="217"/>
      <c r="M27" s="141"/>
    </row>
    <row r="28" spans="1:13" ht="16.5" thickBot="1">
      <c r="A28" s="218">
        <v>18</v>
      </c>
      <c r="B28" s="35" t="s">
        <v>911</v>
      </c>
      <c r="C28" s="219">
        <f t="shared" ref="C28:J28" si="4">C7+C13+C16+C20+C21+C26+C27</f>
        <v>1173.04</v>
      </c>
      <c r="D28" s="219">
        <f t="shared" si="4"/>
        <v>1149.5</v>
      </c>
      <c r="E28" s="219">
        <f t="shared" si="4"/>
        <v>129.26</v>
      </c>
      <c r="F28" s="134">
        <f t="shared" si="4"/>
        <v>1302.2999999999997</v>
      </c>
      <c r="G28" s="134">
        <f t="shared" si="4"/>
        <v>11606407.729999999</v>
      </c>
      <c r="H28" s="134">
        <f t="shared" si="4"/>
        <v>17658087.719999999</v>
      </c>
      <c r="I28" s="134">
        <f t="shared" si="4"/>
        <v>2369040.96</v>
      </c>
      <c r="J28" s="203">
        <f t="shared" si="4"/>
        <v>13975448.689999998</v>
      </c>
      <c r="M28" s="141"/>
    </row>
    <row r="29" spans="1:13">
      <c r="A29" s="158"/>
      <c r="B29" s="158"/>
      <c r="C29" s="220"/>
      <c r="D29" s="158"/>
      <c r="E29" s="158"/>
      <c r="F29" s="220"/>
      <c r="G29" s="141"/>
      <c r="H29" s="141"/>
      <c r="I29" s="141"/>
      <c r="J29" s="141"/>
      <c r="M29" s="141"/>
    </row>
    <row r="30" spans="1:13">
      <c r="A30" s="524" t="s">
        <v>1054</v>
      </c>
      <c r="B30" s="525"/>
      <c r="C30" s="525"/>
      <c r="D30" s="525"/>
      <c r="E30" s="525"/>
      <c r="F30" s="525"/>
      <c r="G30" s="525"/>
      <c r="H30" s="525"/>
      <c r="I30" s="525"/>
      <c r="J30" s="526"/>
      <c r="M30" s="141"/>
    </row>
    <row r="32" spans="1:13">
      <c r="G32" s="223"/>
      <c r="H32" s="223"/>
      <c r="I32" s="223"/>
      <c r="J32" s="223"/>
    </row>
    <row r="33" spans="7:10">
      <c r="G33" s="141"/>
      <c r="H33" s="141"/>
      <c r="I33" s="141"/>
      <c r="J33" s="141"/>
    </row>
  </sheetData>
  <mergeCells count="13">
    <mergeCell ref="E4:E5"/>
    <mergeCell ref="F4:F5"/>
    <mergeCell ref="A30:J30"/>
    <mergeCell ref="A1:J1"/>
    <mergeCell ref="A2:J2"/>
    <mergeCell ref="A3:A5"/>
    <mergeCell ref="B3:B5"/>
    <mergeCell ref="C3:F3"/>
    <mergeCell ref="G3:G5"/>
    <mergeCell ref="H3:H4"/>
    <mergeCell ref="I3:I5"/>
    <mergeCell ref="J3:J5"/>
    <mergeCell ref="C4:C5"/>
  </mergeCells>
  <printOptions gridLines="1"/>
  <pageMargins left="0.47" right="0.31" top="0.75" bottom="0.41" header="0.51181102362204722" footer="0.28000000000000003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H26"/>
  <sheetViews>
    <sheetView zoomScale="86" zoomScaleNormal="86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5.75"/>
  <cols>
    <col min="1" max="1" width="9.140625" style="224"/>
    <col min="2" max="2" width="89.42578125" style="224" customWidth="1"/>
    <col min="3" max="3" width="15.7109375" style="224" customWidth="1"/>
    <col min="4" max="4" width="22.5703125" style="224" customWidth="1"/>
    <col min="5" max="5" width="22.28515625" style="224" customWidth="1"/>
    <col min="6" max="6" width="14" style="224" customWidth="1"/>
    <col min="7" max="7" width="16.42578125" style="224" customWidth="1"/>
    <col min="8" max="8" width="10.5703125" style="224" bestFit="1" customWidth="1"/>
    <col min="9" max="16384" width="9.140625" style="224"/>
  </cols>
  <sheetData>
    <row r="1" spans="1:8" ht="28.5" customHeight="1">
      <c r="A1" s="528" t="s">
        <v>525</v>
      </c>
      <c r="B1" s="528"/>
      <c r="C1" s="528"/>
      <c r="D1" s="528"/>
      <c r="E1" s="528"/>
      <c r="F1" s="528"/>
      <c r="G1" s="528"/>
    </row>
    <row r="2" spans="1:8" ht="44.25" customHeight="1" thickBot="1">
      <c r="A2" s="529" t="s">
        <v>1033</v>
      </c>
      <c r="B2" s="530"/>
      <c r="C2" s="530"/>
      <c r="D2" s="530"/>
      <c r="E2" s="530"/>
      <c r="F2" s="530"/>
      <c r="G2" s="530"/>
      <c r="H2" s="225"/>
    </row>
    <row r="3" spans="1:8">
      <c r="A3" s="531" t="s">
        <v>812</v>
      </c>
      <c r="B3" s="533" t="s">
        <v>916</v>
      </c>
      <c r="C3" s="536" t="s">
        <v>526</v>
      </c>
      <c r="D3" s="536"/>
      <c r="E3" s="536"/>
      <c r="F3" s="537" t="s">
        <v>53</v>
      </c>
      <c r="G3" s="539" t="s">
        <v>810</v>
      </c>
    </row>
    <row r="4" spans="1:8">
      <c r="A4" s="532"/>
      <c r="B4" s="534"/>
      <c r="C4" s="541" t="s">
        <v>810</v>
      </c>
      <c r="D4" s="541" t="s">
        <v>928</v>
      </c>
      <c r="E4" s="541"/>
      <c r="F4" s="538"/>
      <c r="G4" s="540"/>
    </row>
    <row r="5" spans="1:8" ht="61.5" customHeight="1">
      <c r="A5" s="532"/>
      <c r="B5" s="535"/>
      <c r="C5" s="541"/>
      <c r="D5" s="227" t="s">
        <v>8</v>
      </c>
      <c r="E5" s="227" t="s">
        <v>9</v>
      </c>
      <c r="F5" s="538"/>
      <c r="G5" s="540"/>
    </row>
    <row r="6" spans="1:8" ht="16.5" thickBot="1">
      <c r="A6" s="228"/>
      <c r="B6" s="229"/>
      <c r="C6" s="226" t="s">
        <v>54</v>
      </c>
      <c r="D6" s="226" t="s">
        <v>879</v>
      </c>
      <c r="E6" s="226" t="s">
        <v>880</v>
      </c>
      <c r="F6" s="226" t="s">
        <v>886</v>
      </c>
      <c r="G6" s="230" t="s">
        <v>929</v>
      </c>
    </row>
    <row r="7" spans="1:8" ht="26.25" customHeight="1">
      <c r="A7" s="231">
        <v>1</v>
      </c>
      <c r="B7" s="232" t="s">
        <v>7</v>
      </c>
      <c r="C7" s="162">
        <f t="shared" ref="C7:C14" si="0">D7+E7</f>
        <v>1628914.91</v>
      </c>
      <c r="D7" s="162">
        <f>D8+D11+D14</f>
        <v>1621744.41</v>
      </c>
      <c r="E7" s="162">
        <f>E8+E11+E14</f>
        <v>7170.5</v>
      </c>
      <c r="F7" s="162">
        <f>F8+F11</f>
        <v>83348</v>
      </c>
      <c r="G7" s="192">
        <f>C7+F7</f>
        <v>1712262.91</v>
      </c>
      <c r="H7" s="233"/>
    </row>
    <row r="8" spans="1:8" ht="31.5">
      <c r="A8" s="234">
        <v>2</v>
      </c>
      <c r="B8" s="235" t="s">
        <v>55</v>
      </c>
      <c r="C8" s="162">
        <f t="shared" si="0"/>
        <v>897048.47</v>
      </c>
      <c r="D8" s="162">
        <f>SUM(D9:D10)</f>
        <v>889877.97</v>
      </c>
      <c r="E8" s="162">
        <f>SUM(E9:E10)</f>
        <v>7170.5</v>
      </c>
      <c r="F8" s="162">
        <f>SUM(F9:F10)</f>
        <v>39666</v>
      </c>
      <c r="G8" s="192">
        <f>SUM(G9:G10)</f>
        <v>936714.47</v>
      </c>
    </row>
    <row r="9" spans="1:8" ht="27.75" customHeight="1">
      <c r="A9" s="234">
        <v>3</v>
      </c>
      <c r="B9" s="235" t="s">
        <v>32</v>
      </c>
      <c r="C9" s="167">
        <f t="shared" si="0"/>
        <v>810179.47</v>
      </c>
      <c r="D9" s="131">
        <v>809669.47</v>
      </c>
      <c r="E9" s="131">
        <v>510</v>
      </c>
      <c r="F9" s="131">
        <v>39090</v>
      </c>
      <c r="G9" s="192">
        <f>C9+F9</f>
        <v>849269.47</v>
      </c>
      <c r="H9" s="236"/>
    </row>
    <row r="10" spans="1:8" ht="22.5" customHeight="1">
      <c r="A10" s="234">
        <v>4</v>
      </c>
      <c r="B10" s="235" t="s">
        <v>35</v>
      </c>
      <c r="C10" s="167">
        <f t="shared" si="0"/>
        <v>86869</v>
      </c>
      <c r="D10" s="131">
        <v>80208.5</v>
      </c>
      <c r="E10" s="131">
        <v>6660.5</v>
      </c>
      <c r="F10" s="131">
        <v>576</v>
      </c>
      <c r="G10" s="192">
        <f>C10+F10</f>
        <v>87445</v>
      </c>
      <c r="H10" s="237"/>
    </row>
    <row r="11" spans="1:8" ht="33" customHeight="1">
      <c r="A11" s="234">
        <v>5</v>
      </c>
      <c r="B11" s="235" t="s">
        <v>516</v>
      </c>
      <c r="C11" s="162">
        <f t="shared" si="0"/>
        <v>695902.44</v>
      </c>
      <c r="D11" s="162">
        <f>SUM(D12:D13)</f>
        <v>695902.44</v>
      </c>
      <c r="E11" s="162">
        <f>SUM(E12:E13)</f>
        <v>0</v>
      </c>
      <c r="F11" s="162">
        <f>SUM(F12:F13)</f>
        <v>43682</v>
      </c>
      <c r="G11" s="192">
        <f>SUM(G12:G13)</f>
        <v>739584.44</v>
      </c>
    </row>
    <row r="12" spans="1:8" ht="30.75" customHeight="1">
      <c r="A12" s="234">
        <v>6</v>
      </c>
      <c r="B12" s="235" t="s">
        <v>33</v>
      </c>
      <c r="C12" s="131">
        <f t="shared" si="0"/>
        <v>587709.16999999993</v>
      </c>
      <c r="D12" s="131">
        <v>587709.16999999993</v>
      </c>
      <c r="E12" s="131">
        <v>0</v>
      </c>
      <c r="F12" s="131">
        <v>40974</v>
      </c>
      <c r="G12" s="190">
        <f>C12+F12</f>
        <v>628683.16999999993</v>
      </c>
    </row>
    <row r="13" spans="1:8">
      <c r="A13" s="234">
        <v>7</v>
      </c>
      <c r="B13" s="235" t="s">
        <v>34</v>
      </c>
      <c r="C13" s="131">
        <f t="shared" si="0"/>
        <v>108193.27000000002</v>
      </c>
      <c r="D13" s="131">
        <v>108193.27000000002</v>
      </c>
      <c r="E13" s="131">
        <v>0</v>
      </c>
      <c r="F13" s="131">
        <v>2708</v>
      </c>
      <c r="G13" s="190">
        <f>C13+F13</f>
        <v>110901.27000000002</v>
      </c>
    </row>
    <row r="14" spans="1:8" ht="31.5">
      <c r="A14" s="234">
        <v>8</v>
      </c>
      <c r="B14" s="235" t="s">
        <v>13</v>
      </c>
      <c r="C14" s="131">
        <f t="shared" si="0"/>
        <v>35964</v>
      </c>
      <c r="D14" s="131">
        <v>35964</v>
      </c>
      <c r="E14" s="131">
        <v>0</v>
      </c>
      <c r="F14" s="131">
        <v>0</v>
      </c>
      <c r="G14" s="190"/>
    </row>
    <row r="15" spans="1:8" s="64" customFormat="1" ht="24.75" customHeight="1">
      <c r="A15" s="234">
        <v>9</v>
      </c>
      <c r="B15" s="111" t="s">
        <v>530</v>
      </c>
      <c r="C15" s="22" t="s">
        <v>902</v>
      </c>
      <c r="D15" s="131">
        <v>93832.68</v>
      </c>
      <c r="E15" s="22" t="s">
        <v>902</v>
      </c>
      <c r="F15" s="22" t="s">
        <v>902</v>
      </c>
      <c r="G15" s="23" t="s">
        <v>902</v>
      </c>
    </row>
    <row r="16" spans="1:8" ht="31.5">
      <c r="A16" s="234">
        <v>10</v>
      </c>
      <c r="B16" s="235" t="s">
        <v>527</v>
      </c>
      <c r="C16" s="22" t="s">
        <v>902</v>
      </c>
      <c r="D16" s="131">
        <v>1593728</v>
      </c>
      <c r="E16" s="22" t="s">
        <v>902</v>
      </c>
      <c r="F16" s="22" t="s">
        <v>902</v>
      </c>
      <c r="G16" s="23" t="s">
        <v>902</v>
      </c>
    </row>
    <row r="17" spans="1:8" ht="20.25" customHeight="1">
      <c r="A17" s="234">
        <v>11</v>
      </c>
      <c r="B17" s="235" t="s">
        <v>528</v>
      </c>
      <c r="C17" s="22" t="s">
        <v>902</v>
      </c>
      <c r="D17" s="114">
        <f>D15+D16-D7</f>
        <v>65816.270000000019</v>
      </c>
      <c r="E17" s="22" t="s">
        <v>902</v>
      </c>
      <c r="F17" s="22" t="s">
        <v>902</v>
      </c>
      <c r="G17" s="23" t="s">
        <v>902</v>
      </c>
      <c r="H17" s="238"/>
    </row>
    <row r="18" spans="1:8" ht="17.25" customHeight="1">
      <c r="A18" s="234">
        <v>12</v>
      </c>
      <c r="B18" s="239" t="s">
        <v>529</v>
      </c>
      <c r="C18" s="131">
        <f>D18</f>
        <v>2694</v>
      </c>
      <c r="D18" s="131">
        <v>2694</v>
      </c>
      <c r="E18" s="22" t="s">
        <v>902</v>
      </c>
      <c r="F18" s="131">
        <v>128</v>
      </c>
      <c r="G18" s="190">
        <f>C18+F18</f>
        <v>2822</v>
      </c>
    </row>
    <row r="19" spans="1:8" ht="18.75" customHeight="1" thickBot="1">
      <c r="A19" s="240">
        <v>13</v>
      </c>
      <c r="B19" s="241" t="s">
        <v>56</v>
      </c>
      <c r="C19" s="242">
        <f>IF(C18=0,0,+C7/C18)</f>
        <v>604.64547512991828</v>
      </c>
      <c r="D19" s="242">
        <f>IF(D18=0,0,+D7/D18)</f>
        <v>601.9838195991091</v>
      </c>
      <c r="E19" s="118" t="s">
        <v>902</v>
      </c>
      <c r="F19" s="242">
        <f>IF(F18=0,0,+F7/F18)</f>
        <v>651.15625</v>
      </c>
      <c r="G19" s="243">
        <f>IF(G18=0,0,+G7/G18)</f>
        <v>606.75510630758322</v>
      </c>
    </row>
    <row r="20" spans="1:8" ht="9.75" customHeight="1"/>
    <row r="21" spans="1:8">
      <c r="A21" s="244" t="s">
        <v>14</v>
      </c>
    </row>
    <row r="22" spans="1:8">
      <c r="A22" s="224" t="s">
        <v>27</v>
      </c>
    </row>
    <row r="24" spans="1:8">
      <c r="B24" s="245" t="s">
        <v>1056</v>
      </c>
      <c r="D24" s="246">
        <v>159498.15</v>
      </c>
    </row>
    <row r="26" spans="1:8">
      <c r="A26" s="527"/>
      <c r="B26" s="527"/>
      <c r="C26" s="527"/>
      <c r="D26" s="527"/>
      <c r="E26" s="527"/>
      <c r="F26" s="527"/>
      <c r="G26" s="527"/>
    </row>
  </sheetData>
  <mergeCells count="10">
    <mergeCell ref="A26:G26"/>
    <mergeCell ref="A1:G1"/>
    <mergeCell ref="A2:G2"/>
    <mergeCell ref="A3:A5"/>
    <mergeCell ref="B3:B5"/>
    <mergeCell ref="C3:E3"/>
    <mergeCell ref="F3:F5"/>
    <mergeCell ref="G3:G5"/>
    <mergeCell ref="C4:C5"/>
    <mergeCell ref="D4:E4"/>
  </mergeCells>
  <phoneticPr fontId="86" type="noConversion"/>
  <pageMargins left="0.45" right="0.33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12" enableFormatConditionsCalculation="0">
    <tabColor indexed="42"/>
    <pageSetUpPr fitToPage="1"/>
  </sheetPr>
  <dimension ref="A1:H15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5.75"/>
  <cols>
    <col min="1" max="1" width="8.140625" style="64" customWidth="1"/>
    <col min="2" max="2" width="91.42578125" style="223" bestFit="1" customWidth="1"/>
    <col min="3" max="3" width="17.28515625" style="64" customWidth="1"/>
    <col min="4" max="4" width="17.140625" style="64" customWidth="1"/>
    <col min="5" max="5" width="15.7109375" style="64" customWidth="1"/>
    <col min="6" max="6" width="18" style="64" customWidth="1"/>
    <col min="7" max="7" width="7.5703125" style="64" customWidth="1"/>
    <col min="8" max="16384" width="9.140625" style="64"/>
  </cols>
  <sheetData>
    <row r="1" spans="1:8" ht="50.1" customHeight="1" thickBot="1">
      <c r="A1" s="548" t="s">
        <v>531</v>
      </c>
      <c r="B1" s="549"/>
      <c r="C1" s="549"/>
      <c r="D1" s="549"/>
      <c r="E1" s="549"/>
      <c r="F1" s="550"/>
      <c r="G1" s="247"/>
      <c r="H1" s="221"/>
    </row>
    <row r="2" spans="1:8" ht="36.75" customHeight="1">
      <c r="A2" s="513" t="s">
        <v>1032</v>
      </c>
      <c r="B2" s="514"/>
      <c r="C2" s="514"/>
      <c r="D2" s="514"/>
      <c r="E2" s="514"/>
      <c r="F2" s="515"/>
      <c r="G2" s="248"/>
    </row>
    <row r="3" spans="1:8" ht="33" customHeight="1">
      <c r="A3" s="557" t="s">
        <v>812</v>
      </c>
      <c r="B3" s="555" t="s">
        <v>916</v>
      </c>
      <c r="C3" s="551">
        <v>2009</v>
      </c>
      <c r="D3" s="552"/>
      <c r="E3" s="553">
        <v>2010</v>
      </c>
      <c r="F3" s="554"/>
      <c r="G3" s="248"/>
    </row>
    <row r="4" spans="1:8" ht="69" customHeight="1">
      <c r="A4" s="558"/>
      <c r="B4" s="556"/>
      <c r="C4" s="137" t="s">
        <v>648</v>
      </c>
      <c r="D4" s="137" t="s">
        <v>793</v>
      </c>
      <c r="E4" s="137" t="s">
        <v>648</v>
      </c>
      <c r="F4" s="2" t="s">
        <v>864</v>
      </c>
      <c r="G4" s="248"/>
    </row>
    <row r="5" spans="1:8">
      <c r="A5" s="250"/>
      <c r="B5" s="157"/>
      <c r="C5" s="14" t="s">
        <v>878</v>
      </c>
      <c r="D5" s="14" t="s">
        <v>879</v>
      </c>
      <c r="E5" s="44" t="s">
        <v>880</v>
      </c>
      <c r="F5" s="43" t="s">
        <v>886</v>
      </c>
      <c r="G5" s="248"/>
    </row>
    <row r="6" spans="1:8" ht="38.25" customHeight="1">
      <c r="A6" s="21">
        <v>1</v>
      </c>
      <c r="B6" s="46" t="s">
        <v>646</v>
      </c>
      <c r="C6" s="251">
        <v>1498197.57</v>
      </c>
      <c r="D6" s="252" t="s">
        <v>902</v>
      </c>
      <c r="E6" s="251">
        <v>1611605</v>
      </c>
      <c r="F6" s="253" t="s">
        <v>902</v>
      </c>
      <c r="G6" s="248"/>
    </row>
    <row r="7" spans="1:8" ht="38.25" customHeight="1">
      <c r="A7" s="21">
        <f>A6+1</f>
        <v>2</v>
      </c>
      <c r="B7" s="46" t="s">
        <v>930</v>
      </c>
      <c r="C7" s="252" t="s">
        <v>902</v>
      </c>
      <c r="D7" s="162">
        <v>8673</v>
      </c>
      <c r="E7" s="252" t="s">
        <v>902</v>
      </c>
      <c r="F7" s="192">
        <v>8072</v>
      </c>
      <c r="G7" s="248"/>
    </row>
    <row r="8" spans="1:8" ht="38.25" customHeight="1">
      <c r="A8" s="21">
        <f>A7+1</f>
        <v>3</v>
      </c>
      <c r="B8" s="46" t="s">
        <v>931</v>
      </c>
      <c r="C8" s="252" t="s">
        <v>902</v>
      </c>
      <c r="D8" s="162">
        <v>895</v>
      </c>
      <c r="E8" s="252" t="s">
        <v>902</v>
      </c>
      <c r="F8" s="192">
        <v>1210</v>
      </c>
      <c r="G8" s="248"/>
    </row>
    <row r="9" spans="1:8" ht="34.5" customHeight="1">
      <c r="A9" s="21">
        <f>A8+1</f>
        <v>4</v>
      </c>
      <c r="B9" s="46" t="s">
        <v>12</v>
      </c>
      <c r="C9" s="251">
        <v>152727.38000000012</v>
      </c>
      <c r="D9" s="252" t="s">
        <v>902</v>
      </c>
      <c r="E9" s="254">
        <f>+C11</f>
        <v>168529.81000000006</v>
      </c>
      <c r="F9" s="253" t="s">
        <v>902</v>
      </c>
      <c r="G9" s="248"/>
    </row>
    <row r="10" spans="1:8" ht="31.5">
      <c r="A10" s="21">
        <f>A9+1</f>
        <v>5</v>
      </c>
      <c r="B10" s="46" t="s">
        <v>11</v>
      </c>
      <c r="C10" s="251">
        <v>1514000</v>
      </c>
      <c r="D10" s="252" t="s">
        <v>902</v>
      </c>
      <c r="E10" s="254">
        <v>1687272</v>
      </c>
      <c r="F10" s="253" t="s">
        <v>902</v>
      </c>
      <c r="G10" s="248"/>
    </row>
    <row r="11" spans="1:8" ht="33" customHeight="1">
      <c r="A11" s="21">
        <v>6</v>
      </c>
      <c r="B11" s="46" t="s">
        <v>847</v>
      </c>
      <c r="C11" s="251">
        <f>+C9+C10-C6</f>
        <v>168529.81000000006</v>
      </c>
      <c r="D11" s="252" t="s">
        <v>902</v>
      </c>
      <c r="E11" s="254">
        <f>+E9+E10-E6</f>
        <v>244196.81000000006</v>
      </c>
      <c r="F11" s="253" t="s">
        <v>902</v>
      </c>
      <c r="G11" s="248"/>
    </row>
    <row r="12" spans="1:8" ht="36" customHeight="1" thickBot="1">
      <c r="A12" s="218">
        <v>7</v>
      </c>
      <c r="B12" s="62" t="s">
        <v>848</v>
      </c>
      <c r="C12" s="255">
        <f>IF(C6=0,0,C6/D7)</f>
        <v>172.74271532341751</v>
      </c>
      <c r="D12" s="256" t="s">
        <v>902</v>
      </c>
      <c r="E12" s="255">
        <f>IF(E6=0,0,E6/F7)</f>
        <v>199.65374132804757</v>
      </c>
      <c r="F12" s="257" t="s">
        <v>902</v>
      </c>
      <c r="G12" s="248"/>
    </row>
    <row r="13" spans="1:8">
      <c r="B13" s="220"/>
      <c r="G13" s="248"/>
    </row>
    <row r="14" spans="1:8">
      <c r="A14" s="542" t="s">
        <v>653</v>
      </c>
      <c r="B14" s="543"/>
      <c r="C14" s="543"/>
      <c r="D14" s="543"/>
      <c r="E14" s="543"/>
      <c r="F14" s="544"/>
      <c r="G14" s="248"/>
    </row>
    <row r="15" spans="1:8">
      <c r="A15" s="545" t="s">
        <v>967</v>
      </c>
      <c r="B15" s="546"/>
      <c r="C15" s="546"/>
      <c r="D15" s="546"/>
      <c r="E15" s="546"/>
      <c r="F15" s="547"/>
      <c r="G15" s="248"/>
    </row>
  </sheetData>
  <mergeCells count="8">
    <mergeCell ref="A14:F14"/>
    <mergeCell ref="A15:F15"/>
    <mergeCell ref="A1:F1"/>
    <mergeCell ref="A2:F2"/>
    <mergeCell ref="C3:D3"/>
    <mergeCell ref="E3:F3"/>
    <mergeCell ref="B3:B4"/>
    <mergeCell ref="A3:A4"/>
  </mergeCells>
  <phoneticPr fontId="0" type="noConversion"/>
  <pageMargins left="0.5" right="0.39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árok13" enableFormatConditionsCalculation="0">
    <tabColor indexed="42"/>
    <pageSetUpPr fitToPage="1"/>
  </sheetPr>
  <dimension ref="A1:H24"/>
  <sheetViews>
    <sheetView workbookViewId="0">
      <pane xSplit="2" ySplit="5" topLeftCell="D14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RowHeight="12.75"/>
  <cols>
    <col min="1" max="1" width="8.28515625" style="258" customWidth="1"/>
    <col min="2" max="2" width="77.7109375" style="258" customWidth="1"/>
    <col min="3" max="6" width="14.7109375" style="258" customWidth="1"/>
    <col min="7" max="16384" width="9.140625" style="258"/>
  </cols>
  <sheetData>
    <row r="1" spans="1:8" ht="50.1" customHeight="1">
      <c r="A1" s="479" t="s">
        <v>6</v>
      </c>
      <c r="B1" s="480"/>
      <c r="C1" s="480"/>
      <c r="D1" s="480"/>
      <c r="E1" s="480"/>
      <c r="F1" s="481"/>
      <c r="H1" s="259"/>
    </row>
    <row r="2" spans="1:8" ht="33" customHeight="1">
      <c r="A2" s="499" t="s">
        <v>1034</v>
      </c>
      <c r="B2" s="500"/>
      <c r="C2" s="500"/>
      <c r="D2" s="500"/>
      <c r="E2" s="500"/>
      <c r="F2" s="501"/>
    </row>
    <row r="3" spans="1:8" ht="18.75" customHeight="1">
      <c r="A3" s="557" t="s">
        <v>812</v>
      </c>
      <c r="B3" s="520" t="s">
        <v>916</v>
      </c>
      <c r="C3" s="521" t="s">
        <v>627</v>
      </c>
      <c r="D3" s="521"/>
      <c r="E3" s="521" t="s">
        <v>943</v>
      </c>
      <c r="F3" s="563"/>
    </row>
    <row r="4" spans="1:8" ht="18.75" customHeight="1">
      <c r="A4" s="562"/>
      <c r="B4" s="520"/>
      <c r="C4" s="18" t="s">
        <v>586</v>
      </c>
      <c r="D4" s="18" t="s">
        <v>587</v>
      </c>
      <c r="E4" s="3">
        <v>2009</v>
      </c>
      <c r="F4" s="2">
        <v>2010</v>
      </c>
    </row>
    <row r="5" spans="1:8" ht="15.75">
      <c r="A5" s="21"/>
      <c r="B5" s="260"/>
      <c r="C5" s="14" t="s">
        <v>878</v>
      </c>
      <c r="D5" s="14" t="s">
        <v>879</v>
      </c>
      <c r="E5" s="14" t="s">
        <v>880</v>
      </c>
      <c r="F5" s="45" t="s">
        <v>886</v>
      </c>
    </row>
    <row r="6" spans="1:8" ht="31.5">
      <c r="A6" s="21">
        <v>1</v>
      </c>
      <c r="B6" s="34" t="s">
        <v>947</v>
      </c>
      <c r="C6" s="22" t="s">
        <v>902</v>
      </c>
      <c r="D6" s="22" t="s">
        <v>902</v>
      </c>
      <c r="E6" s="167">
        <v>1951</v>
      </c>
      <c r="F6" s="191">
        <v>1951</v>
      </c>
    </row>
    <row r="7" spans="1:8" ht="37.5">
      <c r="A7" s="21">
        <f>A6+1</f>
        <v>2</v>
      </c>
      <c r="B7" s="34" t="s">
        <v>932</v>
      </c>
      <c r="C7" s="22" t="s">
        <v>902</v>
      </c>
      <c r="D7" s="22" t="s">
        <v>902</v>
      </c>
      <c r="E7" s="167">
        <v>17559</v>
      </c>
      <c r="F7" s="191">
        <v>18745</v>
      </c>
    </row>
    <row r="8" spans="1:8" ht="15.75">
      <c r="A8" s="21">
        <v>3</v>
      </c>
      <c r="B8" s="42" t="s">
        <v>863</v>
      </c>
      <c r="C8" s="22" t="s">
        <v>902</v>
      </c>
      <c r="D8" s="22" t="s">
        <v>902</v>
      </c>
      <c r="E8" s="162">
        <f>E7/12</f>
        <v>1463.25</v>
      </c>
      <c r="F8" s="192">
        <f>F7/12</f>
        <v>1562.0833333333333</v>
      </c>
    </row>
    <row r="9" spans="1:8" ht="31.5">
      <c r="A9" s="21">
        <f t="shared" ref="A9:A18" si="0">A8+1</f>
        <v>4</v>
      </c>
      <c r="B9" s="34" t="s">
        <v>946</v>
      </c>
      <c r="C9" s="131">
        <v>613319.25</v>
      </c>
      <c r="D9" s="200">
        <v>697609.04</v>
      </c>
      <c r="E9" s="22" t="s">
        <v>902</v>
      </c>
      <c r="F9" s="23" t="s">
        <v>902</v>
      </c>
    </row>
    <row r="10" spans="1:8" ht="31.5">
      <c r="A10" s="21">
        <f t="shared" si="0"/>
        <v>5</v>
      </c>
      <c r="B10" s="34" t="s">
        <v>960</v>
      </c>
      <c r="C10" s="131">
        <v>34539</v>
      </c>
      <c r="D10" s="131">
        <v>22547.67</v>
      </c>
      <c r="E10" s="131">
        <v>587</v>
      </c>
      <c r="F10" s="190">
        <v>244</v>
      </c>
    </row>
    <row r="11" spans="1:8" ht="31.5">
      <c r="A11" s="21">
        <f t="shared" si="0"/>
        <v>6</v>
      </c>
      <c r="B11" s="34" t="s">
        <v>870</v>
      </c>
      <c r="C11" s="167">
        <v>694138</v>
      </c>
      <c r="D11" s="131">
        <v>711043</v>
      </c>
      <c r="E11" s="22" t="s">
        <v>902</v>
      </c>
      <c r="F11" s="23" t="s">
        <v>902</v>
      </c>
    </row>
    <row r="12" spans="1:8" ht="15.75">
      <c r="A12" s="21">
        <f t="shared" si="0"/>
        <v>7</v>
      </c>
      <c r="B12" s="34" t="s">
        <v>944</v>
      </c>
      <c r="C12" s="131">
        <v>318.39</v>
      </c>
      <c r="D12" s="131">
        <f>44.72+24965.56+3119.77</f>
        <v>28130.050000000003</v>
      </c>
      <c r="E12" s="22" t="s">
        <v>902</v>
      </c>
      <c r="F12" s="23" t="s">
        <v>902</v>
      </c>
    </row>
    <row r="13" spans="1:8" ht="15.75">
      <c r="A13" s="21">
        <f t="shared" si="0"/>
        <v>8</v>
      </c>
      <c r="B13" s="34" t="s">
        <v>961</v>
      </c>
      <c r="C13" s="162">
        <f>SUM(C9:C12)</f>
        <v>1342314.64</v>
      </c>
      <c r="D13" s="153">
        <f>SUM(D9:D12)</f>
        <v>1459329.76</v>
      </c>
      <c r="E13" s="22" t="s">
        <v>902</v>
      </c>
      <c r="F13" s="23" t="s">
        <v>902</v>
      </c>
    </row>
    <row r="14" spans="1:8" ht="15.75">
      <c r="A14" s="21">
        <f t="shared" si="0"/>
        <v>9</v>
      </c>
      <c r="B14" s="34" t="s">
        <v>962</v>
      </c>
      <c r="C14" s="162">
        <f>C15+C16</f>
        <v>1237834.6000000001</v>
      </c>
      <c r="D14" s="153">
        <f>D15+D16</f>
        <v>1351322.99</v>
      </c>
      <c r="E14" s="22" t="s">
        <v>902</v>
      </c>
      <c r="F14" s="23" t="s">
        <v>902</v>
      </c>
    </row>
    <row r="15" spans="1:8" ht="15.75">
      <c r="A15" s="21">
        <f t="shared" si="0"/>
        <v>10</v>
      </c>
      <c r="B15" s="26" t="s">
        <v>634</v>
      </c>
      <c r="C15" s="131">
        <v>420703.54</v>
      </c>
      <c r="D15" s="131">
        <v>423653.66</v>
      </c>
      <c r="E15" s="22" t="s">
        <v>902</v>
      </c>
      <c r="F15" s="23" t="s">
        <v>902</v>
      </c>
    </row>
    <row r="16" spans="1:8" ht="15.75">
      <c r="A16" s="21">
        <f t="shared" si="0"/>
        <v>11</v>
      </c>
      <c r="B16" s="26" t="s">
        <v>635</v>
      </c>
      <c r="C16" s="131">
        <v>817131.06</v>
      </c>
      <c r="D16" s="131">
        <v>927669.33</v>
      </c>
      <c r="E16" s="22" t="s">
        <v>902</v>
      </c>
      <c r="F16" s="23" t="s">
        <v>902</v>
      </c>
    </row>
    <row r="17" spans="1:6" ht="31.5">
      <c r="A17" s="21">
        <f t="shared" si="0"/>
        <v>12</v>
      </c>
      <c r="B17" s="34" t="s">
        <v>963</v>
      </c>
      <c r="C17" s="162">
        <f>+C13-C14</f>
        <v>104480.0399999998</v>
      </c>
      <c r="D17" s="162">
        <f>+D13-D14</f>
        <v>108006.77000000002</v>
      </c>
      <c r="E17" s="22" t="s">
        <v>902</v>
      </c>
      <c r="F17" s="23" t="s">
        <v>902</v>
      </c>
    </row>
    <row r="18" spans="1:6" ht="16.5" thickBot="1">
      <c r="A18" s="218">
        <f t="shared" si="0"/>
        <v>13</v>
      </c>
      <c r="B18" s="49" t="s">
        <v>964</v>
      </c>
      <c r="C18" s="219">
        <f>IF(E8=0,0,C14/E8)</f>
        <v>845.9488125747481</v>
      </c>
      <c r="D18" s="219">
        <f>IF(F8=0,0,D14/F8)</f>
        <v>865.07740090690857</v>
      </c>
      <c r="E18" s="118" t="s">
        <v>902</v>
      </c>
      <c r="F18" s="261" t="s">
        <v>902</v>
      </c>
    </row>
    <row r="20" spans="1:6" ht="15">
      <c r="A20" s="542" t="s">
        <v>945</v>
      </c>
      <c r="B20" s="543"/>
      <c r="C20" s="543"/>
      <c r="D20" s="543"/>
      <c r="E20" s="543"/>
      <c r="F20" s="544"/>
    </row>
    <row r="21" spans="1:6" ht="35.25" customHeight="1">
      <c r="A21" s="559" t="s">
        <v>655</v>
      </c>
      <c r="B21" s="560"/>
      <c r="C21" s="560"/>
      <c r="D21" s="560"/>
      <c r="E21" s="560"/>
      <c r="F21" s="561"/>
    </row>
    <row r="24" spans="1:6" ht="15.75">
      <c r="F24" s="64"/>
    </row>
  </sheetData>
  <mergeCells count="8">
    <mergeCell ref="A21:F21"/>
    <mergeCell ref="A1:F1"/>
    <mergeCell ref="A3:A4"/>
    <mergeCell ref="B3:B4"/>
    <mergeCell ref="C3:D3"/>
    <mergeCell ref="E3:F3"/>
    <mergeCell ref="A2:F2"/>
    <mergeCell ref="A20:F20"/>
  </mergeCells>
  <phoneticPr fontId="4" type="noConversion"/>
  <pageMargins left="0.66" right="0.45" top="0.98425196850393704" bottom="0.7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28</vt:i4>
      </vt:variant>
      <vt:variant>
        <vt:lpstr>Pomenované rozsahy</vt:lpstr>
      </vt:variant>
      <vt:variant>
        <vt:i4>20</vt:i4>
      </vt:variant>
    </vt:vector>
  </HeadingPairs>
  <TitlesOfParts>
    <vt:vector size="48" baseType="lpstr">
      <vt:lpstr>T1-Dotácie podľa DZ</vt:lpstr>
      <vt:lpstr>T2-Ostatné dot mimo MŠ SR</vt:lpstr>
      <vt:lpstr>T3-Výnosy</vt:lpstr>
      <vt:lpstr>T4-Výnosy zo školného</vt:lpstr>
      <vt:lpstr>T5 - Analýza nákladov</vt:lpstr>
      <vt:lpstr>T6-Zamestnanci_a_mzdy </vt:lpstr>
      <vt:lpstr>T7_Doktorandi</vt:lpstr>
      <vt:lpstr>T8-Soc_štipendiá</vt:lpstr>
      <vt:lpstr>T9_ŠD </vt:lpstr>
      <vt:lpstr>T10-ŠJ </vt:lpstr>
      <vt:lpstr>T11-Zdroje KV</vt:lpstr>
      <vt:lpstr>T12-KV</vt:lpstr>
      <vt:lpstr>T13 - Fondy</vt:lpstr>
      <vt:lpstr>T14 - Zúčtovanie_bežnej_dot</vt:lpstr>
      <vt:lpstr>T15_zúč._kap_dotácie</vt:lpstr>
      <vt:lpstr>T16 - Štruktúra hotovosti</vt:lpstr>
      <vt:lpstr>T17-Dotácie z EÚ</vt:lpstr>
      <vt:lpstr>T18-Ostatné dotacie z kap MŠ SR</vt:lpstr>
      <vt:lpstr>T19-Štip_ z vlastných</vt:lpstr>
      <vt:lpstr>T20_motivačné štipendiá_nová</vt:lpstr>
      <vt:lpstr>T21-štruktúra_384</vt:lpstr>
      <vt:lpstr>T22_Výnosy_soc_oblasť</vt:lpstr>
      <vt:lpstr>T23_Náklady_soc_oblasť</vt:lpstr>
      <vt:lpstr>T24a_Aktíva_1</vt:lpstr>
      <vt:lpstr>T24b_Aktíva_2</vt:lpstr>
      <vt:lpstr>T25_Pasíva </vt:lpstr>
      <vt:lpstr>T24__Aktíva</vt:lpstr>
      <vt:lpstr>Hárok1</vt:lpstr>
      <vt:lpstr>'T14 - Zúčtovanie_bežnej_dot'!Názvy_tlače</vt:lpstr>
      <vt:lpstr>'T3-Výnosy'!Názvy_tlače</vt:lpstr>
      <vt:lpstr>'T5 - Analýza nákladov'!Názvy_tlače</vt:lpstr>
      <vt:lpstr>'T10-ŠJ '!Oblasť_tlače</vt:lpstr>
      <vt:lpstr>'T11-Zdroje KV'!Oblasť_tlače</vt:lpstr>
      <vt:lpstr>'T12-KV'!Oblasť_tlače</vt:lpstr>
      <vt:lpstr>'T14 - Zúčtovanie_bežnej_dot'!Oblasť_tlače</vt:lpstr>
      <vt:lpstr>'T16 - Štruktúra hotovosti'!Oblasť_tlače</vt:lpstr>
      <vt:lpstr>'T17-Dotácie z EÚ'!Oblasť_tlače</vt:lpstr>
      <vt:lpstr>'T18-Ostatné dotacie z kap MŠ SR'!Oblasť_tlače</vt:lpstr>
      <vt:lpstr>'T1-Dotácie podľa DZ'!Oblasť_tlače</vt:lpstr>
      <vt:lpstr>'T20_motivačné štipendiá_nová'!Oblasť_tlače</vt:lpstr>
      <vt:lpstr>'T21-štruktúra_384'!Oblasť_tlače</vt:lpstr>
      <vt:lpstr>T22_Výnosy_soc_oblasť!Oblasť_tlače</vt:lpstr>
      <vt:lpstr>'T3-Výnosy'!Oblasť_tlače</vt:lpstr>
      <vt:lpstr>'T4-Výnosy zo školného'!Oblasť_tlače</vt:lpstr>
      <vt:lpstr>'T5 - Analýza nákladov'!Oblasť_tlače</vt:lpstr>
      <vt:lpstr>'T6-Zamestnanci_a_mzdy '!Oblasť_tlače</vt:lpstr>
      <vt:lpstr>'T8-Soc_štipendiá'!Oblasť_tlače</vt:lpstr>
      <vt:lpstr>'T9_ŠD '!Oblasť_tlače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Tabuľky k výročnej správe o hospodárení VVš 2004</dc:title>
  <dc:creator>Viest</dc:creator>
  <cp:lastModifiedBy>.</cp:lastModifiedBy>
  <cp:lastPrinted>2011-04-26T08:01:24Z</cp:lastPrinted>
  <dcterms:created xsi:type="dcterms:W3CDTF">2002-06-05T18:53:25Z</dcterms:created>
  <dcterms:modified xsi:type="dcterms:W3CDTF">2011-05-01T19:36:23Z</dcterms:modified>
</cp:coreProperties>
</file>