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3255" windowWidth="19320" windowHeight="10200" tabRatio="788" activeTab="4"/>
  </bookViews>
  <sheets>
    <sheet name="Obsah" sheetId="1" r:id="rId1"/>
    <sheet name="zmeny" sheetId="2" r:id="rId2"/>
    <sheet name="Vysvetlivky" sheetId="3" r:id="rId3"/>
    <sheet name="Súvzťažnosti" sheetId="4" r:id="rId4"/>
    <sheet name="T1-Dotácie podľa DZ" sheetId="5" r:id="rId5"/>
    <sheet name="T2-Ostatné dot mimo MŠ SR" sheetId="6" r:id="rId6"/>
    <sheet name="T3-Výnosy" sheetId="7" r:id="rId7"/>
    <sheet name="T4-Výnosy zo školného" sheetId="8" r:id="rId8"/>
    <sheet name="T5 - Analýza nákladov " sheetId="9" r:id="rId9"/>
    <sheet name="T6-Zamestnanci_a_mzdy" sheetId="10" r:id="rId10"/>
    <sheet name="T7_Doktorandi-upr " sheetId="11" r:id="rId11"/>
    <sheet name="T8-Soc_štipendiá" sheetId="12" r:id="rId12"/>
    <sheet name="T9_ŠD  " sheetId="13" r:id="rId13"/>
    <sheet name="T10-ŠJ " sheetId="14" r:id="rId14"/>
    <sheet name="T11-Zdroje" sheetId="15" r:id="rId15"/>
    <sheet name="T12-KV " sheetId="16" r:id="rId16"/>
    <sheet name="T13 - Fondy " sheetId="17" r:id="rId17"/>
    <sheet name="T16 - Štruktúra hotovosti" sheetId="18" r:id="rId18"/>
    <sheet name="T17-Dotácie zo ŠF EU" sheetId="19" r:id="rId19"/>
    <sheet name="T18-Ostatné dotacie z kap MŠ SR" sheetId="20" r:id="rId20"/>
    <sheet name="T19-Štip_ z vlastných " sheetId="21" r:id="rId21"/>
    <sheet name="T20_motivačné štipendiá" sheetId="22" r:id="rId22"/>
    <sheet name="T21-štruktúra_384 " sheetId="23" r:id="rId23"/>
    <sheet name="T22_Výnosy_soc_oblasť" sheetId="24" r:id="rId24"/>
    <sheet name="T23_Náklady_soc_oblasť" sheetId="25" r:id="rId25"/>
    <sheet name="T24a_Aktíva_1 " sheetId="26" r:id="rId26"/>
    <sheet name="T24b_Aktíva_2 " sheetId="27" r:id="rId27"/>
    <sheet name="T25_Pasíva  (2)" sheetId="28" r:id="rId28"/>
    <sheet name="T24__Aktíva" sheetId="29" state="hidden" r:id="rId29"/>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aaa" hidden="1">3</definedName>
    <definedName name="denní" localSheetId="23">#REF!</definedName>
    <definedName name="denní">#REF!</definedName>
    <definedName name="dokpo" localSheetId="23">#REF!</definedName>
    <definedName name="dokpo">#REF!</definedName>
    <definedName name="dokpred" localSheetId="23">#REF!</definedName>
    <definedName name="dokpred">#REF!</definedName>
    <definedName name="druhý" localSheetId="23">#REF!</definedName>
    <definedName name="druhý">#REF!</definedName>
    <definedName name="exterdruhý" localSheetId="23">#REF!</definedName>
    <definedName name="exterdruhý">#REF!</definedName>
    <definedName name="externeplat" localSheetId="23">#REF!</definedName>
    <definedName name="externeplat">#REF!</definedName>
    <definedName name="exterplat" localSheetId="23">#REF!</definedName>
    <definedName name="exterplat">#REF!</definedName>
    <definedName name="KKS_doc" localSheetId="23">#REF!</definedName>
    <definedName name="KKS_doc">#REF!</definedName>
    <definedName name="KKS_ost" localSheetId="23">#REF!</definedName>
    <definedName name="KKS_ost">#REF!</definedName>
    <definedName name="KKS_phd" localSheetId="23">#REF!</definedName>
    <definedName name="KKS_phd">#REF!</definedName>
    <definedName name="KKS_prof" localSheetId="23">#REF!</definedName>
    <definedName name="KKS_prof">#REF!</definedName>
    <definedName name="kmp1" localSheetId="23">#REF!</definedName>
    <definedName name="kmp1">#REF!</definedName>
    <definedName name="kmp2">#REF!</definedName>
    <definedName name="kmt1" localSheetId="23">#REF!</definedName>
    <definedName name="kmt1">#REF!</definedName>
    <definedName name="koef_gm_mzdy" localSheetId="23">#REF!</definedName>
    <definedName name="koef_gm_mzdy">#REF!</definedName>
    <definedName name="koef_kpn" localSheetId="23">#REF!</definedName>
    <definedName name="koef_kpn">#REF!</definedName>
    <definedName name="koef_prer_nad_gm_mzdy" localSheetId="23">#REF!</definedName>
    <definedName name="koef_prer_nad_gm_mzdy">#REF!</definedName>
    <definedName name="koef_PV" localSheetId="23">#REF!</definedName>
    <definedName name="koef_PV">#REF!</definedName>
    <definedName name="koef_udr_kat1" localSheetId="23">#REF!</definedName>
    <definedName name="koef_udr_kat1" localSheetId="10">#REF!</definedName>
    <definedName name="koef_udr_kat1">#REF!</definedName>
    <definedName name="koef_udr_kat2" localSheetId="23">#REF!</definedName>
    <definedName name="koef_udr_kat2" localSheetId="10">#REF!</definedName>
    <definedName name="koef_udr_kat2">#REF!</definedName>
    <definedName name="koef_udr_kat3" localSheetId="23">#REF!</definedName>
    <definedName name="koef_udr_kat3" localSheetId="10">#REF!</definedName>
    <definedName name="koef_udr_kat3">#REF!</definedName>
    <definedName name="koef_VV" localSheetId="23">#REF!</definedName>
    <definedName name="koef_VV">#REF!</definedName>
    <definedName name="kpn_ca_do" localSheetId="23">#REF!</definedName>
    <definedName name="kpn_ca_do">#REF!</definedName>
    <definedName name="kpn_ca_nad" localSheetId="23">#REF!</definedName>
    <definedName name="kpn_ca_nad">#REF!</definedName>
    <definedName name="kzk" localSheetId="23">#REF!</definedName>
    <definedName name="kzk">#REF!</definedName>
    <definedName name="kzspp" localSheetId="23">#REF!</definedName>
    <definedName name="kzspp">#REF!</definedName>
    <definedName name="_xlnm.Print_Titles" localSheetId="3">'Súvzťažnosti'!$1:$2</definedName>
    <definedName name="_xlnm.Print_Titles" localSheetId="6">'T3-Výnosy'!$1:$5</definedName>
    <definedName name="_xlnm.Print_Titles" localSheetId="8">'T5 - Analýza nákladov '!$1:$5</definedName>
    <definedName name="_xlnm.Print_Titles" localSheetId="2">'Vysvetlivky'!$1:$2</definedName>
    <definedName name="nefinanc">1</definedName>
    <definedName name="_xlnm.Print_Area" localSheetId="0">'Obsah'!$A$1:$R$29</definedName>
    <definedName name="_xlnm.Print_Area" localSheetId="3">'Súvzťažnosti'!$A$1:$C$40</definedName>
    <definedName name="_xlnm.Print_Area" localSheetId="13">'T10-ŠJ '!$A$1:$D$28</definedName>
    <definedName name="_xlnm.Print_Area" localSheetId="14">'T11-Zdroje'!$A$1:$D$23</definedName>
    <definedName name="_xlnm.Print_Area" localSheetId="17">'T16 - Štruktúra hotovosti'!$A$1:$D$22</definedName>
    <definedName name="_xlnm.Print_Area" localSheetId="18">'T17-Dotácie zo ŠF EU'!$A$1:$H$29</definedName>
    <definedName name="_xlnm.Print_Area" localSheetId="19">'T18-Ostatné dotacie z kap MŠ SR'!$A$1:$E$19</definedName>
    <definedName name="_xlnm.Print_Area" localSheetId="4">'T1-Dotácie podľa DZ'!$A$1:$E$19</definedName>
    <definedName name="_xlnm.Print_Area" localSheetId="21">'T20_motivačné štipendiá'!$A$1:$D$12</definedName>
    <definedName name="_xlnm.Print_Area" localSheetId="22">'T21-štruktúra_384 '!$A$1:$M$11</definedName>
    <definedName name="_xlnm.Print_Area" localSheetId="23">'T22_Výnosy_soc_oblasť'!$A$1:$F$44</definedName>
    <definedName name="_xlnm.Print_Area" localSheetId="6">'T3-Výnosy'!$A$1:$H$58</definedName>
    <definedName name="_xlnm.Print_Area" localSheetId="7">'T4-Výnosy zo školného'!$A$1:$D$15</definedName>
    <definedName name="_xlnm.Print_Area" localSheetId="8">'T5 - Analýza nákladov '!$A$2:$H$103</definedName>
    <definedName name="_xlnm.Print_Area" localSheetId="9">'T6-Zamestnanci_a_mzdy'!$A$1:$J$38</definedName>
    <definedName name="_xlnm.Print_Area" localSheetId="10">'T7_Doktorandi-upr '!$A$1:$H$23</definedName>
    <definedName name="_xlnm.Print_Area" localSheetId="11">'T8-Soc_štipendiá'!$A$1:$F$15</definedName>
    <definedName name="_xlnm.Print_Area" localSheetId="12">'T9_ŠD  '!$A$1:$F$21</definedName>
    <definedName name="_xlnm.Print_Area" localSheetId="2">'Vysvetlivky'!$A$1:$B$94</definedName>
    <definedName name="pocet_jedal" localSheetId="23">#REF!</definedName>
    <definedName name="pocet_jedal" localSheetId="10">#REF!</definedName>
    <definedName name="pocet_jedal">#REF!</definedName>
    <definedName name="podiel" localSheetId="23">#REF!</definedName>
    <definedName name="podiel">#REF!</definedName>
    <definedName name="poistné" localSheetId="23">#REF!</definedName>
    <definedName name="poistné">#REF!</definedName>
    <definedName name="Pp_DrŠ_exist" localSheetId="23">#REF!</definedName>
    <definedName name="Pp_DrŠ_exist" localSheetId="10">#REF!</definedName>
    <definedName name="Pp_DrŠ_exist">#REF!</definedName>
    <definedName name="Pp_DrŠ_noví" localSheetId="23">#REF!</definedName>
    <definedName name="Pp_DrŠ_noví" localSheetId="10">#REF!</definedName>
    <definedName name="Pp_DrŠ_noví">#REF!</definedName>
    <definedName name="Pp_DrŠ_spolu" localSheetId="23">#REF!</definedName>
    <definedName name="Pp_DrŠ_spolu" localSheetId="10">#REF!</definedName>
    <definedName name="Pp_DrŠ_spolu">#REF!</definedName>
    <definedName name="Pp_klinické_TaS" localSheetId="23">#REF!</definedName>
    <definedName name="Pp_klinické_TaS" localSheetId="10">#REF!</definedName>
    <definedName name="Pp_klinické_TaS">#REF!</definedName>
    <definedName name="Pp_klinické_TaS_rozpísaný" localSheetId="23">#REF!</definedName>
    <definedName name="Pp_klinické_TaS_rozpísaný" localSheetId="10">#REF!</definedName>
    <definedName name="Pp_klinické_TaS_rozpísaný">#REF!</definedName>
    <definedName name="Pp_Rozvoj_BD" localSheetId="23">#REF!</definedName>
    <definedName name="Pp_Rozvoj_BD">#REF!</definedName>
    <definedName name="Pp_Soc_BD" localSheetId="23">#REF!</definedName>
    <definedName name="Pp_Soc_BD">#REF!</definedName>
    <definedName name="Pp_VaT_BD" localSheetId="23">#REF!</definedName>
    <definedName name="Pp_VaT_BD">#REF!</definedName>
    <definedName name="Pp_VaT_mzdy" localSheetId="23">#REF!</definedName>
    <definedName name="Pp_VaT_mzdy">#REF!</definedName>
    <definedName name="Pp_VaT_mzdy_rezerva" localSheetId="23">#REF!</definedName>
    <definedName name="Pp_VaT_mzdy_rezerva">#REF!</definedName>
    <definedName name="Pp_VaT_mzdy_zac_roka" localSheetId="23">#REF!</definedName>
    <definedName name="Pp_VaT_mzdy_zac_roka">#REF!</definedName>
    <definedName name="Pp_Vzdel_BD" localSheetId="23">#REF!</definedName>
    <definedName name="Pp_Vzdel_BD">#REF!</definedName>
    <definedName name="Pp_Vzdel_mzdy" localSheetId="23">#REF!</definedName>
    <definedName name="Pp_Vzdel_mzdy">#REF!</definedName>
    <definedName name="Pp_Vzdel_mzdy_kontr" localSheetId="23">#REF!</definedName>
    <definedName name="Pp_Vzdel_mzdy_kontr">#REF!</definedName>
    <definedName name="Pp_Vzdel_mzdy_na_prer_modif" localSheetId="23">#REF!</definedName>
    <definedName name="Pp_Vzdel_mzdy_na_prer_modif" localSheetId="10">#REF!</definedName>
    <definedName name="Pp_Vzdel_mzdy_na_prer_modif">#REF!</definedName>
    <definedName name="Pp_Vzdel_mzdy_na_prer_nemodif" localSheetId="23">#REF!</definedName>
    <definedName name="Pp_Vzdel_mzdy_na_prer_nemodif" localSheetId="10">#REF!</definedName>
    <definedName name="Pp_Vzdel_mzdy_na_prer_nemodif">#REF!</definedName>
    <definedName name="Pp_Vzdel_mzdy_prevádz" localSheetId="23">#REF!</definedName>
    <definedName name="Pp_Vzdel_mzdy_prevádz">#REF!</definedName>
    <definedName name="Pp_Vzdel_mzdy_rezerva" localSheetId="23">#REF!</definedName>
    <definedName name="Pp_Vzdel_mzdy_rezerva">#REF!</definedName>
    <definedName name="Pp_Vzdel_mzdy_spec" localSheetId="23">#REF!</definedName>
    <definedName name="Pp_Vzdel_mzdy_spec">#REF!</definedName>
    <definedName name="Pp_Vzdel_mzdy_výkon" localSheetId="23">#REF!</definedName>
    <definedName name="Pp_Vzdel_mzdy_výkon">#REF!</definedName>
    <definedName name="Pp_Vzdel_mzdy_výkon_PV" localSheetId="23">#REF!</definedName>
    <definedName name="Pp_Vzdel_mzdy_výkon_PV">#REF!</definedName>
    <definedName name="Pp_Vzdel_mzdy_výkon_PV_bez" localSheetId="23">#REF!</definedName>
    <definedName name="Pp_Vzdel_mzdy_výkon_PV_bez">#REF!</definedName>
    <definedName name="Pp_Vzdel_mzdy_výkon_PV_um" localSheetId="23">#REF!</definedName>
    <definedName name="Pp_Vzdel_mzdy_výkon_PV_um">#REF!</definedName>
    <definedName name="Pp_Vzdel_mzdy_výkon_VV" localSheetId="23">#REF!</definedName>
    <definedName name="Pp_Vzdel_mzdy_výkon_VV">#REF!</definedName>
    <definedName name="Pp_Vzdel_mzdy_výkon_VV_bez" localSheetId="23">#REF!</definedName>
    <definedName name="Pp_Vzdel_mzdy_výkon_VV_bez">#REF!</definedName>
    <definedName name="Pp_Vzdel_mzdy_výkon_VV_um" localSheetId="23">#REF!</definedName>
    <definedName name="Pp_Vzdel_mzdy_výkon_VV_um">#REF!</definedName>
    <definedName name="Pp_Vzdel_spec_prax" localSheetId="23">#REF!</definedName>
    <definedName name="Pp_Vzdel_spec_prax" localSheetId="10">#REF!</definedName>
    <definedName name="Pp_Vzdel_spec_prax">#REF!</definedName>
    <definedName name="Pp_Vzdel_TaS" localSheetId="23">#REF!</definedName>
    <definedName name="Pp_Vzdel_TaS">#REF!</definedName>
    <definedName name="Pp_Vzdel_TaS_rezerva" localSheetId="23">#REF!</definedName>
    <definedName name="Pp_Vzdel_TaS_rezerva">#REF!</definedName>
    <definedName name="Pp_Vzdel_TaS_spec" localSheetId="23">#REF!</definedName>
    <definedName name="Pp_Vzdel_TaS_spec" localSheetId="10">#REF!</definedName>
    <definedName name="Pp_Vzdel_TaS_spec">#REF!</definedName>
    <definedName name="Pp_Vzdel_TaS_stav" localSheetId="23">#REF!</definedName>
    <definedName name="Pp_Vzdel_TaS_stav">#REF!</definedName>
    <definedName name="Pp_Vzdel_TaS_výkon" localSheetId="23">#REF!</definedName>
    <definedName name="Pp_Vzdel_TaS_výkon" localSheetId="10">#REF!</definedName>
    <definedName name="Pp_Vzdel_TaS_výkon">#REF!</definedName>
    <definedName name="Pp_Vzdel_TaS_výkon_PPŠ" localSheetId="23">#REF!</definedName>
    <definedName name="Pp_Vzdel_TaS_výkon_PPŠ" localSheetId="10">#REF!</definedName>
    <definedName name="Pp_Vzdel_TaS_výkon_PPŠ">#REF!</definedName>
    <definedName name="Pp_Vzdel_TaS_výkon_PPŠ_a_zákl" localSheetId="23">#REF!</definedName>
    <definedName name="Pp_Vzdel_TaS_výkon_PPŠ_a_zákl" localSheetId="10">#REF!</definedName>
    <definedName name="Pp_Vzdel_TaS_výkon_PPŠ_a_zákl">#REF!</definedName>
    <definedName name="Pp_Vzdel_TaS_výkon_PPŠ_KEN" localSheetId="23">#REF!</definedName>
    <definedName name="Pp_Vzdel_TaS_výkon_PPŠ_KEN" localSheetId="10">#REF!</definedName>
    <definedName name="Pp_Vzdel_TaS_výkon_PPŠ_KEN">#REF!</definedName>
    <definedName name="Pp_Vzdel_TaS_zahr_granty" localSheetId="23">#REF!</definedName>
    <definedName name="Pp_Vzdel_TaS_zahr_granty">#REF!</definedName>
    <definedName name="Pp_Vzdel_TaS_zákl" localSheetId="23">#REF!</definedName>
    <definedName name="Pp_Vzdel_TaS_zákl" localSheetId="10">#REF!</definedName>
    <definedName name="Pp_Vzdel_TaS_zákl">#REF!</definedName>
    <definedName name="Pr_AV_BD" localSheetId="23">#REF!</definedName>
    <definedName name="Pr_AV_BD">#REF!</definedName>
    <definedName name="Pr_IV_BD" localSheetId="23">#REF!</definedName>
    <definedName name="Pr_IV_BD">#REF!</definedName>
    <definedName name="Pr_IV_KV" localSheetId="23">#REF!</definedName>
    <definedName name="Pr_IV_KV">#REF!</definedName>
    <definedName name="Pr_IV_KV_rezerva" localSheetId="23">#REF!</definedName>
    <definedName name="Pr_IV_KV_rezerva">#REF!</definedName>
    <definedName name="Pr_KEGA_BD" localSheetId="23">#REF!</definedName>
    <definedName name="Pr_KEGA_BD">#REF!</definedName>
    <definedName name="Pr_klinické" localSheetId="23">#REF!</definedName>
    <definedName name="Pr_klinické">#REF!</definedName>
    <definedName name="Pr_KŠ" localSheetId="23">#REF!</definedName>
    <definedName name="Pr_KŠ" localSheetId="10">#REF!</definedName>
    <definedName name="Pr_KŠ">#REF!</definedName>
    <definedName name="Pr_motštip_BD" localSheetId="23">#REF!</definedName>
    <definedName name="Pr_motštip_BD">#REF!</definedName>
    <definedName name="Pr_MVTS_BD" localSheetId="23">#REF!</definedName>
    <definedName name="Pr_MVTS_BD">#REF!</definedName>
    <definedName name="Pr_socštip_BD" localSheetId="23">#REF!</definedName>
    <definedName name="Pr_socštip_BD">#REF!</definedName>
    <definedName name="Pr_ŠD" localSheetId="23">#REF!</definedName>
    <definedName name="Pr_ŠD" localSheetId="10">#REF!</definedName>
    <definedName name="Pr_ŠD">#REF!</definedName>
    <definedName name="Pr_ŠDaJKŠPC_BD" localSheetId="23">#REF!</definedName>
    <definedName name="Pr_ŠDaJKŠPC_BD">#REF!</definedName>
    <definedName name="Pr_VaT_KV_zac_roka" localSheetId="23">#REF!</definedName>
    <definedName name="Pr_VaT_KV_zac_roka">#REF!</definedName>
    <definedName name="Pr_VaT_TaS" localSheetId="23">#REF!</definedName>
    <definedName name="Pr_VaT_TaS">#REF!</definedName>
    <definedName name="Pr_VaT_TaS_rezerva" localSheetId="23">#REF!</definedName>
    <definedName name="Pr_VaT_TaS_rezerva">#REF!</definedName>
    <definedName name="Pr_VaT_TaS_zac_roka" localSheetId="23">#REF!</definedName>
    <definedName name="Pr_VaT_TaS_zac_roka">#REF!</definedName>
    <definedName name="Pr_VEGA_BD" localSheetId="23">#REF!</definedName>
    <definedName name="Pr_VEGA_BD">#REF!</definedName>
    <definedName name="predmety" localSheetId="23">#REF!</definedName>
    <definedName name="predmety">#REF!</definedName>
    <definedName name="prisp_na_1_jedlo" localSheetId="23">#REF!</definedName>
    <definedName name="prisp_na_1_jedlo" localSheetId="10">#REF!</definedName>
    <definedName name="prisp_na_1_jedlo">#REF!</definedName>
    <definedName name="prisp_na_ubyt_stud_SD" localSheetId="23">#REF!</definedName>
    <definedName name="prisp_na_ubyt_stud_SD" localSheetId="10">#REF!</definedName>
    <definedName name="prisp_na_ubyt_stud_SD">#REF!</definedName>
    <definedName name="prisp_na_ubyt_stud_ZZ" localSheetId="23">#REF!</definedName>
    <definedName name="prisp_na_ubyt_stud_ZZ" localSheetId="10">#REF!</definedName>
    <definedName name="prisp_na_ubyt_stud_ZZ">#REF!</definedName>
    <definedName name="prísp_zákl_prev" localSheetId="23">#REF!</definedName>
    <definedName name="prísp_zákl_prev">#REF!</definedName>
    <definedName name="R_vvs" localSheetId="23">#REF!</definedName>
    <definedName name="R_vvs">#REF!</definedName>
    <definedName name="R_vvs_BD" localSheetId="23">#REF!</definedName>
    <definedName name="R_vvs_BD">#REF!</definedName>
    <definedName name="R_vvs_VaT_BD" localSheetId="23">#REF!</definedName>
    <definedName name="R_vvs_VaT_BD">#REF!</definedName>
    <definedName name="Sanet" localSheetId="23">#REF!</definedName>
    <definedName name="Sanet">#REF!</definedName>
    <definedName name="SAPBEXrevision" hidden="1">7</definedName>
    <definedName name="SAPBEXsysID" hidden="1">"BS1"</definedName>
    <definedName name="SAPBEXwbID" hidden="1">"3TG3S316PX9BHXMQEBSXSYZZO"</definedName>
    <definedName name="stavba_ucelova" localSheetId="23">#REF!</definedName>
    <definedName name="stavba_ucelova">#REF!</definedName>
    <definedName name="studenti_vstup" localSheetId="23">#REF!</definedName>
    <definedName name="studenti_vstup">#REF!</definedName>
    <definedName name="sustava" localSheetId="23">#REF!</definedName>
    <definedName name="sustava">#REF!</definedName>
    <definedName name="T_1" localSheetId="23">#REF!</definedName>
    <definedName name="T_1">#REF!</definedName>
    <definedName name="T_25_so_štip_2007" localSheetId="23">#REF!</definedName>
    <definedName name="T_25_so_štip_2007">#REF!</definedName>
    <definedName name="T_M" localSheetId="23">#REF!</definedName>
    <definedName name="T_M">#REF!</definedName>
    <definedName name="T1" localSheetId="23">#REF!</definedName>
    <definedName name="T1">#REF!</definedName>
    <definedName name="váha_absDrš" localSheetId="23">#REF!</definedName>
    <definedName name="váha_absDrš">#REF!</definedName>
    <definedName name="váha_DG" localSheetId="23">#REF!</definedName>
    <definedName name="váha_DG">#REF!</definedName>
    <definedName name="váha_poDs" localSheetId="23">#REF!</definedName>
    <definedName name="váha_poDs">#REF!</definedName>
    <definedName name="váha_Pub" localSheetId="23">#REF!</definedName>
    <definedName name="váha_Pub">#REF!</definedName>
    <definedName name="váha_ZG" localSheetId="23">#REF!</definedName>
    <definedName name="váha_ZG">#REF!</definedName>
    <definedName name="výkon_um" localSheetId="23">#REF!</definedName>
    <definedName name="výkon_um">#REF!</definedName>
    <definedName name="wd1" localSheetId="23">'[4]vahy'!$B$1</definedName>
    <definedName name="wd1">'[1]vahy'!$B$1</definedName>
    <definedName name="wd3" localSheetId="23">'[4]vahy'!$B$3</definedName>
    <definedName name="wd3">'[1]vahy'!$B$3</definedName>
    <definedName name="we1" localSheetId="23">'[4]vahy'!$B$2</definedName>
    <definedName name="we1">'[1]vahy'!$B$2</definedName>
    <definedName name="we3" localSheetId="23">'[4]vahy'!$B$4</definedName>
    <definedName name="we3">'[1]vahy'!$B$4</definedName>
    <definedName name="x">#REF!</definedName>
    <definedName name="xxx" hidden="1">"3TGMUFSSIAIMK2KTNC9DELQD0"</definedName>
    <definedName name="zakl_prisp_na_prev_SD" localSheetId="23">#REF!</definedName>
    <definedName name="zakl_prisp_na_prev_SD" localSheetId="10">#REF!</definedName>
    <definedName name="zakl_prisp_na_prev_SD">#REF!</definedName>
    <definedName name="záloha" localSheetId="23">#REF!</definedName>
    <definedName name="záloha" localSheetId="10">#REF!</definedName>
    <definedName name="záloha">#REF!</definedName>
  </definedNames>
  <calcPr fullCalcOnLoad="1"/>
</workbook>
</file>

<file path=xl/comments17.xml><?xml version="1.0" encoding="utf-8"?>
<comments xmlns="http://schemas.openxmlformats.org/spreadsheetml/2006/main">
  <authors>
    <author>pisarcikova</author>
    <author>renata.lucanska</author>
  </authors>
  <commentList>
    <comment ref="E9" authorId="0">
      <text>
        <r>
          <rPr>
            <b/>
            <sz val="8"/>
            <rFont val="Tahoma"/>
            <family val="2"/>
          </rPr>
          <t>pisarcikova:</t>
        </r>
        <r>
          <rPr>
            <sz val="8"/>
            <rFont val="Tahoma"/>
            <family val="2"/>
          </rPr>
          <t xml:space="preserve">
1 422 874,24 z T5, lebo 551002 + 551004</t>
        </r>
      </text>
    </comment>
    <comment ref="J12" authorId="1">
      <text>
        <r>
          <rPr>
            <b/>
            <sz val="9"/>
            <rFont val="Tahoma"/>
            <family val="2"/>
          </rPr>
          <t xml:space="preserve">preúčtovanie na účet 384009 - VBO dary
</t>
        </r>
        <r>
          <rPr>
            <sz val="9"/>
            <rFont val="Tahoma"/>
            <family val="2"/>
          </rPr>
          <t xml:space="preserve">
</t>
        </r>
      </text>
    </comment>
  </commentList>
</comments>
</file>

<file path=xl/comments9.xml><?xml version="1.0" encoding="utf-8"?>
<comments xmlns="http://schemas.openxmlformats.org/spreadsheetml/2006/main">
  <authors>
    <author>renata.lucanska</author>
  </authors>
  <commentList>
    <comment ref="E93" authorId="0">
      <text>
        <r>
          <rPr>
            <b/>
            <sz val="9"/>
            <rFont val="Tahoma"/>
            <family val="2"/>
          </rPr>
          <t xml:space="preserve">282,15€=HČD úHK 552100
35802,96 €=HČN úHK 552200
</t>
        </r>
        <r>
          <rPr>
            <sz val="9"/>
            <rFont val="Tahoma"/>
            <family val="2"/>
          </rPr>
          <t xml:space="preserve">
</t>
        </r>
      </text>
    </comment>
  </commentList>
</comments>
</file>

<file path=xl/sharedStrings.xml><?xml version="1.0" encoding="utf-8"?>
<sst xmlns="http://schemas.openxmlformats.org/spreadsheetml/2006/main" count="1882" uniqueCount="1428">
  <si>
    <t>Tabuľka 9</t>
  </si>
  <si>
    <t>Tabuľka 10</t>
  </si>
  <si>
    <t>Tabuľka 11</t>
  </si>
  <si>
    <t>Tabuľka 12</t>
  </si>
  <si>
    <t>Tabuľka 13</t>
  </si>
  <si>
    <t>Tabuľka 16</t>
  </si>
  <si>
    <t>Tabuľka 18</t>
  </si>
  <si>
    <t>Tabuľka 19</t>
  </si>
  <si>
    <t>Tabuľka 20</t>
  </si>
  <si>
    <t>Tabuľka 21</t>
  </si>
  <si>
    <t xml:space="preserve">  - tvorba fondu z predaja alebo likvidácie majetku</t>
  </si>
  <si>
    <t>Vysvetlivky</t>
  </si>
  <si>
    <t xml:space="preserve">- za prekročenie štandardnej dĺžky štúdia a súbežné štúdium (§ 92 ods. 5 a 6 zákona) (účet 649 001) </t>
  </si>
  <si>
    <t xml:space="preserve">- od cudzincov (§ 92 ods. 9 zákona)  (účet 649 002) </t>
  </si>
  <si>
    <t xml:space="preserve">- za prijímacie konanie (§ 92 ods. 10 zákona) (účet 649 003) </t>
  </si>
  <si>
    <t xml:space="preserve">- za rigorózne konanie (§ 92 ods. 11 zákona) (účet 649 004) </t>
  </si>
  <si>
    <t xml:space="preserve">- za vydanie diplomu za rigorózne konanie (§ 92 ods. 12 zákona)  (účet 649 005) </t>
  </si>
  <si>
    <t xml:space="preserve">- za vydanie dokladov o štúdiu a ich kópií (§ 92 ods. 13 zákona)  (účet 649 006) </t>
  </si>
  <si>
    <t xml:space="preserve">      - dohody o vykonaní práce - externí účitelia (účet 521 009)</t>
  </si>
  <si>
    <t xml:space="preserve">      - dohody o vykonaní práce, dohody o pracovnej činnosti
        (účet 521 010)</t>
  </si>
  <si>
    <t xml:space="preserve"> - OON [SUM(R58:R60)]</t>
  </si>
  <si>
    <t>Zákonné sociálne náklady (účet 527) [SUM(R64:R69)]</t>
  </si>
  <si>
    <r>
      <t>Ostatné náklady (účtová skupina 54)</t>
    </r>
    <r>
      <rPr>
        <sz val="12"/>
        <rFont val="Times New Roman"/>
        <family val="1"/>
      </rPr>
      <t xml:space="preserve"> [R75+ R76]</t>
    </r>
  </si>
  <si>
    <t>- Iné ostatné  náklady (účet 549) [SUM(R77:R83)]</t>
  </si>
  <si>
    <t>Odpisy, predaný majetok a opravné položky (účtová skupina 55) [SUM(R85:R91)]</t>
  </si>
  <si>
    <t>T5_R56_SC+SD &gt;=&lt; T6_R18_SH
T5_R77_SC = T7_R1_SE
T5_R81_SC = T19_R2_SC</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</si>
  <si>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</si>
  <si>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</si>
  <si>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</si>
  <si>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</si>
  <si>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</si>
  <si>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</si>
  <si>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</si>
  <si>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</si>
  <si>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</si>
  <si>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</si>
  <si>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Účty v Štátnej pokladnici spolu [SUM(R2:R15)]</t>
  </si>
  <si>
    <t>T3_V1</t>
  </si>
  <si>
    <t>Tržby za predaný tovar (účet 604)</t>
  </si>
  <si>
    <t xml:space="preserve">Ostatné sociálne poistenia (účet 525) </t>
  </si>
  <si>
    <t xml:space="preserve">  - Prvok 06G 05 01</t>
  </si>
  <si>
    <t xml:space="preserve">  - Prvok 06G 05 02</t>
  </si>
  <si>
    <t xml:space="preserve">  - Prvok 06G 05 04</t>
  </si>
  <si>
    <t xml:space="preserve">  - Prvok 06G 06 01</t>
  </si>
  <si>
    <t>T7_SD</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</si>
  <si>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</si>
  <si>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</si>
  <si>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</si>
  <si>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</si>
  <si>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</si>
  <si>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</si>
  <si>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</si>
  <si>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</si>
  <si>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</si>
  <si>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</si>
  <si>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</si>
  <si>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</si>
  <si>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</si>
  <si>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T7_SC</t>
  </si>
  <si>
    <t xml:space="preserve">Ostatné sociálne náklady (účet 528)  </t>
  </si>
  <si>
    <t>Údaje v T13_ R2_SC (SD) - tvorba fondu reprodukcie sa musia rovnať údajom v T11_R2_SA (SB). 
Údaje v T13_R8_SE (SF) majú súvzťažnosť s údajmi v T8_R5 (sociálne štipendiá), T20_R2 (motivačné štipendiá). Tvorba fondu z dotácie v T13_R8 má byť minimálne vo výške súčtu dotácie na sociálne štipendiá (T8_R5) a motivačné štipendiá (T20_R2). 
Údaje v T13_R13_SD(SF) majú byť totožné s údajmi v T16,  účet štipendijného fondu (R10), účet fondu reprodukcie (R13).</t>
  </si>
  <si>
    <t>T13_V3</t>
  </si>
  <si>
    <t>T13_V5</t>
  </si>
  <si>
    <t>T13_V4</t>
  </si>
  <si>
    <t>T13_V6</t>
  </si>
  <si>
    <t>T16_R17</t>
  </si>
  <si>
    <t>Kontrola</t>
  </si>
  <si>
    <t>Poznámky</t>
  </si>
  <si>
    <t>T1_V2</t>
  </si>
  <si>
    <t>T13_R13 = vybrané účty T16</t>
  </si>
  <si>
    <t>T16_R14</t>
  </si>
  <si>
    <t>Verejná vysoká škola tu uvedie zostatok finančných prostriedkov na účtoch, na ktoré uchádzači  počas procesu verejného obstarávania vkladajú finančnú zábezpeku.</t>
  </si>
  <si>
    <t>T16_ R15</t>
  </si>
  <si>
    <t>V tomto riadku uvedie verejná vysoká škola všetky ostatné zostatky bankových účtov v Štátnej pokladnici, ktoré neboli zaradené ani do jednej skupiny účtov.</t>
  </si>
  <si>
    <t>T16_R16</t>
  </si>
  <si>
    <t>Stav bankových účtov spolu [R1+R16+R17]</t>
  </si>
  <si>
    <t xml:space="preserve">  - poskytnuté jednorázovo</t>
  </si>
  <si>
    <r>
      <t>Zdroje na obstaranie a technické zhodnotenie majetku  z fondu reprodukcie</t>
    </r>
    <r>
      <rPr>
        <sz val="12"/>
        <rFont val="Times New Roman"/>
        <family val="1"/>
      </rPr>
      <t xml:space="preserve"> [R1+R2]</t>
    </r>
  </si>
  <si>
    <t>- nákup softvéru</t>
  </si>
  <si>
    <t>Výdavky na obstaranie a technické zhodnotenie dlhobého majetku spolu [R1+SUM(R3:R4)+SUM(R10:R14)]</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</si>
  <si>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</si>
  <si>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</si>
  <si>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</si>
  <si>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</si>
  <si>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</si>
  <si>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</si>
  <si>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</si>
  <si>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</si>
  <si>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</si>
  <si>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Tabuľka č. 20 poskytuje informácie  o príjmoch a výdavkoch vysokej školy na motivačné štipendiá a o počte študentov, ktorí ich poberajú v zmysle § 96  zákona.</t>
  </si>
  <si>
    <t>T2_R1</t>
  </si>
  <si>
    <t>Tabuľka 17</t>
  </si>
  <si>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</si>
  <si>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</si>
  <si>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</si>
  <si>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</si>
  <si>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</si>
  <si>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rPr>
      <t xml:space="preserve">žltou farbou </t>
    </r>
    <r>
      <rPr>
        <sz val="12"/>
        <rFont val="Times New Roman"/>
        <family val="1"/>
      </rPr>
      <t xml:space="preserve">a vysoká škola </t>
    </r>
    <r>
      <rPr>
        <b/>
        <sz val="12"/>
        <rFont val="Times New Roman"/>
        <family val="1"/>
      </rPr>
      <t>ich nevyplňuje. Polia, ktoré je potrebné vyplniť, sú označené zelenou farbou. Polia, v ktorých nemôže byť žiadny údaj, sú označené X.</t>
    </r>
  </si>
  <si>
    <t>T16_R2:R14</t>
  </si>
  <si>
    <t>T16_V2</t>
  </si>
  <si>
    <t>Prostriedky zo zahraničných projektov na budúce aktivity</t>
  </si>
  <si>
    <t>Ostatné</t>
  </si>
  <si>
    <t xml:space="preserve">1) V stĺpcoch B a D sa uvádza prepočítaný počet študentov určený ako počet osobomesiacov, počas ktorých bolo poskytované sociálne štipendium </t>
  </si>
  <si>
    <t>finančné fondy</t>
  </si>
  <si>
    <t>stav bankových účtov</t>
  </si>
  <si>
    <t>štrukturálne fondy EÚ</t>
  </si>
  <si>
    <t>dotácie mimo dotačnej zmluvy a mimo dotácií zo štrukturálnych fondov EÚ</t>
  </si>
  <si>
    <t>T7_V2</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</si>
  <si>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</si>
  <si>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</si>
  <si>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</si>
  <si>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Tvorba fondu v kalendárnom roku spolu</t>
    </r>
    <r>
      <rPr>
        <sz val="12"/>
        <rFont val="Times New Roman"/>
        <family val="1"/>
      </rPr>
      <t xml:space="preserve"> SUM(R3:R10) </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</si>
  <si>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</si>
  <si>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</si>
  <si>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</si>
  <si>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</si>
  <si>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</si>
  <si>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</si>
  <si>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</si>
  <si>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</si>
  <si>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</si>
  <si>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iné analyticky sledované výnosy (účty 602 002-007, 602 099)</t>
  </si>
  <si>
    <t>- z dotačného účtu  (účet 644 001)</t>
  </si>
  <si>
    <t>- z ostatných účtov  (účet 644 002)</t>
  </si>
  <si>
    <t>- poplatky spojené so štúdiom (účet 649 003-006)</t>
  </si>
  <si>
    <t>- ďalšie vzdelávanie  (účet 649 007)</t>
  </si>
  <si>
    <t>- kvalifikačné skúšky  (účet 649 008)</t>
  </si>
  <si>
    <t>- dary (účet 649 009)</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</si>
  <si>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</si>
  <si>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</si>
  <si>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</si>
  <si>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</si>
  <si>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</si>
  <si>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</si>
  <si>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ostatné výnosy (účty 649 012, 649 018-021, 649 099)</t>
  </si>
  <si>
    <t>- štipendijného fondu (účet 656 200)</t>
  </si>
  <si>
    <t>- knihy, časopisy a noviny  (účet 501 001)</t>
  </si>
  <si>
    <t>- chemikálie a ostatný materiál pre zabezpečenie experimentálnej výučby  (účet 501 002)</t>
  </si>
  <si>
    <t>- kancelárske potreby a materiál   (účet 501 003)</t>
  </si>
  <si>
    <t>- papier  (účet 501 004)</t>
  </si>
  <si>
    <t>- pohonné hmoty a ostatný materiál na dopravu  (účet 501 007)</t>
  </si>
  <si>
    <t>- čistiace, hygienické a dezinfekčné potreby (účet 501 008)</t>
  </si>
  <si>
    <t>- stavebný, vodoinštalačný a elektroinštalačný materiál
 (účet 501 009)</t>
  </si>
  <si>
    <t>- potraviny (účet 501 010)</t>
  </si>
  <si>
    <t>- DHM - prístroje a zariadenia laboratórií, výpočtová technika  (účet 501 011)</t>
  </si>
  <si>
    <t>- DHM - nábytok (účet 501 012)</t>
  </si>
  <si>
    <t>- ostatný materiál (účet 501 099)</t>
  </si>
  <si>
    <t>- plyn  (účet 502 004)</t>
  </si>
  <si>
    <t>- palivá  (účet 502 005)</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</si>
  <si>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</si>
  <si>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</si>
  <si>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</si>
  <si>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</si>
  <si>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t xml:space="preserve">2)  v riadku 5 sa uvedie celkový (fyzický) počet študentov, ktorým bolo vyplatené motivačné štipendium v kalendárnom roku </t>
  </si>
  <si>
    <t>- údržba a opravy meracej techniky, telovýchovných  zariadení ...(účet 511 005)</t>
  </si>
  <si>
    <t>- iné analyticky sledované náklady (účet 511 006-008)</t>
  </si>
  <si>
    <t>- ostatná údržba a opravy (účet 511 099)</t>
  </si>
  <si>
    <t>- prenájom zariadení (účet 518 002)</t>
  </si>
  <si>
    <t>- prenájom priestorov  (účet 518 001)</t>
  </si>
  <si>
    <t>- vložné na konferencie  (účet 518 004)</t>
  </si>
  <si>
    <t>- ďalšie vzdelávanie zamestnancov  (účet 518 005)</t>
  </si>
  <si>
    <t>- telefón, fax  (účet 518 006)</t>
  </si>
  <si>
    <t>- počítačové siete a prenosy údajov  (účet 518 007)</t>
  </si>
  <si>
    <t>- poštovné  (účet 518 008)</t>
  </si>
  <si>
    <t>- odvoz odpadu  (účet 518 009)</t>
  </si>
  <si>
    <t>- revízie zariadení (účet 518 010)</t>
  </si>
  <si>
    <t>- čistenie verejných priestranstiev (účet 518 011)</t>
  </si>
  <si>
    <t>- dopravné služby (účet 518 012)</t>
  </si>
  <si>
    <t xml:space="preserve">- iné analyticky sledované náklady (účty 518 003, 518 013, 518 015-018, 518 020-027, 518 040) </t>
  </si>
  <si>
    <t>- ostatné služby (účet 518 099)</t>
  </si>
  <si>
    <t xml:space="preserve"> - MZDY (účty 521 001-008, 521 012)</t>
  </si>
  <si>
    <t xml:space="preserve"> - príspevok zamestnancom na stravovanie  (účet 527 002)</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</si>
  <si>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</si>
  <si>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</si>
  <si>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</si>
  <si>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</si>
  <si>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bankové poplatky (účet 549 002)</t>
  </si>
  <si>
    <t xml:space="preserve"> - úhrada výnosov z úrokov na dotačnom účte (účet 549 003)</t>
  </si>
  <si>
    <t xml:space="preserve"> - poistné náklady (havarijné, majetok, na študentov) (účet 549 004)</t>
  </si>
  <si>
    <t xml:space="preserve"> - štipendiá z vlastných zdrojov - prospechové (549 007)</t>
  </si>
  <si>
    <t xml:space="preserve"> - iné analyticky sledované náklady (účet 549 005-006, 549 008-012)</t>
  </si>
  <si>
    <t>T11_R11</t>
  </si>
  <si>
    <t>R11_R8</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</si>
  <si>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</si>
  <si>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</si>
  <si>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</si>
  <si>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</si>
  <si>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t>(uviesť zoznam všetkých dotácií z iných kapitol sumarizovaných podľa prvkov resp. podprogramov, ak sa podprogram nedelí na prvky)</t>
  </si>
  <si>
    <t>T13_R2_SC (SD) = T11_R2_SA (SB) 
T13_R8_SF ≥ T8_R5_SC + T20_R2_SB 
T13_R13_SD = T16_R13_SB
T13_R13_SF = T16_R10_SB</t>
  </si>
  <si>
    <t>Výnosy z dlhodobého finančného majetku (účet 652)</t>
  </si>
  <si>
    <t>Prijaté príspevky od iných organizácií (účet 662)</t>
  </si>
  <si>
    <t>Vnútroorganizačné prevody výnosov (účtová skupina 67)</t>
  </si>
  <si>
    <t>Prevádzkové dotácie (účet 691)</t>
  </si>
  <si>
    <t>T10_R5_SA (SB)</t>
  </si>
  <si>
    <t xml:space="preserve">   - Prvok 077 12 05</t>
  </si>
  <si>
    <t>- Podprogram 077 13</t>
  </si>
  <si>
    <t xml:space="preserve">   - Prvok 077 15 01</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</si>
  <si>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</si>
  <si>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</si>
  <si>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</si>
  <si>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</si>
  <si>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</si>
  <si>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</si>
  <si>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</si>
  <si>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</si>
  <si>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</si>
  <si>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</si>
  <si>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</si>
  <si>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</si>
  <si>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T4_R10</t>
  </si>
  <si>
    <t>T17_V2</t>
  </si>
  <si>
    <t>T17_V1</t>
  </si>
  <si>
    <t xml:space="preserve"> - ostatné náklady z účtovej skupiny 55 (účty 552, 553, 554, 557, 558, 559)</t>
  </si>
  <si>
    <r>
      <t xml:space="preserve">Výnosy z použitia fondov (účet 656) [SUM(R40:R43)]  </t>
    </r>
    <r>
      <rPr>
        <b/>
        <vertAlign val="superscript"/>
        <sz val="12"/>
        <rFont val="Times New Roman"/>
        <family val="1"/>
      </rPr>
      <t xml:space="preserve"> 1)</t>
    </r>
  </si>
  <si>
    <t>- zúčtovanie dotácie zo ŠR na DN a HM vo výške odpisov</t>
  </si>
  <si>
    <t>- ostatných fondov (účet 656 300, 656 500)</t>
  </si>
  <si>
    <t xml:space="preserve">- náklady na tvorbu rezervného fondu (účet 556 100) </t>
  </si>
  <si>
    <t xml:space="preserve">- náklady na tvorbu štipendijného fondu (účet 556 200) </t>
  </si>
  <si>
    <t xml:space="preserve">- náklady na tvorbu fondu reprodukcie (účet 556 300) </t>
  </si>
  <si>
    <t xml:space="preserve">- náklady na tvorbu ostatných fondov (účty 556 300, 556 500) </t>
  </si>
  <si>
    <t xml:space="preserve">1) V R89-92 sa uvedú náklady účtované v súvislosti s tvorbou príslušného fondu. </t>
  </si>
  <si>
    <t xml:space="preserve"> - ostatné iné náklady (účet 549 099)</t>
  </si>
  <si>
    <r>
      <t>Tvorba fondu reprodukcie v kalendárnom roku spolu</t>
    </r>
    <r>
      <rPr>
        <sz val="12"/>
        <rFont val="Times New Roman"/>
        <family val="1"/>
      </rPr>
      <t xml:space="preserve"> [SUM(R3:R8)] </t>
    </r>
  </si>
  <si>
    <t>- zamestnanci zaradení na ostatných pracoviskách</t>
  </si>
  <si>
    <t>- bežný účet okrem účtov uvedených v 
  R6:R8</t>
  </si>
  <si>
    <t>- devízové účty</t>
  </si>
  <si>
    <t>- účet štipendijného fondu</t>
  </si>
  <si>
    <t>- účet podnikateľskej činnosti</t>
  </si>
  <si>
    <t>- účet sociálneho fondu</t>
  </si>
  <si>
    <t>- účet fondu reprodukcie</t>
  </si>
  <si>
    <t>- bežný účet - zábezpeka</t>
  </si>
  <si>
    <t>Sumárny riadok osobitne financovaných súčastí verejnej vysokej školy (špecifiká).</t>
  </si>
  <si>
    <t>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t>
  </si>
  <si>
    <t>T8_R5</t>
  </si>
  <si>
    <t>Uvedie sa rozsah ubytovania študentov v osobomesiacoch. Napríklad, študent, ktorý býval v študentskom domove 10 mesiacov, prispeje do počtu osobomesiacov sumou 10.</t>
  </si>
  <si>
    <t>V stĺpci A uvedie vysoká škola nevyčerpanú dotáciu (+)/nedoplatok dotácie (-) na stravu študentov k 31. 12. príslušného kalendárneho roka.</t>
  </si>
  <si>
    <t>- ostatné bankové účty v Štátnej pokladnici 
  mimo účtov uvedených v R2:R14</t>
  </si>
  <si>
    <t xml:space="preserve">Čerpanie ostatných zdrojov prostredníctvom fondu reprodukcie </t>
  </si>
  <si>
    <t>Zákonné sociálne poistenie (účet 524)</t>
  </si>
  <si>
    <t>Zúčtovanie zákonných opravných položiek (účet 659)</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</si>
  <si>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</si>
  <si>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</si>
  <si>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</si>
  <si>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</si>
  <si>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</si>
  <si>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</si>
  <si>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</si>
  <si>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</si>
  <si>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</si>
  <si>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</si>
  <si>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r>
      <t>Nevyčerpaná dotácia (+) / nedoplatok dotácie (-) na motivačné štipendiá</t>
    </r>
    <r>
      <rPr>
        <b/>
        <vertAlign val="superscript"/>
        <sz val="12"/>
        <rFont val="Times New Roman"/>
        <family val="1"/>
      </rPr>
      <t>1)</t>
    </r>
    <r>
      <rPr>
        <b/>
        <sz val="12"/>
        <rFont val="Times New Roman"/>
        <family val="1"/>
      </rPr>
      <t xml:space="preserve"> k 31. 12. predchádzajúceho kalendárneho roka</t>
    </r>
    <r>
      <rPr>
        <sz val="12"/>
        <rFont val="Times New Roman"/>
        <family val="1"/>
      </rPr>
      <t xml:space="preserve">     </t>
    </r>
    <r>
      <rPr>
        <b/>
        <sz val="12"/>
        <rFont val="Times New Roman"/>
        <family val="1"/>
      </rPr>
      <t xml:space="preserve">     </t>
    </r>
  </si>
  <si>
    <r>
      <t>Výdavky na motivačné štipendiá</t>
    </r>
    <r>
      <rPr>
        <sz val="12"/>
        <rFont val="Times New Roman"/>
        <family val="1"/>
      </rPr>
      <t xml:space="preserve"> </t>
    </r>
    <r>
      <rPr>
        <b/>
        <sz val="12"/>
        <rFont val="Times New Roman"/>
        <family val="1"/>
      </rPr>
      <t xml:space="preserve">v kalendárnom roku </t>
    </r>
    <r>
      <rPr>
        <b/>
        <vertAlign val="superscript"/>
        <sz val="12"/>
        <rFont val="Times New Roman"/>
        <family val="1"/>
      </rPr>
      <t>1)</t>
    </r>
    <r>
      <rPr>
        <b/>
        <sz val="12"/>
        <rFont val="Times New Roman"/>
        <family val="1"/>
      </rPr>
      <t xml:space="preserve"> </t>
    </r>
    <r>
      <rPr>
        <sz val="12"/>
        <rFont val="Times New Roman"/>
        <family val="1"/>
      </rPr>
      <t xml:space="preserve"> </t>
    </r>
  </si>
  <si>
    <t>Tabuľka 8</t>
  </si>
  <si>
    <r>
      <t>Nevyčerpaná dotácia (+) / nedoplatok dotácie (-) k 31. 12. kalendárneho roka</t>
    </r>
    <r>
      <rPr>
        <b/>
        <vertAlign val="superscript"/>
        <sz val="12"/>
        <rFont val="Times New Roman"/>
        <family val="1"/>
      </rPr>
      <t xml:space="preserve">1) </t>
    </r>
    <r>
      <rPr>
        <b/>
        <sz val="12"/>
        <rFont val="Times New Roman"/>
        <family val="1"/>
      </rPr>
      <t xml:space="preserve"> </t>
    </r>
    <r>
      <rPr>
        <b/>
        <sz val="12"/>
        <rFont val="Times New Roman"/>
        <family val="1"/>
      </rPr>
      <t xml:space="preserve"> [R1+R2-R3]                       </t>
    </r>
  </si>
  <si>
    <r>
      <t xml:space="preserve">Počet študentov, ktorým bolo priznané motivačné štipendium </t>
    </r>
    <r>
      <rPr>
        <b/>
        <vertAlign val="superscript"/>
        <sz val="12"/>
        <rFont val="Times New Roman"/>
        <family val="1"/>
      </rPr>
      <t>2)</t>
    </r>
  </si>
  <si>
    <t>- zostatok nevyčerpanej dotácie (+)/ nedoplatok dotácie (-) z predchádzajúcich rokov [R6_SB=R8_SA]</t>
  </si>
  <si>
    <t>- dotačný účet</t>
  </si>
  <si>
    <t>- zostatkový účet</t>
  </si>
  <si>
    <t>- distribučný účet</t>
  </si>
  <si>
    <t>I=A+C+E+G</t>
  </si>
  <si>
    <t>J=B+D+F+H</t>
  </si>
  <si>
    <t>spolufinanco-
vanie zo ŠR</t>
  </si>
  <si>
    <t xml:space="preserve">Počet študentov  poberajúcich štipendium </t>
  </si>
  <si>
    <t>Počet študentov  poberajúcich štipendium</t>
  </si>
  <si>
    <t>T10_V2</t>
  </si>
  <si>
    <t>T12_R5:R9</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</si>
  <si>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</si>
  <si>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</si>
  <si>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</si>
  <si>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</si>
  <si>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</si>
  <si>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</si>
  <si>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</si>
  <si>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</si>
  <si>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</si>
  <si>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</si>
  <si>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</si>
  <si>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</si>
  <si>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</si>
  <si>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</si>
  <si>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</si>
  <si>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t>T3_V2</t>
  </si>
  <si>
    <t>T5_V2</t>
  </si>
  <si>
    <t>T7_SB</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</si>
  <si>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</si>
  <si>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</si>
  <si>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</si>
  <si>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</si>
  <si>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</si>
  <si>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</si>
  <si>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</si>
  <si>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</si>
  <si>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</si>
  <si>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</si>
  <si>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</si>
  <si>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</si>
  <si>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</si>
  <si>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</si>
  <si>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</si>
  <si>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</si>
  <si>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</si>
  <si>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xml:space="preserve">- vysokoškolskí učitelia s funkčným zaradením "profesor"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</si>
  <si>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</si>
  <si>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</si>
  <si>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</si>
  <si>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</si>
  <si>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</si>
  <si>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</si>
  <si>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r>
      <t>- fondu reprodukcie (účet 656 400)</t>
    </r>
    <r>
      <rPr>
        <vertAlign val="superscript"/>
        <sz val="12"/>
        <rFont val="Times New Roman"/>
        <family val="1"/>
      </rPr>
      <t xml:space="preserve"> 2)</t>
    </r>
  </si>
  <si>
    <t xml:space="preserve">2)   Výnosy z Fondu reprodukcie možno účtovať len v súvislosti s krytím nákladov na vedenie príslušného bankového účtu a nákladov vyplývajúcich z kurzových strát
      v zmysle  16a ods. 8 zákona. </t>
  </si>
  <si>
    <t xml:space="preserve">1) V R40-43 sa uvádzajú výnosy z finančných fondov, ktoré slúžia na zvýšenie výnosovej časti rozpočtu VVŠ podľa § 16 ods. 8 písm. g) zákona č. 131/2002 Z. z. 
     o vysokých školách v znení neskorších predpisov. </t>
  </si>
  <si>
    <t>T5_R88-R91</t>
  </si>
  <si>
    <t>Údaje v T5 sú rozšírené o tvorbu fondov</t>
  </si>
  <si>
    <t xml:space="preserve">    - dohody o brigádnickej práci študentov (účet 521 011)</t>
  </si>
  <si>
    <t>T9_V2</t>
  </si>
  <si>
    <t>4a</t>
  </si>
  <si>
    <t>- Náklady účtovnej skupiny 54 okrem nákladov účtu 549 (účtovné skupiny 541 až 548)</t>
  </si>
  <si>
    <t xml:space="preserve">Základ pre prídel do štipendijného fondu </t>
  </si>
  <si>
    <t>Nákup strojov, prístrojov, zariadení, techniky a náradia [SUM(R5:R9)]</t>
  </si>
  <si>
    <t>1) uvádzajte prospechové a mimoriadné štipendiá spolu</t>
  </si>
  <si>
    <r>
      <t>Nevyčerpaná dotácia (+) / nedoplatok dotácie (-) k 31. 12. bežného roka</t>
    </r>
    <r>
      <rPr>
        <sz val="12"/>
        <rFont val="Times New Roman"/>
        <family val="1"/>
      </rPr>
      <t xml:space="preserve"> [R4+R5-R1]          </t>
    </r>
    <r>
      <rPr>
        <b/>
        <sz val="12"/>
        <rFont val="Times New Roman"/>
        <family val="1"/>
      </rPr>
      <t xml:space="preserve">               </t>
    </r>
  </si>
  <si>
    <r>
      <t xml:space="preserve">Priemerné štipendium na 1 študenta na mesiac </t>
    </r>
    <r>
      <rPr>
        <sz val="12"/>
        <rFont val="Times New Roman"/>
        <family val="1"/>
      </rPr>
      <t xml:space="preserve"> [R1_SA/R2_SB resp. R1_SC/R2_SD]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</si>
  <si>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</si>
  <si>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</si>
  <si>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</si>
  <si>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</si>
  <si>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</si>
  <si>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</si>
  <si>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</si>
  <si>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</si>
  <si>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</si>
  <si>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</si>
  <si>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t>Výnosy z krátkodobého finančného majetku  (účet 655)</t>
  </si>
  <si>
    <t>Zdroje na obstaranie a technické zhodnotenie dlhodobého majetku z úverov</t>
  </si>
  <si>
    <t xml:space="preserve">Dotácia na kapitálové výdavky zo štátneho rozpočtu </t>
  </si>
  <si>
    <t>Tabuľka č. 8 poskytuje informácie  o príjmoch a výdavkoch (cash) na sociálne štipendiá zo štátneho rozpočtu podľa § 96 zákona a o počte študentov poberajúcich sociálne štipendiá.</t>
  </si>
  <si>
    <t>T10_R6_SA</t>
  </si>
  <si>
    <t>T12_SD</t>
  </si>
  <si>
    <t>- Podprogram 077 11</t>
  </si>
  <si>
    <t xml:space="preserve">   - Prvok 077 12 01</t>
  </si>
  <si>
    <t xml:space="preserve">   - Prvok 077 12 02</t>
  </si>
  <si>
    <t xml:space="preserve">   - Prvok 077 12 03</t>
  </si>
  <si>
    <t xml:space="preserve">   - Prvok 077 12 04</t>
  </si>
  <si>
    <t>V T13_R13 uvádzať krytie fondov len ak sú na fondy vytvorené osobitné bankové účty. 
Súvťažnosť vybraných účtov v R13 na údaje v T16 (účet štipendijného fondu, účet fondu reprodukcie).</t>
  </si>
  <si>
    <t xml:space="preserve">T18_V1 </t>
  </si>
  <si>
    <t xml:space="preserve">Počet študentov poberajúcich sociálne štipendium </t>
  </si>
  <si>
    <t xml:space="preserve">    - bežný účet pre študentské domovy</t>
  </si>
  <si>
    <t xml:space="preserve">    - bežný účet pre študentské jedálne</t>
  </si>
  <si>
    <t>Daň z príjmov (účtová skupina 59)</t>
  </si>
  <si>
    <t>- vysokoškolské podniky</t>
  </si>
  <si>
    <t>Ak má verejná vysoká škola zriadené účty aj mimo Štátnu pokladnicu (napr. dobiehajúce účty na riešenie zahraničných výskumných projektov), uvedie súhrnný údaj o nich v tomto riadku. V komentári uvedie podrobnejšiu charakteristiku týchto účtov.</t>
  </si>
  <si>
    <t>Výnos z dotácie zo štátneho rozpočtu na študentské domovy (bez zmluvných zariadení)</t>
  </si>
  <si>
    <t>Výskumní pracovníci alebo umeleckí pracovníci</t>
  </si>
  <si>
    <t>15a</t>
  </si>
  <si>
    <r>
      <t>Vysokoškolskí učitelia spolu</t>
    </r>
    <r>
      <rPr>
        <sz val="12"/>
        <rFont val="Times New Roman"/>
        <family val="1"/>
      </rPr>
      <t xml:space="preserve"> [SUM(R2:</t>
    </r>
    <r>
      <rPr>
        <sz val="12"/>
        <rFont val="Times New Roman"/>
        <family val="1"/>
      </rPr>
      <t>R6</t>
    </r>
    <r>
      <rPr>
        <sz val="12"/>
        <rFont val="Times New Roman"/>
        <family val="1"/>
      </rPr>
      <t>)]</t>
    </r>
  </si>
  <si>
    <r>
      <t>Administratívni zamestnanci spolu</t>
    </r>
    <r>
      <rPr>
        <sz val="12"/>
        <rFont val="Times New Roman"/>
        <family val="1"/>
      </rPr>
      <t xml:space="preserve"> [SUM(R10:R12)]                         </t>
    </r>
  </si>
  <si>
    <t>T21_V1</t>
  </si>
  <si>
    <t>Nákup budov a stavieb</t>
  </si>
  <si>
    <t>Poznámka</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</si>
  <si>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</si>
  <si>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</si>
  <si>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</si>
  <si>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</si>
  <si>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</si>
  <si>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</si>
  <si>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</si>
  <si>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</si>
  <si>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</si>
  <si>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</si>
  <si>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</si>
  <si>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</si>
  <si>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</si>
  <si>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</si>
  <si>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</si>
  <si>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</si>
  <si>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</si>
  <si>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</si>
  <si>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</si>
  <si>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</si>
  <si>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t>Objem zdrojov</t>
  </si>
  <si>
    <t xml:space="preserve">Nákup ostatného dlhodobého majetku </t>
  </si>
  <si>
    <t>Ostatné fondy</t>
  </si>
  <si>
    <t>Účty mimo Štátnej pokladnice spolu</t>
  </si>
  <si>
    <t>Ak položke požadovanej v tabuľke zodpovedá podľa predpísanej analytickej evidencie na príslušnom syntetickom  účte  nejaký špecifikcký kód (napríklad kód ekonomickej klasfikácie), uvedie sa tento kód za názvom položky.</t>
  </si>
  <si>
    <t>Tabuľka 1</t>
  </si>
  <si>
    <t>Tabuľka č.19 poskytuje informácie o objeme a štruktúre štipendií  vyplácaných verejnou vysokou školou z vlastných zdrojov podľa § 97 zákona.</t>
  </si>
  <si>
    <t>T6_SA, SB, SC</t>
  </si>
  <si>
    <t>T16_R1</t>
  </si>
  <si>
    <t>Verejná vysoká škola tu uvedie zostatky finančných prostriedkov podľa jednotlivých skupín účtov.</t>
  </si>
  <si>
    <t>T16_R5</t>
  </si>
  <si>
    <r>
      <t xml:space="preserve">Vysvetlivky k tabuľkám sú organizované v dvoch stĺpcoch. 
</t>
    </r>
    <r>
      <rPr>
        <b/>
        <sz val="12"/>
        <rFont val="Times New Roman"/>
        <family val="1"/>
      </rPr>
      <t xml:space="preserve">Prvý stĺpec </t>
    </r>
    <r>
      <rPr>
        <sz val="12"/>
        <rFont val="Times New Roman"/>
        <family val="1"/>
      </rPr>
      <t xml:space="preserve">označený ako </t>
    </r>
    <r>
      <rPr>
        <b/>
        <sz val="12"/>
        <rFont val="Times New Roman"/>
        <family val="1"/>
      </rPr>
      <t xml:space="preserve">"Kód vysvetlivky" </t>
    </r>
    <r>
      <rPr>
        <sz val="12"/>
        <rFont val="Times New Roman"/>
        <family val="1"/>
      </rPr>
      <t xml:space="preserve">obsahuje označenie vysvetlivky, ktoré určuje, ku ktorej tabuľke a ku ktorej časti tabuľky sa vysvetlivka vzťahuje. Význam použitých kódov je illustrovaný na nasledovných príkladoch:
</t>
    </r>
    <r>
      <rPr>
        <b/>
        <sz val="12"/>
        <rFont val="Times New Roman"/>
        <family val="1"/>
      </rPr>
      <t>Príklad č. 1:</t>
    </r>
    <r>
      <rPr>
        <sz val="12"/>
        <rFont val="Times New Roman"/>
        <family val="1"/>
      </rPr>
      <t xml:space="preserve"> T1_R10 - vysvetlivka sa vzťahuje k tabuľke č.1, k riadku 10
</t>
    </r>
    <r>
      <rPr>
        <b/>
        <sz val="12"/>
        <rFont val="Times New Roman"/>
        <family val="1"/>
      </rPr>
      <t>Príklad č. 2:</t>
    </r>
    <r>
      <rPr>
        <sz val="12"/>
        <rFont val="Times New Roman"/>
        <family val="1"/>
      </rPr>
      <t xml:space="preserve"> T1_R4:R8 - vysvetlivka sa vzťahuje k tabuľke č. 1, k riadkom 4 až 8
</t>
    </r>
    <r>
      <rPr>
        <b/>
        <sz val="12"/>
        <rFont val="Times New Roman"/>
        <family val="1"/>
      </rPr>
      <t>Príklad č. 3:</t>
    </r>
    <r>
      <rPr>
        <sz val="12"/>
        <rFont val="Times New Roman"/>
        <family val="1"/>
      </rPr>
      <t xml:space="preserve"> T1_V1 - ide o všeobecnú vysvetlivku č. 1 k tabuľke č. 1
</t>
    </r>
    <r>
      <rPr>
        <b/>
        <sz val="12"/>
        <rFont val="Times New Roman"/>
        <family val="1"/>
      </rPr>
      <t xml:space="preserve">Príklad č. 4: </t>
    </r>
    <r>
      <rPr>
        <sz val="12"/>
        <rFont val="Times New Roman"/>
        <family val="1"/>
      </rPr>
      <t xml:space="preserve">T14_SA - vysvetlivka sa vzťahuje k tabuľke č. 14, k stĺpcu A
</t>
    </r>
    <r>
      <rPr>
        <b/>
        <sz val="12"/>
        <rFont val="Times New Roman"/>
        <family val="1"/>
      </rPr>
      <t>Príklad č. 5:</t>
    </r>
    <r>
      <rPr>
        <sz val="12"/>
        <rFont val="Times New Roman"/>
        <family val="1"/>
      </rPr>
      <t xml:space="preserve"> SPOL_1 - ide o vysvetlivku č. 1 platnú pre všetky tabuľky</t>
    </r>
  </si>
  <si>
    <t>X</t>
  </si>
  <si>
    <t>- tvorba fondu z odpisov</t>
  </si>
  <si>
    <t>- tvorba fondu prevodom z rezervného fondu</t>
  </si>
  <si>
    <t>- tvorba fondu z darov a z dedičstva</t>
  </si>
  <si>
    <t>1a</t>
  </si>
  <si>
    <t>2a</t>
  </si>
  <si>
    <t>(uviesť zoznam všetkých dotácií, každú na zvláštny riadok)</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</si>
  <si>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</si>
  <si>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</si>
  <si>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</si>
  <si>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</si>
  <si>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</si>
  <si>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</si>
  <si>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</si>
  <si>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</si>
  <si>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Verejná vysoká škola tu uvedie zostatok finančných prostriedkov na bežných účtoch neuvedených v riadkoch R6:R8.</t>
  </si>
  <si>
    <t>Položka</t>
  </si>
  <si>
    <t>Hlavná činnosť</t>
  </si>
  <si>
    <t>Podnikateľská činnosť</t>
  </si>
  <si>
    <t>Rezervný fond</t>
  </si>
  <si>
    <t>Fond reprodukcie</t>
  </si>
  <si>
    <t>Štipendijný fond</t>
  </si>
  <si>
    <t>Návrh na prídel do štipendijného fondu</t>
  </si>
  <si>
    <t>Zmeny stavu zásob vlastnej výroby (účtová skupina 61)</t>
  </si>
  <si>
    <t>Aktivácia (účtová skupina 62)</t>
  </si>
  <si>
    <t>Pokuty a penále (účet 641+642)</t>
  </si>
  <si>
    <t>Platby za odpísané pohľadávky  (účet 643)</t>
  </si>
  <si>
    <t>Kurzové zisky  (účet 645)</t>
  </si>
  <si>
    <t>v tom:</t>
  </si>
  <si>
    <r>
      <t>Počet študentov poberajúcich sociálne štipendiá v osobomesiacoch</t>
    </r>
    <r>
      <rPr>
        <b/>
        <sz val="9"/>
        <rFont val="Times New Roman"/>
        <family val="1"/>
      </rPr>
      <t xml:space="preserve"> </t>
    </r>
    <r>
      <rPr>
        <b/>
        <vertAlign val="superscript"/>
        <sz val="14"/>
        <rFont val="Times New Roman"/>
        <family val="1"/>
      </rPr>
      <t>1)</t>
    </r>
  </si>
  <si>
    <r>
      <t xml:space="preserve">Počet študentov poberajúcich sociálne štipendiá k 31.12. </t>
    </r>
    <r>
      <rPr>
        <b/>
        <vertAlign val="superscript"/>
        <sz val="14"/>
        <rFont val="Times New Roman"/>
        <family val="1"/>
      </rPr>
      <t>2)</t>
    </r>
  </si>
  <si>
    <r>
      <t>Počet ubytovaných študentov (vrátane interných doktorandov)</t>
    </r>
    <r>
      <rPr>
        <b/>
        <vertAlign val="superscript"/>
        <sz val="14"/>
        <rFont val="Times New Roman"/>
        <family val="1"/>
      </rPr>
      <t>2)</t>
    </r>
    <r>
      <rPr>
        <b/>
        <sz val="14"/>
        <rFont val="Times New Roman"/>
        <family val="1"/>
      </rPr>
      <t xml:space="preserve"> </t>
    </r>
    <r>
      <rPr>
        <b/>
        <sz val="12"/>
        <rFont val="Times New Roman"/>
        <family val="1"/>
      </rPr>
      <t xml:space="preserve"> v osobomesiacoch</t>
    </r>
  </si>
  <si>
    <t>T6_V2</t>
  </si>
  <si>
    <t>Stav fondu k 1. 1. kalendárneho roku  v R1 sa  rovná stavu fondu k 31.12. predchádzajúceho roku v R11.</t>
  </si>
  <si>
    <t>T13_V1</t>
  </si>
  <si>
    <t>T13_R1</t>
  </si>
  <si>
    <t>T18_V1</t>
  </si>
  <si>
    <t>Tržby z predaja dlhodobého NM a HM (účet 651)</t>
  </si>
  <si>
    <t>Výnosy z precenenia cenných papierov (účet 657)</t>
  </si>
  <si>
    <t>- interiérové vybavenie  (713 001)</t>
  </si>
  <si>
    <t>- telekomunikačná technika  (713 003)</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</si>
  <si>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</si>
  <si>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</si>
  <si>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</si>
  <si>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</si>
  <si>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</si>
  <si>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</si>
  <si>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</si>
  <si>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</si>
  <si>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</si>
  <si>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</si>
  <si>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</si>
  <si>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</si>
  <si>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</si>
  <si>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</si>
  <si>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</si>
  <si>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</si>
  <si>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</si>
  <si>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</si>
  <si>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</si>
  <si>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</si>
  <si>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</si>
  <si>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T10_R13, R14</t>
  </si>
  <si>
    <t xml:space="preserve">Výnos z dotácie zo štátneho rozpočtu na študentské jedálne v kalendárneho roku sa odvíja zo zostatku dotácie predchádzajúceho kalendárneho roka a účelovej dotácie daného kalendárneho roka zníženej o prenos zostatku do nasledujúceho kalendárneho roka, resp. zvýšenej o nárok na poskytnutie nedoplatku. </t>
  </si>
  <si>
    <t xml:space="preserve">V riadku 2 uvedie vysoká škola celkový objem príjmov z dotácií z rozpočtu obcí a VÚC. V riadkoch R2a ... rozpíše podrobnejšie jednotlivé druhy týchto dotácií, každú na zvláštny riadok.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</si>
  <si>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</si>
  <si>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</si>
  <si>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</si>
  <si>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</si>
  <si>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</si>
  <si>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</si>
  <si>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</si>
  <si>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</si>
  <si>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</si>
  <si>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</si>
  <si>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</si>
  <si>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t>- tvorba fondu prevodom z rezervného fondu (účet  413 114)</t>
  </si>
  <si>
    <t>- tvorba fondu z darov a z dedičstva (účet 413 112)</t>
  </si>
  <si>
    <t>- tvorba fondu z odpisov (účet 413 116)</t>
  </si>
  <si>
    <t>- tvorba fondu z výnosov z predaja majetku (účet 413 117)</t>
  </si>
  <si>
    <t>92a</t>
  </si>
  <si>
    <t>1b</t>
  </si>
  <si>
    <t>2b</t>
  </si>
  <si>
    <t>3b</t>
  </si>
  <si>
    <t>4b</t>
  </si>
  <si>
    <t>15b</t>
  </si>
  <si>
    <t>15c</t>
  </si>
  <si>
    <t>15d</t>
  </si>
  <si>
    <t xml:space="preserve">Názov verejnej vysokej školy: </t>
  </si>
  <si>
    <t xml:space="preserve">    - bežný účet na riešenie úloh vedy a
      výskumu  zo SR, resp.zahraničia </t>
  </si>
  <si>
    <t>T10_R10</t>
  </si>
  <si>
    <t>bez zmien</t>
  </si>
  <si>
    <t xml:space="preserve">  - náklady na štipendiá interných doktorandov pred dizertačnou skúškou 
(v zmysle § 54 ods. 18 písm. a) zákona spolu (SUM(R3:R4))</t>
  </si>
  <si>
    <t>Priemerný mesačný náklad na doktoranda</t>
  </si>
  <si>
    <t xml:space="preserve">  - Prvok 0AE 02 01</t>
  </si>
  <si>
    <t xml:space="preserve">  - Prvok 0AE 02 03</t>
  </si>
  <si>
    <t xml:space="preserve">  - Prvok 0AE 03 01</t>
  </si>
  <si>
    <t xml:space="preserve"> - Podprogram 06K 12            </t>
  </si>
  <si>
    <t>T9_R1_SC_SD</t>
  </si>
  <si>
    <t xml:space="preserve"> - Podprogram 06K 16           </t>
  </si>
  <si>
    <t xml:space="preserve">-  Podprogram 06K 0A </t>
  </si>
  <si>
    <t>8a</t>
  </si>
  <si>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</si>
  <si>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</si>
  <si>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</si>
  <si>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</si>
  <si>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</si>
  <si>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</si>
  <si>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</si>
  <si>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</si>
  <si>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</si>
  <si>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</si>
  <si>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</si>
  <si>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</si>
  <si>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</si>
  <si>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</si>
  <si>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</si>
  <si>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</si>
  <si>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</si>
  <si>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</si>
  <si>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</si>
  <si>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</si>
  <si>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</si>
  <si>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</si>
  <si>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</si>
  <si>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</si>
  <si>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</si>
  <si>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</si>
  <si>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</si>
  <si>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</si>
  <si>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</si>
  <si>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</si>
  <si>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</si>
  <si>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</si>
  <si>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</si>
  <si>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</si>
  <si>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</si>
  <si>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</si>
  <si>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</si>
  <si>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</si>
  <si>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</si>
  <si>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</si>
  <si>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</si>
  <si>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</si>
  <si>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</si>
  <si>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</si>
  <si>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</si>
  <si>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</si>
  <si>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</si>
  <si>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</si>
  <si>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</si>
  <si>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</si>
  <si>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</si>
  <si>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</si>
  <si>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</si>
  <si>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</si>
  <si>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</si>
  <si>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</si>
  <si>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</si>
  <si>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</si>
  <si>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</si>
  <si>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</si>
  <si>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</si>
  <si>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</si>
  <si>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</si>
  <si>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</si>
  <si>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</si>
  <si>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</si>
  <si>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</si>
  <si>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</si>
  <si>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</si>
  <si>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</si>
  <si>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</si>
  <si>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</si>
  <si>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</si>
  <si>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</si>
  <si>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</si>
  <si>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</si>
  <si>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</si>
  <si>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</si>
  <si>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</si>
  <si>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</si>
  <si>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</si>
  <si>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</si>
  <si>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</si>
  <si>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</si>
  <si>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</si>
  <si>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</si>
  <si>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</si>
  <si>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</si>
  <si>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</si>
  <si>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</si>
  <si>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</si>
  <si>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</si>
  <si>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</si>
  <si>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</si>
  <si>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</si>
  <si>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</si>
  <si>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</si>
  <si>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</si>
  <si>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</si>
  <si>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</si>
  <si>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</si>
  <si>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</si>
  <si>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</si>
  <si>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</si>
  <si>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</si>
  <si>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</si>
  <si>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</si>
  <si>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</si>
  <si>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</si>
  <si>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</si>
  <si>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</si>
  <si>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</si>
  <si>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</si>
  <si>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</si>
  <si>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</si>
  <si>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</si>
  <si>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</si>
  <si>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</si>
  <si>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</si>
  <si>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</si>
  <si>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</si>
  <si>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Brutto</t>
  </si>
  <si>
    <t>Korekcia</t>
  </si>
  <si>
    <t>Netto</t>
  </si>
  <si>
    <t>Predch. účt. obdobie</t>
  </si>
  <si>
    <t>Strana aktív</t>
  </si>
  <si>
    <t>Tabuľka č. 24: Súvaha - Strana aktív</t>
  </si>
  <si>
    <t xml:space="preserve">   Oceniteľné práva 014-(074+091AÚ)</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</si>
  <si>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</si>
  <si>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</si>
  <si>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</si>
  <si>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</si>
  <si>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</si>
  <si>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</si>
  <si>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</si>
  <si>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</si>
  <si>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</si>
  <si>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</si>
  <si>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</si>
  <si>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</si>
  <si>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</si>
  <si>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</si>
  <si>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</si>
  <si>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</si>
  <si>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</si>
  <si>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</si>
  <si>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</si>
  <si>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</si>
  <si>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</si>
  <si>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</si>
  <si>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</si>
  <si>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</si>
  <si>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</si>
  <si>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</si>
  <si>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</si>
  <si>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</si>
  <si>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</si>
  <si>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</si>
  <si>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</si>
  <si>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</si>
  <si>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</si>
  <si>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</si>
  <si>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</si>
  <si>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</si>
  <si>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</si>
  <si>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</si>
  <si>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</si>
  <si>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</si>
  <si>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</si>
  <si>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</si>
  <si>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</si>
  <si>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</si>
  <si>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 xml:space="preserve"> Brutto
(v Eur)</t>
  </si>
  <si>
    <t>č. r.</t>
  </si>
  <si>
    <t>Bežné účtovné obdobie</t>
  </si>
  <si>
    <t>Bezprostredne predchádzajúce účtovné obdobie</t>
  </si>
  <si>
    <t>a</t>
  </si>
  <si>
    <t>b</t>
  </si>
  <si>
    <t>1.</t>
  </si>
  <si>
    <t>Nehmotné výsledky z vývojovej a obdob.činnosti 012 -(072 +091 AÚ)</t>
  </si>
  <si>
    <t>Software  013 - (073 + 091 AÚ)</t>
  </si>
  <si>
    <t>Oceniteľné práva  014 - (074 + 091 AÚ)</t>
  </si>
  <si>
    <t>Ostatný dlhodobý nehmotný majetok (018 + 019) - (078 + 079 + 091 AÚ)</t>
  </si>
  <si>
    <t>Poskytnuté preddavky na dlhodobý nehmotný majetok  (051) - (095 AÚ)</t>
  </si>
  <si>
    <t>2.</t>
  </si>
  <si>
    <t>Pozemky  (031)</t>
  </si>
  <si>
    <t>Umelecké diela a zbierky  (032)</t>
  </si>
  <si>
    <t>Stavby  (021) - (081 + 092 AÚ)</t>
  </si>
  <si>
    <t>Dopravné prostriedky  (023) - (083 + 092 AÚ)</t>
  </si>
  <si>
    <t>Pestovateľské celky trvalých porastov  (025) - (085 +092 AÚ)</t>
  </si>
  <si>
    <t>Základné stádo a ťažné zvieratá  (026) - (086 + 092 AÚ)</t>
  </si>
  <si>
    <t>Drobný dlhodobý hmotný majetok  (028) - (088 + 092 AÚ)</t>
  </si>
  <si>
    <t>Ostatný dlhodobý hmotný majetok  (029) - (089 + 092 AÚ)</t>
  </si>
  <si>
    <t>Obstaranie dlhodobého hmotného majetku  (042) - (094)</t>
  </si>
  <si>
    <t>Poskytnuté preddavky na dlhodobý hmot.majetok  (052) - (095 AÚ)</t>
  </si>
  <si>
    <t>3.</t>
  </si>
  <si>
    <t>Podielové cenné papiere a vklady v obchodných spoločnostiach v ovládanej osobe  (061)</t>
  </si>
  <si>
    <t>Podielové cenné papiere a vklady v obchodných spoločnostiach s podstatným vplyvom  (062)</t>
  </si>
  <si>
    <t>Pôžičky podnikom v skupine a ostatné pôžičky  (066 + 067) - (096 AÚ)</t>
  </si>
  <si>
    <t>Ostatný dlhodobý finančný majetok (069) okrem r.040</t>
  </si>
  <si>
    <t>Obstaranie dlhodobého finančného majetku  (043) - (096 AÚ)</t>
  </si>
  <si>
    <t>Poskytnuté preddavky na dlhodobý fin. majetok (053)</t>
  </si>
  <si>
    <t>Účtovné obdobie</t>
  </si>
  <si>
    <t>Zásoby   súčet r. 031 až 036</t>
  </si>
  <si>
    <t>Materiál (112 + 119) - (191)</t>
  </si>
  <si>
    <t>Nedokončená výroba a polotovary vlastnej výroby (121 + 122) - (192 + 193)</t>
  </si>
  <si>
    <t>Výrobky  (123) - (194)</t>
  </si>
  <si>
    <t>Zvieratá  (124) - (195)</t>
  </si>
  <si>
    <t>Tovar  (132 +139) - (196)</t>
  </si>
  <si>
    <t>Poskytnuté prevádzkové preddavky  (314) - (391 AÚ)</t>
  </si>
  <si>
    <t>Pohľadávky z obchodného styku (311 AÚ až 314 AÚ) - 391 AÚ) okrem r.035</t>
  </si>
  <si>
    <t>Ostatné pohľadávky (315 AÚ -391 AÚ)</t>
  </si>
  <si>
    <t>Pohľadávky voči účastníkom združení  (358 AÚ) - (391 AÚ)</t>
  </si>
  <si>
    <t>Pohľadávky z obchodného styku  (311 AÚ až 314 AÚ) - 391 AÚ)</t>
  </si>
  <si>
    <t>Zúčtovanie so SP a zdravotnými poisťovňami (336)</t>
  </si>
  <si>
    <t>Daňové pohľadávky  (341 až 345)</t>
  </si>
  <si>
    <t>Pohľadávky z dôvodu finančných vzťahov k ŠR (346+348)</t>
  </si>
  <si>
    <t>Spojovací účet pri združení (396-391 AÚ)</t>
  </si>
  <si>
    <t>4.</t>
  </si>
  <si>
    <t>Pokladnica  (211 +213)</t>
  </si>
  <si>
    <t>Bankové účty  (221 +261)</t>
  </si>
  <si>
    <t>Bankové účty s dobou viazanosti dlhšou ako 1 rok (221AÚ)</t>
  </si>
  <si>
    <t>Obstaranie krátkodobého finančného majetku (259-291AÚ)</t>
  </si>
  <si>
    <t>C. ČASOVÉ ROZLÍŠENIE SPOLU                   r. 058 a r. 059</t>
  </si>
  <si>
    <t>Náklady budúcich období  (381)</t>
  </si>
  <si>
    <t>Príjmy budúcich období  (385)</t>
  </si>
  <si>
    <t>Strana pasív</t>
  </si>
  <si>
    <t>Oceňovacie rozdiely z precenenia majetku a záväzkov    (414)</t>
  </si>
  <si>
    <t>Oceňovacie rozdiely z precenenia kapitálových účastín   (415)</t>
  </si>
  <si>
    <t>Nevysporiadaný výsledok hospodárenia minulých rokov (+,- 428)</t>
  </si>
  <si>
    <t>Výsledok hospodárenia za účtovné obdobie r. 060-(r.062+068+072+074+101)</t>
  </si>
  <si>
    <t>993</t>
  </si>
  <si>
    <t>Rezervy r.076 až 078</t>
  </si>
  <si>
    <t>Krátkodobé záväzky  r.088 až 096</t>
  </si>
  <si>
    <t>Záväzky z obchodného styku   (321 až 326) okrem 323</t>
  </si>
  <si>
    <t>Bežné bankové úvery      (231 + 232 + 461 AÚ)</t>
  </si>
  <si>
    <r>
      <t xml:space="preserve">Ostatné záväzky  </t>
    </r>
    <r>
      <rPr>
        <sz val="9"/>
        <rFont val="Times New Roman"/>
        <family val="1"/>
      </rPr>
      <t>(379 + 373 AÚ +474 AÚ + 479 AÚ)</t>
    </r>
  </si>
  <si>
    <r>
      <t xml:space="preserve">Ostatné dlhodobé záväzky </t>
    </r>
    <r>
      <rPr>
        <sz val="9"/>
        <rFont val="Times New Roman"/>
        <family val="1"/>
      </rPr>
      <t xml:space="preserve"> (373 AÚ+ 479 AÚ)</t>
    </r>
  </si>
  <si>
    <t>T22_V1</t>
  </si>
  <si>
    <t>T23_V1</t>
  </si>
  <si>
    <t>T24_V1</t>
  </si>
  <si>
    <t>T25_V1</t>
  </si>
  <si>
    <t>Tabuľka 22</t>
  </si>
  <si>
    <t>Tabuľka 23</t>
  </si>
  <si>
    <t>Tabuľka 25</t>
  </si>
  <si>
    <t>Peňažné fondy tvorené podľa osobitného predpisu     (412)</t>
  </si>
  <si>
    <t>Fondy tvorené zo zisku    r.069 až 071</t>
  </si>
  <si>
    <t>Rezervný fond                          (421)</t>
  </si>
  <si>
    <t>Ostatné fondy                          (427)</t>
  </si>
  <si>
    <t>Fondy tvorené zo zisku            (423)</t>
  </si>
  <si>
    <t>Rezervy zákonné                      (451AÚ)</t>
  </si>
  <si>
    <t>Ostatné rezervy                        (459AÚ)</t>
  </si>
  <si>
    <t>Krátkodobé  rezervy                (323+451AÚ+459AÚ)</t>
  </si>
  <si>
    <t>Dlhodobé  záväzky                 r.080 až 086</t>
  </si>
  <si>
    <t>Záväzky zo sociálneho fondu     (472)</t>
  </si>
  <si>
    <t>Vydané dlhopisy                       (473)</t>
  </si>
  <si>
    <t>Záväzky z nájmu                       (474 AÚ)</t>
  </si>
  <si>
    <t>Dlhodobé prijaté preddavky      (475)</t>
  </si>
  <si>
    <t xml:space="preserve">Dlhodobé nevyfakturované dodávky       (476) </t>
  </si>
  <si>
    <t>Dlhodobé zmenky na úhradu                   (478)</t>
  </si>
  <si>
    <t>Záväzky voči zamestnancom    (331 +333)</t>
  </si>
  <si>
    <t>Zúčtovania so SP a zdravotnými poisťovňami         (336)</t>
  </si>
  <si>
    <t>Daňové záväzky                      (341 až 345)</t>
  </si>
  <si>
    <t>Záväzky z dôvodu finančných vzťahov k štátnemu rozpočtu a rozpočtom územnej j samosprávy       (346 +348)</t>
  </si>
  <si>
    <t>Záväzky voči účastníkom združení   (368)</t>
  </si>
  <si>
    <t>Spojovací účet pri združení   (396)</t>
  </si>
  <si>
    <t>Bankové výpomoci a pôžičky    r.098 až 100</t>
  </si>
  <si>
    <t>Dlhodobé bankové úvery      (461 AÚ)</t>
  </si>
  <si>
    <t>Prijaté krátkodobé finančné výpomoci (241 + 249)</t>
  </si>
  <si>
    <t>C. ČASOVÉ ROZLÍŠENIE SPOLU  r. 102 + 103</t>
  </si>
  <si>
    <t>Výdavky budúcich období       (383)</t>
  </si>
  <si>
    <t>Výnosy budúcich období       (384)</t>
  </si>
  <si>
    <t>Záväzky z upísaných nesplatených cenných papierov a vkladov (367)</t>
  </si>
  <si>
    <t>VLASTNÉ ZDROJE A CUDZIE ZDROJE SPOLU r.061+074+101</t>
  </si>
  <si>
    <t>B. Cudzie zdroje   r.075+079+087+097</t>
  </si>
  <si>
    <t>Dlhodobý hmotný majetok    r.010 až 020</t>
  </si>
  <si>
    <t>Obstaranie dlhodobého nehmotného majetku (041)-(093)</t>
  </si>
  <si>
    <t>A. VLASTNÉ ZDROJE KRYTIA MAJETKU SPOLU    r.062+068+072+073</t>
  </si>
  <si>
    <t>Tabuľka č. 6 poskytuje informácie o počte a štruktúre zamestnancov a objeme nákladov na mzdy verejnej vysokej školy (bez odvodov).</t>
  </si>
  <si>
    <t>A. NEOBEŽNÝ MAJETOK SPOLU r. 002 + 009 + 021</t>
  </si>
  <si>
    <t>Kontrolné číslo    r. 001 až 028</t>
  </si>
  <si>
    <t>B. OBEŽNÝ MAJETOK SPOLU r.030+037+042+051</t>
  </si>
  <si>
    <t xml:space="preserve"> MAJETOK SPOLU  r.001 + 029 +057</t>
  </si>
  <si>
    <t xml:space="preserve"> Kontrolné číslo   r. 029 až 060</t>
  </si>
  <si>
    <t>Finančné účty  r.052 až 056</t>
  </si>
  <si>
    <t>Dlhodobé pohľadávky    r.038 až 041</t>
  </si>
  <si>
    <t>Krátkodobé pohľadávky   r.043 až 050</t>
  </si>
  <si>
    <t>Dlhodobý nehmotný majetok   r.003 až 008</t>
  </si>
  <si>
    <t>Dlhodobý finančný majetok  r.022 až 028</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</si>
  <si>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</si>
  <si>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</si>
  <si>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</si>
  <si>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</si>
  <si>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</si>
  <si>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</si>
  <si>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</si>
  <si>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</si>
  <si>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</si>
  <si>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</si>
  <si>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</si>
  <si>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</si>
  <si>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</si>
  <si>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</si>
  <si>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</si>
  <si>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</si>
  <si>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</si>
  <si>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</si>
  <si>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</si>
  <si>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</si>
  <si>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</si>
  <si>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</si>
  <si>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</si>
  <si>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</si>
  <si>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</si>
  <si>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</si>
  <si>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</si>
  <si>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</si>
  <si>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</si>
  <si>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</si>
  <si>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</si>
  <si>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</si>
  <si>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</si>
  <si>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</si>
  <si>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</si>
  <si>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</si>
  <si>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</si>
  <si>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</si>
  <si>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</si>
  <si>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</si>
  <si>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</si>
  <si>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</si>
  <si>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</si>
  <si>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</si>
  <si>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</si>
  <si>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</si>
  <si>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</si>
  <si>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</si>
  <si>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</si>
  <si>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</si>
  <si>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</si>
  <si>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</si>
  <si>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</si>
  <si>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</si>
  <si>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</si>
  <si>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</si>
  <si>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</si>
  <si>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</si>
  <si>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</si>
  <si>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</si>
  <si>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</si>
  <si>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</si>
  <si>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</si>
  <si>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Tvorba a zúčt. zk. oprav. pol.</t>
  </si>
  <si>
    <t>33</t>
  </si>
  <si>
    <t>Poskytnuté príspevky org. zlož.</t>
  </si>
  <si>
    <t>34</t>
  </si>
  <si>
    <t>Poskyt. príspevky iným účt. jednot.</t>
  </si>
  <si>
    <t>35</t>
  </si>
  <si>
    <t>Poskytnuté príspevky fyz. osobám</t>
  </si>
  <si>
    <t>36</t>
  </si>
  <si>
    <t>Poskyt. príspevky z verejnej zbierky</t>
  </si>
  <si>
    <t>37</t>
  </si>
  <si>
    <t>38</t>
  </si>
  <si>
    <t>Kontrolné číslo r. 01 až r. 38</t>
  </si>
  <si>
    <t>995</t>
  </si>
  <si>
    <t>Tržby za vlastné výrobky</t>
  </si>
  <si>
    <t>39</t>
  </si>
  <si>
    <t>Tržby z predaja služieb</t>
  </si>
  <si>
    <t>40</t>
  </si>
  <si>
    <t>Tržby za predaný tovar</t>
  </si>
  <si>
    <t>41</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</si>
  <si>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</si>
  <si>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</si>
  <si>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</si>
  <si>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</si>
  <si>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</si>
  <si>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</si>
  <si>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</si>
  <si>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</si>
  <si>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</si>
  <si>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</si>
  <si>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</si>
  <si>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</si>
  <si>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</si>
  <si>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</si>
  <si>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</si>
  <si>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</si>
  <si>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</si>
  <si>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</si>
  <si>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</si>
  <si>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</si>
  <si>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</si>
  <si>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</si>
  <si>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</si>
  <si>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</si>
  <si>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</si>
  <si>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</si>
  <si>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Zákonné poplatky</t>
  </si>
  <si>
    <t>57</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</si>
  <si>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</si>
  <si>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</si>
  <si>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</si>
  <si>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</si>
  <si>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</si>
  <si>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</si>
  <si>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</si>
  <si>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</si>
  <si>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</si>
  <si>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</si>
  <si>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</si>
  <si>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</si>
  <si>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</si>
  <si>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</si>
  <si>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</si>
  <si>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</si>
  <si>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</si>
  <si>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</si>
  <si>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</si>
  <si>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</si>
  <si>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</si>
  <si>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</si>
  <si>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</si>
  <si>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</si>
  <si>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</si>
  <si>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</si>
  <si>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</si>
  <si>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</si>
  <si>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</si>
  <si>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</si>
  <si>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</si>
  <si>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</si>
  <si>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</si>
  <si>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</si>
  <si>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</si>
  <si>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</si>
  <si>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</si>
  <si>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</si>
  <si>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</si>
  <si>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</si>
  <si>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</si>
  <si>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Kontrolné číslo r. 39 až r. 78</t>
  </si>
  <si>
    <t>996</t>
  </si>
  <si>
    <t>výdavky na obstaranie a technické zhodnotenie majetku</t>
  </si>
  <si>
    <t>štipendiá z vlastných zdrojov</t>
  </si>
  <si>
    <t xml:space="preserve">motivačné štipendiá  </t>
  </si>
  <si>
    <t>štruktúra účtu 384 - výnosy budúcich období</t>
  </si>
  <si>
    <r>
      <t>Spolu</t>
    </r>
    <r>
      <rPr>
        <sz val="12"/>
        <rFont val="Times New Roman"/>
        <family val="1"/>
      </rPr>
      <t xml:space="preserve"> [R1+R6+R7+R8]</t>
    </r>
  </si>
  <si>
    <t>V týchto riadkoch uvedie verejná vysoká škola všetky osobitne financované súčasti (špecifiká), každú na zvláštny riadok.</t>
  </si>
  <si>
    <t>Kontrolné číslo r.061 až 104</t>
  </si>
  <si>
    <t>Imanie a peňažné fondy r.063 až 067</t>
  </si>
  <si>
    <t>Základné imanie    (411)</t>
  </si>
  <si>
    <t>Fond reprodukcie   (413)</t>
  </si>
  <si>
    <t xml:space="preserve">  - náklady na štipendiá interných doktorandov po dizertačnej skúške 
(v zmysle § 54 ods. 18 písm. b) zákona spolu (SUM(R6:R7))</t>
  </si>
  <si>
    <t>Tabuľka 24a</t>
  </si>
  <si>
    <t>Tabuľka 24b</t>
  </si>
  <si>
    <t>- ostatné energie</t>
  </si>
  <si>
    <t>Súvzťažnosti</t>
  </si>
  <si>
    <t>Samostatné hnuteľné veci a súbory hnuteľných vecí  (022) - (082 + 092 AÚ)</t>
  </si>
  <si>
    <r>
      <t xml:space="preserve">Príjem z dotácie na motivačné štipendiá z kapitoly MŠVVaŠ SR v kalendárnom roku </t>
    </r>
    <r>
      <rPr>
        <b/>
        <vertAlign val="superscript"/>
        <sz val="12"/>
        <rFont val="Times New Roman"/>
        <family val="1"/>
      </rPr>
      <t>1)</t>
    </r>
    <r>
      <rPr>
        <sz val="12"/>
        <rFont val="Times New Roman"/>
        <family val="1"/>
      </rPr>
      <t xml:space="preserve"> </t>
    </r>
  </si>
  <si>
    <t>Zamestnanci platení z dotácie MŠVVaŠ SR</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</si>
  <si>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</si>
  <si>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Je súčtom príjmov VVŠ majúcich charakter dotácií okrem dotácií z kapitoly MŠVVaŠ SR.</t>
  </si>
  <si>
    <t>Tabuľka č. 3 poskytuje informácie o celkovom objeme a štruktúre výnosov  verejnej vysokej školy v rokoch 2009 a 2010. Osobitne sa uvedie prehľad o výnosoch v hlavnej činnosti a osobitne prehľad o výnosoch v podnikateľskej  činnosti.</t>
  </si>
  <si>
    <t>V stĺpci F uvedie vysoká škola osobitne zo stĺpca E objem nákladov na mzdy krytých z kapitoly MŠVVaŠ SR poskytnutých prostredníctvom dotačnej zmluvy.</t>
  </si>
  <si>
    <t>V stĺpci D sa uvedú náklady na štipendiá doktorandov, ktorí nie sú na miestach pridelených MŠVVaŠ SR, a ktorých štipendiá vysoká škola financovala z iných zdrojov.</t>
  </si>
  <si>
    <t>V stĺpci SA, resp. SC sa uvedú príjmy z dotácie na sociálne štipendiá poskytnuté prostredníctvom  kapitoly MŠVVaŠ SR na základe dotačnej zmluvy v danom kalendárnom roku.</t>
  </si>
  <si>
    <t>T6_R1..R6, R7, R9, R13, R14, R16, R17 = Škol 2-04 za 2010, 
T6_R15a.. = dotačná zmluva na 2010, špecifiká</t>
  </si>
  <si>
    <r>
      <t xml:space="preserve">Stavy fondov k 1.1. a k 31.12.2010 za </t>
    </r>
    <r>
      <rPr>
        <b/>
        <sz val="12"/>
        <rFont val="Times New Roman"/>
        <family val="1"/>
      </rPr>
      <t>všetky fondy spolu</t>
    </r>
    <r>
      <rPr>
        <sz val="12"/>
        <rFont val="Times New Roman"/>
        <family val="1"/>
      </rPr>
      <t xml:space="preserve"> sa kontrolujú na výkazníctvo, súvaha - časť Pasíva, riadky 064 + 065 + 069 + 071 "netto" 
Stavy fondov k 1.1.sa rovnajú stavom fondov k 31.12. predchádzajúceho roka.</t>
    </r>
  </si>
  <si>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v riadku 0123 štatistického výkazu Škol (MŠ SR) 2-04).</t>
  </si>
  <si>
    <r>
      <t xml:space="preserve">Uveďte počet  vydaných jedál študentom </t>
    </r>
    <r>
      <rPr>
        <vertAlign val="superscript"/>
        <sz val="12"/>
        <color indexed="8"/>
        <rFont val="Times New Roman"/>
        <family val="1"/>
      </rPr>
      <t xml:space="preserve"> </t>
    </r>
    <r>
      <rPr>
        <sz val="12"/>
        <color indexed="8"/>
        <rFont val="Times New Roman"/>
        <family val="1"/>
      </rPr>
      <t xml:space="preserve">v kalendárnom roku  </t>
    </r>
    <r>
      <rPr>
        <b/>
        <sz val="12"/>
        <color indexed="8"/>
        <rFont val="Times New Roman"/>
        <family val="1"/>
      </rPr>
      <t>spolu vo vlastných jedálňach a  stravovacích zariadeniach</t>
    </r>
    <r>
      <rPr>
        <sz val="12"/>
        <color indexed="8"/>
        <rFont val="Times New Roman"/>
        <family val="1"/>
      </rPr>
      <t>.</t>
    </r>
  </si>
  <si>
    <r>
      <t xml:space="preserve">Uveďte počet  vydaných jedál študentom </t>
    </r>
    <r>
      <rPr>
        <vertAlign val="superscript"/>
        <sz val="12"/>
        <color indexed="8"/>
        <rFont val="Times New Roman"/>
        <family val="1"/>
      </rPr>
      <t xml:space="preserve"> </t>
    </r>
    <r>
      <rPr>
        <sz val="12"/>
        <color indexed="8"/>
        <rFont val="Times New Roman"/>
        <family val="1"/>
      </rPr>
      <t xml:space="preserve">v kalendárnom roku  </t>
    </r>
    <r>
      <rPr>
        <b/>
        <sz val="12"/>
        <color indexed="8"/>
        <rFont val="Times New Roman"/>
        <family val="1"/>
      </rPr>
      <t>spolu  v prenajatých stravovacích zariadeniach</t>
    </r>
    <r>
      <rPr>
        <sz val="12"/>
        <color indexed="8"/>
        <rFont val="Times New Roman"/>
        <family val="1"/>
      </rPr>
      <t>.</t>
    </r>
  </si>
  <si>
    <t>T13_R11_SE(SF)</t>
  </si>
  <si>
    <t>T7_R8</t>
  </si>
  <si>
    <t>z účelovej dotácie MŠVVaŠ SR</t>
  </si>
  <si>
    <t>Príjem z dotácie poskytnutej na sociálne štipendiá v rámci dotačnej zmluvy z kapitoly MŠVVaŠ k 31.12.</t>
  </si>
  <si>
    <t xml:space="preserve">Nevyčerpaná dotácia (+) / nedoplatok dotácie (-) k 31. 12. predchádzajúceho roka  
[R4_SC = R6_SA]                         </t>
  </si>
  <si>
    <t>T1_R1:R15</t>
  </si>
  <si>
    <r>
      <t xml:space="preserve">Uvádza sa </t>
    </r>
    <r>
      <rPr>
        <b/>
        <sz val="12"/>
        <rFont val="Times New Roman"/>
        <family val="1"/>
      </rPr>
      <t>skutočne poskytnutá</t>
    </r>
    <r>
      <rPr>
        <sz val="12"/>
        <rFont val="Times New Roman"/>
        <family val="1"/>
      </rPr>
      <t xml:space="preserve"> dotácia na sociálne a motivačné štipendiá a </t>
    </r>
    <r>
      <rPr>
        <b/>
        <sz val="12"/>
        <rFont val="Times New Roman"/>
        <family val="1"/>
      </rPr>
      <t>nie nárok</t>
    </r>
    <r>
      <rPr>
        <sz val="12"/>
        <rFont val="Times New Roman"/>
        <family val="1"/>
      </rPr>
      <t xml:space="preserve"> vyplývajúci z potreby štipendií podľa zákona.</t>
    </r>
  </si>
  <si>
    <t>Vysoká škola uvedie v samostatnom riadku objem príplatkov za prácu v sťaženom a zdraviu škodlivom prostredí spolu, teda bez ohľadu na to podľa akej platovej triedy je tento príplatok k štipendiu študentovi vyplácaný. Tento objem sa pripočíta do celkových nákladov na štipendiá.</t>
  </si>
  <si>
    <t>V stĺpci B škola  uvedie náklady na štipendiá doktorandov, ktoré mala na doktorandov na miestach pridelených ministerstvom školstva,vedy,výskumu a športu z účelovej dotácie  podľa § 54 ods. 18 písm. a) a b) zákona č. 131/2002 Z. z. o vysokých školách v znení neskorších predpisov.</t>
  </si>
  <si>
    <t>T7_R11</t>
  </si>
  <si>
    <t>Vysvetlivky k tabuľkám výročnej správy o hospodárení verejných vysokých škôl za rok 2011</t>
  </si>
  <si>
    <t>Súvzťažnosti tabuliek výročnej správy o hospodárení verejných vysokých škôl za rok 2011</t>
  </si>
  <si>
    <t>Priemerný evidenčný prepočítaný počet zamestnancov za rok 2011</t>
  </si>
  <si>
    <t>Stav účtu k 31.12.2011</t>
  </si>
  <si>
    <t xml:space="preserve">Príjmy verejnej vysokej školy  v roku 2011 majúce charakter dotácie okrem príjmov z dotácií  z  kapitoly MŠVVaŠ SR a okrem štrukturálnych fondov EÚ </t>
  </si>
  <si>
    <t>Výnosy verejnej vysokej školy v rokoch 2010 a 2011</t>
  </si>
  <si>
    <t>Výnosy verejnej vysokej školy zo školného a z poplatkov spojených so štúdiom v rokoch 2010 a 2011</t>
  </si>
  <si>
    <t>Náklady verejnej vysokej školy v rokoch 2010 a 2011</t>
  </si>
  <si>
    <t>Zamestnanci a náklady na mzdy verejnej vysokej školy v roku 2011</t>
  </si>
  <si>
    <t>Náklady verejnej vysokej školy na štipendiá interných doktorandov v roku 2011</t>
  </si>
  <si>
    <t>Údaje o systéme sociálnej podpory  - časť  sociálne štipendiá  (§ 96 zákona) za roky 2010 a 2011</t>
  </si>
  <si>
    <r>
      <t>Údaje o systéme sociálnej podpory  - časť výnosy a náklady</t>
    </r>
    <r>
      <rPr>
        <b/>
        <sz val="12"/>
        <rFont val="Times New Roman"/>
        <family val="1"/>
      </rPr>
      <t xml:space="preserve"> </t>
    </r>
    <r>
      <rPr>
        <sz val="12"/>
        <rFont val="Times New Roman"/>
        <family val="1"/>
      </rPr>
      <t>študentských domovov (bez zmluvných zariadení) za roky 2010 a 2011</t>
    </r>
    <r>
      <rPr>
        <b/>
        <sz val="12"/>
        <rFont val="Times New Roman"/>
        <family val="1"/>
      </rPr>
      <t xml:space="preserve"> </t>
    </r>
  </si>
  <si>
    <t>Zdroje verejnej vysokej školy na obstaranie a technické zhodnotenie dlhodobého  majetku v rokoch 2010 a 2011</t>
  </si>
  <si>
    <t>Výdavky verejnej vysokej školy na obstaranie a technické zhodnotenie dlhodobého majetku v roku 2011</t>
  </si>
  <si>
    <t>Stav a vývoj finančných fondov verejnej vysokej školy v rokoch 2010 a 2011</t>
  </si>
  <si>
    <t>Štipendiá z vlastných zdrojov podľa § 97 zákona v rokoch 2010 a 2011</t>
  </si>
  <si>
    <t xml:space="preserve">Motivačné štipendiá  v rokoch 2010 a 2011 (v zmysle § 96  zákona ) </t>
  </si>
  <si>
    <t>Štruktúra účtu 384 - výnosy budúcich období v rokoch 2010 a 2011</t>
  </si>
  <si>
    <t>Výnosy verejnej vysokej školy v roku 2011 v oblasti sociálnej podpory študentov</t>
  </si>
  <si>
    <t>Náklady verejnej vysokej školy  v roku 2011 v oblasti sociálnej podpory študentov</t>
  </si>
  <si>
    <r>
      <rPr>
        <b/>
        <sz val="12"/>
        <rFont val="Times New Roman"/>
        <family val="1"/>
      </rPr>
      <t xml:space="preserve">Minimálna výška prídelu </t>
    </r>
    <r>
      <rPr>
        <sz val="12"/>
        <rFont val="Times New Roman"/>
        <family val="1"/>
      </rPr>
      <t xml:space="preserve">do štipendijného fondu v roku 2010 a 2011 je </t>
    </r>
    <r>
      <rPr>
        <b/>
        <sz val="12"/>
        <color indexed="10"/>
        <rFont val="Times New Roman"/>
        <family val="1"/>
      </rPr>
      <t>20 %</t>
    </r>
    <r>
      <rPr>
        <b/>
        <sz val="12"/>
        <rFont val="Times New Roman"/>
        <family val="1"/>
      </rPr>
      <t xml:space="preserve"> </t>
    </r>
    <r>
      <rPr>
        <sz val="12"/>
        <rFont val="Times New Roman"/>
        <family val="1"/>
      </rPr>
      <t>príjmov zo školného.</t>
    </r>
  </si>
  <si>
    <t xml:space="preserve">Tabuľka č. 5 poskytuje informácie o celkovom objeme a štruktúre nákladov verejnej vysokej školy v rokoch 2010 a  2011. Osobitne sa uvedie prehľad o nákladoch v hlavnej činnosti a osobitne prehľad o nákladoch v podnikateľskej  činnosti. </t>
  </si>
  <si>
    <t>Údaje o lôžkovej kapacite v T9_R1 sa kontrolujú na štatistické výkazy MŠVVaŠ SR 2011 (2010).</t>
  </si>
  <si>
    <t>T13_R1_SI(SJ) = výkazníctvo súvaha, časť Pasíva,  
riadky 064 + 065 + 069 + 071 
(k 1. 1.)
T13_R12_SI(SJ) = výkazníctvo súvaha, časť Pasíva,  
riadky 064 + 065 + 069 + 071 
(k 31. 12.)</t>
  </si>
  <si>
    <t>T10_R7_SA (SB) = dotačná zmluva 2011 (2010)_účelová dotácia na študentské jedálne</t>
  </si>
  <si>
    <t>Údaje v T9_R6_SB sú kontrolované na dotačnú zmluvu z roku 2011 - finančné prostriedky na ŠD a na rozpis dotácií na rok 2011.  
Za rok 2010 sú údaje v SA kontrolované na hodnoty vykázané vo výročných správach z roku 2010.</t>
  </si>
  <si>
    <t>Údaje v R7_SA (SB) sú kontrolované na  dotačné zmluvy a na účelovú dotáciu na rok 2011, 2010 v zmysle databázy VVŠ.</t>
  </si>
  <si>
    <t>T9_R1 = štatistické výkazy MŠVVaŠ SR 2011 (2010)</t>
  </si>
  <si>
    <t>T1 = dotačná zmluva na 2011</t>
  </si>
  <si>
    <r>
      <t xml:space="preserve">Náklady sú kontrolované na údaje z výkazníctva - výkaz ziskov a strát, časť </t>
    </r>
    <r>
      <rPr>
        <b/>
        <sz val="12"/>
        <rFont val="Times New Roman"/>
        <family val="1"/>
      </rPr>
      <t>náklady</t>
    </r>
    <r>
      <rPr>
        <sz val="12"/>
        <rFont val="Times New Roman"/>
        <family val="1"/>
      </rPr>
      <t xml:space="preserve">.  
Obdobne ako  pri T3 sa  údaje  z roku 2010 a údaje z roku 2011 sa uvádzajú v eurách.
Za oblasť miezd sú údaje za rok 2011 - účet 521 (R55) kontrolované na výkazníctvo, časť náklady a údaje v T5_R56_(SC + SD)  na T6_R18_SH. </t>
    </r>
    <r>
      <rPr>
        <u val="single"/>
        <sz val="12"/>
        <rFont val="Times New Roman"/>
        <family val="1"/>
      </rPr>
      <t>Rozdiel medzi údajom v T6_R18_SH a údajmi v T5_R56_SC+SD (Mzdy) môže o.i. tvoriť výška nákladov za nevyčerpané dovolenky.</t>
    </r>
    <r>
      <rPr>
        <sz val="12"/>
        <rFont val="Times New Roman"/>
        <family val="1"/>
      </rPr>
      <t xml:space="preserve">
Štipendiá doktorandov z T5_R77_SC sa kontrolujú na údaje z T7_R1_SE. 
Prospechové štipendiá z vlastných zdrojov z T5_R81_SC sa kontrolujú na údaje v T19_R2_SC. </t>
    </r>
  </si>
  <si>
    <r>
      <t>Údaje v riadkoch R1:R6, R7, R9, R13, R14, R16, R17  sú kontrolované s údajmi v štatistickom výkaze Škol (MŠ SR) 2-04 za rok 2011. 
Údaje v riadkoch 15a ... (špecifiká) sú kontrolované na rozpis dotácie v roku 2011.</t>
    </r>
    <r>
      <rPr>
        <b/>
        <sz val="12"/>
        <color indexed="12"/>
        <rFont val="Times New Roman"/>
        <family val="1"/>
      </rPr>
      <t xml:space="preserve"> </t>
    </r>
    <r>
      <rPr>
        <u val="single"/>
        <sz val="12"/>
        <rFont val="Times New Roman"/>
        <family val="1"/>
      </rPr>
      <t>Rozdiel medzi údajom v T6_R18_SH a údajmi v T5_R56_SC+SD (Mzdy) je potrebné vyčísliť s komentárom uviesť v poznámke pod tabuľkou T6.</t>
    </r>
  </si>
  <si>
    <t>Všeobecná poznámka č. 2</t>
  </si>
  <si>
    <r>
      <t>v prípade vykazovania veľkého objemu finančných prostriedkov v tabuľkách s riadkami "</t>
    </r>
    <r>
      <rPr>
        <sz val="12"/>
        <color indexed="30"/>
        <rFont val="Times New Roman"/>
        <family val="1"/>
      </rPr>
      <t>iné</t>
    </r>
    <r>
      <rPr>
        <sz val="12"/>
        <color indexed="10"/>
        <rFont val="Times New Roman"/>
        <family val="1"/>
      </rPr>
      <t>", "</t>
    </r>
    <r>
      <rPr>
        <sz val="12"/>
        <color indexed="30"/>
        <rFont val="Times New Roman"/>
        <family val="1"/>
      </rPr>
      <t>ostatné</t>
    </r>
    <r>
      <rPr>
        <sz val="12"/>
        <color indexed="10"/>
        <rFont val="Times New Roman"/>
        <family val="1"/>
      </rPr>
      <t xml:space="preserve">" ministerstvo </t>
    </r>
    <r>
      <rPr>
        <b/>
        <u val="single"/>
        <sz val="12"/>
        <color indexed="10"/>
        <rFont val="Times New Roman"/>
        <family val="1"/>
      </rPr>
      <t>požaduje</t>
    </r>
    <r>
      <rPr>
        <sz val="12"/>
        <color indexed="10"/>
        <rFont val="Times New Roman"/>
        <family val="1"/>
      </rPr>
      <t xml:space="preserve"> tento objem komentovať v poznámke pod tabuľkou, resp. vedľa príslušného riadku</t>
    </r>
  </si>
  <si>
    <t>Všeobecná poznámka č. 1</t>
  </si>
  <si>
    <t>doktorandi a doktorandské štipendiá</t>
  </si>
  <si>
    <t>vložený R10a: Dotácia na kapitálové výdavky z prostriedkov EÚ (štrukturálnych fondov)</t>
  </si>
  <si>
    <t>Počet osobomesiacov za rok 2011</t>
  </si>
  <si>
    <t>1) výška nákladov, vykazovaná k 31.12.2011 zohľadnuje aj úhradu štipendií doktorandov, ktoré verejná vysoká škola vyplatila v januári 2012 za december 2011</t>
  </si>
  <si>
    <t>F=A+E</t>
  </si>
  <si>
    <t>v hlavičkách boli zmenené (aktualizované) roky, tiež bolo doplnené v akej mene majú byť údaje vyplnené, t. z. údaje z roku 2010 tak ako aj  údaje z roku 2011 sú uvedené v eurách</t>
  </si>
  <si>
    <t>Nevyčerpaná účelová dotácia (+) / nedoplatok účelovej dotácie (-) za rok 2010</t>
  </si>
  <si>
    <t>Účelová dotácia na štipendiá doktorandov poskytnutá v rámci dotačnej zmluvy v priebehu roka 2011</t>
  </si>
  <si>
    <t>A=B+C+D</t>
  </si>
  <si>
    <t xml:space="preserve">Nevyčerpaná účelová dotácia (+) / nedoplatok účelovej dotácie (-) za rok 2011 </t>
  </si>
  <si>
    <t>47a</t>
  </si>
  <si>
    <t>Príspevok z podielu zaplatenej dane (účet 665)</t>
  </si>
  <si>
    <t>- iné analyticky sledované náklady (účty 501 005-006, 501 013-018, 501 077)</t>
  </si>
  <si>
    <t>86a</t>
  </si>
  <si>
    <t>Vnútroorganizačné prevody (účtovná skupina 57)</t>
  </si>
  <si>
    <t>Projektovaná lôžková kapacita študentského domova k 31. 12. kalendárneho roka (v počte miest)</t>
  </si>
  <si>
    <t>T9_R6_SA_AB</t>
  </si>
  <si>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</si>
  <si>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</si>
  <si>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Náklady na činnosť štud. jedální súvisiace so stravovaním študentov za kalendárny rok</t>
  </si>
  <si>
    <t>T10_R12_SA</t>
  </si>
  <si>
    <t xml:space="preserve"> - prenos zostatku dotácie do nasledujúceho kalendárneho roku </t>
  </si>
  <si>
    <t>Manuálne vložte číslo zodpovedajúce počtu jedál (s nárokom na dotáciu) vydaných vo vlastných aj zmluvných zariadeniach v roku 2010 (číslo, kt. ste uviedli vo výročnej správe za rok 2010 v T10_R12_SB)</t>
  </si>
  <si>
    <t>T10_R14_SB a v R16_SB</t>
  </si>
  <si>
    <t>T10_R13_SB a v R15_SB</t>
  </si>
  <si>
    <t>výnosy verejnej vysokej školy v roku 2011 v oblasti sociálnej podpory študentov</t>
  </si>
  <si>
    <t>náklady verejnej vysokej školy  v roku 2011 v oblasti sociálnej podpory študentov</t>
  </si>
  <si>
    <t>T4_R11</t>
  </si>
  <si>
    <t>Návrh na prídel do štipendijného fondu na základe rozhodnutia VVŠ, ktorý sa musí rovnať minimálne objemu z riadku R10.</t>
  </si>
  <si>
    <r>
      <t xml:space="preserve">T13_R9_SF = </t>
    </r>
    <r>
      <rPr>
        <sz val="12"/>
        <color indexed="10"/>
        <rFont val="Times New Roman"/>
        <family val="1"/>
      </rPr>
      <t>T4_R11</t>
    </r>
    <r>
      <rPr>
        <sz val="12"/>
        <rFont val="Times New Roman"/>
        <family val="1"/>
      </rPr>
      <t>_SB</t>
    </r>
  </si>
  <si>
    <r>
      <t xml:space="preserve">Súvzťažnosť tvorby štipendijného fondu z výnosov zo školného v T13_R9_SF na </t>
    </r>
    <r>
      <rPr>
        <sz val="12"/>
        <color indexed="10"/>
        <rFont val="Times New Roman"/>
        <family val="1"/>
      </rPr>
      <t>T4_R11_</t>
    </r>
    <r>
      <rPr>
        <sz val="12"/>
        <rFont val="Times New Roman"/>
        <family val="1"/>
      </rPr>
      <t>SB.</t>
    </r>
  </si>
  <si>
    <r>
      <t xml:space="preserve">tabuľka bez zmien, </t>
    </r>
    <r>
      <rPr>
        <sz val="12"/>
        <color indexed="10"/>
        <rFont val="Times New Roman"/>
        <family val="1"/>
      </rPr>
      <t>doplnené vysvetlivky ohľadom riadkov R1 a R6</t>
    </r>
  </si>
  <si>
    <t xml:space="preserve">T13_R12_SF ≥T8_R6_SC + T20_R4_SB
</t>
  </si>
  <si>
    <t xml:space="preserve">Stav štipendijného fondu k 31. 12. uvedený v R12_SF nemá byť nižší ako súčet zostatku nevyčerpanej dotácie na sociálne štipendiá v T8_R6_SC a na motivačné štipendiá v T20_R4_SB.
</t>
  </si>
  <si>
    <t xml:space="preserve">T20_R2_SB = T1_R13_SA </t>
  </si>
  <si>
    <r>
      <t xml:space="preserve">Údaje sú kontrolované na dotačnú zmluvu na 2011 a na rozpis účelových dotácií na podprograme 077 15 02. 
Výška dotácií na motivačné štipendiá z T20_R2_SA(SB) sa musí rovnať celkovému objemu dotácií, uvedenom v T1_R13_SA </t>
    </r>
    <r>
      <rPr>
        <sz val="12"/>
        <rFont val="Times New Roman"/>
        <family val="1"/>
      </rPr>
      <t xml:space="preserve">.
Súvzťažnosť s T13 - stav a vývoj finančných fondov, stĺpce SE,SF. </t>
    </r>
  </si>
  <si>
    <t>T8_R4_SA = zostatok k 31.12.2010
T8_R6_SA = T8_R4_SC 
T8_R1_SA (SC)  ≤ T13_R11_SE (SF)</t>
  </si>
  <si>
    <t>Údaj v T8_R4_SA predstavuje zostatok nevyčerpanej dotácie z predchádzajúceho roka, t. j. k 31. 12. 2010 .  
Údaj v T8_R6_SA (SC) predstavuje zostatok nevyčerpanej dotácie k 31. 12. príslušného roka (2010, resp. 2011) a ich hodnoty sa vypočítajú z ostatných uvedených údajov. Zostatok nevyčerpanej dotácie k 31. 12. 2010 je totožný  s údajmi vykazovanými v tabuľke T8 výročnej správy za rok 2010.</t>
  </si>
  <si>
    <r>
      <t>Údaje o systéme sociálnej podpory  - časť výnosy a náklady</t>
    </r>
    <r>
      <rPr>
        <b/>
        <sz val="12"/>
        <rFont val="Times New Roman"/>
        <family val="1"/>
      </rPr>
      <t xml:space="preserve"> </t>
    </r>
    <r>
      <rPr>
        <sz val="12"/>
        <rFont val="Times New Roman"/>
        <family val="1"/>
      </rPr>
      <t>študentských jedální</t>
    </r>
    <r>
      <rPr>
        <b/>
        <sz val="12"/>
        <rFont val="Times New Roman"/>
        <family val="1"/>
      </rPr>
      <t xml:space="preserve">  </t>
    </r>
    <r>
      <rPr>
        <sz val="12"/>
        <rFont val="Times New Roman"/>
        <family val="1"/>
      </rPr>
      <t>za roky 2010 a 2011</t>
    </r>
  </si>
  <si>
    <t>Stavy na devízových účtoch uvádzať v eurách.</t>
  </si>
  <si>
    <t xml:space="preserve">Ak má VVŠ finančné prostriedky zaúčtované na účte 261 - peniaze na ceste, z dôvodu kontroly stavu na bankových účtoch k 31. 12. 2011 na údaje zo súvahy, ich uvedie v tomto riadku. </t>
  </si>
  <si>
    <r>
      <t xml:space="preserve">Globálna hodnota na bankových účtoch z R18 sa kontroluje na Súvahu, časť Aktíva, r. 053.
Ak nie je údaj v R2 (dotačný účet) k 31. 12. 2011 </t>
    </r>
    <r>
      <rPr>
        <b/>
        <u val="single"/>
        <sz val="12"/>
        <rFont val="Times New Roman"/>
        <family val="1"/>
      </rPr>
      <t>vynulovaný, je potrebné doplniť vysvetlenie v stĺpci C.</t>
    </r>
    <r>
      <rPr>
        <sz val="12"/>
        <rFont val="Times New Roman"/>
        <family val="1"/>
      </rPr>
      <t xml:space="preserve">
</t>
    </r>
    <r>
      <rPr>
        <strike/>
        <sz val="12"/>
        <rFont val="Times New Roman"/>
        <family val="1"/>
      </rPr>
      <t>Súvzťažnosť so zostatkom bežných a kapitálových dotácií k 31. 12. 2010, uvedených v T14_ R26_SF a T15_R17_SE.</t>
    </r>
  </si>
  <si>
    <r>
      <t xml:space="preserve">T16_R18_SB = výkazníctvo, súvaha, časť Aktíva, riadok 053,
</t>
    </r>
    <r>
      <rPr>
        <strike/>
        <sz val="12"/>
        <color indexed="10"/>
        <rFont val="Times New Roman"/>
        <family val="1"/>
      </rPr>
      <t>T14_R28_SF</t>
    </r>
    <r>
      <rPr>
        <strike/>
        <sz val="12"/>
        <rFont val="Times New Roman"/>
        <family val="1"/>
      </rPr>
      <t xml:space="preserve"> + T15_R17_SE = T16_R3_SB,</t>
    </r>
    <r>
      <rPr>
        <sz val="12"/>
        <rFont val="Times New Roman"/>
        <family val="1"/>
      </rPr>
      <t xml:space="preserve">
T16_R2_SB = 0 Sk (k 31. 12. 2011)</t>
    </r>
  </si>
  <si>
    <t>Tabuľka č. 7 poskytuje informácie o  počte interných doktorandov, o nákladoch vysokej školy na štipendiá doktorandov a o ich krytí výnosmi (z poskytnutých  účelových a neúčelových dotácií MŠVVaŠ SR, resp. z ďalších zdrojov vysokej školy).</t>
  </si>
  <si>
    <t>Náklady na štipendiá ostatných interných doktorandov</t>
  </si>
  <si>
    <t>F = A+B+C+D+E</t>
  </si>
  <si>
    <t>J</t>
  </si>
  <si>
    <t>K</t>
  </si>
  <si>
    <t>L=
G+H+I+J+K</t>
  </si>
  <si>
    <r>
      <rPr>
        <strike/>
        <sz val="12"/>
        <rFont val="Times New Roman"/>
        <family val="1"/>
      </rPr>
      <t>T7_R</t>
    </r>
    <r>
      <rPr>
        <strike/>
        <sz val="12"/>
        <color indexed="10"/>
        <rFont val="Times New Roman"/>
        <family val="1"/>
      </rPr>
      <t>11_</t>
    </r>
    <r>
      <rPr>
        <strike/>
        <sz val="12"/>
        <rFont val="Times New Roman"/>
        <family val="1"/>
      </rPr>
      <t>SB   ≤   T14_R</t>
    </r>
    <r>
      <rPr>
        <strike/>
        <sz val="12"/>
        <color indexed="10"/>
        <rFont val="Times New Roman"/>
        <family val="1"/>
      </rPr>
      <t>4</t>
    </r>
    <r>
      <rPr>
        <strike/>
        <sz val="12"/>
        <rFont val="Times New Roman"/>
        <family val="1"/>
      </rPr>
      <t>_SJ</t>
    </r>
  </si>
  <si>
    <r>
      <rPr>
        <strike/>
        <sz val="12"/>
        <rFont val="Times New Roman"/>
        <family val="1"/>
      </rPr>
      <t>Nevyčerpaná účelová dotácia za rok 2011  sa rovná resp. je menšia ako zostatok dotácie uvedený v T14_R</t>
    </r>
    <r>
      <rPr>
        <strike/>
        <sz val="12"/>
        <color indexed="10"/>
        <rFont val="Times New Roman"/>
        <family val="1"/>
      </rPr>
      <t>4</t>
    </r>
    <r>
      <rPr>
        <strike/>
        <sz val="12"/>
        <rFont val="Times New Roman"/>
        <family val="1"/>
      </rPr>
      <t>_SJ.</t>
    </r>
  </si>
  <si>
    <r>
      <t>T13_R4_SD = T5_R</t>
    </r>
    <r>
      <rPr>
        <sz val="12"/>
        <color indexed="10"/>
        <rFont val="Times New Roman"/>
        <family val="1"/>
      </rPr>
      <t>86</t>
    </r>
    <r>
      <rPr>
        <sz val="12"/>
        <rFont val="Times New Roman"/>
        <family val="1"/>
      </rPr>
      <t>_SC+SD</t>
    </r>
  </si>
  <si>
    <r>
      <t>Tvorba fondu reprodukcie z odpisov v roku 2011 sa rovná odpisom ostatného DN a HM za rok 2011 (</t>
    </r>
    <r>
      <rPr>
        <sz val="12"/>
        <color indexed="10"/>
        <rFont val="Times New Roman"/>
        <family val="1"/>
      </rPr>
      <t>T5_R86_SC+SD)</t>
    </r>
  </si>
  <si>
    <t xml:space="preserve">T21_R1_SF  = výkazníctvo 2011, súvaha, časť pasíva, riadok 103, predchádzajúce účtovné obdobie
T21_R1_SK = výkazníctvo 2011, súvaha, časť pasíva, riadok 103, bežné účtovné obdobie </t>
  </si>
  <si>
    <t xml:space="preserve">Celková hodnota účtu 384 za rok 2010 a 2011, uvedená v T21_SF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(2010), resp. SI (2011). 
Údaje za rok 2010 musia byť totožné s údajmi, ktoré VVŠ predložili k výsledkom hospodárenia VVŠ za rok 2010. </t>
  </si>
  <si>
    <t>T10_R12 = štatistické výkazy MŠVVaŠ SR 2011 (2010)</t>
  </si>
  <si>
    <t>10a</t>
  </si>
  <si>
    <t>G=A+B+C+D+E+F</t>
  </si>
  <si>
    <t xml:space="preserve">Čerpanie bežnej dotácie v roku 2011 prostredníctvom fondu reprodukcie </t>
  </si>
  <si>
    <t xml:space="preserve">  - Prvok 0AA 01 02</t>
  </si>
  <si>
    <r>
      <t xml:space="preserve">Tabuľka č. 1 poskytuje informácie o celkovom objeme a programovej štruktúre príjmov na základe Zmluvy o poskytnutí  dotácií  zo štátneho rozpočtu prostredníctvom kapitoly MŠVVaŠ  na  programe  077.  Dotácie programov 021, 05T, 06K, resp. programov zo štrukturálnych fondov EÚ </t>
    </r>
    <r>
      <rPr>
        <b/>
        <u val="single"/>
        <sz val="12"/>
        <rFont val="Times New Roman"/>
        <family val="1"/>
      </rPr>
      <t>nie sú</t>
    </r>
    <r>
      <rPr>
        <b/>
        <sz val="12"/>
        <rFont val="Times New Roman"/>
        <family val="1"/>
      </rPr>
      <t xml:space="preserve"> súčasťou tejto zmluvy. </t>
    </r>
  </si>
  <si>
    <t xml:space="preserve">zmena nadpisu (upresnenie, že ide len o program 077) </t>
  </si>
  <si>
    <t xml:space="preserve">zmena nadpisu (upresnenie, že ide o dotácie mimo programu 077) </t>
  </si>
  <si>
    <t xml:space="preserve">Príjmy z dotácií verejnej vysokej škole zo štátneho rozpočtu z kapitoly MŠVVaŠ SR  poskytnuté na základe Zmluvy o poskytnutí dotácie zo štátneho rozpočtu
 prostredníctvom rozpočtu Ministerstva školstva, vedy, výskumu a športu Slovenskej republiky na rok 2011  na programe 077 </t>
  </si>
  <si>
    <t>Poskytnuté príspevky z podielu zaplatenej dane</t>
  </si>
  <si>
    <t>Zost. cena predaného DNM a DHM</t>
  </si>
  <si>
    <t>Účtovná trieda 5 spolu r.01 až r.38</t>
  </si>
  <si>
    <t xml:space="preserve">565-doplnený (vsunutý) riadok
552 - doplnený text
</t>
  </si>
  <si>
    <t>Dlhové cenné papiere držané do splatnosti  (065) - (096 AÚ)</t>
  </si>
  <si>
    <t>Iné pohľadávky  (335 AÚ + 373 AÚ + 375 AÚ + 378 AÚ) - (391 AÚ)</t>
  </si>
  <si>
    <t>T4_R4</t>
  </si>
  <si>
    <t>Vysoká škola uvedie v samostatnom riadku objem výnosov zo školného za štúdium v externej forme štúdia</t>
  </si>
  <si>
    <t>vložený riadok č.86a</t>
  </si>
  <si>
    <t xml:space="preserve">zabezpečenie mobilít v súlade s medzinárodnými zmluvami </t>
  </si>
  <si>
    <t xml:space="preserve">Stav k 31. 12. 2010  </t>
  </si>
  <si>
    <t xml:space="preserve">Stav k 31. 12. 2011  </t>
  </si>
  <si>
    <t xml:space="preserve">Rozdiel 2011-2010 </t>
  </si>
  <si>
    <t>Rozdiel 2011-2010</t>
  </si>
  <si>
    <t>Peniaze na ceste (účet 261)</t>
  </si>
  <si>
    <t>náklady na štipendiá sa členia na náklady podľa tarifných tried a platových stupňov a na náklady prevyšujúce tarifné triedy a platový stupeň 1</t>
  </si>
  <si>
    <r>
      <t xml:space="preserve"> T7_R1_SF = T5_R77_SC,
 T7_R</t>
    </r>
    <r>
      <rPr>
        <sz val="12"/>
        <color indexed="10"/>
        <rFont val="Times New Roman"/>
        <family val="1"/>
      </rPr>
      <t>10</t>
    </r>
    <r>
      <rPr>
        <sz val="12"/>
        <rFont val="Times New Roman"/>
        <family val="1"/>
      </rPr>
      <t xml:space="preserve">_SB = dotačná zmluva na 2010_účelové prostriedky na štipendiá doktorandov </t>
    </r>
  </si>
  <si>
    <r>
      <t>Údaje v R1_SF za rok 2011 sú kontrolované na T5_R77_SC a údaje v R</t>
    </r>
    <r>
      <rPr>
        <sz val="12"/>
        <color indexed="10"/>
        <rFont val="Times New Roman"/>
        <family val="1"/>
      </rPr>
      <t>10</t>
    </r>
    <r>
      <rPr>
        <sz val="12"/>
        <rFont val="Times New Roman"/>
        <family val="1"/>
      </rPr>
      <t xml:space="preserve">_SB na poskytnutú </t>
    </r>
    <r>
      <rPr>
        <u val="single"/>
        <sz val="12"/>
        <rFont val="Times New Roman"/>
        <family val="1"/>
      </rPr>
      <t>účelovú</t>
    </r>
    <r>
      <rPr>
        <sz val="12"/>
        <rFont val="Times New Roman"/>
        <family val="1"/>
      </rPr>
      <t xml:space="preserve"> dotáciu na štipendiá doktorandov podľa dotačnej zmluvy. </t>
    </r>
  </si>
  <si>
    <t xml:space="preserve">  - Prvok 0AE 01 01</t>
  </si>
  <si>
    <t xml:space="preserve">  - Prvok 0AE 02 02</t>
  </si>
  <si>
    <t xml:space="preserve">  - Prvok 0AE 02 04</t>
  </si>
  <si>
    <r>
      <t xml:space="preserve">Údaje v T17 sú kontrolované na hodnoty z výkazníctva, finančné prostriedky z EÚ (vrátane spolufinancovania zo štátneho rozpočtu), zabezpečované prostredníctvom MŠVVaŠ SR v roku 2011. </t>
    </r>
    <r>
      <rPr>
        <sz val="12"/>
        <rFont val="Times New Roman"/>
        <family val="1"/>
      </rPr>
      <t xml:space="preserve">
Neuvádza sa tu nevyčerpaná dotácia EÚ z roku 2010, ktorá  bola verejnej vysokej škole poskytnutá v 2011. </t>
    </r>
  </si>
  <si>
    <t>21a</t>
  </si>
  <si>
    <t>T17_R21</t>
  </si>
  <si>
    <t>upravený text v stĺpci "položka"  R13,14,15,16 
upravený vzťah v R12_SA_SB
upravený vzťah v R17_SA_SB
upravený vzťah v R18_SA_SB
doplnené vysvetlivky T10_R10 až T10_R16</t>
  </si>
  <si>
    <t>vložený riadok R8 - príplatok za prácu v sťaženom a zdraviu škodlivom pracovnom prostredí - spolu, (t.j. bez ohľadu na to k akej platovej triede bol poskytnutý) a len z účelovej dotácie (SB) len za január a február 2011</t>
  </si>
  <si>
    <r>
      <t xml:space="preserve">vložený stĺpec SB (ďalšie stĺpce premenované): </t>
    </r>
    <r>
      <rPr>
        <i/>
        <sz val="12"/>
        <color indexed="10"/>
        <rFont val="Times New Roman"/>
        <family val="1"/>
      </rPr>
      <t>z neúčelovej dotácie MŠVVaŠ SR</t>
    </r>
  </si>
  <si>
    <t>vložený SB a SG: Čerpanie kapitálovej dotácie v roku 2010 a v roku 2011 z prostriedkov EÚ (štrukturálnych fondov)</t>
  </si>
  <si>
    <t>T7_R12</t>
  </si>
  <si>
    <t xml:space="preserve">V stĺpci C sa uvedú náklady na štipendiá doktorandov, ktoré mala vysoká škola na doktorandov na miestach pridelených ministerstvom školstva z neúčelovej dotácie na štipendiá. </t>
  </si>
  <si>
    <t xml:space="preserve">Výdavky na obstaranie majetku kryté v priebehu roku 2011 z úveru. Pri čerpaní týchto prostriedkov uviesť v komentári aj rok získania úveru. </t>
  </si>
  <si>
    <t>Tabuľka č. 13 poskytuje informácie o stave a vývoji finančných fondov verejnej vysokej školy v rokoch 2010 a 2011.</t>
  </si>
  <si>
    <t>Uvedú sa sumárne stavy ostatných  fondov, ktoré vysoká škola vytvorila za roky 2010 a 2011 v zmysle §16a ods. 1 zákona č. 131/2002 Z. z. o vysokých školách v znení neskorších predpisov.</t>
  </si>
  <si>
    <t>vložený riadok č.4, upravený text a vzťah v R1</t>
  </si>
  <si>
    <t>zmenený text v riadku 21,
vložený riadok č.47a</t>
  </si>
  <si>
    <r>
      <t>T3_R21_SA (SC) = T4_R1_SA (SB),
T3_R22_SA (SC) = T4_</t>
    </r>
    <r>
      <rPr>
        <sz val="12"/>
        <color indexed="10"/>
        <rFont val="Times New Roman"/>
        <family val="1"/>
      </rPr>
      <t>R5_</t>
    </r>
    <r>
      <rPr>
        <sz val="12"/>
        <rFont val="Times New Roman"/>
        <family val="1"/>
      </rPr>
      <t>SA (SB)</t>
    </r>
  </si>
  <si>
    <r>
      <t xml:space="preserve">Výnosy sú kontrolované na údaje z výkazníctva - výkaz ziskov a strát, časť </t>
    </r>
    <r>
      <rPr>
        <b/>
        <sz val="12"/>
        <rFont val="Times New Roman"/>
        <family val="1"/>
      </rPr>
      <t>výnosy</t>
    </r>
    <r>
      <rPr>
        <sz val="12"/>
        <rFont val="Times New Roman"/>
        <family val="1"/>
      </rPr>
      <t xml:space="preserve">. 
Údaje v T3 z roku 2010  a údaje z roku 2011 sa uvádzajú v eurách s presnosťou na dve desatinné miestá ( </t>
    </r>
    <r>
      <rPr>
        <i/>
        <sz val="12"/>
        <color indexed="10"/>
        <rFont val="Times New Roman"/>
        <family val="1"/>
      </rPr>
      <t>pričom zobrazenie tabuliek je nastavené na Eur)</t>
    </r>
    <r>
      <rPr>
        <sz val="12"/>
        <rFont val="Times New Roman"/>
        <family val="1"/>
      </rPr>
      <t>. 
Výnosy zo školného, resp. z poplatkov  spojených so štúdiom za hlavnú činnosť v T3_R21, R22 sa taktiež kontrolujú na T4_R1_SB a T4_</t>
    </r>
    <r>
      <rPr>
        <sz val="12"/>
        <color indexed="10"/>
        <rFont val="Times New Roman"/>
        <family val="1"/>
      </rPr>
      <t>R5</t>
    </r>
    <r>
      <rPr>
        <sz val="12"/>
        <rFont val="Times New Roman"/>
        <family val="1"/>
      </rPr>
      <t>_SB.</t>
    </r>
  </si>
  <si>
    <t>V prípade, že časť dotácie škola posúva na zmluvné zariadenia, uveďe to do poznámky pod tabuľkou</t>
  </si>
  <si>
    <r>
      <t>T4_R1_SA (SB) = T3_R21_SA (SC),
T4_</t>
    </r>
    <r>
      <rPr>
        <sz val="12"/>
        <color indexed="10"/>
        <rFont val="Times New Roman"/>
        <family val="1"/>
      </rPr>
      <t>R5</t>
    </r>
    <r>
      <rPr>
        <sz val="12"/>
        <rFont val="Times New Roman"/>
        <family val="1"/>
      </rPr>
      <t>_SA (SB) = T3_R22_SA (SC) 
T4_</t>
    </r>
    <r>
      <rPr>
        <sz val="12"/>
        <color indexed="10"/>
        <rFont val="Times New Roman"/>
        <family val="1"/>
      </rPr>
      <t>R11</t>
    </r>
    <r>
      <rPr>
        <sz val="12"/>
        <rFont val="Times New Roman"/>
        <family val="1"/>
      </rPr>
      <t>_SA (SB) =   T13_R9_SE (SF)</t>
    </r>
  </si>
  <si>
    <r>
      <t>Údaje v T4 sú kontrolované na údaje z T3, a to na výnosy z hlavnej činnosti - školné (T3_R21), poplatky spojené so štúdiom (T3_R22). 
Údaj  v</t>
    </r>
    <r>
      <rPr>
        <sz val="12"/>
        <color indexed="10"/>
        <rFont val="Times New Roman"/>
        <family val="1"/>
      </rPr>
      <t xml:space="preserve"> R11 </t>
    </r>
    <r>
      <rPr>
        <sz val="12"/>
        <rFont val="Times New Roman"/>
        <family val="1"/>
      </rPr>
      <t xml:space="preserve">- návrh na prídel do štipendijného fondu musí byť minimálne vo výške vykazovanom na riadku </t>
    </r>
    <r>
      <rPr>
        <sz val="12"/>
        <color indexed="10"/>
        <rFont val="Times New Roman"/>
        <family val="1"/>
      </rPr>
      <t>R10</t>
    </r>
    <r>
      <rPr>
        <sz val="12"/>
        <rFont val="Times New Roman"/>
        <family val="1"/>
      </rPr>
      <t xml:space="preserve"> - základ pre prídel do štipendijného fondu.</t>
    </r>
  </si>
  <si>
    <r>
      <t xml:space="preserve">Údaje v tabuľke sú kontrolované na dotačné zmluvy na roky </t>
    </r>
    <r>
      <rPr>
        <sz val="12"/>
        <color indexed="10"/>
        <rFont val="Times New Roman"/>
        <family val="1"/>
      </rPr>
      <t>2010 a 2011</t>
    </r>
    <r>
      <rPr>
        <sz val="12"/>
        <rFont val="Times New Roman"/>
        <family val="1"/>
      </rPr>
      <t>.
Za rok 2010 sú údaje kontrolované na hodnoty vykazované aj vo výročných správach z roku 2010 a na poskytnutú účelovú dotáciu na sociálne štipendiá z databázy VVŠ v roku</t>
    </r>
    <r>
      <rPr>
        <sz val="12"/>
        <color indexed="10"/>
        <rFont val="Times New Roman"/>
        <family val="1"/>
      </rPr>
      <t xml:space="preserve"> 2011</t>
    </r>
    <r>
      <rPr>
        <sz val="12"/>
        <rFont val="Times New Roman"/>
        <family val="1"/>
      </rPr>
      <t>.
Údaje o výške dotácie majú súvzťažnosť na T1 (celková dotácia na sociálne štipendiá) a T13 (stav a vývoj štipendijného fondu).</t>
    </r>
  </si>
  <si>
    <r>
      <t xml:space="preserve">Uvedú sa </t>
    </r>
    <r>
      <rPr>
        <b/>
        <sz val="12"/>
        <color indexed="8"/>
        <rFont val="Times New Roman"/>
        <family val="1"/>
      </rPr>
      <t xml:space="preserve">len náklady na jedlá </t>
    </r>
    <r>
      <rPr>
        <sz val="12"/>
        <color indexed="8"/>
        <rFont val="Times New Roman"/>
        <family val="1"/>
      </rPr>
      <t xml:space="preserve">  vydané študentom  v kalendárnom roku  </t>
    </r>
    <r>
      <rPr>
        <b/>
        <sz val="12"/>
        <color indexed="8"/>
        <rFont val="Times New Roman"/>
        <family val="1"/>
      </rPr>
      <t xml:space="preserve"> vo vlastných jedálňach a  stravovacích zariadeniach</t>
    </r>
    <r>
      <rPr>
        <sz val="12"/>
        <color indexed="8"/>
        <rFont val="Times New Roman"/>
        <family val="1"/>
      </rPr>
      <t>.</t>
    </r>
  </si>
  <si>
    <r>
      <t xml:space="preserve">Tabuľka č. 25 poskytuje informácie o súvahe </t>
    </r>
    <r>
      <rPr>
        <b/>
        <sz val="12"/>
        <rFont val="Times New Roman"/>
        <family val="1"/>
      </rPr>
      <t>"Pasíva"</t>
    </r>
    <r>
      <rPr>
        <sz val="12"/>
        <rFont val="Times New Roman"/>
        <family val="1"/>
      </rPr>
      <t xml:space="preserve"> - sumár za VVŠ. </t>
    </r>
    <r>
      <rPr>
        <b/>
        <sz val="12"/>
        <rFont val="Times New Roman"/>
        <family val="1"/>
      </rPr>
      <t>Údaje  je potrebné uvádzať s presnosťou na dve desatinné miesta.</t>
    </r>
  </si>
  <si>
    <r>
      <t xml:space="preserve">Tabuľka č. 22 poskytuje informácie o výkaze ziskov a strát sumár za VVŠ </t>
    </r>
    <r>
      <rPr>
        <b/>
        <sz val="12"/>
        <rFont val="Times New Roman"/>
        <family val="1"/>
      </rPr>
      <t xml:space="preserve">za oblasť sociálnej podpory študentov </t>
    </r>
    <r>
      <rPr>
        <sz val="12"/>
        <rFont val="Times New Roman"/>
        <family val="1"/>
      </rPr>
      <t xml:space="preserve"> časť </t>
    </r>
    <r>
      <rPr>
        <b/>
        <sz val="12"/>
        <rFont val="Times New Roman"/>
        <family val="1"/>
      </rPr>
      <t xml:space="preserve">"Výnosy". </t>
    </r>
    <r>
      <rPr>
        <sz val="12"/>
        <rFont val="Times New Roman"/>
        <family val="1"/>
      </rPr>
      <t>Údaje  sa uvádzajú s presnosťou na dve desatinné miesta.</t>
    </r>
  </si>
  <si>
    <r>
      <t xml:space="preserve">Tabuľka č. 24a, 24b poskytuje informácie o súvahe  </t>
    </r>
    <r>
      <rPr>
        <b/>
        <sz val="12"/>
        <rFont val="Times New Roman"/>
        <family val="1"/>
      </rPr>
      <t>"Aktíva"</t>
    </r>
    <r>
      <rPr>
        <sz val="12"/>
        <rFont val="Times New Roman"/>
        <family val="1"/>
      </rPr>
      <t xml:space="preserve">- sumár za VVŠ. </t>
    </r>
    <r>
      <rPr>
        <b/>
        <sz val="12"/>
        <rFont val="Times New Roman"/>
        <family val="1"/>
      </rPr>
      <t>Údaje  je potrebné uvádzať s presnosťou na dve desatinné miesta</t>
    </r>
    <r>
      <rPr>
        <sz val="12"/>
        <rFont val="Times New Roman"/>
        <family val="1"/>
      </rPr>
      <t>.</t>
    </r>
  </si>
  <si>
    <t>V stĺpci B uvedie vysoká škola priemerný evidenčný prepočítaný počet zamestnancov za rok 2011 platených z dotácie MŠVVaŠ SR, t.j. z prostriedkov uvedených v stĺpci F.</t>
  </si>
  <si>
    <t xml:space="preserve">V stĺpci C uvedie vysoká škola priemerný evidenčný prepočítaný počet zamestnancov za rok 2011 platených z iných zdrojov, t. j.  z prostriedkov uvedených v stĺpci G. Príklad: Zamestnanci platení z podnikateľskej činnosti. </t>
  </si>
  <si>
    <t>Uvedie sa počet osobomesiacov, v ktorých bolo doktorandom poskytované štipendium. 
Napríklad: Ak doktorand poberal štipendium 12 mesiacov (celý rok), prispeje do tohto súčtu číslom 12. Nový doktorand, ktorý začal poberať štipendium od 1. septembra 2011, prispeje do tohto súčtu číslom 4. 
V stĺpci B sa uvedú údaje dotýkajúce sa interných doktorandov na miestach pridelených z MŠVVaŠ SR, teda financovaných z účelovej dotácie. 
V stĺpci D budú údaje zodpovedajúce interným doktorandom financovaným z iných zdrojov vysokej školy.</t>
  </si>
  <si>
    <r>
      <t>Uvedie sa</t>
    </r>
    <r>
      <rPr>
        <sz val="12"/>
        <color indexed="10"/>
        <rFont val="Times New Roman"/>
        <family val="1"/>
      </rPr>
      <t xml:space="preserve"> projektovaná </t>
    </r>
    <r>
      <rPr>
        <sz val="12"/>
        <rFont val="Times New Roman"/>
        <family val="1"/>
      </rPr>
      <t>lôžková kapacita ŠD, nie počet ubytovaných študentov v danom roku.</t>
    </r>
  </si>
  <si>
    <t>Tabuľka č. 12 poskytuje informácie o štruktúre a objeme výdavkov, ktoré verejná vysoká škola  použila na obstaranie a technické zhodnotenie dlhodobého majetku v roku 2011.</t>
  </si>
  <si>
    <t>Údaje vychádzajú z platného analytického členenia účtov   na rok 2011. Ak vysoká škola používa na niektoré položky nákladov viac analytických účtov (napr.ak analyticky rozlišuje náklady, ktoré budú refundované príp.refakturované) uvedie sa v príslušnom riadku stav všetkých účtov prislúchajúcich k príslušnej vecnej položke.</t>
  </si>
  <si>
    <t>Údaje vychádzajú z platného analytického členenia účtov  na rok 2011.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</si>
  <si>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</si>
  <si>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</si>
  <si>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</si>
  <si>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</si>
  <si>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t>T21_R1_SA + T11_R10_SB - T5_R85_SC = T21_R1_SG</t>
  </si>
  <si>
    <t>T21_R1_SB + T11_R10a_SB - T5_R86a_SC = T21_R1_SH</t>
  </si>
  <si>
    <r>
      <t>V stĺpci S</t>
    </r>
    <r>
      <rPr>
        <sz val="12"/>
        <color indexed="10"/>
        <rFont val="Times New Roman"/>
        <family val="1"/>
      </rPr>
      <t>G</t>
    </r>
    <r>
      <rPr>
        <sz val="12"/>
        <rFont val="Times New Roman"/>
        <family val="1"/>
      </rPr>
      <t xml:space="preserve"> sa zvyšok prijatej kapitálovej dotácie, používanej na kompenzáciu odpisov za rok 2011  rovná súčtu zvyšku prijatej kapitálovej dotácie na kompenzáciu odpisov z roku 2010 (stĺpec SA) a výšky kapitálovej dotácie (2011) z </t>
    </r>
    <r>
      <rPr>
        <sz val="12"/>
        <color indexed="10"/>
        <rFont val="Times New Roman"/>
        <family val="1"/>
      </rPr>
      <t>T11_R10_SB</t>
    </r>
    <r>
      <rPr>
        <sz val="12"/>
        <rFont val="Times New Roman"/>
        <family val="1"/>
      </rPr>
      <t>, zníženému o odpisy, vykazované v T5_</t>
    </r>
    <r>
      <rPr>
        <sz val="12"/>
        <color indexed="10"/>
        <rFont val="Times New Roman"/>
        <family val="1"/>
      </rPr>
      <t>R85</t>
    </r>
    <r>
      <rPr>
        <sz val="12"/>
        <rFont val="Times New Roman"/>
        <family val="1"/>
      </rPr>
      <t xml:space="preserve">_SC. </t>
    </r>
  </si>
  <si>
    <r>
      <t>V stĺpci S</t>
    </r>
    <r>
      <rPr>
        <sz val="12"/>
        <color indexed="10"/>
        <rFont val="Times New Roman"/>
        <family val="1"/>
      </rPr>
      <t xml:space="preserve">H </t>
    </r>
    <r>
      <rPr>
        <sz val="12"/>
        <rFont val="Times New Roman"/>
        <family val="1"/>
      </rPr>
      <t xml:space="preserve">sa zvyšok prijatej kapitálovej dotácie, používanej na kompenzáciu odpisov za rok 2011  rovná súčtu zvyšku prijatej kapitálovej dotácie na kompenzáciu odpisov z roku 2010 (stĺpec SB) a výšky kapitálovej dotácie (2011) z </t>
    </r>
    <r>
      <rPr>
        <sz val="12"/>
        <color indexed="10"/>
        <rFont val="Times New Roman"/>
        <family val="1"/>
      </rPr>
      <t>T11_R10a_SB</t>
    </r>
    <r>
      <rPr>
        <sz val="12"/>
        <rFont val="Times New Roman"/>
        <family val="1"/>
      </rPr>
      <t>, zníženému o odpisy, vykazované v T5_</t>
    </r>
    <r>
      <rPr>
        <sz val="12"/>
        <color indexed="10"/>
        <rFont val="Times New Roman"/>
        <family val="1"/>
      </rPr>
      <t>R86a</t>
    </r>
    <r>
      <rPr>
        <sz val="12"/>
        <rFont val="Times New Roman"/>
        <family val="1"/>
      </rPr>
      <t xml:space="preserve">_SC. </t>
    </r>
  </si>
  <si>
    <t>Čerpanie z iných zdrojov</t>
  </si>
  <si>
    <r>
      <t xml:space="preserve">V riadku 1 až 15 sa uvádzajú príjmy </t>
    </r>
    <r>
      <rPr>
        <sz val="12"/>
        <color indexed="10"/>
        <rFont val="Times New Roman"/>
        <family val="1"/>
      </rPr>
      <t xml:space="preserve">na programe 077 </t>
    </r>
    <r>
      <rPr>
        <sz val="12"/>
        <rFont val="Times New Roman"/>
        <family val="1"/>
      </rPr>
      <t>podľa programovej štruktúry na rok 2011.</t>
    </r>
  </si>
  <si>
    <r>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na riešenie projektov APVV pre spoluriešiteľov projektu, kde hlavným riešiteľom je iná právnická osoba ako VVŠ. 
</t>
    </r>
    <r>
      <rPr>
        <strike/>
        <sz val="12"/>
        <rFont val="Times New Roman"/>
        <family val="1"/>
      </rPr>
      <t>3. dotácie Úradu vlády SR na projekty, riešené v rámci Finančného mechanizmu EHP a Nórskeho finančného mechanizmu</t>
    </r>
  </si>
  <si>
    <r>
      <t xml:space="preserve">V riadku 3 uvedie vysoká škola celkový objem ostatných príjmov z domácich zdrojov majúcich charakter dotácií. V riadkoch 3a ... rozpíše podrobnejšie jednotlivé druhy týchto príjmov.
</t>
    </r>
    <r>
      <rPr>
        <sz val="12"/>
        <color indexed="10"/>
        <rFont val="Times New Roman"/>
        <family val="1"/>
      </rPr>
      <t>Patrí sem aj dotácia z Úradu vlády SR na projekty riešené v rámci Finančného mechanizmu EHP a Nórskeho finančného mechanizmu.</t>
    </r>
  </si>
  <si>
    <r>
      <t xml:space="preserve">V riadku 4 uvedie vysoká škola celkový objem príjmov </t>
    </r>
    <r>
      <rPr>
        <b/>
        <sz val="12"/>
        <rFont val="Times New Roman"/>
        <family val="1"/>
      </rPr>
      <t xml:space="preserve">zo zahraničných zdrojov </t>
    </r>
    <r>
      <rPr>
        <b/>
        <sz val="12"/>
        <color indexed="10"/>
        <rFont val="Times New Roman"/>
        <family val="1"/>
      </rPr>
      <t xml:space="preserve">(zo zahraničných účtov) </t>
    </r>
    <r>
      <rPr>
        <sz val="12"/>
        <rFont val="Times New Roman"/>
        <family val="1"/>
      </rPr>
      <t>majúcich charakter dotácií. V riadkoch 4a ... rozpíše podrobnejšie jednotlivé druhy týchto príjmov. Príklady:
1. príjmy zo zahraničných grantov v rámci 7. RP
2. príjmy na riešenie výskumných projektov v rámci programu COST
3. príjmy v rámci spolupráce s inými zahraničnými univerzitami</t>
    </r>
  </si>
  <si>
    <t>T11_R10</t>
  </si>
  <si>
    <t>T11_R10a</t>
  </si>
  <si>
    <t>T11_R13</t>
  </si>
  <si>
    <r>
      <t xml:space="preserve">Bežná a kapitálová dotácia je kontrolovaná na </t>
    </r>
    <r>
      <rPr>
        <sz val="12"/>
        <color indexed="10"/>
        <rFont val="Times New Roman"/>
        <family val="1"/>
      </rPr>
      <t>Zmluvu o poskytnutí  dotácií  zo štátneho rozpočtu prostredníctvom kapitoly MŠVVaŠ (ďalej len "dotačná zmluva") na  programe  077 na rok 2011 a jej dodatky.</t>
    </r>
  </si>
  <si>
    <r>
      <rPr>
        <strike/>
        <sz val="12"/>
        <rFont val="Times New Roman"/>
        <family val="1"/>
      </rPr>
      <t>T1_R15_SA = T14_R17_SD, 
T1_R15_SB = T15_R11_SC,</t>
    </r>
    <r>
      <rPr>
        <sz val="12"/>
        <rFont val="Times New Roman"/>
        <family val="1"/>
      </rPr>
      <t xml:space="preserve">
T1_R15_SB ≤ T11_R10_SB,
T1_R12_SA = T8_R5_SC
T1_R13_SA = T20_R2_SB </t>
    </r>
  </si>
  <si>
    <r>
      <t xml:space="preserve">Bežná a kapitálová dotácia z programu 077 je kontrolovaná na "dotačnú zmluvu" na rok 2011 a jej dodatky. 
Dotácie na kapitálové výdavky sa kontrolujú aj na T11, sociálne a motivačné štipendiá na T8 a T20.  
</t>
    </r>
    <r>
      <rPr>
        <b/>
        <u val="single"/>
        <strike/>
        <sz val="12"/>
        <rFont val="Times New Roman"/>
        <family val="1"/>
      </rPr>
      <t>Neuvádza sa tu dotácia z iných programov ani dotácia zo štrukturálnych fondov EÚ.</t>
    </r>
  </si>
  <si>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t>
    </r>
    <r>
      <rPr>
        <sz val="12"/>
        <color indexed="10"/>
        <rFont val="Times New Roman"/>
        <family val="1"/>
      </rPr>
      <t xml:space="preserve">(zo zahraničných účtov) </t>
    </r>
    <r>
      <rPr>
        <sz val="12"/>
        <rFont val="Times New Roman"/>
        <family val="1"/>
      </rPr>
      <t xml:space="preserve">a k nim príslušné hodnoty. 
Neuvádzajú sa tu dotácie, ktoré VVŠ obdržala zo štrukturálnych fondov prostredníctvom iných kapitol štátneho rozpočtu, napr. MPSVaR SR (tieto údaje patria do T17) a dotácie </t>
    </r>
    <r>
      <rPr>
        <b/>
        <sz val="12"/>
        <rFont val="Times New Roman"/>
        <family val="1"/>
      </rPr>
      <t xml:space="preserve">z APVV pre hlavného riešiteľa (údaje patria do T18). Do tejto tabuľky sa uvádzajú len dotácie z APVV pre spoluriešiteľa, ak hlavným riešiteľom je iná právnická osoba ako VVŠ. </t>
    </r>
    <r>
      <rPr>
        <b/>
        <sz val="12"/>
        <color indexed="10"/>
        <rFont val="Times New Roman"/>
        <family val="1"/>
      </rPr>
      <t>Nepatria sem prostriedky na zahraničné mobility na 05T 08 a 021 02 03.</t>
    </r>
  </si>
  <si>
    <r>
      <t xml:space="preserve">Uvedie sa dotácia z </t>
    </r>
    <r>
      <rPr>
        <b/>
        <sz val="12"/>
        <rFont val="Times New Roman"/>
        <family val="1"/>
      </rPr>
      <t xml:space="preserve">Úradu vlády SR </t>
    </r>
    <r>
      <rPr>
        <b/>
        <sz val="12"/>
        <color indexed="10"/>
        <rFont val="Times New Roman"/>
        <family val="1"/>
      </rPr>
      <t xml:space="preserve">(na R3) </t>
    </r>
    <r>
      <rPr>
        <sz val="12"/>
        <rFont val="Times New Roman"/>
        <family val="1"/>
      </rPr>
      <t xml:space="preserve">, poskytnutá na riešenie projektov v rámci </t>
    </r>
    <r>
      <rPr>
        <b/>
        <sz val="12"/>
        <rFont val="Times New Roman"/>
        <family val="1"/>
      </rPr>
      <t>Finančného mechanizmu EHP</t>
    </r>
    <r>
      <rPr>
        <sz val="12"/>
        <rFont val="Times New Roman"/>
        <family val="1"/>
      </rPr>
      <t xml:space="preserve"> a </t>
    </r>
    <r>
      <rPr>
        <b/>
        <sz val="12"/>
        <rFont val="Times New Roman"/>
        <family val="1"/>
      </rPr>
      <t>Nórskeho finančného mechanizmu</t>
    </r>
    <r>
      <rPr>
        <sz val="12"/>
        <rFont val="Times New Roman"/>
        <family val="1"/>
      </rPr>
      <t>. Údaje budú kontrolované na hodnoty z výkazníctva - bežné a kapitálové výdavky evidované na zdrojoch 11E1, 11E3 a 121.</t>
    </r>
  </si>
  <si>
    <t>T2_R3</t>
  </si>
  <si>
    <r>
      <t xml:space="preserve">T11_R2_SA (SB) = T13_R2_SC (SD),
</t>
    </r>
    <r>
      <rPr>
        <strike/>
        <sz val="12"/>
        <rFont val="Times New Roman"/>
        <family val="1"/>
      </rPr>
      <t>T11_R10_SB ≥ T15_R17_SC</t>
    </r>
  </si>
  <si>
    <r>
      <t xml:space="preserve">Údaje v T11_R2 - tvorba fondu reprodukcie za roky 2010 a 2011 sa musia rovnať údajom v T13_R2_SC (SD). 
</t>
    </r>
    <r>
      <rPr>
        <strike/>
        <sz val="12"/>
        <rFont val="Times New Roman"/>
        <family val="1"/>
      </rPr>
      <t>Súvzťažnosť údajov z T11_R10 s tabuľkou T15 (výška kapitálovej dotácie).</t>
    </r>
    <r>
      <rPr>
        <sz val="12"/>
        <rFont val="Times New Roman"/>
        <family val="1"/>
      </rPr>
      <t xml:space="preserve"> </t>
    </r>
  </si>
  <si>
    <r>
      <t xml:space="preserve">V T11_R10 sa uvádzajú kapitálové výdavky prijaté (cash) </t>
    </r>
    <r>
      <rPr>
        <sz val="12"/>
        <color indexed="10"/>
        <rFont val="Times New Roman"/>
        <family val="1"/>
      </rPr>
      <t>zo zdroja 111.</t>
    </r>
    <r>
      <rPr>
        <sz val="12"/>
        <rFont val="Times New Roman"/>
        <family val="1"/>
      </rPr>
      <t xml:space="preserve"> </t>
    </r>
    <r>
      <rPr>
        <sz val="12"/>
        <color indexed="10"/>
        <rFont val="Times New Roman"/>
        <family val="1"/>
      </rPr>
      <t>Ide o dotácie z programu 077 (T1_SB_R15), z iných kapitol štátneho rozpočtu (T2_SB_R1), z kapitoly MŠVVaŠ mimo programu 077 a mimo prostriedkov z EÚ (T18_SB_R9)</t>
    </r>
    <r>
      <rPr>
        <sz val="12"/>
        <rFont val="Times New Roman"/>
        <family val="1"/>
      </rPr>
      <t>.
 Výšku kapitálovej dotácie z iných kapitol žiadame osobitne uviesť do poznámky.</t>
    </r>
  </si>
  <si>
    <t>T11_SB_R10 = T1_SB_R15+T2_SB_R1
+T18_SB_R9</t>
  </si>
  <si>
    <t>T11_SB_R10a = T17_SC+SD_R21a</t>
  </si>
  <si>
    <t>V T11_R10a  sa uvádzajú kapitálové výdavky prijaté (cash) z prostriedkov EÚ (štrukturálnych fondov) vrátane spolufinancovania.</t>
  </si>
  <si>
    <t>T11_SB_R11</t>
  </si>
  <si>
    <t>V T11_R11 sa uvádza zostatok z kapitálovej dotácie z predchádzajúceho roku (z dotácií podľa R10 a R10a).</t>
  </si>
  <si>
    <t>T11_SB_R13</t>
  </si>
  <si>
    <t>V T11_R13 sa uvádza objem na obstaranie a technické zhodnotenie dlhodobého majetku z iných zdrojov v danom roku vrátane zostatkov na týchto zdrojoch. 
Patria sem aj dotácie z T2_R2+R3+R4.</t>
  </si>
  <si>
    <r>
      <t xml:space="preserve"> Údaje </t>
    </r>
    <r>
      <rPr>
        <b/>
        <sz val="12"/>
        <rFont val="Times New Roman"/>
        <family val="1"/>
      </rPr>
      <t>o počte podaných jedlách</t>
    </r>
    <r>
      <rPr>
        <sz val="12"/>
        <rFont val="Times New Roman"/>
        <family val="1"/>
      </rPr>
      <t xml:space="preserve"> v R12 sa kontrolujú na štatistické výkazy MŠVVaŠ SR 2011 (2010). Uvádzajú sa </t>
    </r>
    <r>
      <rPr>
        <b/>
        <sz val="12"/>
        <rFont val="Times New Roman"/>
        <family val="1"/>
      </rPr>
      <t xml:space="preserve">jedlá vydané študentom vo vlastných jedálňach aj v zmluvných zariadeniach </t>
    </r>
    <r>
      <rPr>
        <sz val="12"/>
        <rFont val="Times New Roman"/>
        <family val="1"/>
      </rPr>
      <t>(všetky jedlá na ktoré sa poskytuje dotácia). Neakceptujú sa žiadne typy iných stravovacích poukazov (gastrolístky).</t>
    </r>
  </si>
  <si>
    <r>
      <rPr>
        <strike/>
        <sz val="12"/>
        <rFont val="Times New Roman"/>
        <family val="1"/>
      </rPr>
      <t>T12_R15_SA = T15_R17_SD</t>
    </r>
    <r>
      <rPr>
        <sz val="12"/>
        <rFont val="Times New Roman"/>
        <family val="1"/>
      </rPr>
      <t xml:space="preserve"> 
T12_R15_SF = výkazníctvo 2011, kategória 700, všetky zdroje</t>
    </r>
  </si>
  <si>
    <r>
      <rPr>
        <strike/>
        <sz val="12"/>
        <rFont val="Times New Roman"/>
        <family val="1"/>
      </rPr>
      <t>Hodnota v T12_R15_SA sa musí rovnať údaju v T15_R21_SD (ide o výdavky v r. 2011 bez rozdielu či boli realizované z kapitálovej dotácie roku 2011 alebo zo zostatku kapitálovej dotácie z predchádzajúcich rokov).</t>
    </r>
    <r>
      <rPr>
        <sz val="12"/>
        <rFont val="Times New Roman"/>
        <family val="1"/>
      </rPr>
      <t xml:space="preserve">
Údaje v R15, SF - celkové výdavky na obstaranie a technické zhodnotenie majetku sa musia rovnať hodnotám, vykazovaným vo výkaze "Príjmy a výdavky" v kategórii 700 za všetky zdroje (štátny rozpočet, vlastné zdroje, prostriedky EÚ, finančný mechanizmus EHP a Nórsky finančný mechanizmus...) a  za roky 2010 a 2011 spolu. Ak tieto udaje nie sú v súlade, je potrebné v poznámke vysvetliť dôvod. </t>
    </r>
  </si>
  <si>
    <r>
      <t xml:space="preserve">Údaje v T18_R1 sú kontrolované na  rozpis bežnej a kapitálovej dotácie na programe 06K v roku 2011 poskytnuté vysokým školám mimo "dotačnej zmluvy" prostredníctvom  APVV resp. SVaT. 
Údaje v T18_R7 a R8 sú kontrolované na rozpis bežnej dotácie na podrograme 05T 08 a prvku 021 02 03 v roku 2011, poskytnuté vysokým školám mimo "dotačnej zmluvy" prostredníctvom sekcie medzinárodnej spolupráce.
</t>
    </r>
    <r>
      <rPr>
        <strike/>
        <sz val="12"/>
        <rFont val="Times New Roman"/>
        <family val="1"/>
      </rPr>
      <t xml:space="preserve">Údaje o čerpaní týchto dotácií v roku 2010 sú súčasťou analýzy  v  T14 a T15 a sú zaradené do príslušných podprogramov, prvkov. </t>
    </r>
  </si>
  <si>
    <t>T11_V2</t>
  </si>
  <si>
    <t>T11_V3</t>
  </si>
  <si>
    <t>T11_V4</t>
  </si>
  <si>
    <t>T11_V5</t>
  </si>
  <si>
    <t>T9_R6_SA (SB) = "dotačná zmluva" 2011 (2010)_účelové prostriedky na študentské domovy</t>
  </si>
  <si>
    <t>T8_R5_SA (SC) = "dotačná zmluva" na rok 2010 (2011), podprogram 077 15 01 - účelové prostriedky na sociálne štipendiá</t>
  </si>
  <si>
    <t>T19_R1_SC + T20_R3_SB + T8_R1_SC  = T13_R11_SF</t>
  </si>
  <si>
    <t>Tabuľka 24a,b</t>
  </si>
  <si>
    <t>zmena: dotácia z Úradu vlády SR na projekty riešené v rámci Finančného mechanizmu EHP a Nórskeho finančného mechanizmu patrí do R3 (predtým do R1)</t>
  </si>
  <si>
    <t>vložený SB: Čerpanie kapitálovej dotácie v roku 2011 z prostriedkov EÚ (štrukturálnych fondov)</t>
  </si>
  <si>
    <r>
      <t>Uvedie sa nevyčerpaná účelová dotácia (+) resp. nedoplatok účelovej dotácie (-) na štipendiá  doktorandov za rok 201</t>
    </r>
    <r>
      <rPr>
        <sz val="12"/>
        <color indexed="10"/>
        <rFont val="Times New Roman"/>
        <family val="1"/>
      </rPr>
      <t>1</t>
    </r>
    <r>
      <rPr>
        <sz val="12"/>
        <rFont val="Times New Roman"/>
        <family val="1"/>
      </rPr>
      <t>. Nevyčerpaná účelová dotácia znamená, že vysoká škola obdržala vyššiu dotáciu ako boli jej náklady na štipendiá doktorandov, vrátane výplaty štipendií v januári 201</t>
    </r>
    <r>
      <rPr>
        <sz val="12"/>
        <color indexed="10"/>
        <rFont val="Times New Roman"/>
        <family val="1"/>
      </rPr>
      <t>2</t>
    </r>
    <r>
      <rPr>
        <sz val="12"/>
        <rFont val="Times New Roman"/>
        <family val="1"/>
      </rPr>
      <t xml:space="preserve"> za december 201</t>
    </r>
    <r>
      <rPr>
        <sz val="12"/>
        <color indexed="10"/>
        <rFont val="Times New Roman"/>
        <family val="1"/>
      </rPr>
      <t>1</t>
    </r>
    <r>
      <rPr>
        <sz val="12"/>
        <rFont val="Times New Roman"/>
        <family val="1"/>
      </rPr>
      <t xml:space="preserve"> a príplatkov za prácu v sťaženom a zdraviu škodlivom prostredí za január a február. O objem nevyčerpanej účelovej dotácie za rok 2011 sa kráti účelová dotácia na štipendiá doktorandov v roku 2012. </t>
    </r>
  </si>
  <si>
    <t xml:space="preserve">z iných zdrojov VVŠ </t>
  </si>
  <si>
    <t>Tabuľka č. 6: Zamestnanci a náklady na mzdy verejnej vysokej školy v roku 2011</t>
  </si>
  <si>
    <t>Tabuľka č. 8: Údaje o systéme sociálnej podpory - časť  sociálne štipendiá  (§ 96 zákona) 
za roky 2010 a 2011</t>
  </si>
  <si>
    <r>
      <t>Tabuľka č. 9: Údaje o systéme sociálnej podpory  - časť výnosy a náklady</t>
    </r>
    <r>
      <rPr>
        <b/>
        <vertAlign val="superscript"/>
        <sz val="14"/>
        <rFont val="Times New Roman"/>
        <family val="1"/>
      </rPr>
      <t>1)</t>
    </r>
    <r>
      <rPr>
        <b/>
        <sz val="14"/>
        <rFont val="Times New Roman"/>
        <family val="1"/>
      </rPr>
      <t xml:space="preserve"> študentských domovov 
(bez zmluvných zariadení) za roky 2010 a 2011</t>
    </r>
  </si>
  <si>
    <r>
      <t xml:space="preserve">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2011  na programe 077 </t>
    </r>
    <r>
      <rPr>
        <b/>
        <sz val="14"/>
        <rFont val="Times New Roman"/>
        <family val="1"/>
      </rPr>
      <t xml:space="preserve">(v Eur) </t>
    </r>
  </si>
  <si>
    <t>Tabuľka č. 2: Príjmy verejnej vysokej školy  v roku 2011 majúce charakter dotácie okrem príjmov z dotácií 
 z  kapitoly MŠVVaŠ SR a okrem  prostriedkov EÚ  (štrukturálnych  fondov) (v Eur)</t>
  </si>
  <si>
    <t>Tabuľka č. 3: Výnosy verejnej vysokej školy v rokoch 2010 a 2011 (v Eur)</t>
  </si>
  <si>
    <t>Tabuľka č. 4: Výnosy verejnej vysokej školy zo školného a z poplatkov spojených so štúdiom  
v rokoch 2010 a 2011 (v Eur)</t>
  </si>
  <si>
    <t>Tabuľka č. 5: Náklady verejnej vysokej školy v rokoch 2010 a 2011 (v Eur)</t>
  </si>
  <si>
    <t>Náklady na mzdy  poskytované z prostriedkov štátneho rozpočtu   (v Eur)</t>
  </si>
  <si>
    <t>Náklady na mzdy poskytované z dotácie MŠVVaŠ SR  (v Eur)</t>
  </si>
  <si>
    <t>Náklady na mzdy poskytované z iných zdrojov 
 (v Eur)</t>
  </si>
  <si>
    <t>Náklady na mzdy spolu
 (v Eur)</t>
  </si>
  <si>
    <t>Tabuľka č. 7: Náklady verejnej vysokej školy na štipendiá interných doktorandov v roku 2011 (v Eur)</t>
  </si>
  <si>
    <t>Finančné prostriedky  
 (v Eur)</t>
  </si>
  <si>
    <t>Náklady / Výnosy (v Eur)</t>
  </si>
  <si>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2010 a 2011 (v Eur)</t>
    </r>
  </si>
  <si>
    <t>Tabuľka č. 11: Zdroje verejnej vysokej školy na obstaranie a technické zhodnotenie dlhodobého  majetku v rokoch 2010 a 2011 (v Eur)</t>
  </si>
  <si>
    <t>Tabuľka č. 12: Výdavky verejnej vysokej školy na obstaranie a technické zhodnotenie dlhodobého majetku v roku 2011 (v Eur)</t>
  </si>
  <si>
    <t>Tabuľka č. 13: Stav a vývoj finančných fondov verejnej vysokej školy v rokoch 2010 a 2011 (v Eur)</t>
  </si>
  <si>
    <t>Tabuľka č. 16: Štruktúra a stav finančných prostriedkov na bankových účtoch verejnej vysokej školy
   k 31. decembru 2011 (v Eur)</t>
  </si>
  <si>
    <t>Tabuľka č. 19: Štipendiá z vlastných zdrojov podľa § 97 zákona v rokoch 2010 a 2011 (v Eur)</t>
  </si>
  <si>
    <t>Tabuľka č. 20: Motivačné štipendiá  v rokoch 2010 a 2011 
(v zmysle § 96  zákona ) (v Eur)</t>
  </si>
  <si>
    <t>Tabuľka č. 22: Výnosy verejnej vysokej školy v roku 2011 v oblasti sociálnej podpory študentov (v Eur)</t>
  </si>
  <si>
    <t>Tabuľka č .23:  Náklady verejnej vysokej školy  v roku 2011 v oblasti sociálnej podpory študentov (v Eur)</t>
  </si>
  <si>
    <r>
      <t xml:space="preserve">Príspevok na jedno jedlo zo štátneho rozpočtu bol v rokoch od 1.1.2011 do 31.8.2011 vo výške </t>
    </r>
    <r>
      <rPr>
        <sz val="12"/>
        <color indexed="10"/>
        <rFont val="Times New Roman"/>
        <family val="1"/>
      </rPr>
      <t xml:space="preserve"> 1 euro, a od 1.9.2011 do 31.12.2011 0,8 euro</t>
    </r>
    <r>
      <rPr>
        <sz val="12"/>
        <color indexed="8"/>
        <rFont val="Times New Roman"/>
        <family val="1"/>
      </rPr>
      <t xml:space="preserve">. </t>
    </r>
  </si>
  <si>
    <t>zmena názvu</t>
  </si>
  <si>
    <r>
      <t xml:space="preserve">súvaha k </t>
    </r>
    <r>
      <rPr>
        <sz val="12"/>
        <color indexed="10"/>
        <rFont val="Times New Roman"/>
        <family val="1"/>
      </rPr>
      <t>31.12.2011</t>
    </r>
    <r>
      <rPr>
        <sz val="12"/>
        <rFont val="Times New Roman"/>
        <family val="1"/>
      </rPr>
      <t xml:space="preserve"> - Strana aktív 
1. a 2. časť </t>
    </r>
  </si>
  <si>
    <r>
      <t xml:space="preserve">súvaha </t>
    </r>
    <r>
      <rPr>
        <sz val="12"/>
        <color indexed="10"/>
        <rFont val="Times New Roman"/>
        <family val="1"/>
      </rPr>
      <t xml:space="preserve"> k 31.12.2011</t>
    </r>
    <r>
      <rPr>
        <sz val="12"/>
        <rFont val="Times New Roman"/>
        <family val="1"/>
      </rPr>
      <t xml:space="preserve"> - Strana pasív</t>
    </r>
  </si>
  <si>
    <t>upravený text v T1_V1, v T7_V2, T17_V1, T18_V1, T21_V1</t>
  </si>
  <si>
    <t>zmena názvu, rozšírenie o ďalšie podprogramy</t>
  </si>
  <si>
    <t xml:space="preserve">Tabuľka č. 17 obsahuje informácie o celkovom objeme príjmov z dotácií, poskytnutých verejnej vysokej škole v roku 2011 z prostriedkov EÚ (štrukturálnych fondov), vrátane spolufinancovania zo štátneho rozpočtu. Osobitne sa sledujú dotácie, poskytnuté z  MŠVVaŠ SR a osobitne dotácie z iných kapitol štátneho rozpočtu. </t>
  </si>
  <si>
    <r>
      <t>V rámcii  dotácie z kapitoly MŠVVaŠ SR uvedie vysoká škola dotáciu na programoch 06G - Ľudské zdroje, 0AE - Operačný program výskum a vývoj</t>
    </r>
    <r>
      <rPr>
        <sz val="12"/>
        <rFont val="Times New Roman"/>
        <family val="1"/>
      </rPr>
      <t xml:space="preserve"> a 0AA - Operačný program vzdelávanie</t>
    </r>
    <r>
      <rPr>
        <sz val="12"/>
        <rFont val="Times New Roman"/>
        <family val="1"/>
      </rPr>
      <t>.</t>
    </r>
  </si>
  <si>
    <t xml:space="preserve">Ak VVŠ obdržala finančné prostriedky aj z inej kapitoly štátneho rozpočtu, uvádzajú sa osobitne. Tieto dotácie sa evidujú na zdrojoch podľa platnej rozpočtovej klasifikácie na rok 2011 a nie sú súčasťou dotácií, vykazovaných v T2_R1.  </t>
  </si>
  <si>
    <r>
      <t xml:space="preserve">Tabuľka č. 23 poskytuje informácie o výkaze ziskov a strát sumár za VVŠ </t>
    </r>
    <r>
      <rPr>
        <b/>
        <sz val="12"/>
        <rFont val="Times New Roman"/>
        <family val="1"/>
      </rPr>
      <t>za oblasť sociálnej podpory študentov</t>
    </r>
    <r>
      <rPr>
        <sz val="12"/>
        <rFont val="Times New Roman"/>
        <family val="1"/>
      </rPr>
      <t xml:space="preserve">  časť</t>
    </r>
    <r>
      <rPr>
        <b/>
        <sz val="12"/>
        <rFont val="Times New Roman"/>
        <family val="1"/>
      </rPr>
      <t xml:space="preserve"> "Náklady". </t>
    </r>
    <r>
      <rPr>
        <sz val="12"/>
        <rFont val="Times New Roman"/>
        <family val="1"/>
      </rPr>
      <t>Údaje sa uvádzajú s presnosťou na dve desatinné miesta.</t>
    </r>
  </si>
  <si>
    <r>
      <t xml:space="preserve">Tabuľka č. 18 obsahuje informácie o celkovom objeme príjmov z dotácií poskytnutých verejnej vysokej škole z kapitoly MŠVVaŠ SR </t>
    </r>
    <r>
      <rPr>
        <b/>
        <sz val="12"/>
        <rFont val="Times New Roman"/>
        <family val="1"/>
      </rPr>
      <t xml:space="preserve"> </t>
    </r>
    <r>
      <rPr>
        <sz val="12"/>
        <rFont val="Times New Roman"/>
        <family val="1"/>
      </rPr>
      <t xml:space="preserve">mimo programu 077 t. j. mimo </t>
    </r>
    <r>
      <rPr>
        <b/>
        <sz val="12"/>
        <rFont val="Times New Roman"/>
        <family val="1"/>
      </rPr>
      <t xml:space="preserve"> </t>
    </r>
    <r>
      <rPr>
        <sz val="12"/>
        <rFont val="Times New Roman"/>
        <family val="1"/>
      </rPr>
      <t>Zmluvy o poskytnutí dotácie zo štátneho rozpočtu prostredníctvom rozpočtu MŠVVaŠ SR na rok 2011  a mimo príjmov z prostriedkov EÚ a to</t>
    </r>
    <r>
      <rPr>
        <b/>
        <sz val="12"/>
        <rFont val="Times New Roman"/>
        <family val="1"/>
      </rPr>
      <t>:</t>
    </r>
    <r>
      <rPr>
        <sz val="12"/>
        <rFont val="Times New Roman"/>
        <family val="1"/>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2011. 
</t>
    </r>
  </si>
  <si>
    <t>Obsah tabuľkovej prílohy výročnej správy o hospodárení verejnej vysokej školy za rok 2011</t>
  </si>
  <si>
    <t xml:space="preserve">Súvaha k 31. 12. 2011 - Strana aktív 1. časť </t>
  </si>
  <si>
    <t>Súvaha k 31. 12. 2011 - Strana aktív 2. časť</t>
  </si>
  <si>
    <t>Súvaha k 31. 12. 2011 - Strana pasív</t>
  </si>
  <si>
    <t>Zmeny tabuliek výročnej správy o hospodárení za rok 2011 v porovnaní s rokom 2010</t>
  </si>
  <si>
    <t>Vysvetlivky k tabuľkám výročnej správy o hospodárení verejnej vysokej školy za rok 2011</t>
  </si>
  <si>
    <t>Súvzťažnosti tabuliek výročnej správy o hospodárení verejnej vysokej školy za rok 2011</t>
  </si>
  <si>
    <t xml:space="preserve">Príjmy z dotácií verejnej vysokej škole zo štátneho rozpočtu z kapitoly MŠVVaŠ SR poskytnuté mimo programu 077 a mimo príjmov z prostriedkov EÚ (zo štrukturálnych fondov) v roku 2011 </t>
  </si>
  <si>
    <t>Príjmy verejnej vysokej školy z prostriedkov EÚ a z prostriedkov na ich spolufinancovanie zo štátneho rozpočtu z kapitoly MŠVVaŠ SR a z iných kapitol štátneho rozpočtu v roku 2011</t>
  </si>
  <si>
    <t xml:space="preserve">Štruktúra a stav finančných prostriedkov na bankových účtoch verejnej vysokej školy k 31. decembru 2011 </t>
  </si>
  <si>
    <r>
      <t>Uvedie sa objem prijatej kapitálovej dotácie z rozpočtu kapitoly MŠVVaŠ SR a z iných rozpočtových kapitol v roku 2011</t>
    </r>
    <r>
      <rPr>
        <sz val="12"/>
        <color indexed="10"/>
        <rFont val="Times New Roman"/>
        <family val="1"/>
      </rPr>
      <t xml:space="preserve"> zo zdroja 111 (kapitálová dotácia, ktorá bola verejnej vysokej škole poukázaná na účet (cash) v sledovanom období,  účet 346002 - strana DAL)</t>
    </r>
  </si>
  <si>
    <r>
      <t xml:space="preserve">Uvedie sa objem prijatej kapitálovej dotácie </t>
    </r>
    <r>
      <rPr>
        <sz val="12"/>
        <color indexed="10"/>
        <rFont val="Times New Roman"/>
        <family val="1"/>
      </rPr>
      <t xml:space="preserve">z prostriedkov EÚ </t>
    </r>
    <r>
      <rPr>
        <sz val="12"/>
        <color indexed="10"/>
        <rFont val="Times New Roman"/>
        <family val="1"/>
      </rPr>
      <t>vrátane spolufinancovania (účet 346005 – 346008 strana DAL,  zdroje 1151, 1152, 11S1, 11S2, 11T1, 11T2, (všetky zdroje EŠF na ktorých VVŠ účtuje, aj všetky analytické účty) okrem 11E1, 11E3 a 121 – viď riadok 13)</t>
    </r>
  </si>
  <si>
    <r>
      <t xml:space="preserve">Uvedie sa zostatok kapitálovej dotácie na obstaranie a technické zhodnotenie dlhodobého majetku </t>
    </r>
    <r>
      <rPr>
        <sz val="12"/>
        <color indexed="10"/>
        <rFont val="Times New Roman"/>
        <family val="1"/>
      </rPr>
      <t>(nevyčerpané finančné  prostriedky k 31. 12. 2010 (stĺpec SA v R11), resp. k 31. 12. 2011 (stĺpec SB v R11) na zdrojoch 131x (1318, 1319, 131A/resp.131B), 13S1, 13S2, 13T1,13T2.....(zostatky zo ŠR aj zo ŠF)</t>
    </r>
  </si>
  <si>
    <t>Uvedie sa objem na obstaranie a technické zhodnotenie dlhodobého majetku z iných zdrojov v danom roku vrátane zostatkov na týchto zdrojoch (patria sem aj prostriedky zo zdroja 11E1- Finančný mechanizmus, EHP 11E3- Nórsky finančný mechanizmus a 121 – Všeobecná pokladničná správa vrátane ich zostatkov z predchádzajúcich rokov)</t>
  </si>
  <si>
    <r>
      <t>Vo všetkých predpísaných tabuľkách výročnej správy sa dodržiavajú nasledujúce konvencie:</t>
    </r>
    <r>
      <rPr>
        <sz val="12"/>
        <rFont val="Times New Roman"/>
        <family val="1"/>
      </rPr>
      <t xml:space="preserve">
</t>
    </r>
    <r>
      <rPr>
        <b/>
        <i/>
        <sz val="12"/>
        <rFont val="Times New Roman"/>
        <family val="1"/>
      </rPr>
      <t>a)</t>
    </r>
    <r>
      <rPr>
        <sz val="12"/>
        <rFont val="Times New Roman"/>
        <family val="1"/>
      </rPr>
      <t xml:space="preserve"> Všetky riadky tabuliek, ktoré obsahujú údaje, sú číslované. Ak sa údaj v riadku vypočíta z údajov v iných riadkoch, je v riadku s vypočítaným údajom uvedený príslušný vzorec.
</t>
    </r>
    <r>
      <rPr>
        <b/>
        <i/>
        <sz val="12"/>
        <rFont val="Times New Roman"/>
        <family val="1"/>
      </rPr>
      <t>b)</t>
    </r>
    <r>
      <rPr>
        <sz val="12"/>
        <rFont val="Times New Roman"/>
        <family val="1"/>
      </rPr>
      <t xml:space="preserve"> Riadky tabuľky s hlavnými údajmi za sledovanú oblasť sú vyznačené tučným písmom. Ak v riadkoch nasledujúcich za takýmto riadkom je uvedený </t>
    </r>
    <r>
      <rPr>
        <b/>
        <u val="single"/>
        <sz val="12"/>
        <rFont val="Times New Roman"/>
        <family val="1"/>
      </rPr>
      <t xml:space="preserve">podrobnejší </t>
    </r>
    <r>
      <rPr>
        <sz val="12"/>
        <rFont val="Times New Roman"/>
        <family val="1"/>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rPr>
      <t>c)</t>
    </r>
    <r>
      <rPr>
        <sz val="12"/>
        <rFont val="Times New Roman"/>
        <family val="1"/>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rPr>
      <t>d)</t>
    </r>
    <r>
      <rPr>
        <sz val="12"/>
        <rFont val="Times New Roman"/>
        <family val="1"/>
      </rPr>
      <t xml:space="preserve"> Výraz „SUM(R1:R5)“ znamená „súčet riadkov R1 až R5“.
</t>
    </r>
    <r>
      <rPr>
        <b/>
        <i/>
        <sz val="12"/>
        <rFont val="Times New Roman"/>
        <family val="1"/>
      </rPr>
      <t xml:space="preserve">e) </t>
    </r>
    <r>
      <rPr>
        <sz val="12"/>
        <rFont val="Times New Roman"/>
        <family val="1"/>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rPr>
      <t>f)</t>
    </r>
    <r>
      <rPr>
        <sz val="12"/>
        <rFont val="Times New Roman"/>
        <family val="1"/>
      </rPr>
      <t>  V poliach tabuliek, ktoré sa nevypĺňajú, je uvedený znak „X“</t>
    </r>
  </si>
  <si>
    <r>
      <t xml:space="preserve">Ak nie je uvedené inak, všetky údaje o výške finančných prostriedkov  z roku 2010 a 2011 sa uvádzajú </t>
    </r>
    <r>
      <rPr>
        <b/>
        <sz val="12"/>
        <rFont val="Times New Roman"/>
        <family val="1"/>
      </rPr>
      <t xml:space="preserve">v eurách </t>
    </r>
    <r>
      <rPr>
        <sz val="12"/>
        <rFont val="Times New Roman"/>
        <family val="1"/>
      </rPr>
      <t>s presnosťou na dve desatinné miesta. Dôvodom tohto pravidla je, aby pri sumarizácii nedochádzalo k väčším chybám zo zaokrúhľovania.</t>
    </r>
  </si>
  <si>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</si>
  <si>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r>
      <t xml:space="preserve">V riadku 2 až 6 uvedie vysoká škola vysokoškolských učiteľov zaradených vo </t>
    </r>
    <r>
      <rPr>
        <u val="single"/>
        <sz val="12"/>
        <rFont val="Times New Roman"/>
        <family val="1"/>
      </rPr>
      <t>funkciách</t>
    </r>
    <r>
      <rPr>
        <sz val="12"/>
        <rFont val="Times New Roman"/>
        <family val="1"/>
      </rPr>
      <t xml:space="preserve">  profesor, docent, odborný asistent, asistent a lektor.</t>
    </r>
  </si>
  <si>
    <t xml:space="preserve">V stĺpcoch A, B, C uvedie vysoká škola priemerný evidenčný prepočítaný počet zamestnancov za rok 2011 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</si>
  <si>
    <r>
      <t xml:space="preserve">Vysoká škola uvedie výšku nákladov na úhradu štipendií doktorandov k 31. 12. 2011, ktorá zohľadňuje aj náklady na štipendiá, </t>
    </r>
    <r>
      <rPr>
        <b/>
        <sz val="12"/>
        <color indexed="10"/>
        <rFont val="Times New Roman"/>
        <family val="1"/>
      </rPr>
      <t xml:space="preserve">vyplatené v januári 2012 za december 2011. </t>
    </r>
    <r>
      <rPr>
        <b/>
        <sz val="12"/>
        <rFont val="Times New Roman"/>
        <family val="1"/>
      </rPr>
      <t xml:space="preserve">Osobitne sa uvedú náklady, vyplatené na štipendium vo výške 9. resp. 10. triedy </t>
    </r>
    <r>
      <rPr>
        <b/>
        <sz val="12"/>
        <color indexed="10"/>
        <rFont val="Times New Roman"/>
        <family val="1"/>
      </rPr>
      <t>1.</t>
    </r>
    <r>
      <rPr>
        <b/>
        <sz val="12"/>
        <rFont val="Times New Roman"/>
        <family val="1"/>
      </rPr>
      <t xml:space="preserve"> platového stupňa a osobitne náklady prevyšujúce tarifné zložky štipendia.</t>
    </r>
  </si>
  <si>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</si>
  <si>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</si>
  <si>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V prípade zmluvného zariadenia sa uvádzajú len výnosy a náklady na stravovanie študentov, ktoré prechádzajú účtovníctvom vysokej školy.</t>
  </si>
  <si>
    <t>Tabuľka č. 16 poskytuje informácie o objeme a štruktúre finančných prostriedkov na bankových účtoch verejnej vysokej školy  k 31. 12. 2011 v členení podľa jednotlivých skupín účtov. Celkový objem finančných prostriedkov za všetky účty v Štátnej pokladnici musí byť v súlade s údajmi, ktoré vykazuje Štátna pokladnica za každého klienta ŠP osobitne. V stĺpci C vysoká škola uvedie osobitne, okrem prípadných poznámok, aj čísla všetkých účtov (s názvami) zahrnutých v príslušnom riadku vrátane kódu banky.</t>
  </si>
  <si>
    <t>V tomto riadku uvádzajte len  čerpanie sociálnych štipendií a motivačných štipendií z dotácie a z vlastných zdrojov. Táto hodnota musí byť započítaná v tvorbe fondu a tiež uvedená v T19_R1.</t>
  </si>
  <si>
    <r>
      <t xml:space="preserve">Tabuľka č. 21 poskytuje informácie o štruktúre účtu 384 - výnosy budúcich období. Bilancia je realizovaná v členení na zvyšok prijatej kapitálovej dotácie </t>
    </r>
    <r>
      <rPr>
        <b/>
        <sz val="12"/>
        <color indexed="10"/>
        <rFont val="Times New Roman"/>
        <family val="1"/>
      </rPr>
      <t xml:space="preserve">zo štátneho rozpočtu a z prostriedkov EÚ </t>
    </r>
    <r>
      <rPr>
        <b/>
        <sz val="12"/>
        <rFont val="Times New Roman"/>
        <family val="1"/>
      </rPr>
      <t>používanej na kompenzáciu odpisov majetku z nej obstaraného, nevyčerpanú bežnú dotáciu na aktivity budúcich období a na finančné prostriedky zo zahraničných projektov na budúce aktivity.</t>
    </r>
  </si>
  <si>
    <t>Tabuľka č. 17: Príjmy verejnej vysokej školy z prostriedkov EÚ a z prostriedkov na ich spolufinancovanie 
zo štátneho rozpočtu z kapitoly MŠVVaŠ SR a z iných kapitol štátneho rozpočtu v roku 2011
 (v Eur)</t>
  </si>
  <si>
    <r>
      <t>Tabuľka č. 18: Príjmy z dotácií verejnej vysokej škole zo štátneho rozpočtu z kapitoly MŠVVaŠ SR poskytnuté mimo programu 077 a mimo príjmov z prostriedkov EÚ (zo štrukturálnych fondov) v roku 2011</t>
    </r>
    <r>
      <rPr>
        <sz val="14"/>
        <rFont val="Times New Roman"/>
        <family val="1"/>
      </rPr>
      <t xml:space="preserve"> 
</t>
    </r>
    <r>
      <rPr>
        <b/>
        <sz val="14"/>
        <rFont val="Times New Roman"/>
        <family val="1"/>
      </rPr>
      <t xml:space="preserve"> (v Eur)</t>
    </r>
  </si>
  <si>
    <t>Tabuľka č. 24a: Súvaha k 31. 12. 2011 - Strana aktív 1. časť (v Eur)</t>
  </si>
  <si>
    <t>Tabuľka č. 24b: Súvaha k 31. 12. 2011 - Strana aktív 2. časť (v Eur)</t>
  </si>
  <si>
    <t>Tabuľka č. 25: Súvaha k 31.12. 2011 - Strana pasív (v Eur)</t>
  </si>
  <si>
    <t>Náklady na štipendiá interných doktorandov na miestach pridelených MŠVVaŠ SR</t>
  </si>
  <si>
    <r>
      <t xml:space="preserve">Tabuľka č. 21: Štruktúra účtu 384 </t>
    </r>
    <r>
      <rPr>
        <b/>
        <i/>
        <sz val="14"/>
        <rFont val="Times New Roman"/>
        <family val="1"/>
      </rPr>
      <t xml:space="preserve">- </t>
    </r>
    <r>
      <rPr>
        <b/>
        <sz val="14"/>
        <rFont val="Times New Roman"/>
        <family val="1"/>
      </rPr>
      <t>výnosy budúcich období</t>
    </r>
    <r>
      <rPr>
        <b/>
        <i/>
        <sz val="14"/>
        <rFont val="Times New Roman"/>
        <family val="1"/>
      </rPr>
      <t xml:space="preserve"> </t>
    </r>
    <r>
      <rPr>
        <b/>
        <sz val="14"/>
        <rFont val="Times New Roman"/>
        <family val="1"/>
      </rPr>
      <t>v rokoch 2010 a 2011 (v Eur)</t>
    </r>
  </si>
  <si>
    <t>Názov verejnej vysokej školy:   UPJŠ v Košiciach, Šrobárova 2
Názov fakulty:  sumár</t>
  </si>
  <si>
    <t xml:space="preserve">Názov verejnej vysokej školy:   UPJŠ v Košiciach, Šrobárova 2
Názov fakulty: </t>
  </si>
  <si>
    <t xml:space="preserve">Názov verejnej vysokej školy:   UPJŠ v Košiciach, Šrobárova 2
Názov fakulty:   </t>
  </si>
  <si>
    <t>Názov verejnej vysokej školy: UPJŠ UPJŠ v Košiciach, Šrobárova 2
Názov fakulty:  sumár</t>
  </si>
  <si>
    <t xml:space="preserve">Názov verejnej vysokej školy:  UPJŠ v Košiciach, Šrobárova 2
Názov fakulty:  </t>
  </si>
  <si>
    <t>Názov verejnej vysokej školy: UPJŠ v Košiciach, Šrobárova 2
Názov fakulty:</t>
  </si>
  <si>
    <t xml:space="preserve">Názov verejnej vysokej školy: UPJŠ v Košiciach, Šrobárova 2
Názov fakulty: </t>
  </si>
  <si>
    <t>7000241949/8180 DBÚN LF UPJŠ KE, 7000241690/8180 DotBÚ Prír.F UPJŠ KE, 7000241762/8180 DBUN PrávF UPJŠ KE, 7000241797/8180 DBUN FVS UPJS KE, 7000241770/8180 DBUN Rekt UPJS KE</t>
  </si>
  <si>
    <t>7000137519/8180 BU-ZOST DOT LF KE, 7000137527/8180 BU-ZOST DOT PrF KE, 7000137500/8180 BU-ZOST DOT PF KE, 7000137543/8180 BU-ZOST DOT FVS KE, 7000137535/8180 BU-ZOST DOT UPJS KE</t>
  </si>
  <si>
    <t>7000152655/8180 Distrib BU UPJS KE</t>
  </si>
  <si>
    <t>7000078360/8180 BÚN LF Ke
7000078491/8180 BÚ PrírodovFakult KE
700078432/8180 BÚ neúr.PrávnFakKE
7000086002/8180 PRIJ FAVSPR KE
7000074351/8180 BÚ UPJŠ Ke</t>
  </si>
  <si>
    <t>7000078379/8180 ŠF LF Ke,
7000078504/8180 BU ŠtipF PrirodFa KE,
7000078440/8180 BU ŠtFond PravnFa KE,
7000086037/8180 ŠTF FAVSPR KE,
7000252349/8180 Štip BUN Rekt.UPJSKE</t>
  </si>
  <si>
    <t>7000078416/8180 PČ LF Ke
7000078483/8180 BU PodnČin PravFa KE
7000078547/8180 BU PodČin PrirFa KE
7000086053/8180 PODNČIN FAVSPR KE
7000074335/8180 Bu ur.sp. UPJS Košic</t>
  </si>
  <si>
    <t>7000078395/8180 SF LF Ke
7000078520/8180 BU soc.fond PrFak.KE
7000073467/8180 BU SocF PravnicFa KE
7000086029/8180 SF FAVSPR KE
7000074343/8180 SF UPJŠ Košice</t>
  </si>
  <si>
    <t>7000252365/8180BU-F.Repr.n RektUPJŠ</t>
  </si>
  <si>
    <t xml:space="preserve">7000078424/8180 D-USD LF Ke
</t>
  </si>
  <si>
    <t xml:space="preserve">7000373335/8180 BÚ-ESTABLISH, PF KE
7000371719/8180 MonInterFluoProt, PF
7000257641/8180 DÚ ČerFP6 PrírF UPJŠ
7000388107/8180 FP7 EMI PF UPJŠ KE
7000331485/8180 BÚ-Grant, UPJŠ KE
</t>
  </si>
  <si>
    <t xml:space="preserve">7000099751/8180 BÚ dar úč UPJŠ KE
7000342686/8180 AŠF EÚ MŠSR Cex CEVA
7000366629/8180 AŠF EU CEX EXTR II
7000366645/8180 AŠF EU CEX CEVA II
7000379753/8180 CEX CEMIO LF UPJŠ KE
7000386435 AŠF EU NaNoBioSens
7000429052/8180 BÚ SAAIC LEONARDO
7000078387/8180 DaG LF UPJŠ KE
7000078512 BU DaGrant PrirFa KE
7000086010/8180 DaG FAVSPR KE
7000078459/8180 DaGra PrávnFak KE
7000348623 BU-ĎVUI Prf UPJŠ KE
7000353676/8180 HUSK 0801/003 Baraba
7000358776/8180 BU-MVP CCV UPJŠ
7000368034/8180 ESF Doktorand PF UPJŠ
7000368042/8180 BU-ESF - MIV UPJŠ,PF
</t>
  </si>
  <si>
    <t>Ministerstvo zdravotníctva-program 07B0307 (prof.Lazúrová, prof.Boor,prof.Tkáčová)</t>
  </si>
  <si>
    <t>Ministerstvo kultúry SR</t>
  </si>
  <si>
    <t>Účelová dotácia Úradu vlády na podporu národnostných menšín</t>
  </si>
  <si>
    <t>Účelová dotácia Úradu vlády v oblasti národnej pritidrogovej stratégie</t>
  </si>
  <si>
    <t>Ministerstvo zahraničných vecí SR - Dialóg mladých slovenských a maďarských historikov</t>
  </si>
  <si>
    <t>1c</t>
  </si>
  <si>
    <t>1d</t>
  </si>
  <si>
    <t>1e</t>
  </si>
  <si>
    <t xml:space="preserve">0,00 </t>
  </si>
  <si>
    <t>3c</t>
  </si>
  <si>
    <t>3d</t>
  </si>
  <si>
    <t>3e</t>
  </si>
  <si>
    <t>Slov.kardiologická spoločnosť-MUDr.Dobrovičová, riešenie vedeckého projektu MDCT</t>
  </si>
  <si>
    <t>Višegrad fond</t>
  </si>
  <si>
    <t>Nadácia UPJŠ príspevok pre Univerzitnú knižnicu</t>
  </si>
  <si>
    <t>APVV spoluriešiteľské programy</t>
  </si>
  <si>
    <t>Agentúru na podporu regionálneho rozvoja, odbor cezhraničnej spolupráce</t>
  </si>
  <si>
    <t>4c</t>
  </si>
  <si>
    <t>4d</t>
  </si>
  <si>
    <t>4e</t>
  </si>
  <si>
    <t>4f</t>
  </si>
  <si>
    <t>4g</t>
  </si>
  <si>
    <t>4h</t>
  </si>
  <si>
    <t>4i</t>
  </si>
  <si>
    <t>4j</t>
  </si>
  <si>
    <t>4k</t>
  </si>
  <si>
    <t>4l</t>
  </si>
  <si>
    <t>4m</t>
  </si>
  <si>
    <t>4n</t>
  </si>
  <si>
    <t>4o</t>
  </si>
  <si>
    <t>4p</t>
  </si>
  <si>
    <t>4r</t>
  </si>
  <si>
    <t>WHO-World Health Organisation- LF Ing.Frištiková</t>
  </si>
  <si>
    <t>Ústav verejného zdravotníctva -Chronic Diseases -Mgr.Rajničová</t>
  </si>
  <si>
    <t>INEQ-Cities Barcelona, Mgr.Rajničová</t>
  </si>
  <si>
    <t>Výskum.projekt Youth and Health - Mgr.Madarasová-Gecková</t>
  </si>
  <si>
    <t>Rajničová projekt PHIRE</t>
  </si>
  <si>
    <t>Shafout RHM study</t>
  </si>
  <si>
    <t>HU-ERASMUS-ECDSP</t>
  </si>
  <si>
    <t>SOPHIE -Health</t>
  </si>
  <si>
    <t>Organisation Europeanne CERN, Švajčiarsko, Ing.Černák zahr. grant v rámci 7 RP</t>
  </si>
  <si>
    <t>Dcore Systems SA Switzeland</t>
  </si>
  <si>
    <t>Európa Regionalis Fejlesztési Alap - Maďarsko</t>
  </si>
  <si>
    <t>Pfizer Luxembourg SARL</t>
  </si>
  <si>
    <t>International Union of Pure and Applied Chemistry</t>
  </si>
  <si>
    <t>Universitaet Bremen, Snipe</t>
  </si>
  <si>
    <t>Staatsoberkasse Bayern Podewilsstr.</t>
  </si>
  <si>
    <t>Socrates</t>
  </si>
  <si>
    <t>SAAIC Leonardo</t>
  </si>
  <si>
    <t>Poznámka: SB_R14 predstavuje transféry iným organizáciam - spoluriešiteľom (SAV a Žilinskej univerzite).</t>
  </si>
  <si>
    <t>Ústav európskeho práva</t>
  </si>
  <si>
    <t>Botanická záhrada</t>
  </si>
  <si>
    <t>AIS2</t>
  </si>
  <si>
    <t>Systém EVO</t>
  </si>
  <si>
    <t>Poznámka: Základ pre prídel do štipendijného fondu R10_SB je vypočítaný vo výške 20% z príjmov za rok 2011.</t>
  </si>
  <si>
    <t>- domáce cestovné  (účet 512 001,512051)</t>
  </si>
  <si>
    <t>- zahraničné cestovné  (účet 512 002,512003,512052)</t>
  </si>
  <si>
    <t>- elektrická energia (účet 502 001,502051)</t>
  </si>
  <si>
    <t>- tepelná energia  (účet 502 002,502052)</t>
  </si>
  <si>
    <t>- vodné a stočné  (účet 502 003,502053)</t>
  </si>
  <si>
    <t>Zmena stavu zásob ned. výroby</t>
  </si>
  <si>
    <t>Iné ostatné výnosy+670</t>
  </si>
  <si>
    <t>pozn.1): rozdiel medzi údajom vykazovaným v  T6_R18_SH a údajom v T5_R56_(SC+SD) v čiastke 3 116,71 €  tvorí výšku nákladov na nevyčerpanú dovolenku za rok 2010 v  celkovej čiastke  170 280,87 € a nevyčerpanú dovolenku za rok 2011 v čiastke 167 165,09 €</t>
  </si>
  <si>
    <t>SG_R1 je zohľadnená vratka KD v sume 1 815,14 €</t>
  </si>
  <si>
    <t xml:space="preserve">SG_R1 je zohľadnené vyradenie majetku z účtov HK 552 v sume 110 203,50 € z minulých rokov, ktoré boli zahrnuté do ostatných výnosov BO </t>
  </si>
  <si>
    <t>SG_R1 je zohľadnený odpis majetku z účtu HK 552100 v sume 282,15 €</t>
  </si>
  <si>
    <t>Iné ostatné náklady+570</t>
  </si>
  <si>
    <t xml:space="preserve">Názov verejnej vysokej školy: UPJŠ v Košiciach, Šrobárova 2
Názov fakulty:  </t>
  </si>
  <si>
    <t>Názov verejnej vysokej školy: UPJŠ v Košiciach, Šrobárova 2</t>
  </si>
  <si>
    <t>Názov verejnej vysokej školy:  UPJŠ v Košiciach, Šrobárova 2</t>
  </si>
  <si>
    <t xml:space="preserve">Názov verejnej vysokej školy:   UPJŠ v Košiciach, Šrobárova 2
Názov fakulty:  </t>
  </si>
  <si>
    <t xml:space="preserve">      a nevyčerpanú dovolenku za rok 2011 v čiastke 167 164,16 €</t>
  </si>
  <si>
    <t>OK Gon</t>
  </si>
  <si>
    <t>OK</t>
  </si>
  <si>
    <t>Poznámka: zmenili sme vzorec v riadku 94</t>
  </si>
  <si>
    <t>Údaj v T13_R11_SF je vyšší oproti T8_R_SC+T19_R1_SC+T20_R3_SB o úhradu  štipendií doktorandov zo zákonnej tvorby štipendijného fondu z príjmov za prekročenie štandardnej dĺžky štúdia.</t>
  </si>
  <si>
    <t>CRŠ</t>
  </si>
  <si>
    <t>rozdiel, Gon</t>
  </si>
  <si>
    <t>Údaj v T13_R4+R5_SD = T5_R86+R87_SC+SD =vrátane odpisu z vyradeného majetku v sume 14242,58 €, pričom  z riadku 87 ide o sumu 35802,96 €</t>
  </si>
  <si>
    <t>SH_R1 je zohľadnený prevod KD na SAV a iné VVŠ v objeme 1 018 888,65 €</t>
  </si>
  <si>
    <t>R11_SD je nesprávne ponížený o sumu 17 109 193,17 € z dôvodu softvérovej chyby, ktorá bude opravená v roku 2012.</t>
  </si>
  <si>
    <r>
      <t>Dotácie z kapitol štátneho rozpočtu okrem kapitoly MŠ SR</t>
    </r>
    <r>
      <rPr>
        <sz val="12"/>
        <rFont val="Times New Roman"/>
        <family val="1"/>
      </rPr>
      <t xml:space="preserve"> (na zdroji 111) [SUM(R1a:R1...)]</t>
    </r>
  </si>
  <si>
    <r>
      <t>Dotácie z rozpočtov obcí a z rozpočtov vyšších územných celkov</t>
    </r>
    <r>
      <rPr>
        <sz val="12"/>
        <rFont val="Times New Roman"/>
        <family val="1"/>
      </rPr>
      <t xml:space="preserve"> [SUM(R2a:R2...)]</t>
    </r>
  </si>
  <si>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</si>
  <si>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</si>
  <si>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r>
      <t>Spolu</t>
    </r>
    <r>
      <rPr>
        <sz val="12"/>
        <rFont val="Times New Roman"/>
        <family val="1"/>
      </rPr>
      <t xml:space="preserve"> [R1+R2+R3+R4]</t>
    </r>
  </si>
  <si>
    <t>Nórsky a finančný mechanizmus patrí do R3 (ide o prostriedky poskytnuté Úradom vlády SR, na inom zdroji ako 111)</t>
  </si>
  <si>
    <r>
      <t xml:space="preserve">Tržby za vlastné výrobky (účet 601) </t>
    </r>
    <r>
      <rPr>
        <sz val="12"/>
        <rFont val="Times New Roman"/>
        <family val="1"/>
      </rPr>
      <t>[SUM(R2:R5)]</t>
    </r>
  </si>
  <si>
    <r>
      <t>Tržby z predaja služieb (účet 602)</t>
    </r>
    <r>
      <rPr>
        <sz val="12"/>
        <rFont val="Times New Roman"/>
        <family val="1"/>
      </rPr>
      <t xml:space="preserve"> [SUM(R7:R10)]</t>
    </r>
  </si>
  <si>
    <r>
      <t>Úroky (účet 644)</t>
    </r>
    <r>
      <rPr>
        <sz val="12"/>
        <rFont val="Times New Roman"/>
        <family val="1"/>
      </rPr>
      <t xml:space="preserve"> [R17+R18]</t>
    </r>
  </si>
  <si>
    <r>
      <t>Iné ostatné výnosy (účet 649)</t>
    </r>
    <r>
      <rPr>
        <sz val="12"/>
        <rFont val="Times New Roman"/>
        <family val="1"/>
      </rPr>
      <t xml:space="preserve"> [SUM(R21:R33)]</t>
    </r>
  </si>
  <si>
    <t xml:space="preserve">- školné  (účet 649 001, 649 002 a 649 020)                                                     </t>
  </si>
  <si>
    <t xml:space="preserve">príspevok na úhradu výdavkov zahraničných študentov/lektorov  </t>
  </si>
  <si>
    <r>
      <t xml:space="preserve">Spolu </t>
    </r>
    <r>
      <rPr>
        <sz val="12"/>
        <rFont val="Times New Roman"/>
        <family val="1"/>
      </rPr>
      <t>[R1+R6+SUM(R11:R16)+R19+R20+SUM(R34:R39)+SUM(R44:49)]</t>
    </r>
  </si>
  <si>
    <r>
      <t>Výnosy zo školného</t>
    </r>
    <r>
      <rPr>
        <sz val="12"/>
        <rFont val="Times New Roman"/>
        <family val="1"/>
      </rPr>
      <t xml:space="preserve">  [R2+R3 +R4]</t>
    </r>
  </si>
  <si>
    <t xml:space="preserve">- výnosy zo školného za  štúdium v externej forme štúdia (§92 ods. 4) zákona (účet  649020) </t>
  </si>
  <si>
    <r>
      <t>Výnosy z poplatkov spojených so štúdiom</t>
    </r>
    <r>
      <rPr>
        <sz val="12"/>
        <rFont val="Times New Roman"/>
        <family val="1"/>
      </rPr>
      <t xml:space="preserve"> [SUM(R5:R8)]</t>
    </r>
  </si>
  <si>
    <r>
      <t>Spotreba materiálu (účet 501)</t>
    </r>
    <r>
      <rPr>
        <sz val="12"/>
        <rFont val="Times New Roman"/>
        <family val="1"/>
      </rPr>
      <t xml:space="preserve"> [SUM(R2:R13)]</t>
    </r>
  </si>
  <si>
    <r>
      <t>Spotreba energie (účet 502)</t>
    </r>
    <r>
      <rPr>
        <sz val="12"/>
        <rFont val="Times New Roman"/>
        <family val="1"/>
      </rPr>
      <t xml:space="preserve"> [SUM(R15:R20)]</t>
    </r>
  </si>
  <si>
    <r>
      <t>Predaný tovar (účet 504)</t>
    </r>
    <r>
      <rPr>
        <sz val="12"/>
        <rFont val="Times New Roman"/>
        <family val="1"/>
      </rPr>
      <t xml:space="preserve"> [SUM(R23:R26)]</t>
    </r>
  </si>
  <si>
    <r>
      <t>Opravy a udržiavanie (účet 511)</t>
    </r>
    <r>
      <rPr>
        <sz val="12"/>
        <rFont val="Times New Roman"/>
        <family val="1"/>
      </rPr>
      <t xml:space="preserve"> [SUM(R28:R34)]</t>
    </r>
  </si>
  <si>
    <r>
      <t>Cestovné (účet 512)</t>
    </r>
    <r>
      <rPr>
        <sz val="12"/>
        <rFont val="Times New Roman"/>
        <family val="1"/>
      </rPr>
      <t xml:space="preserve"> [SUM(R36:R37)]</t>
    </r>
  </si>
  <si>
    <r>
      <t>Ostatné služby (účet 518)</t>
    </r>
    <r>
      <rPr>
        <sz val="12"/>
        <rFont val="Times New Roman"/>
        <family val="1"/>
      </rPr>
      <t xml:space="preserve"> [SUM(R40:R54)]</t>
    </r>
  </si>
  <si>
    <r>
      <t>Mzdové náklady (účet 521)</t>
    </r>
    <r>
      <rPr>
        <sz val="12"/>
        <rFont val="Times New Roman"/>
        <family val="1"/>
      </rPr>
      <t xml:space="preserve">  [SUM(R56:R57)]</t>
    </r>
  </si>
  <si>
    <t xml:space="preserve"> - štipendiá doktorandov  (účet 549 001+549016+549017)</t>
  </si>
  <si>
    <t xml:space="preserve"> - odpisy DN a HM nadobudnutého z kapitálových dotácií zo ŠR 
(účet 551 001,551100,551121,551123)</t>
  </si>
  <si>
    <t xml:space="preserve"> - odpisy ostatného DN a HM (účet 551 002,
551200,551221,551223,551900)</t>
  </si>
  <si>
    <t xml:space="preserve"> - odpisy DN a HM nadobudnutého z kapitálových dotácií z EÚ (zo štrukturálnych fondov) (účet 551 004,551300,551321)</t>
  </si>
  <si>
    <r>
      <t>Poskytnuté príspevky</t>
    </r>
    <r>
      <rPr>
        <sz val="12"/>
        <rFont val="Times New Roman"/>
        <family val="1"/>
      </rPr>
      <t xml:space="preserve"> </t>
    </r>
    <r>
      <rPr>
        <b/>
        <sz val="12"/>
        <rFont val="Times New Roman"/>
        <family val="1"/>
      </rPr>
      <t>(účtová skupina 56)</t>
    </r>
  </si>
  <si>
    <r>
      <t xml:space="preserve">Spolu </t>
    </r>
    <r>
      <rPr>
        <sz val="12"/>
        <rFont val="Times New Roman"/>
        <family val="1"/>
      </rPr>
      <t>[R1+R14+R21+R22+R27+R35+R38+R39+R55+SUM (R61:R63) +SUM (R70:R74)+R84+R92+R93]</t>
    </r>
  </si>
  <si>
    <r>
      <t xml:space="preserve">Pre účely výpočtu počtu zamestnancov bola použitá metóda </t>
    </r>
    <r>
      <rPr>
        <sz val="12"/>
        <rFont val="Tahoma"/>
        <family val="2"/>
      </rPr>
      <t xml:space="preserve">- </t>
    </r>
    <r>
      <rPr>
        <b/>
        <sz val="10"/>
        <rFont val="Tahoma"/>
        <family val="2"/>
      </rPr>
      <t>Priemerný evidenčný počet zamestnancov - prepočítaný počet</t>
    </r>
    <r>
      <rPr>
        <sz val="10"/>
        <rFont val="Tahoma"/>
        <family val="2"/>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</si>
  <si>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t>z neúčelovej dotácie MŠVVaŠ SR</t>
  </si>
  <si>
    <r>
      <t xml:space="preserve">Náklady na štipendiá interných doktorandov (R2+R5+R8) </t>
    </r>
    <r>
      <rPr>
        <b/>
        <vertAlign val="superscript"/>
        <sz val="12"/>
        <rFont val="Times New Roman"/>
        <family val="1"/>
      </rPr>
      <t>1)</t>
    </r>
  </si>
  <si>
    <t xml:space="preserve">  - náklady na štipendiá vo výške 9. platovej triedy a 1. platového stupňa  
(účet 549001)  ( v CRŠ kod 10 )</t>
  </si>
  <si>
    <t xml:space="preserve">  - náklady na časť štipendia prevyšujúce 9. platovú triedu a 1. platový stupeň 
(účet 549016)</t>
  </si>
  <si>
    <t xml:space="preserve">  - náklady na štipendiá vo výške 10. platovej triedy a 1. platového stupňa 
(účet 549001)   ( v CRŠ kod 11 )</t>
  </si>
  <si>
    <t xml:space="preserve">  - náklady na časť štipendia prevyšujúce 10. platovú triedu a 1. platový stupeň  
(účet 549017)</t>
  </si>
  <si>
    <r>
      <t>Príplatok za prácu v sťaženom a zdraviu škodlivom pracovnom prostredí - spolu 
(v CRŠ kod 14) -</t>
    </r>
    <r>
      <rPr>
        <b/>
        <sz val="12"/>
        <rFont val="Times New Roman"/>
        <family val="1"/>
      </rPr>
      <t xml:space="preserve"> z účelovej dotácie (SB) </t>
    </r>
    <r>
      <rPr>
        <b/>
        <u val="single"/>
        <sz val="12"/>
        <rFont val="Times New Roman"/>
        <family val="1"/>
      </rPr>
      <t>len</t>
    </r>
    <r>
      <rPr>
        <b/>
        <sz val="12"/>
        <rFont val="Times New Roman"/>
        <family val="1"/>
      </rPr>
      <t xml:space="preserve"> za január a február 2011</t>
    </r>
  </si>
  <si>
    <r>
      <t xml:space="preserve">Priemerný  prepočítaný počet ubytovaných študentov </t>
    </r>
    <r>
      <rPr>
        <sz val="12"/>
        <rFont val="Times New Roman"/>
        <family val="1"/>
      </rPr>
      <t>[(R2/12]</t>
    </r>
  </si>
  <si>
    <r>
      <t>Výnosy</t>
    </r>
    <r>
      <rPr>
        <b/>
        <vertAlign val="superscript"/>
        <sz val="12"/>
        <rFont val="Times New Roman"/>
        <family val="1"/>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rPr>
      <t xml:space="preserve">[R2+R5]  </t>
    </r>
  </si>
  <si>
    <r>
      <t xml:space="preserve"> - náklady na jedlá študentov</t>
    </r>
    <r>
      <rPr>
        <vertAlign val="superscript"/>
        <sz val="12"/>
        <rFont val="Times New Roman"/>
        <family val="1"/>
      </rPr>
      <t>3)</t>
    </r>
  </si>
  <si>
    <r>
      <t xml:space="preserve">Rozdiel výnosov a nákladov štud. jedální súvisiacich so stravovaním študentov  </t>
    </r>
    <r>
      <rPr>
        <sz val="12"/>
        <rFont val="Times New Roman"/>
        <family val="1"/>
      </rPr>
      <t>[R1-R9]</t>
    </r>
  </si>
  <si>
    <r>
      <t xml:space="preserve">Počet vydaných jedál študentom </t>
    </r>
    <r>
      <rPr>
        <vertAlign val="superscript"/>
        <sz val="12"/>
        <rFont val="Times New Roman"/>
        <family val="1"/>
      </rPr>
      <t xml:space="preserve"> </t>
    </r>
    <r>
      <rPr>
        <sz val="12"/>
        <rFont val="Times New Roman"/>
        <family val="1"/>
      </rPr>
      <t xml:space="preserve">v kalendárnom roku [R13+R14-R15+R16] </t>
    </r>
  </si>
  <si>
    <r>
      <t xml:space="preserve">  - počet vydaných jedál od 1.1.2011 do 31.8.2011   (príspevok 1 €) študentom vo vlastnývh stravovacích zariadeniach  </t>
    </r>
    <r>
      <rPr>
        <vertAlign val="superscript"/>
        <sz val="12"/>
        <rFont val="Times New Roman"/>
        <family val="1"/>
      </rPr>
      <t xml:space="preserve">3)   </t>
    </r>
  </si>
  <si>
    <r>
      <t xml:space="preserve">  - počet vydaných jedál od 1.1.2011 do 31.8.2011   (príspevok 1 €) študentom v zmluvných  zariadeniach  </t>
    </r>
    <r>
      <rPr>
        <vertAlign val="superscript"/>
        <sz val="12"/>
        <rFont val="Times New Roman"/>
        <family val="1"/>
      </rPr>
      <t xml:space="preserve">4)   </t>
    </r>
  </si>
  <si>
    <r>
      <t xml:space="preserve">  - počet vydaných jedál od 1.9.2011 do 31.12.2011   (príspevok 0,8 €) študentom vo vlastnývh stravovacích zariadeniach  </t>
    </r>
    <r>
      <rPr>
        <vertAlign val="superscript"/>
        <sz val="12"/>
        <rFont val="Times New Roman"/>
        <family val="1"/>
      </rPr>
      <t xml:space="preserve">3)   </t>
    </r>
  </si>
  <si>
    <r>
      <t xml:space="preserve">  - počet vydaných jedál od 1.9.2011 do 31.12.2011   (príspevok 0,8 €) študentom v zmluvných zariadeniach  </t>
    </r>
    <r>
      <rPr>
        <vertAlign val="superscript"/>
        <sz val="12"/>
        <rFont val="Times New Roman"/>
        <family val="1"/>
      </rPr>
      <t xml:space="preserve">4)   </t>
    </r>
  </si>
  <si>
    <r>
      <t xml:space="preserve">Nárok na príspevok zo štátneho rozpočtu na jedlá podľa metodiky </t>
    </r>
    <r>
      <rPr>
        <sz val="12"/>
        <rFont val="Times New Roman"/>
        <family val="1"/>
      </rPr>
      <t xml:space="preserve"> [R13+ R14+R15+R16]                                       </t>
    </r>
  </si>
  <si>
    <r>
      <t>Priemerné náklady  na jedlo študenta v Eur [</t>
    </r>
    <r>
      <rPr>
        <sz val="12"/>
        <rFont val="Times New Roman"/>
        <family val="1"/>
      </rPr>
      <t>R10/(R13+R15)]</t>
    </r>
  </si>
  <si>
    <t>2) všetky údaje o výnosoch a nákladoch  sa uvádzajú v Eur</t>
  </si>
  <si>
    <r>
      <t xml:space="preserve">3) uvádzajú sa </t>
    </r>
    <r>
      <rPr>
        <b/>
        <sz val="11"/>
        <rFont val="Times New Roman"/>
        <family val="1"/>
      </rPr>
      <t>jedlá vydané študentom len vo vlastnej jedálni</t>
    </r>
    <r>
      <rPr>
        <sz val="11"/>
        <rFont val="Times New Roman"/>
        <family val="1"/>
      </rPr>
      <t xml:space="preserve"> , na ktoré sa poskytuje dotácia</t>
    </r>
  </si>
  <si>
    <r>
      <t xml:space="preserve">4) uvádzajú sa </t>
    </r>
    <r>
      <rPr>
        <b/>
        <sz val="11"/>
        <rFont val="Times New Roman"/>
        <family val="1"/>
      </rPr>
      <t>všetky jedlá vydané študentom v zmluvných zariadeniach</t>
    </r>
    <r>
      <rPr>
        <sz val="11"/>
        <rFont val="Times New Roman"/>
        <family val="1"/>
      </rPr>
      <t>, na ktoré sa poskytuje dotácia</t>
    </r>
  </si>
  <si>
    <r>
      <t xml:space="preserve">- tvorba fondu z hospodárskeho výsledku (účet 413  111)  </t>
    </r>
    <r>
      <rPr>
        <vertAlign val="superscript"/>
        <sz val="12"/>
        <rFont val="Times New Roman"/>
        <family val="1"/>
      </rPr>
      <t xml:space="preserve">1) </t>
    </r>
  </si>
  <si>
    <r>
      <t xml:space="preserve">- ostatná tvorba (účet 413 113) </t>
    </r>
    <r>
      <rPr>
        <vertAlign val="superscript"/>
        <sz val="12"/>
        <rFont val="Times New Roman"/>
        <family val="1"/>
      </rPr>
      <t xml:space="preserve">2) </t>
    </r>
  </si>
  <si>
    <t>Dotácia na kapitálové výdavky z prostriedkov EÚ (štrukturálnych fondov vrátane spolufinancovania)</t>
  </si>
  <si>
    <r>
      <t>Zostatok kapitálovej dotácie z predchádzajúceho roku</t>
    </r>
    <r>
      <rPr>
        <b/>
        <sz val="10"/>
        <rFont val="Times New Roman"/>
        <family val="1"/>
      </rPr>
      <t xml:space="preserve"> </t>
    </r>
    <r>
      <rPr>
        <b/>
        <sz val="12"/>
        <rFont val="Times New Roman"/>
        <family val="1"/>
      </rPr>
      <t>(z dotácií na R10 a R10a)</t>
    </r>
  </si>
  <si>
    <t>Iné zdroje na obstaranie a technické zhodnotenie dlhodobého majetku (v danom roku vrátane zostatkov na týchto zdrojoch)</t>
  </si>
  <si>
    <t>Čerpanie kapitálovej dotácie v roku 2011
zo štátneho rozpočtu</t>
  </si>
  <si>
    <r>
      <t xml:space="preserve">Čerpanie kapitálovej dotácie v roku 2011
</t>
    </r>
    <r>
      <rPr>
        <b/>
        <sz val="11"/>
        <rFont val="Times New Roman"/>
        <family val="1"/>
      </rPr>
      <t>z prostriedkov EÚ (štrukturálnych fondov)</t>
    </r>
  </si>
  <si>
    <r>
      <t xml:space="preserve">Stav fondu k 1.1. kalendárneho roku </t>
    </r>
    <r>
      <rPr>
        <sz val="12"/>
        <rFont val="Times New Roman"/>
        <family val="1"/>
      </rPr>
      <t>[R1_SB = R12_SA ...]</t>
    </r>
  </si>
  <si>
    <r>
      <t xml:space="preserve">- tvorba fondu z výsledku hospodárenia </t>
    </r>
    <r>
      <rPr>
        <vertAlign val="superscript"/>
        <sz val="12"/>
        <rFont val="Times New Roman"/>
        <family val="1"/>
      </rPr>
      <t>1)</t>
    </r>
  </si>
  <si>
    <r>
      <t xml:space="preserve">- tvorba fondu z dotácie </t>
    </r>
    <r>
      <rPr>
        <vertAlign val="superscript"/>
        <sz val="12"/>
        <rFont val="Times New Roman"/>
        <family val="1"/>
      </rPr>
      <t>2)</t>
    </r>
  </si>
  <si>
    <r>
      <t xml:space="preserve">- ostatná tvorba </t>
    </r>
    <r>
      <rPr>
        <vertAlign val="superscript"/>
        <sz val="12"/>
        <rFont val="Times New Roman"/>
        <family val="1"/>
      </rPr>
      <t>2)</t>
    </r>
  </si>
  <si>
    <r>
      <t xml:space="preserve">Krytie fondu finančnými prostriedkami na osobitnom bankovom účte </t>
    </r>
    <r>
      <rPr>
        <b/>
        <vertAlign val="superscript"/>
        <sz val="12"/>
        <rFont val="Times New Roman"/>
        <family val="1"/>
      </rPr>
      <t xml:space="preserve">3) </t>
    </r>
    <r>
      <rPr>
        <b/>
        <sz val="12"/>
        <rFont val="Times New Roman"/>
        <family val="1"/>
      </rPr>
      <t>k 31.12.</t>
    </r>
  </si>
  <si>
    <r>
      <t xml:space="preserve">Podprogram 06G 05 </t>
    </r>
    <r>
      <rPr>
        <sz val="12"/>
        <rFont val="Times New Roman"/>
        <family val="1"/>
      </rPr>
      <t>[SUM(R2:R5)]</t>
    </r>
  </si>
  <si>
    <t xml:space="preserve">  - Prvok 06G 05 03  v r. 2011 k 25.10. nie je</t>
  </si>
  <si>
    <r>
      <t xml:space="preserve">Podprogram 06G 06 </t>
    </r>
    <r>
      <rPr>
        <sz val="12"/>
        <rFont val="Times New Roman"/>
        <family val="1"/>
      </rPr>
      <t>[R7+R8]</t>
    </r>
  </si>
  <si>
    <t xml:space="preserve">  - Prvok 06G 06 04   v r. 2011 k 25.10. nie je</t>
  </si>
  <si>
    <r>
      <t xml:space="preserve">Podprogram 0AE 01 </t>
    </r>
    <r>
      <rPr>
        <sz val="12"/>
        <rFont val="Times New Roman"/>
        <family val="1"/>
      </rPr>
      <t>[=R10]</t>
    </r>
  </si>
  <si>
    <r>
      <t xml:space="preserve">Podprogram 0AE 02 </t>
    </r>
    <r>
      <rPr>
        <sz val="12"/>
        <rFont val="Times New Roman"/>
        <family val="1"/>
      </rPr>
      <t>[R12:R15]</t>
    </r>
  </si>
  <si>
    <r>
      <t xml:space="preserve">Podprogram 0AE 03 </t>
    </r>
    <r>
      <rPr>
        <sz val="12"/>
        <rFont val="Times New Roman"/>
        <family val="1"/>
      </rPr>
      <t>[=R17]</t>
    </r>
  </si>
  <si>
    <r>
      <t xml:space="preserve">Podprogram 0AA 01  </t>
    </r>
    <r>
      <rPr>
        <sz val="12"/>
        <rFont val="Times New Roman"/>
        <family val="1"/>
      </rPr>
      <t>[=R19]</t>
    </r>
  </si>
  <si>
    <r>
      <t xml:space="preserve">Dotácie z kapitoly MŠVVaŠ SR spolu </t>
    </r>
    <r>
      <rPr>
        <sz val="12"/>
        <rFont val="Times New Roman"/>
        <family val="1"/>
      </rPr>
      <t>[R1+R6+R9+R12+R14]</t>
    </r>
  </si>
  <si>
    <r>
      <t xml:space="preserve">Dotácie z iných kapitol spolu </t>
    </r>
    <r>
      <rPr>
        <sz val="12"/>
        <rFont val="Times New Roman"/>
        <family val="1"/>
      </rPr>
      <t>[SUM(R17a:R17...)]</t>
    </r>
  </si>
  <si>
    <r>
      <t>Dotácie z prostriedkov EÚ spolu</t>
    </r>
    <r>
      <rPr>
        <sz val="12"/>
        <rFont val="Times New Roman"/>
        <family val="1"/>
      </rPr>
      <t xml:space="preserve"> [R16+R17]</t>
    </r>
  </si>
  <si>
    <r>
      <t xml:space="preserve">Program 06K </t>
    </r>
    <r>
      <rPr>
        <sz val="12"/>
        <rFont val="Times New Roman"/>
        <family val="1"/>
      </rPr>
      <t>[SUM(R2+R3+R4+R5)]</t>
    </r>
  </si>
  <si>
    <r>
      <t xml:space="preserve">Štipendiá z vlastných zdrojov vysokej školy (§ 97 zákona) spolu </t>
    </r>
    <r>
      <rPr>
        <sz val="12"/>
        <rFont val="Times New Roman"/>
        <family val="1"/>
      </rPr>
      <t xml:space="preserve">[R2+R5+R8+R11] </t>
    </r>
  </si>
  <si>
    <r>
      <t xml:space="preserve">- prospechové </t>
    </r>
    <r>
      <rPr>
        <sz val="12"/>
        <rFont val="Times New Roman"/>
        <family val="1"/>
      </rPr>
      <t xml:space="preserve">[R3+R4] </t>
    </r>
  </si>
  <si>
    <r>
      <t xml:space="preserve">  - poskytované mesačne </t>
    </r>
    <r>
      <rPr>
        <vertAlign val="superscript"/>
        <sz val="12"/>
        <rFont val="Times New Roman"/>
        <family val="1"/>
      </rPr>
      <t>1)</t>
    </r>
  </si>
  <si>
    <r>
      <t xml:space="preserve">-  za dosiahnutie vynikajúceho výsledku v oblasti štúdia </t>
    </r>
    <r>
      <rPr>
        <sz val="12"/>
        <rFont val="Times New Roman"/>
        <family val="1"/>
      </rPr>
      <t xml:space="preserve">[R6+R7] </t>
    </r>
  </si>
  <si>
    <r>
      <t xml:space="preserve">- za umeleckú alebo športovú činnosť </t>
    </r>
    <r>
      <rPr>
        <sz val="12"/>
        <rFont val="Times New Roman"/>
        <family val="1"/>
      </rPr>
      <t xml:space="preserve">[R9+R10]  </t>
    </r>
    <r>
      <rPr>
        <b/>
        <sz val="12"/>
        <rFont val="Times New Roman"/>
        <family val="1"/>
      </rPr>
      <t xml:space="preserve">                                                     </t>
    </r>
  </si>
  <si>
    <r>
      <t xml:space="preserve">- na sociálnu podporu </t>
    </r>
    <r>
      <rPr>
        <sz val="12"/>
        <rFont val="Times New Roman"/>
        <family val="1"/>
      </rPr>
      <t>[R12+R13]</t>
    </r>
  </si>
  <si>
    <r>
      <t xml:space="preserve">Počet študentov poberajúcich  štipendiá z vlastných zdrojov </t>
    </r>
    <r>
      <rPr>
        <b/>
        <vertAlign val="superscript"/>
        <sz val="12"/>
        <rFont val="Times New Roman"/>
        <family val="1"/>
      </rPr>
      <t>2</t>
    </r>
    <r>
      <rPr>
        <b/>
        <sz val="12"/>
        <rFont val="Times New Roman"/>
        <family val="1"/>
      </rPr>
      <t xml:space="preserve">) k 31.12. </t>
    </r>
  </si>
  <si>
    <t>Zvyšok prijatej kapitálovej dotácie zo štátneho rozpočtu používanej na kompenzáciu odpisov majetku z nej obstaraného</t>
  </si>
  <si>
    <r>
      <t xml:space="preserve">Zvyšok prijatej kapitálovej dotácie </t>
    </r>
    <r>
      <rPr>
        <b/>
        <sz val="10"/>
        <rFont val="Times New Roman"/>
        <family val="1"/>
      </rPr>
      <t>z prostriedkov EÚ (štrukturálnych fondov)</t>
    </r>
    <r>
      <rPr>
        <b/>
        <sz val="12"/>
        <rFont val="Times New Roman"/>
        <family val="1"/>
      </rPr>
      <t xml:space="preserve"> používanej na kompenzáciu odpisov majetku z nej obstaraného</t>
    </r>
  </si>
  <si>
    <r>
      <t xml:space="preserve">Výnosy
v hlavnej činnosti
2010 </t>
    </r>
    <r>
      <rPr>
        <sz val="10"/>
        <rFont val="Times New Roman"/>
        <family val="1"/>
      </rPr>
      <t>(v Eur)</t>
    </r>
  </si>
  <si>
    <r>
      <t>Výnosy
hlavnej činnosti
2011</t>
    </r>
    <r>
      <rPr>
        <sz val="12"/>
        <rFont val="Times New Roman"/>
        <family val="1"/>
      </rPr>
      <t xml:space="preserve"> </t>
    </r>
    <r>
      <rPr>
        <sz val="10"/>
        <rFont val="Times New Roman"/>
        <family val="1"/>
      </rPr>
      <t>(v Eur)</t>
    </r>
  </si>
  <si>
    <r>
      <t>Rozdiel 2011-2010</t>
    </r>
    <r>
      <rPr>
        <sz val="12"/>
        <rFont val="Times New Roman"/>
        <family val="1"/>
      </rPr>
      <t xml:space="preserve"> </t>
    </r>
    <r>
      <rPr>
        <sz val="10"/>
        <rFont val="Times New Roman"/>
        <family val="1"/>
      </rPr>
      <t>(v Eur)</t>
    </r>
  </si>
  <si>
    <r>
      <t xml:space="preserve">Náklady
hlavnej činnosti
2010 </t>
    </r>
    <r>
      <rPr>
        <sz val="10"/>
        <rFont val="Times New Roman"/>
        <family val="1"/>
      </rPr>
      <t>(v Eur)</t>
    </r>
  </si>
  <si>
    <r>
      <t xml:space="preserve">Náklady
hlavnej činnosti
2011 </t>
    </r>
    <r>
      <rPr>
        <sz val="10"/>
        <rFont val="Times New Roman"/>
        <family val="1"/>
      </rPr>
      <t>(v Eur)</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</si>
</sst>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_ ;[Red]\-#,##0\ "/>
    <numFmt numFmtId="173" formatCode="#,##0.0"/>
    <numFmt numFmtId="174" formatCode="#,##0.000"/>
    <numFmt numFmtId="175" formatCode="0.0"/>
    <numFmt numFmtId="176" formatCode="0.000"/>
    <numFmt numFmtId="177" formatCode="0.0000"/>
    <numFmt numFmtId="178" formatCode="0.00000"/>
    <numFmt numFmtId="179" formatCode="#,##0.0000"/>
    <numFmt numFmtId="180" formatCode="#,##0.00000"/>
    <numFmt numFmtId="181" formatCode="#,##0.000_ ;[Red]\-#,##0.000\ "/>
    <numFmt numFmtId="182" formatCode="#,##0.0000_ ;[Red]\-#,##0.0000\ "/>
    <numFmt numFmtId="183" formatCode="0.0000000"/>
    <numFmt numFmtId="184" formatCode="0.000000"/>
    <numFmt numFmtId="185" formatCode="&quot;Áno&quot;;&quot;Áno&quot;;&quot;Nie&quot;"/>
    <numFmt numFmtId="186" formatCode="&quot;Pravda&quot;;&quot;Pravda&quot;;&quot;Nepravda&quot;"/>
    <numFmt numFmtId="187" formatCode="&quot;Zapnuté&quot;;&quot;Zapnuté&quot;;&quot;Vypnuté&quot;"/>
    <numFmt numFmtId="188" formatCode="#,##0.00\ &quot;SKK&quot;"/>
    <numFmt numFmtId="189" formatCode="#,##0.00_ ;[Red]\-#,##0.00\ "/>
    <numFmt numFmtId="190" formatCode="0.0%"/>
    <numFmt numFmtId="191" formatCode="#,##0.000000"/>
    <numFmt numFmtId="192" formatCode="_-* #,##0.000\ _S_k_-;\-* #,##0.000\ _S_k_-;_-* &quot;-&quot;??\ _S_k_-;_-@_-"/>
    <numFmt numFmtId="193" formatCode="_-* #,##0.0000\ _S_k_-;\-* #,##0.0000\ _S_k_-;_-* &quot;-&quot;??\ _S_k_-;_-@_-"/>
    <numFmt numFmtId="194" formatCode="_-* #,##0.00000\ _S_k_-;\-* #,##0.00000\ _S_k_-;_-* &quot;-&quot;??\ _S_k_-;_-@_-"/>
    <numFmt numFmtId="195" formatCode="_-* #,##0.0\ _S_k_-;\-* #,##0.0\ _S_k_-;_-* &quot;-&quot;??\ _S_k_-;_-@_-"/>
    <numFmt numFmtId="196" formatCode="_-* #,##0\ _S_k_-;\-* #,##0\ _S_k_-;_-* &quot;-&quot;??\ _S_k_-;_-@_-"/>
    <numFmt numFmtId="197" formatCode="#,##0.0_ ;[Red]\-#,##0.0\ "/>
    <numFmt numFmtId="198" formatCode="[$-41B]d\.\ mmmm\ yyyy"/>
    <numFmt numFmtId="199" formatCode="#,##0_ ;\-#,##0\ "/>
    <numFmt numFmtId="200" formatCode="\P\r\a\vd\a;&quot;Pravda&quot;;&quot;Nepravda&quot;"/>
    <numFmt numFmtId="201" formatCode="[$€-2]\ #\ ##,000_);[Red]\([$¥€-2]\ #\ ##,000\)"/>
    <numFmt numFmtId="202" formatCode="_(&quot;$&quot;* #,##0_);_(&quot;$&quot;* \(#,##0\);_(&quot;$&quot;* &quot;-&quot;_);_(@_)"/>
    <numFmt numFmtId="203" formatCode="_(* #,##0_);_(* \(#,##0\);_(* &quot;-&quot;_);_(@_)"/>
    <numFmt numFmtId="204" formatCode="_(&quot;$&quot;* #,##0.00_);_(&quot;$&quot;* \(#,##0.00\);_(&quot;$&quot;* &quot;-&quot;??_);_(@_)"/>
    <numFmt numFmtId="205" formatCode="_(* #,##0.00_);_(* \(#,##0.00\);_(* &quot;-&quot;??_);_(@_)"/>
    <numFmt numFmtId="206" formatCode="#,##0.00\ ;&quot;- &quot;#,##0.00\ ;#,000\ "/>
  </numFmts>
  <fonts count="103">
    <font>
      <sz val="10"/>
      <name val="Arial"/>
      <family val="0"/>
    </font>
    <font>
      <b/>
      <sz val="12"/>
      <name val="Times New Roman"/>
      <family val="1"/>
    </font>
    <font>
      <sz val="12"/>
      <name val="Times New Roman"/>
      <family val="1"/>
    </font>
    <font>
      <b/>
      <sz val="14"/>
      <name val="Times New Roman"/>
      <family val="1"/>
    </font>
    <font>
      <u val="single"/>
      <sz val="10"/>
      <color indexed="12"/>
      <name val="Arial"/>
      <family val="2"/>
    </font>
    <font>
      <u val="single"/>
      <sz val="10"/>
      <color indexed="36"/>
      <name val="Arial"/>
      <family val="2"/>
    </font>
    <font>
      <sz val="8"/>
      <name val="Arial"/>
      <family val="2"/>
    </font>
    <font>
      <sz val="12"/>
      <color indexed="10"/>
      <name val="Times New Roman"/>
      <family val="1"/>
    </font>
    <font>
      <i/>
      <sz val="12"/>
      <name val="Times New Roman"/>
      <family val="1"/>
    </font>
    <font>
      <b/>
      <i/>
      <sz val="12"/>
      <name val="Times New Roman"/>
      <family val="1"/>
    </font>
    <font>
      <b/>
      <u val="single"/>
      <sz val="12"/>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0"/>
      <name val="Arial CE"/>
      <family val="0"/>
    </font>
    <font>
      <sz val="11"/>
      <name val="Times New Roman"/>
      <family val="1"/>
    </font>
    <font>
      <b/>
      <vertAlign val="superscript"/>
      <sz val="12"/>
      <name val="Times New Roman"/>
      <family val="1"/>
    </font>
    <font>
      <b/>
      <vertAlign val="superscript"/>
      <sz val="14"/>
      <name val="Times New Roman"/>
      <family val="1"/>
    </font>
    <font>
      <vertAlign val="superscript"/>
      <sz val="12"/>
      <name val="Times New Roman"/>
      <family val="1"/>
    </font>
    <font>
      <b/>
      <i/>
      <sz val="14"/>
      <name val="Times New Roman"/>
      <family val="1"/>
    </font>
    <font>
      <sz val="10"/>
      <name val="Times New Roman"/>
      <family val="1"/>
    </font>
    <font>
      <b/>
      <sz val="12"/>
      <color indexed="12"/>
      <name val="Times New Roman"/>
      <family val="1"/>
    </font>
    <font>
      <u val="single"/>
      <sz val="12"/>
      <name val="Times New Roman"/>
      <family val="1"/>
    </font>
    <font>
      <b/>
      <sz val="9"/>
      <name val="Times New Roman"/>
      <family val="1"/>
    </font>
    <font>
      <u val="single"/>
      <sz val="12"/>
      <color indexed="12"/>
      <name val="Times New Roman"/>
      <family val="1"/>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Times New Roman"/>
      <family val="1"/>
    </font>
    <font>
      <b/>
      <sz val="12"/>
      <color indexed="10"/>
      <name val="Times New Roman"/>
      <family val="1"/>
    </font>
    <font>
      <i/>
      <sz val="12"/>
      <color indexed="10"/>
      <name val="Times New Roman"/>
      <family val="1"/>
    </font>
    <font>
      <sz val="12"/>
      <color indexed="8"/>
      <name val="Times New Roman"/>
      <family val="1"/>
    </font>
    <font>
      <b/>
      <sz val="12"/>
      <color indexed="8"/>
      <name val="Times New Roman"/>
      <family val="1"/>
    </font>
    <font>
      <sz val="9"/>
      <name val="Arial"/>
      <family val="2"/>
    </font>
    <font>
      <sz val="9"/>
      <name val="Times New Roman"/>
      <family val="1"/>
    </font>
    <font>
      <b/>
      <sz val="10"/>
      <name val="Times New Roman"/>
      <family val="1"/>
    </font>
    <font>
      <b/>
      <u val="single"/>
      <sz val="13"/>
      <name val="Times New Roman"/>
      <family val="1"/>
    </font>
    <font>
      <b/>
      <u val="single"/>
      <sz val="12"/>
      <color indexed="10"/>
      <name val="Times New Roman"/>
      <family val="1"/>
    </font>
    <font>
      <vertAlign val="superscript"/>
      <sz val="12"/>
      <color indexed="8"/>
      <name val="Times New Roman"/>
      <family val="1"/>
    </font>
    <font>
      <sz val="12"/>
      <color indexed="30"/>
      <name val="Times New Roman"/>
      <family val="1"/>
    </font>
    <font>
      <strike/>
      <sz val="12"/>
      <name val="Times New Roman"/>
      <family val="1"/>
    </font>
    <font>
      <strike/>
      <sz val="12"/>
      <color indexed="10"/>
      <name val="Times New Roman"/>
      <family val="1"/>
    </font>
    <font>
      <b/>
      <u val="single"/>
      <strike/>
      <sz val="12"/>
      <name val="Times New Roman"/>
      <family val="1"/>
    </font>
    <font>
      <b/>
      <sz val="10"/>
      <name val="Arial"/>
      <family val="2"/>
    </font>
    <font>
      <sz val="14"/>
      <name val="Times New Roman"/>
      <family val="1"/>
    </font>
    <font>
      <b/>
      <sz val="8"/>
      <name val="Tahoma"/>
      <family val="2"/>
    </font>
    <font>
      <sz val="8"/>
      <name val="Tahoma"/>
      <family val="2"/>
    </font>
    <font>
      <b/>
      <sz val="9"/>
      <name val="Tahoma"/>
      <family val="2"/>
    </font>
    <font>
      <sz val="9"/>
      <name val="Tahoma"/>
      <family val="2"/>
    </font>
    <font>
      <sz val="11"/>
      <name val="Arial"/>
      <family val="2"/>
    </font>
    <font>
      <sz val="10"/>
      <name val="Tahoma"/>
      <family val="2"/>
    </font>
    <font>
      <sz val="12"/>
      <name val="Tahoma"/>
      <family val="2"/>
    </font>
    <font>
      <b/>
      <sz val="10"/>
      <name val="Tahoma"/>
      <family val="2"/>
    </font>
    <font>
      <sz val="12"/>
      <color indexed="9"/>
      <name val="Times New Roman"/>
      <family val="2"/>
    </font>
    <font>
      <sz val="12"/>
      <color indexed="17"/>
      <name val="Times New Roman"/>
      <family val="2"/>
    </font>
    <font>
      <b/>
      <sz val="12"/>
      <color indexed="9"/>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sz val="12"/>
      <color indexed="52"/>
      <name val="Times New Roman"/>
      <family val="2"/>
    </font>
    <font>
      <sz val="12"/>
      <color indexed="62"/>
      <name val="Times New Roman"/>
      <family val="2"/>
    </font>
    <font>
      <b/>
      <sz val="12"/>
      <color indexed="52"/>
      <name val="Times New Roman"/>
      <family val="2"/>
    </font>
    <font>
      <b/>
      <sz val="12"/>
      <color indexed="63"/>
      <name val="Times New Roman"/>
      <family val="2"/>
    </font>
    <font>
      <i/>
      <sz val="12"/>
      <color indexed="23"/>
      <name val="Times New Roman"/>
      <family val="2"/>
    </font>
    <font>
      <sz val="12"/>
      <color indexed="20"/>
      <name val="Times New Roman"/>
      <family val="2"/>
    </font>
    <font>
      <sz val="12"/>
      <color theme="1"/>
      <name val="Times New Roman"/>
      <family val="2"/>
    </font>
    <font>
      <sz val="12"/>
      <color theme="0"/>
      <name val="Times New Roman"/>
      <family val="2"/>
    </font>
    <font>
      <sz val="12"/>
      <color rgb="FF006100"/>
      <name val="Times New Roman"/>
      <family val="2"/>
    </font>
    <font>
      <b/>
      <sz val="12"/>
      <color theme="0"/>
      <name val="Times New Roman"/>
      <family val="2"/>
    </font>
    <font>
      <b/>
      <sz val="15"/>
      <color theme="3"/>
      <name val="Times New Roman"/>
      <family val="2"/>
    </font>
    <font>
      <b/>
      <sz val="13"/>
      <color theme="3"/>
      <name val="Times New Roman"/>
      <family val="2"/>
    </font>
    <font>
      <b/>
      <sz val="11"/>
      <color theme="3"/>
      <name val="Times New Roman"/>
      <family val="2"/>
    </font>
    <font>
      <sz val="12"/>
      <color rgb="FF9C6500"/>
      <name val="Times New Roman"/>
      <family val="2"/>
    </font>
    <font>
      <sz val="12"/>
      <color rgb="FFFA7D00"/>
      <name val="Times New Roman"/>
      <family val="2"/>
    </font>
    <font>
      <b/>
      <sz val="12"/>
      <color theme="1"/>
      <name val="Times New Roman"/>
      <family val="2"/>
    </font>
    <font>
      <sz val="12"/>
      <color rgb="FFFF0000"/>
      <name val="Times New Roman"/>
      <family val="2"/>
    </font>
    <font>
      <b/>
      <sz val="18"/>
      <color theme="3"/>
      <name val="Cambria"/>
      <family val="2"/>
    </font>
    <font>
      <sz val="12"/>
      <color rgb="FF3F3F76"/>
      <name val="Times New Roman"/>
      <family val="2"/>
    </font>
    <font>
      <b/>
      <sz val="12"/>
      <color rgb="FFFA7D00"/>
      <name val="Times New Roman"/>
      <family val="2"/>
    </font>
    <font>
      <b/>
      <sz val="12"/>
      <color rgb="FF3F3F3F"/>
      <name val="Times New Roman"/>
      <family val="2"/>
    </font>
    <font>
      <i/>
      <sz val="12"/>
      <color rgb="FF7F7F7F"/>
      <name val="Times New Roman"/>
      <family val="2"/>
    </font>
    <font>
      <sz val="12"/>
      <color rgb="FF9C0006"/>
      <name val="Times New Roman"/>
      <family val="2"/>
    </font>
    <font>
      <b/>
      <sz val="8"/>
      <name val="Arial"/>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0"/>
        <bgColor indexed="64"/>
      </patternFill>
    </fill>
    <fill>
      <patternFill patternType="solid">
        <fgColor indexed="15"/>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9"/>
        <bgColor indexed="64"/>
      </patternFill>
    </fill>
  </fills>
  <borders count="9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thin"/>
      <top style="thin"/>
      <bottom>
        <color indexed="63"/>
      </botto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color indexed="63"/>
      </top>
      <bottom style="thin"/>
    </border>
    <border>
      <left style="thin"/>
      <right style="medium"/>
      <top>
        <color indexed="63"/>
      </top>
      <bottom style="medium"/>
    </border>
    <border>
      <left style="thin"/>
      <right style="medium"/>
      <top style="thin"/>
      <bottom style="mediu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color indexed="63"/>
      </left>
      <right style="thin"/>
      <top style="medium"/>
      <bottom style="medium"/>
    </border>
    <border>
      <left style="thin"/>
      <right style="thin"/>
      <top style="thin"/>
      <bottom>
        <color indexed="63"/>
      </bottom>
    </border>
    <border>
      <left>
        <color indexed="63"/>
      </left>
      <right style="medium"/>
      <top style="thin"/>
      <bottom style="thin"/>
    </border>
    <border>
      <left style="thin">
        <color indexed="8"/>
      </left>
      <right>
        <color indexed="8"/>
      </right>
      <top style="thin">
        <color indexed="8"/>
      </top>
      <bottom>
        <color indexed="8"/>
      </bottom>
    </border>
    <border>
      <left style="medium"/>
      <right>
        <color indexed="63"/>
      </right>
      <top>
        <color indexed="63"/>
      </top>
      <bottom>
        <color indexed="63"/>
      </bottom>
    </border>
    <border>
      <left style="thin"/>
      <right>
        <color indexed="63"/>
      </right>
      <top style="thin"/>
      <bottom style="medium"/>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style="thin"/>
      <right>
        <color indexed="63"/>
      </right>
      <top style="medium"/>
      <bottom style="medium"/>
    </border>
    <border>
      <left style="thin"/>
      <right style="thin"/>
      <top style="medium"/>
      <bottom>
        <color indexed="63"/>
      </bottom>
    </border>
    <border>
      <left style="thin"/>
      <right style="medium"/>
      <top style="medium"/>
      <bottom>
        <color indexed="63"/>
      </bottom>
    </border>
    <border>
      <left style="thin"/>
      <right>
        <color indexed="63"/>
      </right>
      <top>
        <color indexed="63"/>
      </top>
      <bottom style="medium"/>
    </border>
    <border>
      <left style="medium"/>
      <right style="thin"/>
      <top>
        <color indexed="63"/>
      </top>
      <bottom>
        <color indexed="63"/>
      </bottom>
    </border>
    <border>
      <left>
        <color indexed="63"/>
      </left>
      <right style="thin"/>
      <top style="thin"/>
      <bottom style="medium"/>
    </border>
    <border>
      <left>
        <color indexed="63"/>
      </left>
      <right style="medium"/>
      <top style="thin"/>
      <bottom style="medium"/>
    </border>
    <border>
      <left>
        <color indexed="63"/>
      </left>
      <right style="thin"/>
      <top style="medium"/>
      <bottom style="thin"/>
    </border>
    <border>
      <left style="thin"/>
      <right>
        <color indexed="63"/>
      </right>
      <top style="medium"/>
      <bottom>
        <color indexed="63"/>
      </bottom>
    </border>
    <border>
      <left style="medium"/>
      <right>
        <color indexed="63"/>
      </right>
      <top style="thin"/>
      <bottom style="medium"/>
    </border>
    <border>
      <left style="thin"/>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style="medium"/>
      <bottom>
        <color indexed="63"/>
      </bottom>
    </border>
    <border>
      <left style="medium"/>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medium"/>
      <top>
        <color indexed="63"/>
      </top>
      <bottom>
        <color indexed="63"/>
      </bottom>
    </border>
  </borders>
  <cellStyleXfs count="1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11" borderId="0" applyNumberFormat="0" applyBorder="0" applyAlignment="0" applyProtection="0"/>
    <xf numFmtId="0" fontId="30" fillId="20" borderId="0" applyNumberFormat="0" applyBorder="0" applyAlignment="0" applyProtection="0"/>
    <xf numFmtId="0" fontId="30"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6" fillId="26" borderId="0" applyNumberFormat="0" applyBorder="0" applyAlignment="0" applyProtection="0"/>
    <xf numFmtId="0" fontId="86"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31" fillId="3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7" borderId="0" applyNumberFormat="0" applyBorder="0" applyAlignment="0" applyProtection="0"/>
    <xf numFmtId="0" fontId="32" fillId="9" borderId="0" applyNumberFormat="0" applyBorder="0" applyAlignment="0" applyProtection="0"/>
    <xf numFmtId="0" fontId="33" fillId="3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87" fillId="39" borderId="0" applyNumberFormat="0" applyBorder="0" applyAlignment="0" applyProtection="0"/>
    <xf numFmtId="0" fontId="34" fillId="0" borderId="0" applyNumberFormat="0" applyFill="0" applyBorder="0" applyAlignment="0" applyProtection="0"/>
    <xf numFmtId="0" fontId="35" fillId="10" borderId="0" applyNumberFormat="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40" borderId="5" applyNumberFormat="0" applyAlignment="0" applyProtection="0"/>
    <xf numFmtId="0" fontId="40" fillId="13" borderId="1" applyNumberFormat="0" applyAlignment="0" applyProtection="0"/>
    <xf numFmtId="0" fontId="88" fillId="41" borderId="6" applyNumberFormat="0" applyAlignment="0" applyProtection="0"/>
    <xf numFmtId="0" fontId="41"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0" borderId="8" applyNumberFormat="0" applyFill="0" applyAlignment="0" applyProtection="0"/>
    <xf numFmtId="0" fontId="90" fillId="0" borderId="9" applyNumberFormat="0" applyFill="0" applyAlignment="0" applyProtection="0"/>
    <xf numFmtId="0" fontId="91" fillId="0" borderId="10" applyNumberFormat="0" applyFill="0" applyAlignment="0" applyProtection="0"/>
    <xf numFmtId="0" fontId="91" fillId="0" borderId="0" applyNumberFormat="0" applyFill="0" applyBorder="0" applyAlignment="0" applyProtection="0"/>
    <xf numFmtId="0" fontId="42" fillId="42" borderId="0" applyNumberFormat="0" applyBorder="0" applyAlignment="0" applyProtection="0"/>
    <xf numFmtId="0" fontId="92" fillId="43" borderId="0" applyNumberFormat="0" applyBorder="0" applyAlignment="0" applyProtection="0"/>
    <xf numFmtId="0" fontId="85"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8" fillId="0" borderId="0">
      <alignment/>
      <protection/>
    </xf>
    <xf numFmtId="0" fontId="19" fillId="0" borderId="0">
      <alignment/>
      <protection/>
    </xf>
    <xf numFmtId="0" fontId="2" fillId="44" borderId="11" applyNumberFormat="0" applyFont="0" applyAlignment="0" applyProtection="0"/>
    <xf numFmtId="0" fontId="43" fillId="38" borderId="12"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45" borderId="13" applyNumberFormat="0" applyFont="0" applyAlignment="0" applyProtection="0"/>
    <xf numFmtId="0" fontId="93" fillId="0" borderId="14" applyNumberFormat="0" applyFill="0" applyAlignment="0" applyProtection="0"/>
    <xf numFmtId="4" fontId="11" fillId="42" borderId="15" applyNumberFormat="0" applyProtection="0">
      <alignment vertical="center"/>
    </xf>
    <xf numFmtId="4" fontId="12" fillId="42" borderId="15" applyNumberFormat="0" applyProtection="0">
      <alignment vertical="center"/>
    </xf>
    <xf numFmtId="4" fontId="11" fillId="42" borderId="15" applyNumberFormat="0" applyProtection="0">
      <alignment horizontal="left" vertical="center" indent="1"/>
    </xf>
    <xf numFmtId="0" fontId="11" fillId="42" borderId="15" applyNumberFormat="0" applyProtection="0">
      <alignment horizontal="left" vertical="top" indent="1"/>
    </xf>
    <xf numFmtId="4" fontId="13" fillId="9" borderId="15" applyNumberFormat="0" applyProtection="0">
      <alignment horizontal="right" vertical="center"/>
    </xf>
    <xf numFmtId="4" fontId="13" fillId="21" borderId="15" applyNumberFormat="0" applyProtection="0">
      <alignment horizontal="right" vertical="center"/>
    </xf>
    <xf numFmtId="4" fontId="13" fillId="35" borderId="15" applyNumberFormat="0" applyProtection="0">
      <alignment horizontal="right" vertical="center"/>
    </xf>
    <xf numFmtId="4" fontId="13" fillId="23" borderId="15" applyNumberFormat="0" applyProtection="0">
      <alignment horizontal="right" vertical="center"/>
    </xf>
    <xf numFmtId="4" fontId="13" fillId="33" borderId="15" applyNumberFormat="0" applyProtection="0">
      <alignment horizontal="right" vertical="center"/>
    </xf>
    <xf numFmtId="4" fontId="13" fillId="37" borderId="15" applyNumberFormat="0" applyProtection="0">
      <alignment horizontal="right" vertical="center"/>
    </xf>
    <xf numFmtId="4" fontId="13" fillId="36" borderId="15" applyNumberFormat="0" applyProtection="0">
      <alignment horizontal="right" vertical="center"/>
    </xf>
    <xf numFmtId="4" fontId="13" fillId="46" borderId="15" applyNumberFormat="0" applyProtection="0">
      <alignment horizontal="right" vertical="center"/>
    </xf>
    <xf numFmtId="4" fontId="13" fillId="22" borderId="15" applyNumberFormat="0" applyProtection="0">
      <alignment horizontal="right" vertical="center"/>
    </xf>
    <xf numFmtId="4" fontId="11" fillId="47" borderId="16" applyNumberFormat="0" applyProtection="0">
      <alignment horizontal="left" vertical="center" indent="1"/>
    </xf>
    <xf numFmtId="4" fontId="13" fillId="48" borderId="0" applyNumberFormat="0" applyProtection="0">
      <alignment horizontal="left" vertical="center" indent="1"/>
    </xf>
    <xf numFmtId="4" fontId="14" fillId="49" borderId="0" applyNumberFormat="0" applyProtection="0">
      <alignment horizontal="left" vertical="center" indent="1"/>
    </xf>
    <xf numFmtId="4" fontId="13" fillId="50" borderId="15" applyNumberFormat="0" applyProtection="0">
      <alignment horizontal="right" vertical="center"/>
    </xf>
    <xf numFmtId="4" fontId="13" fillId="48" borderId="0" applyNumberFormat="0" applyProtection="0">
      <alignment horizontal="left" vertical="center" indent="1"/>
    </xf>
    <xf numFmtId="4" fontId="13" fillId="50" borderId="0" applyNumberFormat="0" applyProtection="0">
      <alignment horizontal="left" vertical="center" indent="1"/>
    </xf>
    <xf numFmtId="0" fontId="0" fillId="49" borderId="15" applyNumberFormat="0" applyProtection="0">
      <alignment horizontal="left" vertical="center" indent="1"/>
    </xf>
    <xf numFmtId="0" fontId="0" fillId="49" borderId="15" applyNumberFormat="0" applyProtection="0">
      <alignment horizontal="left" vertical="top" indent="1"/>
    </xf>
    <xf numFmtId="0" fontId="0" fillId="50" borderId="15" applyNumberFormat="0" applyProtection="0">
      <alignment horizontal="left" vertical="center" indent="1"/>
    </xf>
    <xf numFmtId="0" fontId="0" fillId="50" borderId="15" applyNumberFormat="0" applyProtection="0">
      <alignment horizontal="left" vertical="top" indent="1"/>
    </xf>
    <xf numFmtId="0" fontId="0" fillId="20" borderId="15" applyNumberFormat="0" applyProtection="0">
      <alignment horizontal="left" vertical="center" indent="1"/>
    </xf>
    <xf numFmtId="0" fontId="0" fillId="20" borderId="15" applyNumberFormat="0" applyProtection="0">
      <alignment horizontal="left" vertical="top" indent="1"/>
    </xf>
    <xf numFmtId="0" fontId="0" fillId="48" borderId="15" applyNumberFormat="0" applyProtection="0">
      <alignment horizontal="left" vertical="center" indent="1"/>
    </xf>
    <xf numFmtId="0" fontId="0" fillId="48" borderId="15" applyNumberFormat="0" applyProtection="0">
      <alignment horizontal="left" vertical="top" indent="1"/>
    </xf>
    <xf numFmtId="4" fontId="11" fillId="50" borderId="0" applyNumberFormat="0" applyProtection="0">
      <alignment horizontal="left" vertical="center" indent="1"/>
    </xf>
    <xf numFmtId="4" fontId="13" fillId="44" borderId="15" applyNumberFormat="0" applyProtection="0">
      <alignment vertical="center"/>
    </xf>
    <xf numFmtId="4" fontId="15" fillId="44" borderId="15" applyNumberFormat="0" applyProtection="0">
      <alignment vertical="center"/>
    </xf>
    <xf numFmtId="4" fontId="13" fillId="44" borderId="15" applyNumberFormat="0" applyProtection="0">
      <alignment horizontal="left" vertical="center" indent="1"/>
    </xf>
    <xf numFmtId="0" fontId="13" fillId="44" borderId="15" applyNumberFormat="0" applyProtection="0">
      <alignment horizontal="left" vertical="top" indent="1"/>
    </xf>
    <xf numFmtId="4" fontId="13" fillId="48" borderId="15" applyNumberFormat="0" applyProtection="0">
      <alignment horizontal="right" vertical="center"/>
    </xf>
    <xf numFmtId="4" fontId="15" fillId="48" borderId="15" applyNumberFormat="0" applyProtection="0">
      <alignment horizontal="right" vertical="center"/>
    </xf>
    <xf numFmtId="4" fontId="13" fillId="50" borderId="15" applyNumberFormat="0" applyProtection="0">
      <alignment horizontal="left" vertical="center" indent="1"/>
    </xf>
    <xf numFmtId="0" fontId="13" fillId="50" borderId="15" applyNumberFormat="0" applyProtection="0">
      <alignment horizontal="left" vertical="top" indent="1"/>
    </xf>
    <xf numFmtId="4" fontId="16" fillId="51" borderId="0" applyNumberFormat="0" applyProtection="0">
      <alignment horizontal="left" vertical="center" indent="1"/>
    </xf>
    <xf numFmtId="4" fontId="17" fillId="48" borderId="15" applyNumberFormat="0" applyProtection="0">
      <alignment horizontal="right" vertical="center"/>
    </xf>
    <xf numFmtId="0" fontId="94" fillId="0" borderId="17" applyNumberFormat="0" applyFill="0" applyAlignment="0" applyProtection="0"/>
    <xf numFmtId="0" fontId="95" fillId="0" borderId="0" applyNumberFormat="0" applyFill="0" applyBorder="0" applyAlignment="0" applyProtection="0"/>
    <xf numFmtId="0" fontId="44" fillId="0" borderId="0" applyNumberFormat="0" applyFill="0" applyBorder="0" applyAlignment="0" applyProtection="0"/>
    <xf numFmtId="0" fontId="96" fillId="0" borderId="0" applyNumberFormat="0" applyFill="0" applyBorder="0" applyAlignment="0" applyProtection="0"/>
    <xf numFmtId="0" fontId="45" fillId="0" borderId="18" applyNumberFormat="0" applyFill="0" applyAlignment="0" applyProtection="0"/>
    <xf numFmtId="0" fontId="97" fillId="52" borderId="19" applyNumberFormat="0" applyAlignment="0" applyProtection="0"/>
    <xf numFmtId="0" fontId="98" fillId="53" borderId="19" applyNumberFormat="0" applyAlignment="0" applyProtection="0"/>
    <xf numFmtId="0" fontId="99" fillId="53" borderId="20" applyNumberFormat="0" applyAlignment="0" applyProtection="0"/>
    <xf numFmtId="0" fontId="100" fillId="0" borderId="0" applyNumberFormat="0" applyFill="0" applyBorder="0" applyAlignment="0" applyProtection="0"/>
    <xf numFmtId="0" fontId="46" fillId="0" borderId="0" applyNumberFormat="0" applyFill="0" applyBorder="0" applyAlignment="0" applyProtection="0"/>
    <xf numFmtId="0" fontId="101" fillId="54" borderId="0" applyNumberFormat="0" applyBorder="0" applyAlignment="0" applyProtection="0"/>
    <xf numFmtId="0" fontId="86" fillId="55" borderId="0" applyNumberFormat="0" applyBorder="0" applyAlignment="0" applyProtection="0"/>
    <xf numFmtId="0" fontId="86" fillId="56" borderId="0" applyNumberFormat="0" applyBorder="0" applyAlignment="0" applyProtection="0"/>
    <xf numFmtId="0" fontId="86" fillId="57" borderId="0" applyNumberFormat="0" applyBorder="0" applyAlignment="0" applyProtection="0"/>
    <xf numFmtId="0" fontId="86" fillId="58" borderId="0" applyNumberFormat="0" applyBorder="0" applyAlignment="0" applyProtection="0"/>
    <xf numFmtId="0" fontId="86" fillId="59" borderId="0" applyNumberFormat="0" applyBorder="0" applyAlignment="0" applyProtection="0"/>
    <xf numFmtId="0" fontId="86" fillId="60" borderId="0" applyNumberFormat="0" applyBorder="0" applyAlignment="0" applyProtection="0"/>
  </cellStyleXfs>
  <cellXfs count="809">
    <xf numFmtId="0" fontId="0" fillId="0" borderId="0" xfId="0" applyAlignment="1">
      <alignment/>
    </xf>
    <xf numFmtId="0" fontId="2" fillId="0" borderId="0" xfId="0" applyFont="1" applyAlignment="1">
      <alignment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 fillId="0" borderId="0" xfId="0" applyFont="1" applyAlignment="1">
      <alignment horizontal="left" vertical="center" wrapText="1"/>
    </xf>
    <xf numFmtId="0" fontId="2" fillId="0" borderId="22" xfId="0" applyFont="1" applyFill="1" applyBorder="1" applyAlignment="1">
      <alignment horizontal="center" vertical="center" wrapText="1"/>
    </xf>
    <xf numFmtId="3" fontId="1" fillId="0" borderId="22" xfId="0" applyNumberFormat="1" applyFont="1" applyFill="1" applyBorder="1" applyAlignment="1">
      <alignment horizontal="center" vertical="center" wrapText="1"/>
    </xf>
    <xf numFmtId="3" fontId="1" fillId="0" borderId="21" xfId="0" applyNumberFormat="1" applyFont="1" applyFill="1" applyBorder="1" applyAlignment="1">
      <alignment horizontal="center" vertical="center" wrapText="1"/>
    </xf>
    <xf numFmtId="3" fontId="1" fillId="0" borderId="22" xfId="0" applyNumberFormat="1"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1" xfId="0" applyFont="1" applyFill="1" applyBorder="1" applyAlignment="1">
      <alignment horizontal="center" vertical="center" wrapText="1"/>
    </xf>
    <xf numFmtId="3" fontId="2" fillId="0" borderId="22" xfId="0" applyNumberFormat="1" applyFont="1" applyFill="1" applyBorder="1" applyAlignment="1">
      <alignment horizontal="center" wrapText="1"/>
    </xf>
    <xf numFmtId="0" fontId="2" fillId="0" borderId="23" xfId="0" applyFont="1" applyFill="1" applyBorder="1" applyAlignment="1">
      <alignment horizontal="center" vertical="center" wrapText="1"/>
    </xf>
    <xf numFmtId="3" fontId="2" fillId="0" borderId="22" xfId="0" applyNumberFormat="1" applyFont="1" applyFill="1" applyBorder="1" applyAlignment="1">
      <alignment horizontal="center" vertical="center" wrapText="1"/>
    </xf>
    <xf numFmtId="0" fontId="2" fillId="0" borderId="0" xfId="0" applyFont="1" applyFill="1" applyAlignment="1">
      <alignment/>
    </xf>
    <xf numFmtId="49" fontId="2" fillId="0" borderId="22" xfId="0" applyNumberFormat="1" applyFont="1" applyFill="1" applyBorder="1" applyAlignment="1">
      <alignment horizontal="left" vertical="center" wrapText="1" indent="1"/>
    </xf>
    <xf numFmtId="49" fontId="2" fillId="0" borderId="22" xfId="0" applyNumberFormat="1" applyFont="1" applyFill="1" applyBorder="1" applyAlignment="1">
      <alignment horizontal="left" vertical="top" wrapText="1" indent="1"/>
    </xf>
    <xf numFmtId="49" fontId="1" fillId="0" borderId="22" xfId="0" applyNumberFormat="1" applyFont="1" applyFill="1" applyBorder="1" applyAlignment="1">
      <alignment horizontal="left" vertical="center" wrapText="1" indent="1"/>
    </xf>
    <xf numFmtId="49" fontId="1" fillId="0" borderId="24" xfId="0" applyNumberFormat="1" applyFont="1" applyFill="1" applyBorder="1" applyAlignment="1">
      <alignment horizontal="left" vertical="center" wrapText="1" indent="1"/>
    </xf>
    <xf numFmtId="0" fontId="2" fillId="0" borderId="22" xfId="0" applyFont="1" applyBorder="1" applyAlignment="1">
      <alignment horizontal="left" vertical="center" wrapText="1" indent="1"/>
    </xf>
    <xf numFmtId="49" fontId="1" fillId="0" borderId="22" xfId="0" applyNumberFormat="1" applyFont="1" applyFill="1" applyBorder="1" applyAlignment="1">
      <alignment horizontal="left" vertical="top" wrapText="1" indent="1"/>
    </xf>
    <xf numFmtId="0" fontId="2" fillId="0" borderId="21" xfId="0" applyFont="1" applyFill="1" applyBorder="1" applyAlignment="1">
      <alignment horizontal="left" vertical="center" wrapText="1" indent="1"/>
    </xf>
    <xf numFmtId="3" fontId="1" fillId="0" borderId="21" xfId="0" applyNumberFormat="1" applyFont="1" applyFill="1" applyBorder="1" applyAlignment="1">
      <alignment horizontal="center" vertical="center" wrapText="1"/>
    </xf>
    <xf numFmtId="49" fontId="1" fillId="0" borderId="22" xfId="0" applyNumberFormat="1" applyFont="1" applyFill="1" applyBorder="1" applyAlignment="1">
      <alignment horizontal="left" vertical="center" wrapText="1" inden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Border="1" applyAlignment="1">
      <alignment/>
    </xf>
    <xf numFmtId="0" fontId="1" fillId="0" borderId="22" xfId="0" applyFont="1" applyFill="1" applyBorder="1" applyAlignment="1">
      <alignment horizontal="left" vertical="center" wrapText="1" indent="1"/>
    </xf>
    <xf numFmtId="0" fontId="2" fillId="0" borderId="0" xfId="0" applyFont="1" applyAlignment="1">
      <alignment/>
    </xf>
    <xf numFmtId="1" fontId="2" fillId="0" borderId="22" xfId="0" applyNumberFormat="1" applyFont="1" applyFill="1" applyBorder="1" applyAlignment="1">
      <alignment horizontal="center" vertical="center" wrapText="1"/>
    </xf>
    <xf numFmtId="49" fontId="1" fillId="0" borderId="24" xfId="0" applyNumberFormat="1" applyFont="1" applyFill="1" applyBorder="1" applyAlignment="1">
      <alignment horizontal="left" vertical="center" wrapText="1" indent="1"/>
    </xf>
    <xf numFmtId="49" fontId="1" fillId="0" borderId="22" xfId="0" applyNumberFormat="1" applyFont="1" applyFill="1" applyBorder="1" applyAlignment="1">
      <alignment horizontal="left" vertical="top" wrapText="1" indent="1"/>
    </xf>
    <xf numFmtId="0" fontId="2" fillId="0" borderId="22" xfId="0" applyFont="1" applyFill="1" applyBorder="1" applyAlignment="1">
      <alignment horizontal="left" vertical="center" wrapText="1" indent="1"/>
    </xf>
    <xf numFmtId="0" fontId="2" fillId="0" borderId="0" xfId="0" applyFont="1" applyFill="1" applyAlignment="1">
      <alignment vertical="center" wrapText="1"/>
    </xf>
    <xf numFmtId="0" fontId="2" fillId="0" borderId="21" xfId="0" applyNumberFormat="1" applyFont="1" applyFill="1" applyBorder="1" applyAlignment="1">
      <alignment horizontal="left" vertical="center" wrapText="1" indent="1"/>
    </xf>
    <xf numFmtId="0" fontId="2" fillId="0" borderId="0" xfId="0" applyFont="1" applyFill="1" applyAlignment="1">
      <alignment horizontal="left" vertical="center" wrapText="1" indent="1"/>
    </xf>
    <xf numFmtId="0" fontId="2" fillId="0" borderId="0" xfId="0" applyFont="1" applyFill="1" applyAlignment="1">
      <alignment horizontal="left" vertical="center" wrapText="1" indent="3"/>
    </xf>
    <xf numFmtId="0" fontId="2" fillId="0" borderId="0" xfId="0" applyFont="1" applyFill="1" applyAlignment="1">
      <alignment horizontal="left" vertical="center" wrapText="1" indent="2"/>
    </xf>
    <xf numFmtId="49" fontId="1" fillId="0" borderId="0" xfId="0" applyNumberFormat="1" applyFont="1" applyFill="1" applyBorder="1" applyAlignment="1">
      <alignment horizontal="left" vertical="top" wrapText="1" indent="1"/>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wrapText="1" indent="1"/>
    </xf>
    <xf numFmtId="0" fontId="2" fillId="0" borderId="0" xfId="0" applyFont="1" applyFill="1" applyAlignment="1">
      <alignment horizontal="center"/>
    </xf>
    <xf numFmtId="0" fontId="1" fillId="0" borderId="24"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2" fillId="0" borderId="0" xfId="0" applyFont="1" applyFill="1" applyAlignment="1">
      <alignment vertical="center" wrapText="1"/>
    </xf>
    <xf numFmtId="0" fontId="0" fillId="0" borderId="0" xfId="0" applyFill="1" applyAlignment="1">
      <alignment/>
    </xf>
    <xf numFmtId="0" fontId="24" fillId="0" borderId="0" xfId="0" applyFont="1" applyFill="1" applyAlignment="1">
      <alignment vertical="center" wrapText="1"/>
    </xf>
    <xf numFmtId="0" fontId="0" fillId="0" borderId="0" xfId="0" applyFont="1" applyAlignment="1">
      <alignment/>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0" xfId="0" applyFont="1" applyFill="1" applyAlignment="1">
      <alignment vertical="center" wrapText="1"/>
    </xf>
    <xf numFmtId="0" fontId="1" fillId="0" borderId="27" xfId="0" applyFont="1" applyFill="1" applyBorder="1" applyAlignment="1">
      <alignment horizontal="center" vertical="center" wrapText="1"/>
    </xf>
    <xf numFmtId="49" fontId="2" fillId="0" borderId="22" xfId="0" applyNumberFormat="1" applyFont="1" applyFill="1" applyBorder="1" applyAlignment="1">
      <alignment horizontal="left" vertical="center" wrapText="1" indent="1"/>
    </xf>
    <xf numFmtId="0" fontId="0" fillId="0" borderId="0" xfId="0" applyAlignment="1">
      <alignment wrapText="1"/>
    </xf>
    <xf numFmtId="0" fontId="0" fillId="0" borderId="0" xfId="0" applyAlignment="1">
      <alignment horizontal="center"/>
    </xf>
    <xf numFmtId="0" fontId="2" fillId="0" borderId="23" xfId="0" applyFont="1" applyFill="1" applyBorder="1" applyAlignment="1">
      <alignment horizontal="center" vertical="center" wrapText="1"/>
    </xf>
    <xf numFmtId="3" fontId="2" fillId="0" borderId="21" xfId="0" applyNumberFormat="1" applyFont="1" applyFill="1" applyBorder="1" applyAlignment="1">
      <alignment horizontal="center" wrapText="1"/>
    </xf>
    <xf numFmtId="0" fontId="2" fillId="0" borderId="28" xfId="0" applyFont="1" applyFill="1" applyBorder="1" applyAlignment="1">
      <alignment horizontal="center" vertical="center"/>
    </xf>
    <xf numFmtId="0" fontId="1" fillId="0" borderId="24" xfId="0" applyFont="1" applyFill="1" applyBorder="1" applyAlignment="1">
      <alignment horizontal="left" wrapText="1" indent="1"/>
    </xf>
    <xf numFmtId="0" fontId="0" fillId="0" borderId="0" xfId="0" applyAlignment="1">
      <alignment vertical="center"/>
    </xf>
    <xf numFmtId="49" fontId="2" fillId="0" borderId="22" xfId="0" applyNumberFormat="1" applyFont="1" applyFill="1" applyBorder="1" applyAlignment="1">
      <alignment horizontal="left" vertical="center" wrapText="1"/>
    </xf>
    <xf numFmtId="0" fontId="95" fillId="0" borderId="22" xfId="0" applyFont="1" applyFill="1" applyBorder="1" applyAlignment="1">
      <alignment horizontal="left" vertical="center" wrapText="1" indent="1"/>
    </xf>
    <xf numFmtId="0" fontId="2" fillId="48" borderId="23" xfId="0" applyFont="1" applyFill="1" applyBorder="1" applyAlignment="1">
      <alignment vertical="center" wrapText="1"/>
    </xf>
    <xf numFmtId="189" fontId="51" fillId="61" borderId="22" xfId="123" applyNumberFormat="1" applyFont="1" applyFill="1" applyBorder="1" applyAlignment="1" applyProtection="1" quotePrefix="1">
      <alignment horizontal="left" vertical="center" wrapText="1" indent="1"/>
      <protection locked="0"/>
    </xf>
    <xf numFmtId="189" fontId="50" fillId="61" borderId="22" xfId="131" applyNumberFormat="1" applyFont="1" applyFill="1" applyBorder="1" applyAlignment="1" applyProtection="1" quotePrefix="1">
      <alignment horizontal="left" vertical="center" wrapText="1" indent="1"/>
      <protection locked="0"/>
    </xf>
    <xf numFmtId="189" fontId="50" fillId="61" borderId="22" xfId="130" applyNumberFormat="1" applyFont="1" applyFill="1" applyBorder="1" applyProtection="1" quotePrefix="1">
      <alignment horizontal="left" vertical="center" indent="1"/>
      <protection locked="0"/>
    </xf>
    <xf numFmtId="0" fontId="2" fillId="0" borderId="22" xfId="0" applyFont="1" applyBorder="1" applyAlignment="1">
      <alignment/>
    </xf>
    <xf numFmtId="189" fontId="51" fillId="61" borderId="22" xfId="98" applyNumberFormat="1" applyFont="1" applyFill="1" applyBorder="1" quotePrefix="1">
      <alignment horizontal="left" vertical="center" indent="1"/>
    </xf>
    <xf numFmtId="189" fontId="51" fillId="61" borderId="22" xfId="98" applyNumberFormat="1" applyFont="1" applyFill="1" applyBorder="1">
      <alignment horizontal="left" vertical="center" indent="1"/>
    </xf>
    <xf numFmtId="189" fontId="50" fillId="61" borderId="22" xfId="130" applyNumberFormat="1" applyFont="1" applyFill="1" applyBorder="1" applyAlignment="1" applyProtection="1">
      <alignment vertical="center"/>
      <protection locked="0"/>
    </xf>
    <xf numFmtId="189" fontId="51" fillId="61" borderId="22" xfId="130" applyNumberFormat="1" applyFont="1" applyFill="1" applyBorder="1" applyProtection="1" quotePrefix="1">
      <alignment horizontal="left" vertical="center" indent="1"/>
      <protection locked="0"/>
    </xf>
    <xf numFmtId="189" fontId="50" fillId="61" borderId="22" xfId="131" applyNumberFormat="1" applyFont="1" applyFill="1" applyBorder="1" applyAlignment="1" applyProtection="1">
      <alignment horizontal="left" vertical="center" wrapText="1" indent="1"/>
      <protection locked="0"/>
    </xf>
    <xf numFmtId="49" fontId="1" fillId="0" borderId="22" xfId="84" applyNumberFormat="1" applyFont="1" applyFill="1" applyBorder="1" applyAlignment="1">
      <alignment horizontal="center"/>
      <protection/>
    </xf>
    <xf numFmtId="169" fontId="1" fillId="0" borderId="22" xfId="61" applyNumberFormat="1" applyFont="1" applyFill="1" applyBorder="1" applyAlignment="1" applyProtection="1">
      <alignment/>
      <protection locked="0"/>
    </xf>
    <xf numFmtId="49" fontId="2" fillId="0" borderId="22" xfId="84" applyNumberFormat="1" applyFont="1" applyFill="1" applyBorder="1" applyAlignment="1">
      <alignment horizontal="center"/>
      <protection/>
    </xf>
    <xf numFmtId="0" fontId="1" fillId="0" borderId="23" xfId="84" applyFont="1" applyFill="1" applyBorder="1" applyAlignment="1">
      <alignment vertical="center" wrapText="1"/>
      <protection/>
    </xf>
    <xf numFmtId="0" fontId="1" fillId="0" borderId="22" xfId="84" applyFont="1" applyFill="1" applyBorder="1" applyAlignment="1">
      <alignment vertical="center" wrapText="1"/>
      <protection/>
    </xf>
    <xf numFmtId="0" fontId="1" fillId="0" borderId="29" xfId="0" applyFont="1" applyFill="1" applyBorder="1" applyAlignment="1">
      <alignment horizontal="center" vertical="center" wrapText="1"/>
    </xf>
    <xf numFmtId="0" fontId="2" fillId="2" borderId="30" xfId="0" applyFont="1" applyFill="1" applyBorder="1" applyAlignment="1">
      <alignment horizontal="left" vertical="center" wrapText="1" indent="1"/>
    </xf>
    <xf numFmtId="0" fontId="1" fillId="2" borderId="30" xfId="0" applyFont="1" applyFill="1" applyBorder="1" applyAlignment="1">
      <alignment horizontal="left" vertical="center" wrapText="1" indent="1"/>
    </xf>
    <xf numFmtId="0" fontId="1" fillId="10" borderId="30" xfId="0" applyFont="1" applyFill="1" applyBorder="1" applyAlignment="1">
      <alignment horizontal="left" vertical="center" wrapText="1" indent="1"/>
    </xf>
    <xf numFmtId="0" fontId="2" fillId="0" borderId="30" xfId="0" applyFont="1" applyFill="1" applyBorder="1" applyAlignment="1">
      <alignment horizontal="left" vertical="center" wrapText="1" indent="1"/>
    </xf>
    <xf numFmtId="0" fontId="2" fillId="62" borderId="31" xfId="0" applyFont="1" applyFill="1" applyBorder="1" applyAlignment="1">
      <alignment horizontal="left" vertical="center" wrapText="1" indent="1"/>
    </xf>
    <xf numFmtId="0" fontId="2" fillId="0" borderId="32" xfId="0" applyFont="1" applyFill="1" applyBorder="1" applyAlignment="1">
      <alignment horizontal="left" vertical="center" wrapText="1" indent="1"/>
    </xf>
    <xf numFmtId="0" fontId="2" fillId="62" borderId="30" xfId="0" applyFont="1" applyFill="1" applyBorder="1" applyAlignment="1">
      <alignment horizontal="left" vertical="center" wrapText="1" indent="1"/>
    </xf>
    <xf numFmtId="0" fontId="2" fillId="61" borderId="30" xfId="0" applyFont="1" applyFill="1" applyBorder="1" applyAlignment="1">
      <alignment horizontal="left" vertical="center" wrapText="1" indent="1"/>
    </xf>
    <xf numFmtId="0" fontId="2" fillId="0" borderId="31" xfId="0" applyFont="1" applyFill="1" applyBorder="1" applyAlignment="1">
      <alignment horizontal="left" vertical="center" wrapText="1" indent="1"/>
    </xf>
    <xf numFmtId="0" fontId="2" fillId="0" borderId="24" xfId="0" applyFont="1" applyBorder="1" applyAlignment="1">
      <alignment horizontal="left" vertical="center" wrapText="1" indent="1"/>
    </xf>
    <xf numFmtId="0" fontId="2" fillId="0" borderId="23" xfId="84" applyFont="1" applyFill="1" applyBorder="1" applyAlignment="1">
      <alignment horizontal="right" indent="1"/>
      <protection/>
    </xf>
    <xf numFmtId="0" fontId="2" fillId="0" borderId="33" xfId="84" applyFont="1" applyFill="1" applyBorder="1" applyAlignment="1">
      <alignment horizontal="right" indent="1"/>
      <protection/>
    </xf>
    <xf numFmtId="0" fontId="19" fillId="0" borderId="23" xfId="84" applyFont="1" applyFill="1" applyBorder="1" applyAlignment="1">
      <alignment horizontal="left" indent="1"/>
      <protection/>
    </xf>
    <xf numFmtId="3" fontId="19" fillId="0" borderId="34" xfId="61" applyNumberFormat="1" applyFont="1" applyFill="1" applyBorder="1" applyAlignment="1">
      <alignment horizontal="center"/>
    </xf>
    <xf numFmtId="3" fontId="19" fillId="0" borderId="35" xfId="61" applyNumberFormat="1" applyFont="1" applyFill="1" applyBorder="1" applyAlignment="1">
      <alignment horizontal="center"/>
    </xf>
    <xf numFmtId="0" fontId="10" fillId="0" borderId="0" xfId="0" applyFont="1" applyBorder="1" applyAlignment="1">
      <alignment/>
    </xf>
    <xf numFmtId="0" fontId="29" fillId="0" borderId="0" xfId="0" applyFont="1" applyBorder="1" applyAlignment="1">
      <alignment/>
    </xf>
    <xf numFmtId="0" fontId="2" fillId="0" borderId="0" xfId="0" applyFont="1" applyBorder="1" applyAlignment="1">
      <alignment/>
    </xf>
    <xf numFmtId="0" fontId="10" fillId="0" borderId="36" xfId="0" applyFont="1" applyBorder="1" applyAlignment="1">
      <alignment horizontal="center"/>
    </xf>
    <xf numFmtId="0" fontId="0" fillId="0" borderId="37" xfId="0" applyBorder="1" applyAlignment="1">
      <alignment/>
    </xf>
    <xf numFmtId="0" fontId="0" fillId="0" borderId="38" xfId="0" applyBorder="1" applyAlignment="1">
      <alignment/>
    </xf>
    <xf numFmtId="0" fontId="10" fillId="0" borderId="39" xfId="0" applyFont="1" applyBorder="1" applyAlignment="1">
      <alignment horizontal="center"/>
    </xf>
    <xf numFmtId="0" fontId="0" fillId="0" borderId="40" xfId="0" applyBorder="1" applyAlignment="1">
      <alignment/>
    </xf>
    <xf numFmtId="0" fontId="28" fillId="0" borderId="39" xfId="70" applyFont="1" applyBorder="1" applyAlignment="1" applyProtection="1">
      <alignment horizontal="center"/>
      <protection/>
    </xf>
    <xf numFmtId="0" fontId="2" fillId="0" borderId="41" xfId="0" applyFont="1" applyBorder="1" applyAlignment="1">
      <alignment/>
    </xf>
    <xf numFmtId="0" fontId="0" fillId="0" borderId="41" xfId="0" applyBorder="1" applyAlignment="1">
      <alignment/>
    </xf>
    <xf numFmtId="0" fontId="0" fillId="0" borderId="42" xfId="0" applyBorder="1" applyAlignment="1">
      <alignment/>
    </xf>
    <xf numFmtId="0" fontId="95" fillId="0" borderId="0" xfId="0" applyFont="1" applyFill="1" applyAlignment="1">
      <alignment vertical="center" wrapText="1"/>
    </xf>
    <xf numFmtId="0" fontId="95" fillId="0" borderId="30" xfId="0" applyFont="1" applyFill="1" applyBorder="1" applyAlignment="1">
      <alignment horizontal="left" vertical="center" wrapText="1" indent="1"/>
    </xf>
    <xf numFmtId="0" fontId="0" fillId="0" borderId="0" xfId="0" applyFont="1" applyAlignment="1">
      <alignment/>
    </xf>
    <xf numFmtId="0" fontId="85" fillId="0" borderId="30" xfId="0" applyFont="1" applyFill="1" applyBorder="1" applyAlignment="1">
      <alignment horizontal="left" vertical="center" wrapText="1" indent="1"/>
    </xf>
    <xf numFmtId="0" fontId="28" fillId="0" borderId="40" xfId="70" applyFont="1" applyBorder="1" applyAlignment="1" applyProtection="1">
      <alignment horizontal="left" vertical="center" indent="1"/>
      <protection/>
    </xf>
    <xf numFmtId="0" fontId="59" fillId="0" borderId="0" xfId="0" applyFont="1" applyFill="1" applyAlignment="1">
      <alignment horizontal="left" vertical="center" indent="1"/>
    </xf>
    <xf numFmtId="0" fontId="59" fillId="0" borderId="22" xfId="0" applyFont="1" applyFill="1" applyBorder="1" applyAlignment="1">
      <alignment horizontal="left" vertical="center" wrapText="1" indent="1"/>
    </xf>
    <xf numFmtId="0" fontId="59" fillId="0" borderId="21" xfId="0" applyFont="1" applyFill="1" applyBorder="1" applyAlignment="1">
      <alignment horizontal="left" vertical="center" wrapText="1" indent="1"/>
    </xf>
    <xf numFmtId="0" fontId="19" fillId="0" borderId="21" xfId="0" applyFont="1" applyFill="1" applyBorder="1" applyAlignment="1">
      <alignment horizontal="center" vertical="center" wrapText="1"/>
    </xf>
    <xf numFmtId="0" fontId="95" fillId="0" borderId="21" xfId="0" applyFont="1" applyBorder="1" applyAlignment="1">
      <alignment horizontal="left" vertical="center" wrapText="1" indent="1"/>
    </xf>
    <xf numFmtId="0" fontId="2" fillId="0" borderId="21" xfId="0" applyFont="1" applyBorder="1" applyAlignment="1">
      <alignment horizontal="left" vertical="center" wrapText="1" indent="1"/>
    </xf>
    <xf numFmtId="0" fontId="95" fillId="0" borderId="26" xfId="0" applyFont="1" applyBorder="1" applyAlignment="1">
      <alignment horizontal="left" vertical="center" wrapText="1" indent="1"/>
    </xf>
    <xf numFmtId="0" fontId="7" fillId="0" borderId="43" xfId="0" applyFont="1" applyBorder="1" applyAlignment="1">
      <alignment horizontal="left" vertical="center" wrapText="1" indent="1"/>
    </xf>
    <xf numFmtId="0" fontId="95" fillId="0" borderId="21" xfId="0" applyFont="1" applyFill="1" applyBorder="1" applyAlignment="1">
      <alignment horizontal="left" vertical="center" wrapText="1" indent="1"/>
    </xf>
    <xf numFmtId="0" fontId="7" fillId="0" borderId="21" xfId="0" applyFont="1" applyBorder="1" applyAlignment="1">
      <alignment horizontal="left" vertical="center" wrapText="1" indent="1"/>
    </xf>
    <xf numFmtId="49" fontId="1" fillId="0" borderId="27" xfId="84" applyNumberFormat="1" applyFont="1" applyFill="1" applyBorder="1" applyAlignment="1">
      <alignment horizontal="center"/>
      <protection/>
    </xf>
    <xf numFmtId="0" fontId="2" fillId="61" borderId="22" xfId="0" applyFont="1" applyFill="1" applyBorder="1" applyAlignment="1">
      <alignment horizontal="left" vertical="center" wrapText="1" indent="1"/>
    </xf>
    <xf numFmtId="0" fontId="2" fillId="0" borderId="0" xfId="0" applyFont="1" applyFill="1" applyBorder="1" applyAlignment="1">
      <alignment vertical="center" wrapText="1"/>
    </xf>
    <xf numFmtId="0" fontId="28" fillId="0" borderId="44" xfId="70" applyFont="1" applyBorder="1" applyAlignment="1" applyProtection="1">
      <alignment horizontal="left" vertical="center" indent="1"/>
      <protection/>
    </xf>
    <xf numFmtId="0" fontId="28" fillId="0" borderId="23" xfId="70" applyFont="1" applyBorder="1" applyAlignment="1" applyProtection="1">
      <alignment horizontal="left" vertical="center" indent="1"/>
      <protection/>
    </xf>
    <xf numFmtId="0" fontId="19" fillId="0" borderId="30" xfId="0" applyFont="1" applyFill="1" applyBorder="1" applyAlignment="1">
      <alignment horizontal="left" vertical="center" wrapText="1" indent="1"/>
    </xf>
    <xf numFmtId="0" fontId="2" fillId="0" borderId="22" xfId="0" applyFont="1" applyFill="1" applyBorder="1" applyAlignment="1">
      <alignment horizontal="left" vertical="center" wrapText="1" indent="3"/>
    </xf>
    <xf numFmtId="0" fontId="95" fillId="61" borderId="30" xfId="0" applyFont="1" applyFill="1" applyBorder="1" applyAlignment="1">
      <alignment horizontal="left" vertical="center" wrapText="1" indent="1"/>
    </xf>
    <xf numFmtId="0" fontId="2" fillId="0" borderId="45" xfId="0" applyNumberFormat="1" applyFont="1" applyFill="1" applyBorder="1" applyAlignment="1">
      <alignment horizontal="left" vertical="center" wrapText="1" indent="1"/>
    </xf>
    <xf numFmtId="0" fontId="2" fillId="0" borderId="24" xfId="0" applyFont="1" applyFill="1" applyBorder="1" applyAlignment="1">
      <alignment horizontal="left" vertical="center" wrapText="1" indent="3"/>
    </xf>
    <xf numFmtId="0" fontId="28" fillId="61" borderId="23" xfId="70" applyFont="1" applyFill="1" applyBorder="1" applyAlignment="1" applyProtection="1">
      <alignment horizontal="left" vertical="center" indent="1"/>
      <protection/>
    </xf>
    <xf numFmtId="0" fontId="28" fillId="0" borderId="33" xfId="70" applyFont="1" applyBorder="1" applyAlignment="1" applyProtection="1">
      <alignment horizontal="left" vertical="center" indent="1"/>
      <protection/>
    </xf>
    <xf numFmtId="0" fontId="28" fillId="0" borderId="28" xfId="70" applyFont="1" applyBorder="1" applyAlignment="1" applyProtection="1">
      <alignment horizontal="left" vertical="center" indent="1"/>
      <protection/>
    </xf>
    <xf numFmtId="0" fontId="95" fillId="0" borderId="46" xfId="0" applyFont="1" applyFill="1" applyBorder="1" applyAlignment="1">
      <alignment horizontal="left" vertical="center" wrapText="1" indent="1"/>
    </xf>
    <xf numFmtId="0" fontId="28" fillId="0" borderId="47" xfId="70" applyFont="1" applyBorder="1" applyAlignment="1" applyProtection="1">
      <alignment horizontal="center"/>
      <protection/>
    </xf>
    <xf numFmtId="0" fontId="28" fillId="0" borderId="48" xfId="70" applyFont="1" applyBorder="1" applyAlignment="1" applyProtection="1">
      <alignment horizontal="center"/>
      <protection/>
    </xf>
    <xf numFmtId="0" fontId="2" fillId="0" borderId="49" xfId="0" applyFont="1" applyBorder="1" applyAlignment="1">
      <alignment/>
    </xf>
    <xf numFmtId="0" fontId="0" fillId="0" borderId="49" xfId="0" applyBorder="1" applyAlignment="1">
      <alignment/>
    </xf>
    <xf numFmtId="0" fontId="0" fillId="0" borderId="50" xfId="0" applyBorder="1" applyAlignment="1">
      <alignment/>
    </xf>
    <xf numFmtId="0" fontId="55" fillId="0" borderId="37" xfId="0" applyFont="1" applyFill="1" applyBorder="1" applyAlignment="1">
      <alignment vertical="center"/>
    </xf>
    <xf numFmtId="0" fontId="29" fillId="0" borderId="37" xfId="0" applyFont="1" applyFill="1" applyBorder="1" applyAlignment="1">
      <alignment vertical="center"/>
    </xf>
    <xf numFmtId="0" fontId="0" fillId="0" borderId="37" xfId="0" applyFont="1" applyFill="1" applyBorder="1" applyAlignment="1">
      <alignment vertical="center"/>
    </xf>
    <xf numFmtId="0" fontId="0" fillId="0" borderId="0" xfId="0" applyFont="1" applyBorder="1" applyAlignment="1">
      <alignment/>
    </xf>
    <xf numFmtId="0" fontId="0" fillId="0" borderId="49" xfId="0" applyFont="1" applyBorder="1" applyAlignment="1">
      <alignment/>
    </xf>
    <xf numFmtId="0" fontId="0" fillId="0" borderId="41" xfId="0" applyFont="1" applyBorder="1" applyAlignment="1">
      <alignment/>
    </xf>
    <xf numFmtId="0" fontId="1" fillId="61" borderId="30" xfId="0" applyFont="1" applyFill="1" applyBorder="1" applyAlignment="1">
      <alignment horizontal="left" vertical="center" wrapText="1" indent="1"/>
    </xf>
    <xf numFmtId="0" fontId="0" fillId="0" borderId="0" xfId="0" applyFill="1" applyAlignment="1">
      <alignment wrapText="1"/>
    </xf>
    <xf numFmtId="0" fontId="0" fillId="0" borderId="0" xfId="0" applyFont="1" applyFill="1" applyAlignment="1">
      <alignment wrapText="1"/>
    </xf>
    <xf numFmtId="0" fontId="95" fillId="61" borderId="21" xfId="0" applyFont="1" applyFill="1" applyBorder="1" applyAlignment="1">
      <alignment horizontal="left" vertical="center" wrapText="1" indent="1"/>
    </xf>
    <xf numFmtId="0" fontId="85" fillId="61" borderId="30" xfId="0" applyFont="1" applyFill="1" applyBorder="1" applyAlignment="1">
      <alignment horizontal="left" vertical="center" wrapText="1" indent="1"/>
    </xf>
    <xf numFmtId="49" fontId="85" fillId="61" borderId="30" xfId="0" applyNumberFormat="1" applyFont="1" applyFill="1" applyBorder="1" applyAlignment="1">
      <alignment horizontal="left" vertical="center" wrapText="1" indent="1"/>
    </xf>
    <xf numFmtId="4" fontId="1" fillId="0" borderId="22" xfId="0" applyNumberFormat="1" applyFont="1" applyFill="1" applyBorder="1" applyAlignment="1">
      <alignment horizontal="center" vertical="center" wrapText="1"/>
    </xf>
    <xf numFmtId="4" fontId="2" fillId="0" borderId="22" xfId="0" applyNumberFormat="1" applyFont="1" applyFill="1" applyBorder="1" applyAlignment="1">
      <alignment horizontal="right" vertical="center" wrapText="1" indent="1"/>
    </xf>
    <xf numFmtId="4" fontId="1" fillId="0" borderId="21" xfId="0" applyNumberFormat="1" applyFont="1" applyFill="1" applyBorder="1" applyAlignment="1">
      <alignment horizontal="right" vertical="center" wrapText="1" indent="1"/>
    </xf>
    <xf numFmtId="0" fontId="1" fillId="0" borderId="23" xfId="84" applyFont="1" applyFill="1" applyBorder="1" applyAlignment="1">
      <alignment horizontal="center" vertical="center" wrapText="1"/>
      <protection/>
    </xf>
    <xf numFmtId="49" fontId="1" fillId="0" borderId="22" xfId="84" applyNumberFormat="1" applyFont="1" applyFill="1" applyBorder="1" applyAlignment="1">
      <alignment horizontal="left" vertical="center" wrapText="1" indent="1"/>
      <protection/>
    </xf>
    <xf numFmtId="0" fontId="1" fillId="0" borderId="22" xfId="84" applyFont="1" applyFill="1" applyBorder="1" applyAlignment="1">
      <alignment horizontal="center" vertical="center" wrapText="1"/>
      <protection/>
    </xf>
    <xf numFmtId="0" fontId="1" fillId="0" borderId="21" xfId="84" applyFont="1" applyFill="1" applyBorder="1" applyAlignment="1">
      <alignment horizontal="center" vertical="center" wrapText="1"/>
      <protection/>
    </xf>
    <xf numFmtId="49" fontId="2" fillId="0" borderId="22" xfId="84" applyNumberFormat="1" applyFont="1" applyFill="1" applyBorder="1" applyAlignment="1">
      <alignment horizontal="left" vertical="center" wrapText="1" indent="1"/>
      <protection/>
    </xf>
    <xf numFmtId="3" fontId="1" fillId="0" borderId="51" xfId="86" applyNumberFormat="1" applyFont="1" applyFill="1" applyBorder="1" applyAlignment="1">
      <alignment horizontal="center" vertical="center" wrapText="1"/>
      <protection/>
    </xf>
    <xf numFmtId="3" fontId="2" fillId="0" borderId="48" xfId="87" applyNumberFormat="1" applyFont="1" applyFill="1" applyBorder="1" applyAlignment="1">
      <alignment horizontal="right" vertical="center" wrapText="1" indent="1"/>
      <protection/>
    </xf>
    <xf numFmtId="3" fontId="2" fillId="0" borderId="47" xfId="87" applyNumberFormat="1" applyFont="1" applyFill="1" applyBorder="1" applyAlignment="1">
      <alignment horizontal="right" vertical="center" wrapText="1" indent="1"/>
      <protection/>
    </xf>
    <xf numFmtId="3" fontId="2" fillId="0" borderId="36" xfId="87" applyNumberFormat="1" applyFont="1" applyFill="1" applyBorder="1" applyAlignment="1">
      <alignment horizontal="right" vertical="center" wrapText="1" indent="1"/>
      <protection/>
    </xf>
    <xf numFmtId="0" fontId="1" fillId="0" borderId="51" xfId="86" applyNumberFormat="1" applyFont="1" applyFill="1" applyBorder="1" applyAlignment="1">
      <alignment horizontal="center" vertical="center" wrapText="1"/>
      <protection/>
    </xf>
    <xf numFmtId="0" fontId="1" fillId="0" borderId="52" xfId="86" applyNumberFormat="1" applyFont="1" applyFill="1" applyBorder="1" applyAlignment="1">
      <alignment horizontal="center" vertical="center" wrapText="1"/>
      <protection/>
    </xf>
    <xf numFmtId="3" fontId="2" fillId="0" borderId="21" xfId="0" applyNumberFormat="1" applyFont="1" applyFill="1" applyBorder="1" applyAlignment="1">
      <alignment horizontal="center" vertical="center" wrapText="1"/>
    </xf>
    <xf numFmtId="3" fontId="2" fillId="0" borderId="24" xfId="0" applyNumberFormat="1" applyFont="1" applyFill="1" applyBorder="1" applyAlignment="1">
      <alignment horizontal="center" vertical="center" wrapText="1"/>
    </xf>
    <xf numFmtId="3" fontId="2" fillId="0" borderId="22" xfId="0" applyNumberFormat="1" applyFont="1" applyFill="1" applyBorder="1" applyAlignment="1">
      <alignment horizontal="right" vertical="center" wrapText="1" indent="1"/>
    </xf>
    <xf numFmtId="3" fontId="2" fillId="0" borderId="21" xfId="0" applyNumberFormat="1" applyFont="1" applyFill="1" applyBorder="1" applyAlignment="1">
      <alignment horizontal="right" vertical="center" wrapText="1" indent="1"/>
    </xf>
    <xf numFmtId="3" fontId="1" fillId="0" borderId="21" xfId="0" applyNumberFormat="1" applyFont="1" applyFill="1" applyBorder="1" applyAlignment="1">
      <alignment horizontal="right" vertical="center" wrapText="1" indent="1"/>
    </xf>
    <xf numFmtId="3" fontId="2" fillId="0" borderId="53" xfId="0" applyNumberFormat="1" applyFont="1" applyFill="1" applyBorder="1" applyAlignment="1">
      <alignment horizontal="right" vertical="center" wrapText="1" indent="1"/>
    </xf>
    <xf numFmtId="3" fontId="1" fillId="0" borderId="24" xfId="0" applyNumberFormat="1" applyFont="1" applyFill="1" applyBorder="1" applyAlignment="1">
      <alignment horizontal="right" vertical="center" wrapText="1" indent="1"/>
    </xf>
    <xf numFmtId="3" fontId="2" fillId="0" borderId="24" xfId="0" applyNumberFormat="1" applyFont="1" applyFill="1" applyBorder="1" applyAlignment="1">
      <alignment horizontal="right" vertical="center" wrapText="1" indent="1"/>
    </xf>
    <xf numFmtId="3" fontId="1" fillId="0" borderId="22" xfId="0" applyNumberFormat="1" applyFont="1" applyFill="1" applyBorder="1" applyAlignment="1">
      <alignment horizontal="right" vertical="center" wrapText="1"/>
    </xf>
    <xf numFmtId="3" fontId="2" fillId="0" borderId="22" xfId="0" applyNumberFormat="1" applyFont="1" applyFill="1" applyBorder="1" applyAlignment="1">
      <alignment horizontal="right" vertical="center" wrapText="1"/>
    </xf>
    <xf numFmtId="3" fontId="2" fillId="0" borderId="22" xfId="0" applyNumberFormat="1" applyFont="1" applyFill="1" applyBorder="1" applyAlignment="1">
      <alignment horizontal="center" vertical="center" wrapText="1"/>
    </xf>
    <xf numFmtId="0" fontId="2" fillId="0" borderId="0" xfId="0" applyFont="1" applyFill="1" applyBorder="1" applyAlignment="1">
      <alignment/>
    </xf>
    <xf numFmtId="3" fontId="2" fillId="0" borderId="0" xfId="0" applyNumberFormat="1" applyFont="1" applyFill="1" applyBorder="1" applyAlignment="1">
      <alignment/>
    </xf>
    <xf numFmtId="3" fontId="68" fillId="0" borderId="0" xfId="84" applyNumberFormat="1" applyFont="1" applyFill="1">
      <alignment/>
      <protection/>
    </xf>
    <xf numFmtId="3" fontId="2" fillId="0" borderId="0" xfId="84" applyNumberFormat="1" applyFont="1" applyFill="1">
      <alignment/>
      <protection/>
    </xf>
    <xf numFmtId="0" fontId="0" fillId="0" borderId="0" xfId="84" applyFill="1">
      <alignment/>
      <protection/>
    </xf>
    <xf numFmtId="3" fontId="52" fillId="0" borderId="0" xfId="84" applyNumberFormat="1" applyFont="1" applyFill="1">
      <alignment/>
      <protection/>
    </xf>
    <xf numFmtId="49" fontId="2" fillId="0" borderId="0" xfId="84" applyNumberFormat="1" applyFont="1" applyFill="1" applyBorder="1" applyAlignment="1">
      <alignment vertical="center" wrapText="1"/>
      <protection/>
    </xf>
    <xf numFmtId="3" fontId="1" fillId="0" borderId="22" xfId="0" applyNumberFormat="1" applyFont="1" applyFill="1" applyBorder="1" applyAlignment="1">
      <alignment horizontal="right" vertical="center" wrapText="1" indent="1"/>
    </xf>
    <xf numFmtId="0" fontId="2" fillId="0" borderId="0" xfId="0" applyFont="1" applyFill="1" applyBorder="1" applyAlignment="1">
      <alignment horizontal="left"/>
    </xf>
    <xf numFmtId="49" fontId="2" fillId="0" borderId="0" xfId="0" applyNumberFormat="1" applyFont="1" applyFill="1" applyBorder="1" applyAlignment="1">
      <alignment horizontal="left" indent="1"/>
    </xf>
    <xf numFmtId="4" fontId="2" fillId="0" borderId="0" xfId="0" applyNumberFormat="1" applyFont="1" applyFill="1" applyBorder="1" applyAlignment="1">
      <alignment vertical="center" wrapText="1"/>
    </xf>
    <xf numFmtId="4" fontId="2" fillId="0" borderId="0" xfId="88" applyNumberFormat="1" applyFont="1" applyFill="1" applyBorder="1" applyAlignment="1">
      <alignment vertical="center" wrapText="1"/>
      <protection/>
    </xf>
    <xf numFmtId="49" fontId="1" fillId="0" borderId="22" xfId="0" applyNumberFormat="1" applyFont="1" applyFill="1" applyBorder="1" applyAlignment="1">
      <alignment horizontal="center" vertical="center" wrapText="1"/>
    </xf>
    <xf numFmtId="0" fontId="1" fillId="0" borderId="54" xfId="0" applyFont="1" applyFill="1" applyBorder="1" applyAlignment="1">
      <alignment horizontal="center" vertical="center" wrapText="1"/>
    </xf>
    <xf numFmtId="0" fontId="2" fillId="0" borderId="0" xfId="0" applyFont="1" applyFill="1" applyAlignment="1">
      <alignment horizontal="left" vertical="center" wrapText="1"/>
    </xf>
    <xf numFmtId="0" fontId="1" fillId="0" borderId="23" xfId="0" applyFont="1" applyFill="1" applyBorder="1" applyAlignment="1">
      <alignment horizontal="center" vertical="center" wrapText="1"/>
    </xf>
    <xf numFmtId="0" fontId="2" fillId="0" borderId="28" xfId="0" applyFont="1" applyFill="1" applyBorder="1" applyAlignment="1">
      <alignment horizontal="center" vertical="center" wrapText="1"/>
    </xf>
    <xf numFmtId="3" fontId="1" fillId="0" borderId="24" xfId="0" applyNumberFormat="1" applyFont="1" applyFill="1" applyBorder="1" applyAlignment="1" applyProtection="1">
      <alignment horizontal="right" vertical="center" wrapText="1" indent="1"/>
      <protection/>
    </xf>
    <xf numFmtId="3" fontId="1" fillId="0" borderId="46" xfId="0" applyNumberFormat="1" applyFont="1" applyFill="1" applyBorder="1" applyAlignment="1">
      <alignment horizontal="right" vertical="center" wrapText="1" indent="1"/>
    </xf>
    <xf numFmtId="49" fontId="2" fillId="0" borderId="0" xfId="0" applyNumberFormat="1" applyFont="1" applyFill="1" applyBorder="1" applyAlignment="1">
      <alignment horizontal="left" vertical="center" wrapText="1" indent="1"/>
    </xf>
    <xf numFmtId="0" fontId="2" fillId="0" borderId="0" xfId="0" applyFont="1" applyFill="1" applyAlignment="1">
      <alignment horizontal="right" vertical="center" wrapText="1"/>
    </xf>
    <xf numFmtId="49" fontId="7" fillId="0" borderId="0" xfId="0" applyNumberFormat="1" applyFont="1" applyFill="1" applyAlignment="1">
      <alignment horizontal="left" vertical="center" wrapText="1" indent="1"/>
    </xf>
    <xf numFmtId="0" fontId="2" fillId="0" borderId="0" xfId="0" applyFont="1" applyFill="1" applyAlignment="1">
      <alignment horizontal="center" vertical="center" wrapText="1"/>
    </xf>
    <xf numFmtId="49" fontId="2" fillId="0" borderId="0" xfId="0" applyNumberFormat="1" applyFont="1" applyFill="1" applyAlignment="1">
      <alignment horizontal="left" vertical="center" wrapText="1" indent="1"/>
    </xf>
    <xf numFmtId="0" fontId="3" fillId="0" borderId="0" xfId="0" applyFont="1" applyFill="1" applyAlignment="1">
      <alignment horizontal="center" vertical="center" wrapText="1"/>
    </xf>
    <xf numFmtId="0" fontId="1" fillId="0" borderId="22" xfId="0" applyFont="1" applyFill="1" applyBorder="1" applyAlignment="1">
      <alignment horizontal="left" vertical="center" wrapText="1"/>
    </xf>
    <xf numFmtId="0" fontId="1" fillId="0" borderId="22" xfId="0" applyFont="1" applyFill="1" applyBorder="1" applyAlignment="1">
      <alignment horizontal="left" vertical="center" wrapText="1" indent="1"/>
    </xf>
    <xf numFmtId="0" fontId="1" fillId="0" borderId="0" xfId="0" applyFont="1" applyFill="1" applyAlignment="1">
      <alignment/>
    </xf>
    <xf numFmtId="3" fontId="1" fillId="0" borderId="22" xfId="0" applyNumberFormat="1" applyFont="1" applyFill="1" applyBorder="1" applyAlignment="1">
      <alignment horizontal="right" vertical="center" wrapText="1" indent="1"/>
    </xf>
    <xf numFmtId="3" fontId="1" fillId="0" borderId="21" xfId="0" applyNumberFormat="1" applyFont="1" applyFill="1" applyBorder="1" applyAlignment="1">
      <alignment horizontal="right" indent="1"/>
    </xf>
    <xf numFmtId="0" fontId="2" fillId="0" borderId="22" xfId="0" applyFont="1" applyFill="1" applyBorder="1" applyAlignment="1">
      <alignment horizontal="left" vertical="top" wrapText="1" indent="1"/>
    </xf>
    <xf numFmtId="3" fontId="2" fillId="0" borderId="22" xfId="0" applyNumberFormat="1" applyFont="1" applyFill="1" applyBorder="1" applyAlignment="1">
      <alignment horizontal="right" vertical="center" wrapText="1" indent="1"/>
    </xf>
    <xf numFmtId="3" fontId="1" fillId="0" borderId="24" xfId="0" applyNumberFormat="1" applyFont="1" applyFill="1" applyBorder="1" applyAlignment="1">
      <alignment horizontal="right" vertical="center" wrapText="1" indent="1"/>
    </xf>
    <xf numFmtId="3" fontId="1" fillId="0" borderId="46" xfId="0" applyNumberFormat="1" applyFont="1" applyFill="1" applyBorder="1" applyAlignment="1">
      <alignment horizontal="right" indent="1"/>
    </xf>
    <xf numFmtId="0" fontId="8" fillId="0" borderId="0" xfId="0" applyFont="1" applyFill="1" applyAlignment="1">
      <alignment horizontal="center" vertical="center"/>
    </xf>
    <xf numFmtId="0" fontId="8" fillId="0" borderId="0" xfId="0" applyFont="1" applyFill="1" applyAlignment="1">
      <alignment horizontal="left" indent="1"/>
    </xf>
    <xf numFmtId="0" fontId="8" fillId="0" borderId="0" xfId="0" applyFont="1" applyFill="1"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2" fillId="0" borderId="0" xfId="0" applyFont="1" applyFill="1" applyAlignment="1">
      <alignment/>
    </xf>
    <xf numFmtId="0" fontId="2" fillId="0" borderId="0" xfId="0" applyFont="1" applyFill="1" applyAlignment="1">
      <alignment horizontal="left" vertical="center" wrapText="1"/>
    </xf>
    <xf numFmtId="0" fontId="1" fillId="0" borderId="23" xfId="0" applyFont="1" applyFill="1" applyBorder="1" applyAlignment="1">
      <alignment horizontal="center" vertical="center" wrapText="1"/>
    </xf>
    <xf numFmtId="0" fontId="1" fillId="0" borderId="0" xfId="0" applyFont="1" applyFill="1" applyAlignment="1">
      <alignment/>
    </xf>
    <xf numFmtId="0" fontId="2" fillId="0" borderId="23" xfId="0" applyFont="1" applyFill="1" applyBorder="1" applyAlignment="1">
      <alignment horizontal="center" vertical="center"/>
    </xf>
    <xf numFmtId="0" fontId="1" fillId="0" borderId="22" xfId="0" applyFont="1" applyFill="1" applyBorder="1" applyAlignment="1">
      <alignment horizontal="left" vertical="top" wrapText="1" indent="1"/>
    </xf>
    <xf numFmtId="0" fontId="2" fillId="0" borderId="0" xfId="0" applyFont="1" applyFill="1" applyAlignment="1">
      <alignment horizontal="left" indent="1"/>
    </xf>
    <xf numFmtId="0" fontId="2" fillId="0" borderId="53" xfId="0" applyFont="1" applyFill="1" applyBorder="1" applyAlignment="1">
      <alignment horizontal="left" vertical="top" wrapText="1" indent="1"/>
    </xf>
    <xf numFmtId="0" fontId="2" fillId="0" borderId="28" xfId="0" applyFont="1" applyFill="1" applyBorder="1" applyAlignment="1">
      <alignment horizontal="center" vertical="center"/>
    </xf>
    <xf numFmtId="0" fontId="1" fillId="0" borderId="24" xfId="0" applyFont="1" applyFill="1" applyBorder="1" applyAlignment="1">
      <alignment horizontal="left" wrapText="1" indent="1"/>
    </xf>
    <xf numFmtId="0" fontId="2" fillId="0" borderId="0" xfId="0" applyFont="1" applyFill="1" applyAlignment="1">
      <alignment horizontal="center" vertical="center"/>
    </xf>
    <xf numFmtId="3" fontId="1" fillId="0" borderId="22" xfId="0" applyNumberFormat="1" applyFont="1" applyFill="1" applyBorder="1" applyAlignment="1">
      <alignment horizontal="right" vertical="center" indent="1"/>
    </xf>
    <xf numFmtId="3" fontId="1" fillId="0" borderId="21" xfId="0" applyNumberFormat="1" applyFont="1" applyFill="1" applyBorder="1" applyAlignment="1">
      <alignment horizontal="right" vertical="center" indent="1"/>
    </xf>
    <xf numFmtId="3" fontId="1" fillId="0" borderId="22" xfId="0" applyNumberFormat="1" applyFont="1" applyFill="1" applyBorder="1" applyAlignment="1">
      <alignment vertical="center" wrapText="1"/>
    </xf>
    <xf numFmtId="3" fontId="1" fillId="0" borderId="24" xfId="0" applyNumberFormat="1" applyFont="1" applyFill="1" applyBorder="1" applyAlignment="1">
      <alignment horizontal="right" vertical="center" indent="1"/>
    </xf>
    <xf numFmtId="3" fontId="1" fillId="0" borderId="46" xfId="0" applyNumberFormat="1" applyFont="1" applyFill="1" applyBorder="1" applyAlignment="1">
      <alignment horizontal="right" vertical="center" indent="1"/>
    </xf>
    <xf numFmtId="49" fontId="2" fillId="0" borderId="22" xfId="0" applyNumberFormat="1" applyFont="1" applyFill="1" applyBorder="1" applyAlignment="1">
      <alignment horizontal="left" vertical="top" wrapText="1" indent="1"/>
    </xf>
    <xf numFmtId="3" fontId="2" fillId="0" borderId="22" xfId="0" applyNumberFormat="1" applyFont="1" applyFill="1" applyBorder="1" applyAlignment="1">
      <alignment vertical="center" wrapText="1"/>
    </xf>
    <xf numFmtId="49" fontId="2" fillId="0" borderId="22" xfId="0" applyNumberFormat="1" applyFont="1" applyFill="1" applyBorder="1" applyAlignment="1">
      <alignment horizontal="left" wrapText="1" indent="1"/>
    </xf>
    <xf numFmtId="3" fontId="2" fillId="0" borderId="22" xfId="0" applyNumberFormat="1" applyFont="1" applyFill="1" applyBorder="1" applyAlignment="1">
      <alignment vertical="center"/>
    </xf>
    <xf numFmtId="0" fontId="2" fillId="0" borderId="0" xfId="0" applyFont="1" applyFill="1" applyBorder="1" applyAlignment="1">
      <alignment vertical="center" wrapText="1"/>
    </xf>
    <xf numFmtId="0" fontId="1" fillId="0" borderId="0" xfId="0" applyFont="1" applyFill="1" applyAlignment="1">
      <alignment horizontal="left" vertical="center"/>
    </xf>
    <xf numFmtId="49" fontId="1" fillId="0" borderId="22" xfId="0" applyNumberFormat="1" applyFont="1" applyFill="1" applyBorder="1" applyAlignment="1">
      <alignment horizontal="left" vertical="top" indent="1"/>
    </xf>
    <xf numFmtId="49" fontId="2" fillId="0" borderId="53" xfId="0" applyNumberFormat="1" applyFont="1" applyFill="1" applyBorder="1" applyAlignment="1">
      <alignment horizontal="left" vertical="top" wrapText="1" indent="1"/>
    </xf>
    <xf numFmtId="3" fontId="2" fillId="0" borderId="53" xfId="0" applyNumberFormat="1" applyFont="1" applyFill="1" applyBorder="1" applyAlignment="1">
      <alignment vertical="center" wrapText="1"/>
    </xf>
    <xf numFmtId="49" fontId="1" fillId="0" borderId="24" xfId="0" applyNumberFormat="1" applyFont="1" applyFill="1" applyBorder="1" applyAlignment="1">
      <alignment horizontal="left" wrapText="1" indent="1"/>
    </xf>
    <xf numFmtId="0" fontId="2" fillId="0" borderId="0" xfId="0" applyFont="1" applyFill="1" applyAlignment="1">
      <alignment horizontal="justify"/>
    </xf>
    <xf numFmtId="3" fontId="2" fillId="0" borderId="0" xfId="0" applyNumberFormat="1" applyFont="1" applyFill="1" applyAlignment="1">
      <alignment horizontal="center" vertical="center"/>
    </xf>
    <xf numFmtId="49" fontId="2" fillId="0" borderId="0" xfId="0" applyNumberFormat="1" applyFont="1" applyFill="1" applyAlignment="1">
      <alignment horizontal="left" wrapText="1" indent="1"/>
    </xf>
    <xf numFmtId="0" fontId="2" fillId="0" borderId="0" xfId="0" applyFont="1" applyFill="1" applyAlignment="1">
      <alignment vertical="center"/>
    </xf>
    <xf numFmtId="3" fontId="2" fillId="0" borderId="0" xfId="0" applyNumberFormat="1" applyFont="1" applyFill="1" applyAlignment="1">
      <alignment vertical="center"/>
    </xf>
    <xf numFmtId="4" fontId="2" fillId="0" borderId="0" xfId="0" applyNumberFormat="1" applyFont="1" applyFill="1" applyAlignment="1">
      <alignment vertical="center"/>
    </xf>
    <xf numFmtId="3" fontId="1" fillId="0" borderId="21" xfId="0" applyNumberFormat="1" applyFont="1" applyFill="1" applyBorder="1" applyAlignment="1">
      <alignment horizontal="right" vertical="center" wrapText="1" indent="1"/>
    </xf>
    <xf numFmtId="3" fontId="2" fillId="0" borderId="46" xfId="0" applyNumberFormat="1" applyFont="1" applyFill="1" applyBorder="1" applyAlignment="1">
      <alignment horizontal="right" vertical="center" wrapText="1" indent="1"/>
    </xf>
    <xf numFmtId="49" fontId="2" fillId="0" borderId="0" xfId="0" applyNumberFormat="1" applyFont="1" applyFill="1" applyAlignment="1">
      <alignment/>
    </xf>
    <xf numFmtId="49" fontId="1" fillId="0" borderId="22" xfId="0" applyNumberFormat="1" applyFont="1" applyFill="1" applyBorder="1" applyAlignment="1">
      <alignment horizontal="center" vertical="center" wrapText="1"/>
    </xf>
    <xf numFmtId="0" fontId="2" fillId="0" borderId="0" xfId="0" applyFont="1" applyFill="1" applyAlignment="1">
      <alignment wrapText="1"/>
    </xf>
    <xf numFmtId="3" fontId="2" fillId="0" borderId="21" xfId="0" applyNumberFormat="1" applyFont="1" applyFill="1" applyBorder="1" applyAlignment="1">
      <alignment horizontal="right" vertical="center" wrapText="1" indent="1"/>
    </xf>
    <xf numFmtId="3" fontId="2" fillId="0" borderId="24" xfId="0" applyNumberFormat="1" applyFont="1" applyFill="1" applyBorder="1" applyAlignment="1">
      <alignment horizontal="right" vertical="center" wrapText="1" indent="1"/>
    </xf>
    <xf numFmtId="3" fontId="2" fillId="0" borderId="46" xfId="0" applyNumberFormat="1" applyFont="1" applyFill="1" applyBorder="1" applyAlignment="1">
      <alignment horizontal="right" vertical="center" wrapText="1" indent="1"/>
    </xf>
    <xf numFmtId="49" fontId="2" fillId="0" borderId="0" xfId="0" applyNumberFormat="1" applyFont="1" applyFill="1" applyAlignment="1">
      <alignment horizontal="left" vertical="center"/>
    </xf>
    <xf numFmtId="3" fontId="2" fillId="0" borderId="0" xfId="0" applyNumberFormat="1" applyFont="1" applyFill="1" applyAlignment="1">
      <alignment/>
    </xf>
    <xf numFmtId="49" fontId="2" fillId="0" borderId="0" xfId="0" applyNumberFormat="1" applyFont="1" applyFill="1" applyAlignment="1">
      <alignment/>
    </xf>
    <xf numFmtId="3" fontId="1" fillId="0" borderId="21" xfId="0" applyNumberFormat="1" applyFont="1" applyFill="1" applyBorder="1" applyAlignment="1">
      <alignment horizontal="right" vertical="center" wrapText="1"/>
    </xf>
    <xf numFmtId="3" fontId="2" fillId="0" borderId="22" xfId="0" applyNumberFormat="1" applyFont="1" applyFill="1" applyBorder="1" applyAlignment="1">
      <alignment horizontal="right" vertical="center" wrapText="1"/>
    </xf>
    <xf numFmtId="3" fontId="2" fillId="0" borderId="21" xfId="0" applyNumberFormat="1" applyFont="1" applyFill="1" applyBorder="1" applyAlignment="1">
      <alignment horizontal="right" vertical="center" wrapText="1"/>
    </xf>
    <xf numFmtId="3" fontId="1" fillId="0" borderId="24" xfId="0" applyNumberFormat="1" applyFont="1" applyFill="1" applyBorder="1" applyAlignment="1">
      <alignment horizontal="right" vertical="center" wrapText="1"/>
    </xf>
    <xf numFmtId="3" fontId="1" fillId="0" borderId="46" xfId="0" applyNumberFormat="1" applyFont="1" applyFill="1" applyBorder="1" applyAlignment="1">
      <alignment horizontal="right" vertical="center" wrapText="1"/>
    </xf>
    <xf numFmtId="49" fontId="1" fillId="0" borderId="22" xfId="0" applyNumberFormat="1" applyFont="1" applyFill="1" applyBorder="1" applyAlignment="1">
      <alignment horizontal="left" vertical="top" wrapText="1"/>
    </xf>
    <xf numFmtId="3" fontId="2" fillId="0" borderId="55" xfId="84" applyNumberFormat="1" applyFont="1" applyFill="1" applyBorder="1" applyAlignment="1">
      <alignment horizontal="right"/>
      <protection/>
    </xf>
    <xf numFmtId="3" fontId="2" fillId="0" borderId="55" xfId="84" applyNumberFormat="1" applyFont="1" applyFill="1" applyBorder="1" applyAlignment="1">
      <alignment horizontal="right" vertical="center"/>
      <protection/>
    </xf>
    <xf numFmtId="49" fontId="2" fillId="0" borderId="22" xfId="0" applyNumberFormat="1" applyFont="1" applyFill="1" applyBorder="1" applyAlignment="1">
      <alignment horizontal="left" vertical="center" wrapText="1"/>
    </xf>
    <xf numFmtId="49" fontId="1" fillId="0" borderId="24" xfId="0" applyNumberFormat="1" applyFont="1" applyFill="1" applyBorder="1" applyAlignment="1">
      <alignment horizontal="left" vertical="top" wrapText="1" indent="1"/>
    </xf>
    <xf numFmtId="0" fontId="2" fillId="0" borderId="56" xfId="0" applyFont="1" applyFill="1" applyBorder="1" applyAlignment="1">
      <alignment horizontal="center" vertical="center"/>
    </xf>
    <xf numFmtId="49" fontId="2" fillId="0" borderId="0" xfId="0" applyNumberFormat="1" applyFont="1" applyFill="1" applyAlignment="1">
      <alignment horizontal="left" wrapText="1"/>
    </xf>
    <xf numFmtId="174" fontId="2" fillId="0" borderId="0" xfId="0" applyNumberFormat="1" applyFont="1" applyFill="1" applyAlignment="1">
      <alignment/>
    </xf>
    <xf numFmtId="4" fontId="2" fillId="0" borderId="0" xfId="0" applyNumberFormat="1" applyFont="1" applyFill="1" applyAlignment="1">
      <alignment/>
    </xf>
    <xf numFmtId="0" fontId="24" fillId="0" borderId="0" xfId="0" applyFont="1" applyFill="1" applyAlignment="1">
      <alignment/>
    </xf>
    <xf numFmtId="4" fontId="24" fillId="0" borderId="0" xfId="0" applyNumberFormat="1" applyFont="1" applyFill="1" applyAlignment="1">
      <alignment/>
    </xf>
    <xf numFmtId="0" fontId="2" fillId="0" borderId="0" xfId="84" applyFont="1" applyFill="1" applyAlignment="1">
      <alignment vertical="center" wrapText="1"/>
      <protection/>
    </xf>
    <xf numFmtId="0" fontId="1" fillId="0" borderId="0" xfId="84" applyFont="1" applyFill="1" applyAlignment="1">
      <alignment vertical="center" wrapText="1"/>
      <protection/>
    </xf>
    <xf numFmtId="0" fontId="1" fillId="0" borderId="0" xfId="84" applyFont="1" applyFill="1" applyBorder="1" applyAlignment="1">
      <alignment vertical="center" wrapText="1"/>
      <protection/>
    </xf>
    <xf numFmtId="0" fontId="2" fillId="0" borderId="23" xfId="84" applyFont="1" applyFill="1" applyBorder="1" applyAlignment="1">
      <alignment horizontal="center" vertical="center" wrapText="1"/>
      <protection/>
    </xf>
    <xf numFmtId="3" fontId="1" fillId="0" borderId="22" xfId="84" applyNumberFormat="1" applyFont="1" applyFill="1" applyBorder="1" applyAlignment="1">
      <alignment horizontal="right" vertical="center" wrapText="1" indent="1"/>
      <protection/>
    </xf>
    <xf numFmtId="3" fontId="1" fillId="0" borderId="21" xfId="84" applyNumberFormat="1" applyFont="1" applyFill="1" applyBorder="1" applyAlignment="1">
      <alignment horizontal="right" vertical="center" wrapText="1" indent="1"/>
      <protection/>
    </xf>
    <xf numFmtId="0" fontId="2" fillId="0" borderId="0" xfId="84" applyFont="1" applyFill="1" applyBorder="1" applyAlignment="1">
      <alignment vertical="center" wrapText="1"/>
      <protection/>
    </xf>
    <xf numFmtId="3" fontId="2" fillId="0" borderId="22" xfId="61" applyNumberFormat="1" applyFont="1" applyFill="1" applyBorder="1" applyAlignment="1">
      <alignment horizontal="right" vertical="center" wrapText="1" indent="1"/>
    </xf>
    <xf numFmtId="0" fontId="2" fillId="0" borderId="28" xfId="84" applyFont="1" applyFill="1" applyBorder="1" applyAlignment="1">
      <alignment horizontal="center" vertical="center" wrapText="1"/>
      <protection/>
    </xf>
    <xf numFmtId="49" fontId="1" fillId="0" borderId="24" xfId="84" applyNumberFormat="1" applyFont="1" applyFill="1" applyBorder="1" applyAlignment="1">
      <alignment horizontal="left" vertical="center" wrapText="1" indent="1"/>
      <protection/>
    </xf>
    <xf numFmtId="3" fontId="1" fillId="0" borderId="24" xfId="84" applyNumberFormat="1" applyFont="1" applyFill="1" applyBorder="1" applyAlignment="1">
      <alignment horizontal="right" vertical="center" wrapText="1" indent="1"/>
      <protection/>
    </xf>
    <xf numFmtId="3" fontId="1" fillId="0" borderId="46" xfId="84" applyNumberFormat="1" applyFont="1" applyFill="1" applyBorder="1" applyAlignment="1">
      <alignment horizontal="right" vertical="center" wrapText="1" indent="1"/>
      <protection/>
    </xf>
    <xf numFmtId="0" fontId="2" fillId="0" borderId="0" xfId="84" applyFont="1" applyFill="1" applyAlignment="1">
      <alignment horizontal="left" vertical="center" wrapText="1"/>
      <protection/>
    </xf>
    <xf numFmtId="0" fontId="2" fillId="0" borderId="0" xfId="84" applyFont="1" applyFill="1" applyAlignment="1">
      <alignment horizontal="center" vertical="center" wrapText="1"/>
      <protection/>
    </xf>
    <xf numFmtId="49" fontId="2" fillId="0" borderId="0" xfId="84" applyNumberFormat="1" applyFont="1" applyFill="1" applyAlignment="1">
      <alignment horizontal="left" vertical="center" wrapText="1" indent="1"/>
      <protection/>
    </xf>
    <xf numFmtId="0" fontId="69" fillId="0" borderId="0" xfId="84" applyFont="1" applyFill="1" applyAlignment="1">
      <alignment vertical="center"/>
      <protection/>
    </xf>
    <xf numFmtId="0" fontId="2" fillId="0" borderId="22" xfId="83" applyFont="1" applyFill="1" applyBorder="1" applyAlignment="1">
      <alignment horizontal="left" vertical="center" wrapText="1" indent="1"/>
      <protection/>
    </xf>
    <xf numFmtId="0" fontId="2" fillId="0" borderId="0" xfId="83" applyFont="1" applyFill="1">
      <alignment/>
      <protection/>
    </xf>
    <xf numFmtId="0" fontId="1" fillId="0" borderId="0" xfId="83" applyFont="1" applyFill="1" applyAlignment="1">
      <alignment horizontal="center"/>
      <protection/>
    </xf>
    <xf numFmtId="0" fontId="1" fillId="0" borderId="22" xfId="83" applyFont="1" applyFill="1" applyBorder="1" applyAlignment="1">
      <alignment horizontal="center" vertical="center" wrapText="1"/>
      <protection/>
    </xf>
    <xf numFmtId="0" fontId="1" fillId="0" borderId="23" xfId="83" applyFont="1" applyFill="1" applyBorder="1" applyAlignment="1">
      <alignment vertical="center"/>
      <protection/>
    </xf>
    <xf numFmtId="0" fontId="1" fillId="0" borderId="22" xfId="83" applyFont="1" applyFill="1" applyBorder="1" applyAlignment="1">
      <alignment vertical="center"/>
      <protection/>
    </xf>
    <xf numFmtId="0" fontId="1" fillId="0" borderId="22" xfId="83" applyFont="1" applyFill="1" applyBorder="1" applyAlignment="1">
      <alignment horizontal="center" vertical="center"/>
      <protection/>
    </xf>
    <xf numFmtId="0" fontId="1" fillId="0" borderId="21" xfId="83" applyFont="1" applyFill="1" applyBorder="1" applyAlignment="1">
      <alignment horizontal="center" vertical="center"/>
      <protection/>
    </xf>
    <xf numFmtId="0" fontId="2" fillId="0" borderId="23" xfId="83" applyFont="1" applyFill="1" applyBorder="1" applyAlignment="1">
      <alignment horizontal="center" vertical="center"/>
      <protection/>
    </xf>
    <xf numFmtId="0" fontId="1" fillId="0" borderId="22" xfId="83" applyFont="1" applyFill="1" applyBorder="1" applyAlignment="1">
      <alignment horizontal="left" vertical="center" indent="1"/>
      <protection/>
    </xf>
    <xf numFmtId="3" fontId="2" fillId="0" borderId="0" xfId="83" applyNumberFormat="1" applyFont="1" applyFill="1">
      <alignment/>
      <protection/>
    </xf>
    <xf numFmtId="0" fontId="53" fillId="0" borderId="56" xfId="83" applyFont="1" applyFill="1" applyBorder="1" applyAlignment="1">
      <alignment wrapText="1"/>
      <protection/>
    </xf>
    <xf numFmtId="3" fontId="2" fillId="0" borderId="21" xfId="0" applyNumberFormat="1" applyFont="1" applyFill="1" applyBorder="1" applyAlignment="1">
      <alignment horizontal="center" vertical="center" wrapText="1"/>
    </xf>
    <xf numFmtId="0" fontId="1" fillId="0" borderId="0" xfId="83" applyFont="1" applyFill="1">
      <alignment/>
      <protection/>
    </xf>
    <xf numFmtId="0" fontId="2" fillId="0" borderId="22" xfId="83" applyFont="1" applyFill="1" applyBorder="1" applyAlignment="1">
      <alignment horizontal="left" vertical="center" indent="1"/>
      <protection/>
    </xf>
    <xf numFmtId="0" fontId="2" fillId="0" borderId="24" xfId="83" applyFont="1" applyFill="1" applyBorder="1" applyAlignment="1">
      <alignment horizontal="left" vertical="center" indent="1"/>
      <protection/>
    </xf>
    <xf numFmtId="3" fontId="2" fillId="0" borderId="24" xfId="0" applyNumberFormat="1" applyFont="1" applyFill="1" applyBorder="1" applyAlignment="1">
      <alignment horizontal="center" vertical="center" wrapText="1"/>
    </xf>
    <xf numFmtId="189" fontId="19" fillId="0" borderId="22" xfId="83" applyNumberFormat="1" applyFont="1" applyFill="1" applyBorder="1" applyAlignment="1">
      <alignment horizontal="right"/>
      <protection/>
    </xf>
    <xf numFmtId="0" fontId="1" fillId="0" borderId="0" xfId="0" applyFont="1" applyFill="1" applyBorder="1" applyAlignment="1">
      <alignment horizontal="left" vertical="center" wrapText="1"/>
    </xf>
    <xf numFmtId="0" fontId="1" fillId="0" borderId="47" xfId="0" applyFont="1" applyFill="1" applyBorder="1" applyAlignment="1">
      <alignment horizontal="center" vertical="center" wrapText="1"/>
    </xf>
    <xf numFmtId="0" fontId="1" fillId="0" borderId="54" xfId="0" applyFont="1" applyFill="1" applyBorder="1" applyAlignment="1">
      <alignment horizontal="center" vertical="center" wrapText="1"/>
    </xf>
    <xf numFmtId="3" fontId="1" fillId="0" borderId="47" xfId="0" applyNumberFormat="1" applyFont="1" applyFill="1" applyBorder="1" applyAlignment="1">
      <alignment horizontal="right" vertical="center" wrapText="1" indent="1"/>
    </xf>
    <xf numFmtId="3" fontId="1" fillId="0" borderId="50" xfId="0" applyNumberFormat="1" applyFont="1" applyFill="1" applyBorder="1" applyAlignment="1">
      <alignment horizontal="right" vertical="center" wrapText="1" indent="1"/>
    </xf>
    <xf numFmtId="3" fontId="1" fillId="0" borderId="57" xfId="0" applyNumberFormat="1" applyFont="1" applyFill="1" applyBorder="1" applyAlignment="1">
      <alignment horizontal="right" vertical="center" wrapText="1" indent="1"/>
    </xf>
    <xf numFmtId="3" fontId="2" fillId="0" borderId="46" xfId="0" applyNumberFormat="1" applyFont="1" applyFill="1" applyBorder="1" applyAlignment="1">
      <alignment horizontal="center" vertical="center" wrapText="1"/>
    </xf>
    <xf numFmtId="49" fontId="2" fillId="0" borderId="0" xfId="0" applyNumberFormat="1" applyFont="1" applyFill="1" applyBorder="1" applyAlignment="1">
      <alignment vertical="center" wrapText="1"/>
    </xf>
    <xf numFmtId="49" fontId="2" fillId="0" borderId="0" xfId="0" applyNumberFormat="1" applyFont="1" applyFill="1" applyAlignment="1">
      <alignment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44" xfId="0" applyFont="1" applyFill="1" applyBorder="1" applyAlignment="1">
      <alignment vertical="center" wrapText="1"/>
    </xf>
    <xf numFmtId="0" fontId="2" fillId="0" borderId="28" xfId="0" applyFont="1" applyFill="1" applyBorder="1" applyAlignment="1">
      <alignment horizontal="center" vertical="center" wrapText="1"/>
    </xf>
    <xf numFmtId="49" fontId="2" fillId="0" borderId="0" xfId="0" applyNumberFormat="1" applyFont="1" applyFill="1" applyBorder="1" applyAlignment="1">
      <alignment vertical="center" wrapText="1"/>
    </xf>
    <xf numFmtId="49" fontId="2" fillId="0" borderId="0" xfId="0" applyNumberFormat="1" applyFont="1" applyFill="1" applyAlignment="1">
      <alignment vertical="center" wrapText="1"/>
    </xf>
    <xf numFmtId="49" fontId="1" fillId="0" borderId="22" xfId="0" applyNumberFormat="1" applyFont="1" applyFill="1" applyBorder="1" applyAlignment="1">
      <alignment horizontal="left" vertical="center" wrapText="1"/>
    </xf>
    <xf numFmtId="0" fontId="0" fillId="0" borderId="0" xfId="0" applyFont="1" applyFill="1" applyBorder="1" applyAlignment="1">
      <alignment/>
    </xf>
    <xf numFmtId="3" fontId="2" fillId="0" borderId="46" xfId="0" applyNumberFormat="1" applyFont="1" applyFill="1" applyBorder="1" applyAlignment="1">
      <alignment horizontal="center" vertical="center" wrapText="1"/>
    </xf>
    <xf numFmtId="0" fontId="24" fillId="0" borderId="0" xfId="0" applyFont="1" applyFill="1" applyAlignment="1">
      <alignment horizontal="center" vertical="center" wrapText="1"/>
    </xf>
    <xf numFmtId="0" fontId="2" fillId="0" borderId="23" xfId="0" applyFont="1" applyFill="1" applyBorder="1" applyAlignment="1">
      <alignment horizontal="center" wrapText="1"/>
    </xf>
    <xf numFmtId="49" fontId="1" fillId="0" borderId="22" xfId="0" applyNumberFormat="1" applyFont="1" applyFill="1" applyBorder="1" applyAlignment="1">
      <alignment vertical="top" wrapText="1"/>
    </xf>
    <xf numFmtId="4" fontId="1" fillId="0" borderId="24" xfId="0" applyNumberFormat="1" applyFont="1" applyFill="1" applyBorder="1" applyAlignment="1">
      <alignment horizontal="right" vertical="center" wrapText="1" indent="1"/>
    </xf>
    <xf numFmtId="0" fontId="1" fillId="0" borderId="22" xfId="0" applyFont="1" applyFill="1" applyBorder="1" applyAlignment="1">
      <alignment horizontal="left" vertical="center" wrapText="1"/>
    </xf>
    <xf numFmtId="4" fontId="1" fillId="0" borderId="24" xfId="0" applyNumberFormat="1" applyFont="1" applyFill="1" applyBorder="1" applyAlignment="1">
      <alignment horizontal="right" vertical="center" wrapText="1" indent="1"/>
    </xf>
    <xf numFmtId="4" fontId="1" fillId="0" borderId="46" xfId="0" applyNumberFormat="1" applyFont="1" applyFill="1" applyBorder="1" applyAlignment="1">
      <alignment horizontal="right" vertical="center" wrapText="1" indent="1"/>
    </xf>
    <xf numFmtId="3" fontId="1" fillId="0" borderId="0" xfId="0" applyNumberFormat="1" applyFont="1" applyFill="1" applyBorder="1" applyAlignment="1">
      <alignment horizontal="right" vertical="center" wrapText="1" indent="1"/>
    </xf>
    <xf numFmtId="0" fontId="1" fillId="0" borderId="0" xfId="0" applyFont="1" applyFill="1" applyBorder="1" applyAlignment="1">
      <alignment horizontal="center" vertical="center"/>
    </xf>
    <xf numFmtId="3" fontId="2" fillId="0" borderId="22" xfId="0" applyNumberFormat="1" applyFont="1" applyFill="1" applyBorder="1" applyAlignment="1">
      <alignment horizontal="right" vertical="center" wrapText="1" indent="2"/>
    </xf>
    <xf numFmtId="49" fontId="2" fillId="0" borderId="0" xfId="0" applyNumberFormat="1" applyFont="1" applyFill="1" applyBorder="1" applyAlignment="1">
      <alignment/>
    </xf>
    <xf numFmtId="0" fontId="24" fillId="0" borderId="0" xfId="0" applyFont="1" applyFill="1" applyBorder="1" applyAlignment="1">
      <alignment horizontal="left"/>
    </xf>
    <xf numFmtId="0" fontId="24" fillId="0" borderId="0" xfId="0" applyFont="1" applyFill="1" applyBorder="1" applyAlignment="1">
      <alignment horizontal="left" vertical="center"/>
    </xf>
    <xf numFmtId="3" fontId="24" fillId="0" borderId="0" xfId="0" applyNumberFormat="1" applyFont="1" applyFill="1" applyBorder="1" applyAlignment="1">
      <alignment horizontal="left" vertical="center"/>
    </xf>
    <xf numFmtId="0" fontId="19" fillId="0" borderId="0" xfId="0" applyFont="1" applyFill="1" applyBorder="1" applyAlignment="1">
      <alignment vertical="center"/>
    </xf>
    <xf numFmtId="4" fontId="1" fillId="0" borderId="22" xfId="0" applyNumberFormat="1" applyFont="1" applyFill="1" applyBorder="1" applyAlignment="1">
      <alignment horizontal="right" vertical="center" wrapText="1" indent="1"/>
    </xf>
    <xf numFmtId="0" fontId="2" fillId="0" borderId="0" xfId="0" applyFont="1" applyFill="1" applyBorder="1" applyAlignment="1">
      <alignment wrapText="1"/>
    </xf>
    <xf numFmtId="189" fontId="2" fillId="0" borderId="0" xfId="0" applyNumberFormat="1" applyFont="1" applyFill="1" applyBorder="1" applyAlignment="1">
      <alignment/>
    </xf>
    <xf numFmtId="0" fontId="2" fillId="0" borderId="22" xfId="0" applyFont="1" applyFill="1" applyBorder="1" applyAlignment="1">
      <alignment horizontal="left" vertical="center" wrapText="1" indent="1"/>
    </xf>
    <xf numFmtId="4" fontId="1" fillId="0" borderId="22" xfId="0" applyNumberFormat="1" applyFont="1" applyFill="1" applyBorder="1" applyAlignment="1">
      <alignment horizontal="right" vertical="center" wrapText="1" indent="1"/>
    </xf>
    <xf numFmtId="0" fontId="1" fillId="0" borderId="24" xfId="0" applyFont="1" applyFill="1" applyBorder="1" applyAlignment="1">
      <alignment horizontal="left" vertical="center" wrapText="1" indent="1"/>
    </xf>
    <xf numFmtId="0" fontId="2" fillId="0" borderId="0" xfId="0" applyFont="1" applyFill="1" applyBorder="1" applyAlignment="1">
      <alignment vertical="center"/>
    </xf>
    <xf numFmtId="3" fontId="2" fillId="0" borderId="22" xfId="0" applyNumberFormat="1" applyFont="1" applyFill="1" applyBorder="1" applyAlignment="1">
      <alignment horizontal="right" vertical="top" wrapText="1" indent="2"/>
    </xf>
    <xf numFmtId="1" fontId="2" fillId="0" borderId="22" xfId="0" applyNumberFormat="1" applyFont="1" applyFill="1" applyBorder="1" applyAlignment="1">
      <alignment horizontal="right" vertical="center" wrapText="1" indent="2"/>
    </xf>
    <xf numFmtId="1" fontId="2" fillId="0" borderId="22" xfId="0" applyNumberFormat="1" applyFont="1" applyFill="1" applyBorder="1" applyAlignment="1">
      <alignment horizontal="right" vertical="center" wrapText="1" indent="1"/>
    </xf>
    <xf numFmtId="1" fontId="1" fillId="0" borderId="22" xfId="0" applyNumberFormat="1" applyFont="1" applyFill="1" applyBorder="1" applyAlignment="1">
      <alignment horizontal="right" vertical="center" wrapText="1" indent="1"/>
    </xf>
    <xf numFmtId="3" fontId="2" fillId="0" borderId="24" xfId="0" applyNumberFormat="1" applyFont="1" applyFill="1" applyBorder="1" applyAlignment="1">
      <alignment horizontal="right" vertical="center" indent="1"/>
    </xf>
    <xf numFmtId="3" fontId="19" fillId="0" borderId="0" xfId="0" applyNumberFormat="1" applyFont="1" applyFill="1" applyBorder="1" applyAlignment="1">
      <alignment vertical="center"/>
    </xf>
    <xf numFmtId="0" fontId="1" fillId="0" borderId="23" xfId="0" applyFont="1" applyFill="1" applyBorder="1" applyAlignment="1">
      <alignment horizontal="left" vertical="center" wrapText="1" indent="1"/>
    </xf>
    <xf numFmtId="0" fontId="1" fillId="0" borderId="21" xfId="0" applyFont="1" applyFill="1" applyBorder="1" applyAlignment="1">
      <alignment horizontal="right" vertical="center" wrapText="1" indent="1"/>
    </xf>
    <xf numFmtId="4" fontId="2" fillId="0" borderId="22" xfId="0" applyNumberFormat="1" applyFont="1" applyFill="1" applyBorder="1" applyAlignment="1">
      <alignment horizontal="right" vertical="center" wrapText="1" indent="1"/>
    </xf>
    <xf numFmtId="0" fontId="2" fillId="0" borderId="21" xfId="0" applyFont="1" applyFill="1" applyBorder="1" applyAlignment="1">
      <alignment horizontal="left" vertical="center" wrapText="1"/>
    </xf>
    <xf numFmtId="0" fontId="2" fillId="0" borderId="21" xfId="0" applyFont="1" applyFill="1" applyBorder="1" applyAlignment="1">
      <alignment vertical="center" wrapText="1"/>
    </xf>
    <xf numFmtId="0" fontId="2" fillId="0" borderId="21" xfId="0" applyFont="1" applyFill="1" applyBorder="1" applyAlignment="1">
      <alignment horizontal="left" wrapText="1" indent="1"/>
    </xf>
    <xf numFmtId="0" fontId="1" fillId="0" borderId="53" xfId="0" applyFont="1" applyFill="1" applyBorder="1" applyAlignment="1">
      <alignment horizontal="left" vertical="center" wrapText="1" indent="1"/>
    </xf>
    <xf numFmtId="4" fontId="2" fillId="0" borderId="53" xfId="0" applyNumberFormat="1" applyFont="1" applyFill="1" applyBorder="1" applyAlignment="1">
      <alignment horizontal="right" vertical="center" wrapText="1" indent="1"/>
    </xf>
    <xf numFmtId="0" fontId="2" fillId="0" borderId="58" xfId="0" applyFont="1" applyFill="1" applyBorder="1" applyAlignment="1">
      <alignment horizontal="left" vertical="center" wrapText="1" indent="1"/>
    </xf>
    <xf numFmtId="0" fontId="2" fillId="0" borderId="46" xfId="0" applyFont="1" applyFill="1" applyBorder="1" applyAlignment="1">
      <alignment horizontal="right" vertical="center" wrapText="1" indent="1"/>
    </xf>
    <xf numFmtId="0" fontId="2" fillId="0" borderId="0" xfId="0" applyFont="1" applyFill="1" applyBorder="1" applyAlignment="1">
      <alignment horizontal="left" vertical="center" wrapText="1"/>
    </xf>
    <xf numFmtId="0" fontId="2" fillId="0" borderId="22" xfId="85" applyFont="1" applyFill="1" applyBorder="1" applyAlignment="1">
      <alignment horizontal="center" vertical="center" wrapText="1"/>
      <protection/>
    </xf>
    <xf numFmtId="49" fontId="2" fillId="0" borderId="22" xfId="85" applyNumberFormat="1" applyFont="1" applyFill="1" applyBorder="1" applyAlignment="1">
      <alignment horizontal="left" vertical="center" wrapText="1" indent="1"/>
      <protection/>
    </xf>
    <xf numFmtId="3" fontId="2" fillId="0" borderId="22" xfId="85" applyNumberFormat="1" applyFont="1" applyFill="1" applyBorder="1" applyAlignment="1">
      <alignment horizontal="right" vertical="center" wrapText="1" indent="1"/>
      <protection/>
    </xf>
    <xf numFmtId="0" fontId="2" fillId="0" borderId="22" xfId="85" applyFont="1" applyFill="1" applyBorder="1" applyAlignment="1">
      <alignment horizontal="left" vertical="top" wrapText="1" indent="1"/>
      <protection/>
    </xf>
    <xf numFmtId="3" fontId="2" fillId="0" borderId="53" xfId="85" applyNumberFormat="1" applyFont="1" applyFill="1" applyBorder="1" applyAlignment="1">
      <alignment horizontal="right" vertical="center" wrapText="1" indent="1"/>
      <protection/>
    </xf>
    <xf numFmtId="0" fontId="2" fillId="0" borderId="53" xfId="85" applyFont="1" applyFill="1" applyBorder="1" applyAlignment="1">
      <alignment horizontal="left" vertical="top" wrapText="1" indent="1"/>
      <protection/>
    </xf>
    <xf numFmtId="49" fontId="1" fillId="0" borderId="22" xfId="85" applyNumberFormat="1" applyFont="1" applyFill="1" applyBorder="1" applyAlignment="1">
      <alignment horizontal="left" vertical="center" wrapText="1" indent="1"/>
      <protection/>
    </xf>
    <xf numFmtId="3" fontId="1" fillId="0" borderId="22" xfId="85" applyNumberFormat="1" applyFont="1" applyFill="1" applyBorder="1" applyAlignment="1">
      <alignment horizontal="right" vertical="center" wrapText="1" indent="1"/>
      <protection/>
    </xf>
    <xf numFmtId="0" fontId="8" fillId="0" borderId="22" xfId="0" applyFont="1" applyFill="1" applyBorder="1" applyAlignment="1">
      <alignment horizontal="left" vertical="center" wrapText="1" indent="1"/>
    </xf>
    <xf numFmtId="3" fontId="1" fillId="0" borderId="53" xfId="0" applyNumberFormat="1" applyFont="1" applyFill="1" applyBorder="1" applyAlignment="1">
      <alignment horizontal="right" vertical="center" wrapText="1" indent="1"/>
    </xf>
    <xf numFmtId="3" fontId="2" fillId="0" borderId="0" xfId="0" applyNumberFormat="1" applyFont="1" applyFill="1" applyAlignment="1">
      <alignment vertical="center" wrapText="1"/>
    </xf>
    <xf numFmtId="0" fontId="2" fillId="0" borderId="33" xfId="0" applyFont="1" applyFill="1" applyBorder="1" applyAlignment="1">
      <alignment horizontal="center" vertical="center" wrapText="1"/>
    </xf>
    <xf numFmtId="49" fontId="2" fillId="0" borderId="53" xfId="0" applyNumberFormat="1" applyFont="1" applyFill="1" applyBorder="1" applyAlignment="1">
      <alignment horizontal="left" vertical="center" wrapText="1" indent="1"/>
    </xf>
    <xf numFmtId="49" fontId="1" fillId="0" borderId="22" xfId="0" applyNumberFormat="1" applyFont="1" applyFill="1" applyBorder="1" applyAlignment="1">
      <alignment vertical="center" wrapText="1"/>
    </xf>
    <xf numFmtId="0" fontId="1" fillId="0" borderId="0" xfId="0" applyFont="1" applyFill="1" applyBorder="1" applyAlignment="1">
      <alignment horizontal="left" vertical="center" wrapText="1" indent="1"/>
    </xf>
    <xf numFmtId="0" fontId="1" fillId="0" borderId="0" xfId="0" applyFont="1" applyFill="1" applyBorder="1" applyAlignment="1">
      <alignment horizontal="center" vertical="center" wrapText="1"/>
    </xf>
    <xf numFmtId="3" fontId="2" fillId="0" borderId="59" xfId="0" applyNumberFormat="1" applyFont="1" applyFill="1" applyBorder="1" applyAlignment="1">
      <alignment horizontal="right" vertical="center" wrapText="1" indent="1"/>
    </xf>
    <xf numFmtId="3" fontId="1" fillId="0" borderId="54" xfId="0" applyNumberFormat="1" applyFont="1" applyFill="1" applyBorder="1" applyAlignment="1">
      <alignment horizontal="right" vertical="center" wrapText="1" indent="1"/>
    </xf>
    <xf numFmtId="3" fontId="2" fillId="0" borderId="60" xfId="0" applyNumberFormat="1" applyFont="1" applyFill="1" applyBorder="1" applyAlignment="1">
      <alignment horizontal="right" vertical="center" wrapText="1" indent="1"/>
    </xf>
    <xf numFmtId="0" fontId="2" fillId="0" borderId="61" xfId="0" applyFont="1" applyFill="1" applyBorder="1" applyAlignment="1">
      <alignment horizontal="center" vertical="center" wrapText="1"/>
    </xf>
    <xf numFmtId="0" fontId="1" fillId="0" borderId="62" xfId="0" applyFont="1" applyFill="1" applyBorder="1" applyAlignment="1">
      <alignment horizontal="left" vertical="center" wrapText="1" indent="1"/>
    </xf>
    <xf numFmtId="3" fontId="2" fillId="0" borderId="63" xfId="0" applyNumberFormat="1" applyFont="1" applyFill="1" applyBorder="1" applyAlignment="1">
      <alignment horizontal="right" vertical="center" wrapText="1" indent="1"/>
    </xf>
    <xf numFmtId="49" fontId="22" fillId="0" borderId="0" xfId="0" applyNumberFormat="1" applyFont="1" applyFill="1" applyAlignment="1">
      <alignment/>
    </xf>
    <xf numFmtId="3" fontId="1" fillId="0" borderId="0" xfId="88" applyNumberFormat="1" applyFont="1" applyFill="1" applyBorder="1" applyAlignment="1">
      <alignment vertical="center" wrapText="1"/>
      <protection/>
    </xf>
    <xf numFmtId="0" fontId="1" fillId="0" borderId="22" xfId="88" applyFont="1" applyFill="1" applyBorder="1" applyAlignment="1">
      <alignment horizontal="center" vertical="center" wrapText="1"/>
      <protection/>
    </xf>
    <xf numFmtId="0" fontId="1" fillId="0" borderId="21" xfId="88" applyFont="1" applyFill="1" applyBorder="1" applyAlignment="1">
      <alignment horizontal="center" vertical="center" wrapText="1"/>
      <protection/>
    </xf>
    <xf numFmtId="3" fontId="1" fillId="0" borderId="0" xfId="88" applyNumberFormat="1" applyFont="1" applyFill="1" applyBorder="1" applyAlignment="1">
      <alignment horizontal="center" vertical="center" wrapText="1"/>
      <protection/>
    </xf>
    <xf numFmtId="3" fontId="2" fillId="0" borderId="23" xfId="88" applyNumberFormat="1" applyFont="1" applyFill="1" applyBorder="1" applyAlignment="1">
      <alignment vertical="center" wrapText="1"/>
      <protection/>
    </xf>
    <xf numFmtId="3" fontId="2" fillId="0" borderId="22" xfId="88" applyNumberFormat="1" applyFont="1" applyFill="1" applyBorder="1" applyAlignment="1">
      <alignment horizontal="center" vertical="center" wrapText="1"/>
      <protection/>
    </xf>
    <xf numFmtId="3" fontId="2" fillId="0" borderId="0" xfId="88" applyNumberFormat="1" applyFont="1" applyFill="1" applyBorder="1" applyAlignment="1">
      <alignment horizontal="center" vertical="center" wrapText="1"/>
      <protection/>
    </xf>
    <xf numFmtId="3" fontId="2" fillId="0" borderId="21" xfId="88" applyNumberFormat="1" applyFont="1" applyFill="1" applyBorder="1" applyAlignment="1">
      <alignment horizontal="center" vertical="center" wrapText="1"/>
      <protection/>
    </xf>
    <xf numFmtId="3" fontId="2" fillId="0" borderId="0" xfId="88" applyNumberFormat="1" applyFont="1" applyFill="1" applyBorder="1" applyAlignment="1">
      <alignment vertical="center" wrapText="1"/>
      <protection/>
    </xf>
    <xf numFmtId="3" fontId="2" fillId="0" borderId="28" xfId="88" applyNumberFormat="1" applyFont="1" applyFill="1" applyBorder="1" applyAlignment="1">
      <alignment horizontal="center" vertical="center" wrapText="1"/>
      <protection/>
    </xf>
    <xf numFmtId="3" fontId="1" fillId="0" borderId="24" xfId="88" applyNumberFormat="1" applyFont="1" applyFill="1" applyBorder="1" applyAlignment="1">
      <alignment horizontal="right" vertical="center" wrapText="1" indent="1"/>
      <protection/>
    </xf>
    <xf numFmtId="3" fontId="1" fillId="0" borderId="46" xfId="88" applyNumberFormat="1" applyFont="1" applyFill="1" applyBorder="1" applyAlignment="1">
      <alignment horizontal="right" vertical="center" wrapText="1" indent="1"/>
      <protection/>
    </xf>
    <xf numFmtId="3" fontId="2" fillId="0" borderId="0" xfId="88" applyNumberFormat="1" applyFont="1" applyFill="1" applyBorder="1" applyAlignment="1">
      <alignment vertical="center"/>
      <protection/>
    </xf>
    <xf numFmtId="0" fontId="2" fillId="0" borderId="0" xfId="86" applyFont="1" applyFill="1" applyAlignment="1">
      <alignment vertical="center" wrapText="1"/>
      <protection/>
    </xf>
    <xf numFmtId="0" fontId="1" fillId="0" borderId="34" xfId="86" applyFont="1" applyFill="1" applyBorder="1" applyAlignment="1">
      <alignment horizontal="center" vertical="center" wrapText="1"/>
      <protection/>
    </xf>
    <xf numFmtId="0" fontId="1" fillId="0" borderId="35" xfId="86" applyFont="1" applyFill="1" applyBorder="1" applyAlignment="1">
      <alignment horizontal="center" vertical="center" wrapText="1"/>
      <protection/>
    </xf>
    <xf numFmtId="0" fontId="1" fillId="0" borderId="0" xfId="86" applyFont="1" applyFill="1" applyAlignment="1">
      <alignment horizontal="center" vertical="center" wrapText="1"/>
      <protection/>
    </xf>
    <xf numFmtId="0" fontId="19" fillId="0" borderId="44" xfId="84" applyFont="1" applyFill="1" applyBorder="1" applyAlignment="1">
      <alignment horizontal="left" indent="1"/>
      <protection/>
    </xf>
    <xf numFmtId="0" fontId="19" fillId="0" borderId="59" xfId="84" applyFont="1" applyFill="1" applyBorder="1">
      <alignment/>
      <protection/>
    </xf>
    <xf numFmtId="49" fontId="19" fillId="0" borderId="48" xfId="84" applyNumberFormat="1" applyFont="1" applyFill="1" applyBorder="1" applyAlignment="1">
      <alignment horizontal="center"/>
      <protection/>
    </xf>
    <xf numFmtId="3" fontId="2" fillId="0" borderId="48" xfId="86" applyNumberFormat="1" applyFont="1" applyFill="1" applyBorder="1" applyAlignment="1">
      <alignment horizontal="right" vertical="center" wrapText="1" indent="1"/>
      <protection/>
    </xf>
    <xf numFmtId="3" fontId="1" fillId="0" borderId="29" xfId="0" applyNumberFormat="1" applyFont="1" applyFill="1" applyBorder="1" applyAlignment="1">
      <alignment horizontal="right" vertical="center" wrapText="1" indent="1"/>
    </xf>
    <xf numFmtId="0" fontId="19" fillId="0" borderId="22" xfId="84" applyFont="1" applyFill="1" applyBorder="1">
      <alignment/>
      <protection/>
    </xf>
    <xf numFmtId="49" fontId="19" fillId="0" borderId="47" xfId="84" applyNumberFormat="1" applyFont="1" applyFill="1" applyBorder="1" applyAlignment="1">
      <alignment horizontal="center"/>
      <protection/>
    </xf>
    <xf numFmtId="3" fontId="2" fillId="0" borderId="47" xfId="86" applyNumberFormat="1" applyFont="1" applyFill="1" applyBorder="1" applyAlignment="1">
      <alignment horizontal="right" vertical="center" wrapText="1" indent="1"/>
      <protection/>
    </xf>
    <xf numFmtId="3" fontId="1" fillId="0" borderId="32" xfId="0" applyNumberFormat="1" applyFont="1" applyFill="1" applyBorder="1" applyAlignment="1">
      <alignment horizontal="right" vertical="center" wrapText="1" indent="1"/>
    </xf>
    <xf numFmtId="0" fontId="19" fillId="0" borderId="22" xfId="84" applyFont="1" applyFill="1" applyBorder="1" applyAlignment="1">
      <alignment vertical="center"/>
      <protection/>
    </xf>
    <xf numFmtId="3" fontId="2" fillId="0" borderId="36" xfId="86" applyNumberFormat="1" applyFont="1" applyFill="1" applyBorder="1" applyAlignment="1">
      <alignment horizontal="right" vertical="center" wrapText="1" indent="1"/>
      <protection/>
    </xf>
    <xf numFmtId="49" fontId="47" fillId="0" borderId="47" xfId="84" applyNumberFormat="1" applyFont="1" applyFill="1" applyBorder="1" applyAlignment="1">
      <alignment horizontal="center"/>
      <protection/>
    </xf>
    <xf numFmtId="3" fontId="1" fillId="0" borderId="47" xfId="0" applyNumberFormat="1" applyFont="1" applyFill="1" applyBorder="1" applyAlignment="1">
      <alignment horizontal="right" vertical="center" wrapText="1" indent="1"/>
    </xf>
    <xf numFmtId="3" fontId="1" fillId="0" borderId="41" xfId="0" applyNumberFormat="1" applyFont="1" applyFill="1" applyBorder="1" applyAlignment="1">
      <alignment horizontal="right" vertical="center" wrapText="1" indent="1"/>
    </xf>
    <xf numFmtId="3" fontId="2" fillId="0" borderId="22" xfId="86" applyNumberFormat="1" applyFont="1" applyFill="1" applyBorder="1" applyAlignment="1">
      <alignment horizontal="right" vertical="center" wrapText="1" indent="1"/>
      <protection/>
    </xf>
    <xf numFmtId="3" fontId="1" fillId="0" borderId="48" xfId="0" applyNumberFormat="1" applyFont="1" applyFill="1" applyBorder="1" applyAlignment="1">
      <alignment horizontal="right" vertical="center" wrapText="1" indent="1"/>
    </xf>
    <xf numFmtId="49" fontId="47" fillId="0" borderId="57" xfId="84" applyNumberFormat="1" applyFont="1" applyFill="1" applyBorder="1" applyAlignment="1">
      <alignment horizontal="center"/>
      <protection/>
    </xf>
    <xf numFmtId="3" fontId="1" fillId="0" borderId="64" xfId="0" applyNumberFormat="1" applyFont="1" applyFill="1" applyBorder="1" applyAlignment="1">
      <alignment horizontal="right" vertical="center" wrapText="1" indent="1"/>
    </xf>
    <xf numFmtId="3" fontId="1" fillId="0" borderId="65" xfId="0" applyNumberFormat="1" applyFont="1" applyFill="1" applyBorder="1" applyAlignment="1">
      <alignment horizontal="right" vertical="center" wrapText="1" indent="1"/>
    </xf>
    <xf numFmtId="0" fontId="0" fillId="0" borderId="0" xfId="0" applyFont="1" applyFill="1" applyAlignment="1">
      <alignment/>
    </xf>
    <xf numFmtId="0" fontId="2" fillId="0" borderId="44" xfId="84" applyFont="1" applyFill="1" applyBorder="1" applyAlignment="1">
      <alignment horizontal="right" indent="1"/>
      <protection/>
    </xf>
    <xf numFmtId="0" fontId="2" fillId="0" borderId="59" xfId="84" applyFont="1" applyFill="1" applyBorder="1">
      <alignment/>
      <protection/>
    </xf>
    <xf numFmtId="49" fontId="2" fillId="0" borderId="48" xfId="84" applyNumberFormat="1" applyFont="1" applyFill="1" applyBorder="1" applyAlignment="1">
      <alignment horizontal="center"/>
      <protection/>
    </xf>
    <xf numFmtId="3" fontId="2" fillId="0" borderId="59" xfId="86" applyNumberFormat="1" applyFont="1" applyFill="1" applyBorder="1" applyAlignment="1">
      <alignment horizontal="right" vertical="center" wrapText="1" indent="1"/>
      <protection/>
    </xf>
    <xf numFmtId="3" fontId="1" fillId="0" borderId="43" xfId="0" applyNumberFormat="1" applyFont="1" applyFill="1" applyBorder="1" applyAlignment="1">
      <alignment horizontal="right" vertical="center" wrapText="1" indent="1"/>
    </xf>
    <xf numFmtId="0" fontId="2" fillId="0" borderId="22" xfId="84" applyFont="1" applyFill="1" applyBorder="1">
      <alignment/>
      <protection/>
    </xf>
    <xf numFmtId="49" fontId="2" fillId="0" borderId="47" xfId="84" applyNumberFormat="1" applyFont="1" applyFill="1" applyBorder="1" applyAlignment="1">
      <alignment horizontal="center"/>
      <protection/>
    </xf>
    <xf numFmtId="49" fontId="2" fillId="0" borderId="36" xfId="84" applyNumberFormat="1" applyFont="1" applyFill="1" applyBorder="1" applyAlignment="1">
      <alignment horizontal="center"/>
      <protection/>
    </xf>
    <xf numFmtId="3" fontId="2" fillId="0" borderId="53" xfId="86" applyNumberFormat="1" applyFont="1" applyFill="1" applyBorder="1" applyAlignment="1">
      <alignment horizontal="right" vertical="center" wrapText="1" indent="1"/>
      <protection/>
    </xf>
    <xf numFmtId="0" fontId="2" fillId="0" borderId="53" xfId="84" applyFont="1" applyFill="1" applyBorder="1">
      <alignment/>
      <protection/>
    </xf>
    <xf numFmtId="3" fontId="1" fillId="0" borderId="58" xfId="0" applyNumberFormat="1" applyFont="1" applyFill="1" applyBorder="1" applyAlignment="1">
      <alignment horizontal="right" vertical="center" wrapText="1" indent="1"/>
    </xf>
    <xf numFmtId="49" fontId="1" fillId="0" borderId="66" xfId="84" applyNumberFormat="1" applyFont="1" applyFill="1" applyBorder="1" applyAlignment="1">
      <alignment horizontal="center"/>
      <protection/>
    </xf>
    <xf numFmtId="3" fontId="1" fillId="0" borderId="67" xfId="0" applyNumberFormat="1" applyFont="1" applyFill="1" applyBorder="1" applyAlignment="1">
      <alignment horizontal="right" vertical="center" wrapText="1" indent="1"/>
    </xf>
    <xf numFmtId="3" fontId="1" fillId="0" borderId="68" xfId="0" applyNumberFormat="1" applyFont="1" applyFill="1" applyBorder="1" applyAlignment="1">
      <alignment horizontal="right" vertical="center" wrapText="1" indent="1"/>
    </xf>
    <xf numFmtId="49" fontId="1" fillId="0" borderId="69" xfId="84" applyNumberFormat="1" applyFont="1" applyFill="1" applyBorder="1" applyAlignment="1">
      <alignment horizontal="center"/>
      <protection/>
    </xf>
    <xf numFmtId="3" fontId="1" fillId="0" borderId="34" xfId="0" applyNumberFormat="1" applyFont="1" applyFill="1" applyBorder="1" applyAlignment="1">
      <alignment horizontal="right" vertical="center" wrapText="1" indent="1"/>
    </xf>
    <xf numFmtId="3" fontId="1" fillId="0" borderId="35" xfId="0" applyNumberFormat="1" applyFont="1" applyFill="1" applyBorder="1" applyAlignment="1">
      <alignment horizontal="right" vertical="center" wrapText="1" indent="1"/>
    </xf>
    <xf numFmtId="0" fontId="0" fillId="0" borderId="0" xfId="0" applyNumberFormat="1" applyFont="1" applyFill="1" applyAlignment="1">
      <alignment vertical="center" wrapText="1"/>
    </xf>
    <xf numFmtId="199" fontId="1" fillId="0" borderId="26" xfId="84" applyNumberFormat="1" applyFont="1" applyFill="1" applyBorder="1" applyAlignment="1" applyProtection="1">
      <alignment horizontal="center" vertical="center" wrapText="1"/>
      <protection/>
    </xf>
    <xf numFmtId="199" fontId="1" fillId="0" borderId="53" xfId="84" applyNumberFormat="1" applyFont="1" applyFill="1" applyBorder="1" applyAlignment="1" applyProtection="1">
      <alignment horizontal="center" vertical="center"/>
      <protection/>
    </xf>
    <xf numFmtId="199" fontId="1" fillId="0" borderId="58" xfId="84" applyNumberFormat="1" applyFont="1" applyFill="1" applyBorder="1" applyAlignment="1" applyProtection="1">
      <alignment horizontal="center" vertical="center"/>
      <protection/>
    </xf>
    <xf numFmtId="0" fontId="2" fillId="0" borderId="34" xfId="84" applyFont="1" applyFill="1" applyBorder="1" applyAlignment="1" applyProtection="1">
      <alignment horizontal="center"/>
      <protection/>
    </xf>
    <xf numFmtId="199" fontId="2" fillId="0" borderId="66" xfId="84" applyNumberFormat="1" applyFont="1" applyFill="1" applyBorder="1" applyAlignment="1" applyProtection="1">
      <alignment horizontal="center"/>
      <protection/>
    </xf>
    <xf numFmtId="199" fontId="2" fillId="0" borderId="34" xfId="84" applyNumberFormat="1" applyFont="1" applyFill="1" applyBorder="1" applyAlignment="1" applyProtection="1">
      <alignment horizontal="center"/>
      <protection/>
    </xf>
    <xf numFmtId="199" fontId="2" fillId="0" borderId="35" xfId="84" applyNumberFormat="1" applyFont="1" applyFill="1" applyBorder="1" applyAlignment="1" applyProtection="1">
      <alignment horizontal="center"/>
      <protection/>
    </xf>
    <xf numFmtId="49" fontId="1" fillId="0" borderId="27" xfId="84" applyNumberFormat="1" applyFont="1" applyFill="1" applyBorder="1" applyAlignment="1" applyProtection="1">
      <alignment horizontal="center"/>
      <protection/>
    </xf>
    <xf numFmtId="3" fontId="1" fillId="0" borderId="27" xfId="0" applyNumberFormat="1" applyFont="1" applyFill="1" applyBorder="1" applyAlignment="1">
      <alignment horizontal="right" vertical="center" wrapText="1" indent="1"/>
    </xf>
    <xf numFmtId="3" fontId="1" fillId="0" borderId="26" xfId="0" applyNumberFormat="1" applyFont="1" applyFill="1" applyBorder="1" applyAlignment="1">
      <alignment horizontal="right" vertical="center" wrapText="1" indent="1"/>
    </xf>
    <xf numFmtId="0" fontId="1" fillId="0" borderId="33" xfId="84" applyFont="1" applyFill="1" applyBorder="1" applyAlignment="1" applyProtection="1">
      <alignment horizontal="center" wrapText="1"/>
      <protection/>
    </xf>
    <xf numFmtId="0" fontId="1" fillId="0" borderId="42" xfId="84" applyFont="1" applyFill="1" applyBorder="1" applyAlignment="1" applyProtection="1">
      <alignment wrapText="1"/>
      <protection/>
    </xf>
    <xf numFmtId="49" fontId="1" fillId="0" borderId="22" xfId="84" applyNumberFormat="1" applyFont="1" applyFill="1" applyBorder="1" applyAlignment="1" applyProtection="1">
      <alignment horizontal="center"/>
      <protection/>
    </xf>
    <xf numFmtId="0" fontId="2" fillId="0" borderId="50" xfId="84" applyFont="1" applyFill="1" applyBorder="1" applyAlignment="1" applyProtection="1">
      <alignment wrapText="1"/>
      <protection/>
    </xf>
    <xf numFmtId="49" fontId="2" fillId="0" borderId="22" xfId="84" applyNumberFormat="1" applyFont="1" applyFill="1" applyBorder="1" applyAlignment="1" applyProtection="1">
      <alignment horizontal="center"/>
      <protection/>
    </xf>
    <xf numFmtId="3" fontId="2" fillId="0" borderId="21" xfId="86" applyNumberFormat="1" applyFont="1" applyFill="1" applyBorder="1" applyAlignment="1">
      <alignment horizontal="right" vertical="center" wrapText="1" indent="1"/>
      <protection/>
    </xf>
    <xf numFmtId="0" fontId="1" fillId="0" borderId="22" xfId="84" applyFont="1" applyFill="1" applyBorder="1" applyAlignment="1" applyProtection="1">
      <alignment wrapText="1"/>
      <protection/>
    </xf>
    <xf numFmtId="0" fontId="1" fillId="0" borderId="70" xfId="84" applyFont="1" applyFill="1" applyBorder="1" applyAlignment="1" applyProtection="1">
      <alignment vertical="top" wrapText="1"/>
      <protection/>
    </xf>
    <xf numFmtId="0" fontId="2" fillId="0" borderId="22" xfId="84" applyFont="1" applyFill="1" applyBorder="1" applyAlignment="1" applyProtection="1">
      <alignment wrapText="1"/>
      <protection/>
    </xf>
    <xf numFmtId="0" fontId="1" fillId="0" borderId="44" xfId="84" applyFont="1" applyFill="1" applyBorder="1" applyAlignment="1" applyProtection="1">
      <alignment vertical="top" wrapText="1"/>
      <protection/>
    </xf>
    <xf numFmtId="0" fontId="2" fillId="0" borderId="22" xfId="84" applyFont="1" applyFill="1" applyBorder="1" applyAlignment="1" applyProtection="1">
      <alignment vertical="center" wrapText="1"/>
      <protection/>
    </xf>
    <xf numFmtId="0" fontId="2" fillId="0" borderId="53" xfId="84" applyFont="1" applyFill="1" applyBorder="1" applyAlignment="1" applyProtection="1">
      <alignment wrapText="1"/>
      <protection/>
    </xf>
    <xf numFmtId="49" fontId="2" fillId="0" borderId="53" xfId="84" applyNumberFormat="1" applyFont="1" applyFill="1" applyBorder="1" applyAlignment="1" applyProtection="1">
      <alignment horizontal="center"/>
      <protection/>
    </xf>
    <xf numFmtId="3" fontId="2" fillId="0" borderId="58" xfId="86" applyNumberFormat="1" applyFont="1" applyFill="1" applyBorder="1" applyAlignment="1">
      <alignment horizontal="right" vertical="center" wrapText="1" indent="1"/>
      <protection/>
    </xf>
    <xf numFmtId="0" fontId="2" fillId="0" borderId="51" xfId="84" applyFont="1" applyFill="1" applyBorder="1" applyAlignment="1" applyProtection="1">
      <alignment wrapText="1"/>
      <protection/>
    </xf>
    <xf numFmtId="0" fontId="1" fillId="0" borderId="34" xfId="84" applyFont="1" applyFill="1" applyBorder="1" applyAlignment="1" applyProtection="1">
      <alignment horizontal="left" wrapText="1"/>
      <protection/>
    </xf>
    <xf numFmtId="0" fontId="1" fillId="0" borderId="66" xfId="84" applyFont="1" applyFill="1" applyBorder="1" applyAlignment="1" applyProtection="1">
      <alignment horizontal="center"/>
      <protection/>
    </xf>
    <xf numFmtId="3" fontId="1" fillId="0" borderId="51" xfId="0" applyNumberFormat="1" applyFont="1" applyFill="1" applyBorder="1" applyAlignment="1">
      <alignment horizontal="right" vertical="center" wrapText="1" indent="1"/>
    </xf>
    <xf numFmtId="199" fontId="52" fillId="0" borderId="0" xfId="84" applyNumberFormat="1" applyFont="1" applyFill="1" applyProtection="1">
      <alignment/>
      <protection/>
    </xf>
    <xf numFmtId="0" fontId="0" fillId="0" borderId="0" xfId="84" applyFont="1" applyFill="1" applyProtection="1">
      <alignment/>
      <protection/>
    </xf>
    <xf numFmtId="0" fontId="0" fillId="0" borderId="0" xfId="84" applyFont="1" applyFill="1" applyAlignment="1" applyProtection="1">
      <alignment wrapText="1"/>
      <protection/>
    </xf>
    <xf numFmtId="0" fontId="0" fillId="0" borderId="0" xfId="84" applyFont="1" applyFill="1" applyAlignment="1" applyProtection="1">
      <alignment horizontal="center"/>
      <protection/>
    </xf>
    <xf numFmtId="3" fontId="1" fillId="0" borderId="43" xfId="84" applyNumberFormat="1" applyFont="1" applyFill="1" applyBorder="1" applyAlignment="1">
      <alignment horizontal="center" vertical="center" wrapText="1"/>
      <protection/>
    </xf>
    <xf numFmtId="3" fontId="1" fillId="0" borderId="53" xfId="84" applyNumberFormat="1" applyFont="1" applyFill="1" applyBorder="1" applyAlignment="1">
      <alignment horizontal="center" vertical="center"/>
      <protection/>
    </xf>
    <xf numFmtId="3" fontId="1" fillId="0" borderId="58" xfId="84" applyNumberFormat="1" applyFont="1" applyFill="1" applyBorder="1" applyAlignment="1">
      <alignment horizontal="center" vertical="center"/>
      <protection/>
    </xf>
    <xf numFmtId="0" fontId="2" fillId="0" borderId="34" xfId="84" applyFont="1" applyFill="1" applyBorder="1" applyAlignment="1">
      <alignment horizontal="center" vertical="center"/>
      <protection/>
    </xf>
    <xf numFmtId="3" fontId="2" fillId="0" borderId="34" xfId="84" applyNumberFormat="1" applyFont="1" applyFill="1" applyBorder="1" applyAlignment="1">
      <alignment horizontal="center" vertical="center"/>
      <protection/>
    </xf>
    <xf numFmtId="3" fontId="2" fillId="0" borderId="35" xfId="84" applyNumberFormat="1" applyFont="1" applyFill="1" applyBorder="1" applyAlignment="1">
      <alignment horizontal="center" vertical="center"/>
      <protection/>
    </xf>
    <xf numFmtId="3" fontId="1" fillId="0" borderId="27" xfId="0" applyNumberFormat="1" applyFont="1" applyFill="1" applyBorder="1" applyAlignment="1">
      <alignment vertical="center" wrapText="1"/>
    </xf>
    <xf numFmtId="3" fontId="1" fillId="0" borderId="26" xfId="0" applyNumberFormat="1" applyFont="1" applyFill="1" applyBorder="1" applyAlignment="1">
      <alignment vertical="center" wrapText="1"/>
    </xf>
    <xf numFmtId="0" fontId="1" fillId="0" borderId="33" xfId="84" applyFont="1" applyFill="1" applyBorder="1" applyAlignment="1">
      <alignment horizontal="center" vertical="center" wrapText="1"/>
      <protection/>
    </xf>
    <xf numFmtId="3" fontId="1" fillId="0" borderId="22" xfId="0" applyNumberFormat="1" applyFont="1" applyFill="1" applyBorder="1" applyAlignment="1">
      <alignment vertical="center" wrapText="1"/>
    </xf>
    <xf numFmtId="3" fontId="1" fillId="0" borderId="21" xfId="0" applyNumberFormat="1" applyFont="1" applyFill="1" applyBorder="1" applyAlignment="1">
      <alignment vertical="center" wrapText="1"/>
    </xf>
    <xf numFmtId="0" fontId="1" fillId="0" borderId="44" xfId="84" applyFont="1" applyFill="1" applyBorder="1" applyAlignment="1">
      <alignment horizontal="center" vertical="center" wrapText="1"/>
      <protection/>
    </xf>
    <xf numFmtId="0" fontId="2" fillId="0" borderId="22" xfId="84" applyFont="1" applyFill="1" applyBorder="1" applyAlignment="1">
      <alignment vertical="center" wrapText="1"/>
      <protection/>
    </xf>
    <xf numFmtId="3" fontId="1" fillId="0" borderId="22" xfId="84" applyNumberFormat="1" applyFont="1" applyFill="1" applyBorder="1" applyAlignment="1">
      <alignment/>
      <protection/>
    </xf>
    <xf numFmtId="3" fontId="1" fillId="0" borderId="50" xfId="84" applyNumberFormat="1" applyFont="1" applyFill="1" applyBorder="1" applyAlignment="1">
      <alignment/>
      <protection/>
    </xf>
    <xf numFmtId="3" fontId="2" fillId="0" borderId="21" xfId="84" applyNumberFormat="1" applyFont="1" applyFill="1" applyBorder="1" applyAlignment="1">
      <alignment vertical="center"/>
      <protection/>
    </xf>
    <xf numFmtId="0" fontId="1" fillId="0" borderId="23" xfId="84" applyFont="1" applyFill="1" applyBorder="1" applyAlignment="1">
      <alignment horizontal="center" vertical="center" wrapText="1"/>
      <protection/>
    </xf>
    <xf numFmtId="3" fontId="1" fillId="0" borderId="54" xfId="84" applyNumberFormat="1" applyFont="1" applyFill="1" applyBorder="1" applyAlignment="1">
      <alignment/>
      <protection/>
    </xf>
    <xf numFmtId="49" fontId="1" fillId="0" borderId="47" xfId="84" applyNumberFormat="1" applyFont="1" applyFill="1" applyBorder="1" applyAlignment="1">
      <alignment horizontal="center"/>
      <protection/>
    </xf>
    <xf numFmtId="0" fontId="1" fillId="0" borderId="70" xfId="84" applyFont="1" applyFill="1" applyBorder="1" applyAlignment="1">
      <alignment horizontal="center" vertical="center" wrapText="1"/>
      <protection/>
    </xf>
    <xf numFmtId="0" fontId="2" fillId="0" borderId="59" xfId="84" applyFont="1" applyFill="1" applyBorder="1" applyAlignment="1">
      <alignment vertical="center" wrapText="1"/>
      <protection/>
    </xf>
    <xf numFmtId="3" fontId="2" fillId="0" borderId="21" xfId="84" applyNumberFormat="1" applyFont="1" applyFill="1" applyBorder="1" applyAlignment="1">
      <alignment/>
      <protection/>
    </xf>
    <xf numFmtId="3" fontId="1" fillId="0" borderId="54" xfId="0" applyNumberFormat="1" applyFont="1" applyFill="1" applyBorder="1" applyAlignment="1">
      <alignment vertical="center" wrapText="1"/>
    </xf>
    <xf numFmtId="0" fontId="2" fillId="0" borderId="53" xfId="84" applyFont="1" applyFill="1" applyBorder="1" applyAlignment="1">
      <alignment vertical="center" wrapText="1"/>
      <protection/>
    </xf>
    <xf numFmtId="3" fontId="1" fillId="0" borderId="24" xfId="84" applyNumberFormat="1" applyFont="1" applyFill="1" applyBorder="1" applyAlignment="1">
      <alignment/>
      <protection/>
    </xf>
    <xf numFmtId="3" fontId="1" fillId="0" borderId="71" xfId="84" applyNumberFormat="1" applyFont="1" applyFill="1" applyBorder="1" applyAlignment="1">
      <alignment/>
      <protection/>
    </xf>
    <xf numFmtId="3" fontId="1" fillId="0" borderId="72" xfId="84" applyNumberFormat="1" applyFont="1" applyFill="1" applyBorder="1" applyAlignment="1">
      <alignment/>
      <protection/>
    </xf>
    <xf numFmtId="3" fontId="1" fillId="0" borderId="34" xfId="0" applyNumberFormat="1" applyFont="1" applyFill="1" applyBorder="1" applyAlignment="1">
      <alignment vertical="center" wrapText="1"/>
    </xf>
    <xf numFmtId="3" fontId="1" fillId="0" borderId="35" xfId="0" applyNumberFormat="1" applyFont="1" applyFill="1" applyBorder="1" applyAlignment="1">
      <alignment vertical="center" wrapText="1"/>
    </xf>
    <xf numFmtId="3" fontId="1" fillId="0" borderId="27" xfId="84" applyNumberFormat="1" applyFont="1" applyFill="1" applyBorder="1" applyAlignment="1">
      <alignment/>
      <protection/>
    </xf>
    <xf numFmtId="3" fontId="1" fillId="0" borderId="73" xfId="84" applyNumberFormat="1" applyFont="1" applyFill="1" applyBorder="1" applyAlignment="1">
      <alignment/>
      <protection/>
    </xf>
    <xf numFmtId="3" fontId="2" fillId="0" borderId="26" xfId="84" applyNumberFormat="1" applyFont="1" applyFill="1" applyBorder="1" applyAlignment="1">
      <alignment vertical="center"/>
      <protection/>
    </xf>
    <xf numFmtId="49" fontId="2" fillId="0" borderId="74" xfId="84" applyNumberFormat="1" applyFont="1" applyFill="1" applyBorder="1" applyAlignment="1">
      <alignment horizontal="center"/>
      <protection/>
    </xf>
    <xf numFmtId="3" fontId="1" fillId="0" borderId="67" xfId="0" applyNumberFormat="1" applyFont="1" applyFill="1" applyBorder="1" applyAlignment="1">
      <alignment vertical="center" wrapText="1"/>
    </xf>
    <xf numFmtId="3" fontId="1" fillId="0" borderId="68" xfId="0" applyNumberFormat="1" applyFont="1" applyFill="1" applyBorder="1" applyAlignment="1">
      <alignment vertical="center" wrapText="1"/>
    </xf>
    <xf numFmtId="0" fontId="2" fillId="0" borderId="66" xfId="84" applyFont="1" applyFill="1" applyBorder="1" applyAlignment="1">
      <alignment horizontal="center"/>
      <protection/>
    </xf>
    <xf numFmtId="0" fontId="0" fillId="0" borderId="0" xfId="84" applyFont="1" applyFill="1">
      <alignment/>
      <protection/>
    </xf>
    <xf numFmtId="0" fontId="0" fillId="0" borderId="0" xfId="84" applyFont="1" applyFill="1" applyAlignment="1">
      <alignment wrapText="1"/>
      <protection/>
    </xf>
    <xf numFmtId="0" fontId="0" fillId="0" borderId="0" xfId="84" applyFont="1" applyFill="1" applyAlignment="1">
      <alignment horizontal="center"/>
      <protection/>
    </xf>
    <xf numFmtId="0" fontId="19" fillId="0" borderId="34" xfId="84" applyFont="1" applyFill="1" applyBorder="1" applyAlignment="1">
      <alignment horizontal="center"/>
      <protection/>
    </xf>
    <xf numFmtId="169" fontId="1" fillId="0" borderId="27" xfId="61" applyNumberFormat="1" applyFont="1" applyFill="1" applyBorder="1" applyAlignment="1">
      <alignment/>
    </xf>
    <xf numFmtId="0" fontId="0" fillId="0" borderId="0" xfId="84" applyFill="1" applyBorder="1" applyAlignment="1">
      <alignment/>
      <protection/>
    </xf>
    <xf numFmtId="0" fontId="0" fillId="0" borderId="0" xfId="84" applyFill="1" applyAlignment="1">
      <alignment/>
      <protection/>
    </xf>
    <xf numFmtId="0" fontId="1" fillId="0" borderId="33" xfId="84" applyFont="1" applyFill="1" applyBorder="1" applyAlignment="1">
      <alignment vertical="center" wrapText="1"/>
      <protection/>
    </xf>
    <xf numFmtId="169" fontId="1" fillId="0" borderId="22" xfId="61" applyNumberFormat="1" applyFont="1" applyFill="1" applyBorder="1" applyAlignment="1">
      <alignment/>
    </xf>
    <xf numFmtId="169" fontId="2" fillId="0" borderId="22" xfId="61" applyNumberFormat="1" applyFont="1" applyFill="1" applyBorder="1" applyAlignment="1" applyProtection="1">
      <alignment/>
      <protection locked="0"/>
    </xf>
    <xf numFmtId="3" fontId="2" fillId="0" borderId="43" xfId="0" applyNumberFormat="1" applyFont="1" applyFill="1" applyBorder="1" applyAlignment="1">
      <alignment horizontal="right" vertical="center" wrapText="1" indent="1"/>
    </xf>
    <xf numFmtId="0" fontId="1" fillId="0" borderId="22" xfId="84" applyFont="1" applyFill="1" applyBorder="1" applyAlignment="1">
      <alignment horizontal="left" vertical="center" wrapText="1"/>
      <protection/>
    </xf>
    <xf numFmtId="3" fontId="1" fillId="0" borderId="22" xfId="61" applyNumberFormat="1" applyFont="1" applyFill="1" applyBorder="1" applyAlignment="1">
      <alignment horizontal="right"/>
    </xf>
    <xf numFmtId="3" fontId="2" fillId="0" borderId="21" xfId="61" applyNumberFormat="1" applyFont="1" applyFill="1" applyBorder="1" applyAlignment="1">
      <alignment horizontal="right"/>
    </xf>
    <xf numFmtId="0" fontId="1" fillId="0" borderId="59" xfId="84" applyFont="1" applyFill="1" applyBorder="1" applyAlignment="1">
      <alignment vertical="center" wrapText="1"/>
      <protection/>
    </xf>
    <xf numFmtId="169" fontId="2" fillId="0" borderId="22" xfId="61" applyNumberFormat="1" applyFont="1" applyFill="1" applyBorder="1" applyAlignment="1">
      <alignment/>
    </xf>
    <xf numFmtId="0" fontId="2" fillId="0" borderId="75" xfId="84" applyFont="1" applyFill="1" applyBorder="1" applyAlignment="1">
      <alignment vertical="center" wrapText="1"/>
      <protection/>
    </xf>
    <xf numFmtId="0" fontId="1" fillId="0" borderId="24" xfId="84" applyFont="1" applyFill="1" applyBorder="1" applyAlignment="1">
      <alignment vertical="center" wrapText="1"/>
      <protection/>
    </xf>
    <xf numFmtId="49" fontId="1" fillId="0" borderId="24" xfId="84" applyNumberFormat="1" applyFont="1" applyFill="1" applyBorder="1" applyAlignment="1">
      <alignment horizontal="center"/>
      <protection/>
    </xf>
    <xf numFmtId="169" fontId="1" fillId="0" borderId="24" xfId="61" applyNumberFormat="1" applyFont="1" applyFill="1" applyBorder="1" applyAlignment="1">
      <alignment/>
    </xf>
    <xf numFmtId="0" fontId="2" fillId="0" borderId="0" xfId="84" applyFont="1" applyFill="1">
      <alignment/>
      <protection/>
    </xf>
    <xf numFmtId="0" fontId="2" fillId="0" borderId="0" xfId="84" applyFont="1" applyFill="1" applyAlignment="1">
      <alignment horizontal="center"/>
      <protection/>
    </xf>
    <xf numFmtId="3" fontId="2" fillId="0" borderId="0" xfId="84" applyNumberFormat="1" applyFont="1" applyFill="1" applyAlignment="1">
      <alignment horizontal="right"/>
      <protection/>
    </xf>
    <xf numFmtId="3" fontId="0" fillId="0" borderId="0" xfId="84" applyNumberFormat="1" applyFont="1" applyFill="1" applyAlignment="1">
      <alignment horizontal="right"/>
      <protection/>
    </xf>
    <xf numFmtId="3" fontId="0" fillId="0" borderId="0" xfId="84" applyNumberFormat="1" applyFont="1" applyFill="1">
      <alignment/>
      <protection/>
    </xf>
    <xf numFmtId="0" fontId="2" fillId="0" borderId="49" xfId="0" applyFont="1" applyBorder="1" applyAlignment="1">
      <alignment wrapText="1"/>
    </xf>
    <xf numFmtId="0" fontId="2" fillId="0" borderId="50" xfId="0" applyFont="1" applyBorder="1" applyAlignment="1">
      <alignment wrapText="1"/>
    </xf>
    <xf numFmtId="0" fontId="2" fillId="0" borderId="0" xfId="0" applyFont="1" applyBorder="1" applyAlignment="1">
      <alignment horizontal="left" wrapText="1"/>
    </xf>
    <xf numFmtId="0" fontId="2" fillId="0" borderId="40" xfId="0" applyFont="1" applyBorder="1" applyAlignment="1">
      <alignment horizontal="left" wrapText="1"/>
    </xf>
    <xf numFmtId="0" fontId="2" fillId="0" borderId="49" xfId="0" applyFont="1" applyBorder="1" applyAlignment="1">
      <alignment horizontal="left" wrapText="1"/>
    </xf>
    <xf numFmtId="0" fontId="2" fillId="0" borderId="50" xfId="0" applyFont="1" applyBorder="1" applyAlignment="1">
      <alignment horizontal="left" wrapText="1"/>
    </xf>
    <xf numFmtId="0" fontId="28" fillId="0" borderId="33" xfId="70" applyFont="1" applyBorder="1" applyAlignment="1" applyProtection="1">
      <alignment horizontal="left" vertical="center" indent="1"/>
      <protection/>
    </xf>
    <xf numFmtId="0" fontId="28" fillId="0" borderId="70" xfId="70" applyFont="1" applyBorder="1" applyAlignment="1" applyProtection="1">
      <alignment horizontal="left" vertical="center" indent="1"/>
      <protection/>
    </xf>
    <xf numFmtId="0" fontId="28" fillId="0" borderId="44" xfId="70" applyFont="1" applyBorder="1" applyAlignment="1" applyProtection="1">
      <alignment horizontal="left" vertical="center" indent="1"/>
      <protection/>
    </xf>
    <xf numFmtId="0" fontId="2" fillId="0" borderId="76" xfId="0" applyFont="1" applyBorder="1" applyAlignment="1">
      <alignment horizontal="center" vertical="center" wrapText="1"/>
    </xf>
    <xf numFmtId="0" fontId="2" fillId="0" borderId="59" xfId="0" applyFont="1" applyBorder="1" applyAlignment="1">
      <alignment horizontal="center" vertical="center" wrapText="1"/>
    </xf>
    <xf numFmtId="0" fontId="28" fillId="0" borderId="77" xfId="70" applyFont="1" applyBorder="1" applyAlignment="1" applyProtection="1">
      <alignment horizontal="left" vertical="center" indent="1"/>
      <protection/>
    </xf>
    <xf numFmtId="0" fontId="28" fillId="0" borderId="78" xfId="70" applyFont="1" applyBorder="1" applyAlignment="1" applyProtection="1">
      <alignment horizontal="left" vertical="center" indent="1"/>
      <protection/>
    </xf>
    <xf numFmtId="0" fontId="28" fillId="0" borderId="79" xfId="70" applyFont="1" applyBorder="1" applyAlignment="1" applyProtection="1">
      <alignment horizontal="left" vertical="center" indent="1"/>
      <protection/>
    </xf>
    <xf numFmtId="0" fontId="28" fillId="0" borderId="50" xfId="70" applyFont="1" applyBorder="1" applyAlignment="1" applyProtection="1">
      <alignment horizontal="left" vertical="center" indent="1"/>
      <protection/>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82" xfId="0" applyFont="1" applyBorder="1" applyAlignment="1">
      <alignment horizontal="center" vertical="center" wrapText="1"/>
    </xf>
    <xf numFmtId="0" fontId="3" fillId="0" borderId="77"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62" fillId="0" borderId="27" xfId="0" applyFont="1" applyFill="1" applyBorder="1" applyAlignment="1">
      <alignment/>
    </xf>
    <xf numFmtId="0" fontId="62" fillId="0" borderId="26" xfId="0" applyFont="1" applyFill="1" applyBorder="1" applyAlignment="1">
      <alignment/>
    </xf>
    <xf numFmtId="0" fontId="1" fillId="0" borderId="79"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2" fillId="0" borderId="8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 fillId="0" borderId="23"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1" xfId="0" applyFont="1" applyFill="1" applyBorder="1" applyAlignment="1">
      <alignment horizontal="left" vertical="center" wrapText="1"/>
    </xf>
    <xf numFmtId="49" fontId="2" fillId="0" borderId="36" xfId="0" applyNumberFormat="1" applyFont="1" applyFill="1" applyBorder="1" applyAlignment="1">
      <alignment horizontal="left" wrapText="1"/>
    </xf>
    <xf numFmtId="49" fontId="2" fillId="0" borderId="37" xfId="0" applyNumberFormat="1" applyFont="1" applyFill="1" applyBorder="1" applyAlignment="1">
      <alignment horizontal="left" wrapText="1"/>
    </xf>
    <xf numFmtId="49" fontId="2" fillId="0" borderId="38" xfId="0" applyNumberFormat="1" applyFont="1" applyFill="1" applyBorder="1" applyAlignment="1">
      <alignment horizontal="left" wrapText="1"/>
    </xf>
    <xf numFmtId="49" fontId="2" fillId="0" borderId="48" xfId="0" applyNumberFormat="1" applyFont="1" applyFill="1" applyBorder="1" applyAlignment="1">
      <alignment horizontal="left" wrapText="1"/>
    </xf>
    <xf numFmtId="49" fontId="2" fillId="0" borderId="41" xfId="0" applyNumberFormat="1" applyFont="1" applyFill="1" applyBorder="1" applyAlignment="1">
      <alignment horizontal="left" wrapText="1"/>
    </xf>
    <xf numFmtId="49" fontId="2" fillId="0" borderId="42" xfId="0" applyNumberFormat="1" applyFont="1" applyFill="1" applyBorder="1" applyAlignment="1">
      <alignment horizontal="left" wrapText="1"/>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6" xfId="0" applyFont="1" applyFill="1" applyBorder="1" applyAlignment="1">
      <alignment horizontal="center" vertical="center"/>
    </xf>
    <xf numFmtId="0" fontId="1" fillId="0" borderId="23" xfId="0" applyFont="1" applyFill="1" applyBorder="1" applyAlignment="1">
      <alignment horizontal="center" vertical="center" wrapText="1"/>
    </xf>
    <xf numFmtId="49" fontId="1" fillId="0" borderId="22" xfId="0" applyNumberFormat="1" applyFont="1" applyFill="1" applyBorder="1" applyAlignment="1">
      <alignment horizontal="left" vertical="center" wrapText="1" indent="1"/>
    </xf>
    <xf numFmtId="0" fontId="3" fillId="0" borderId="47"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8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 fillId="0" borderId="86" xfId="0" applyFont="1" applyFill="1" applyBorder="1" applyAlignment="1">
      <alignment horizontal="left" vertical="center" wrapText="1"/>
    </xf>
    <xf numFmtId="0" fontId="1" fillId="0" borderId="87" xfId="0" applyFont="1" applyFill="1" applyBorder="1" applyAlignment="1">
      <alignment horizontal="left" vertical="center" wrapText="1"/>
    </xf>
    <xf numFmtId="0" fontId="1" fillId="0" borderId="88" xfId="0" applyFont="1" applyFill="1" applyBorder="1" applyAlignment="1">
      <alignment horizontal="left" vertical="center" wrapText="1"/>
    </xf>
    <xf numFmtId="0" fontId="24" fillId="0" borderId="0" xfId="0" applyFont="1" applyFill="1" applyAlignment="1">
      <alignment horizontal="left" vertical="center"/>
    </xf>
    <xf numFmtId="49" fontId="2" fillId="0" borderId="47" xfId="0" applyNumberFormat="1" applyFont="1" applyFill="1" applyBorder="1" applyAlignment="1">
      <alignment horizontal="left" vertical="center" wrapText="1"/>
    </xf>
    <xf numFmtId="49" fontId="2" fillId="0" borderId="49"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0" fontId="3" fillId="0" borderId="85"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49" fontId="1" fillId="0" borderId="53" xfId="0" applyNumberFormat="1" applyFont="1" applyFill="1" applyBorder="1" applyAlignment="1">
      <alignment horizontal="center" vertical="center" wrapText="1"/>
    </xf>
    <xf numFmtId="49" fontId="1" fillId="0" borderId="59" xfId="0" applyNumberFormat="1"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1" xfId="0" applyFont="1" applyFill="1" applyBorder="1" applyAlignment="1">
      <alignment horizontal="center" vertical="center"/>
    </xf>
    <xf numFmtId="0" fontId="1" fillId="0" borderId="22" xfId="84" applyFont="1" applyFill="1" applyBorder="1" applyAlignment="1">
      <alignment horizontal="center" vertical="center" wrapText="1"/>
      <protection/>
    </xf>
    <xf numFmtId="0" fontId="1" fillId="0" borderId="21" xfId="84" applyFont="1" applyFill="1" applyBorder="1" applyAlignment="1">
      <alignment horizontal="center" vertical="center" wrapText="1"/>
      <protection/>
    </xf>
    <xf numFmtId="0" fontId="69" fillId="0" borderId="0" xfId="84" applyFont="1" applyFill="1" applyAlignment="1">
      <alignment horizontal="left" vertical="center" wrapText="1"/>
      <protection/>
    </xf>
    <xf numFmtId="0" fontId="2" fillId="0" borderId="0" xfId="84" applyNumberFormat="1" applyFont="1" applyFill="1" applyAlignment="1">
      <alignment horizontal="center" vertical="center" wrapText="1"/>
      <protection/>
    </xf>
    <xf numFmtId="49" fontId="2" fillId="0" borderId="0" xfId="84" applyNumberFormat="1" applyFont="1" applyFill="1" applyAlignment="1">
      <alignment horizontal="left" vertical="center" wrapText="1"/>
      <protection/>
    </xf>
    <xf numFmtId="0" fontId="3" fillId="0" borderId="86" xfId="84" applyFont="1" applyFill="1" applyBorder="1" applyAlignment="1">
      <alignment horizontal="center" vertical="center" wrapText="1"/>
      <protection/>
    </xf>
    <xf numFmtId="0" fontId="3" fillId="0" borderId="87" xfId="84" applyFont="1" applyFill="1" applyBorder="1" applyAlignment="1">
      <alignment horizontal="center" vertical="center" wrapText="1"/>
      <protection/>
    </xf>
    <xf numFmtId="0" fontId="3" fillId="0" borderId="88" xfId="84" applyFont="1" applyFill="1" applyBorder="1" applyAlignment="1">
      <alignment horizontal="center" vertical="center" wrapText="1"/>
      <protection/>
    </xf>
    <xf numFmtId="0" fontId="1" fillId="0" borderId="79" xfId="84" applyFont="1" applyFill="1" applyBorder="1" applyAlignment="1">
      <alignment horizontal="left" vertical="center" wrapText="1"/>
      <protection/>
    </xf>
    <xf numFmtId="0" fontId="1" fillId="0" borderId="49" xfId="84" applyFont="1" applyFill="1" applyBorder="1" applyAlignment="1">
      <alignment horizontal="left" vertical="center" wrapText="1"/>
      <protection/>
    </xf>
    <xf numFmtId="0" fontId="1" fillId="0" borderId="54" xfId="84" applyFont="1" applyFill="1" applyBorder="1" applyAlignment="1">
      <alignment horizontal="left" vertical="center" wrapText="1"/>
      <protection/>
    </xf>
    <xf numFmtId="0" fontId="1" fillId="0" borderId="23" xfId="84" applyFont="1" applyFill="1" applyBorder="1" applyAlignment="1">
      <alignment horizontal="center" vertical="center" textRotation="90" wrapText="1"/>
      <protection/>
    </xf>
    <xf numFmtId="49" fontId="1" fillId="0" borderId="22" xfId="84" applyNumberFormat="1" applyFont="1" applyFill="1" applyBorder="1" applyAlignment="1">
      <alignment horizontal="center" vertical="center" wrapText="1"/>
      <protection/>
    </xf>
    <xf numFmtId="0" fontId="1" fillId="0" borderId="41" xfId="83" applyFont="1" applyFill="1" applyBorder="1" applyAlignment="1">
      <alignment horizontal="center" vertical="center"/>
      <protection/>
    </xf>
    <xf numFmtId="0" fontId="1" fillId="0" borderId="53" xfId="83" applyFont="1" applyFill="1" applyBorder="1" applyAlignment="1">
      <alignment horizontal="left" vertical="center" wrapText="1"/>
      <protection/>
    </xf>
    <xf numFmtId="0" fontId="1" fillId="0" borderId="25" xfId="83" applyFont="1" applyFill="1" applyBorder="1" applyAlignment="1">
      <alignment horizontal="center" vertical="center" wrapText="1"/>
      <protection/>
    </xf>
    <xf numFmtId="0" fontId="1" fillId="0" borderId="23" xfId="83" applyFont="1" applyFill="1" applyBorder="1" applyAlignment="1">
      <alignment horizontal="center" vertical="center" wrapText="1"/>
      <protection/>
    </xf>
    <xf numFmtId="0" fontId="1" fillId="0" borderId="67" xfId="83" applyFont="1" applyFill="1" applyBorder="1" applyAlignment="1">
      <alignment horizontal="center" vertical="center"/>
      <protection/>
    </xf>
    <xf numFmtId="0" fontId="1" fillId="0" borderId="76" xfId="83" applyFont="1" applyFill="1" applyBorder="1" applyAlignment="1">
      <alignment horizontal="center" vertical="center"/>
      <protection/>
    </xf>
    <xf numFmtId="0" fontId="1" fillId="0" borderId="59" xfId="83" applyFont="1" applyFill="1" applyBorder="1" applyAlignment="1">
      <alignment horizontal="center" vertical="center"/>
      <protection/>
    </xf>
    <xf numFmtId="0" fontId="1" fillId="0" borderId="89" xfId="83" applyFont="1" applyFill="1" applyBorder="1" applyAlignment="1">
      <alignment horizontal="center" vertical="center"/>
      <protection/>
    </xf>
    <xf numFmtId="0" fontId="1" fillId="0" borderId="87" xfId="83" applyFont="1" applyFill="1" applyBorder="1" applyAlignment="1">
      <alignment horizontal="center" vertical="center"/>
      <protection/>
    </xf>
    <xf numFmtId="0" fontId="1" fillId="0" borderId="73" xfId="83" applyFont="1" applyFill="1" applyBorder="1" applyAlignment="1">
      <alignment horizontal="center" vertical="center"/>
      <protection/>
    </xf>
    <xf numFmtId="0" fontId="1" fillId="0" borderId="27" xfId="83" applyFont="1" applyFill="1" applyBorder="1" applyAlignment="1">
      <alignment horizontal="center" vertical="center" wrapText="1"/>
      <protection/>
    </xf>
    <xf numFmtId="0" fontId="1" fillId="0" borderId="22" xfId="83" applyFont="1" applyFill="1" applyBorder="1" applyAlignment="1">
      <alignment horizontal="center" vertical="center" wrapText="1"/>
      <protection/>
    </xf>
    <xf numFmtId="0" fontId="1" fillId="0" borderId="26" xfId="83" applyFont="1" applyFill="1" applyBorder="1" applyAlignment="1">
      <alignment horizontal="center" vertical="center" wrapText="1"/>
      <protection/>
    </xf>
    <xf numFmtId="0" fontId="1" fillId="0" borderId="21" xfId="83" applyFont="1" applyFill="1" applyBorder="1" applyAlignment="1">
      <alignment horizontal="center" vertical="center" wrapText="1"/>
      <protection/>
    </xf>
    <xf numFmtId="0" fontId="1" fillId="0" borderId="53" xfId="83" applyFont="1" applyFill="1" applyBorder="1" applyAlignment="1">
      <alignment horizontal="center" vertical="center"/>
      <protection/>
    </xf>
    <xf numFmtId="0" fontId="1" fillId="0" borderId="22" xfId="83" applyFont="1" applyFill="1" applyBorder="1" applyAlignment="1">
      <alignment horizontal="center"/>
      <protection/>
    </xf>
    <xf numFmtId="0" fontId="19" fillId="0" borderId="36" xfId="0" applyFont="1" applyFill="1" applyBorder="1" applyAlignment="1">
      <alignment horizontal="left" vertical="center"/>
    </xf>
    <xf numFmtId="0" fontId="19" fillId="0" borderId="37" xfId="0" applyFont="1" applyFill="1" applyBorder="1" applyAlignment="1">
      <alignment horizontal="left" vertical="center"/>
    </xf>
    <xf numFmtId="0" fontId="19" fillId="0" borderId="38" xfId="0" applyFont="1" applyFill="1" applyBorder="1" applyAlignment="1">
      <alignment horizontal="left" vertical="center"/>
    </xf>
    <xf numFmtId="0" fontId="19" fillId="0" borderId="48" xfId="0" applyFont="1" applyFill="1" applyBorder="1" applyAlignment="1">
      <alignment horizontal="left" vertical="center"/>
    </xf>
    <xf numFmtId="0" fontId="19" fillId="0" borderId="41" xfId="0" applyFont="1" applyFill="1" applyBorder="1" applyAlignment="1">
      <alignment horizontal="left" vertical="center"/>
    </xf>
    <xf numFmtId="0" fontId="19" fillId="0" borderId="42" xfId="0" applyFont="1" applyFill="1" applyBorder="1" applyAlignment="1">
      <alignment horizontal="left" vertical="center"/>
    </xf>
    <xf numFmtId="0" fontId="1" fillId="0" borderId="47"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4" xfId="0" applyFont="1" applyFill="1" applyBorder="1" applyAlignment="1">
      <alignment horizontal="center" vertical="center" wrapText="1"/>
    </xf>
    <xf numFmtId="49" fontId="1" fillId="0" borderId="38" xfId="0" applyNumberFormat="1"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9" fillId="0" borderId="48" xfId="0" applyFont="1" applyFill="1" applyBorder="1" applyAlignment="1">
      <alignment horizontal="left" vertical="center" wrapText="1"/>
    </xf>
    <xf numFmtId="0" fontId="19" fillId="0" borderId="41" xfId="0" applyFont="1" applyFill="1" applyBorder="1" applyAlignment="1">
      <alignment horizontal="left" vertical="center" wrapText="1"/>
    </xf>
    <xf numFmtId="0" fontId="19" fillId="0" borderId="42"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70" xfId="0"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26" xfId="0" applyFont="1" applyFill="1" applyBorder="1" applyAlignment="1">
      <alignment horizontal="center" vertical="center"/>
    </xf>
    <xf numFmtId="0" fontId="1" fillId="0" borderId="23"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9" fillId="0" borderId="36" xfId="0" applyFont="1" applyFill="1" applyBorder="1" applyAlignment="1">
      <alignment horizontal="left" vertical="center"/>
    </xf>
    <xf numFmtId="0" fontId="19" fillId="0" borderId="37" xfId="0" applyFont="1" applyFill="1" applyBorder="1" applyAlignment="1">
      <alignment horizontal="left" vertical="center"/>
    </xf>
    <xf numFmtId="0" fontId="19" fillId="0" borderId="38" xfId="0" applyFont="1" applyFill="1" applyBorder="1" applyAlignment="1">
      <alignment horizontal="left" vertical="center"/>
    </xf>
    <xf numFmtId="0" fontId="19" fillId="0" borderId="39" xfId="0" applyFont="1" applyFill="1" applyBorder="1" applyAlignment="1">
      <alignment horizontal="left" vertical="center"/>
    </xf>
    <xf numFmtId="0" fontId="19" fillId="0" borderId="0" xfId="0" applyFont="1" applyFill="1" applyBorder="1" applyAlignment="1">
      <alignment horizontal="left" vertical="center"/>
    </xf>
    <xf numFmtId="0" fontId="19" fillId="0" borderId="40" xfId="0" applyFont="1" applyFill="1" applyBorder="1" applyAlignment="1">
      <alignment horizontal="left" vertical="center"/>
    </xf>
    <xf numFmtId="0" fontId="19" fillId="0" borderId="48" xfId="0" applyFont="1" applyFill="1" applyBorder="1" applyAlignment="1">
      <alignment horizontal="left" vertical="center"/>
    </xf>
    <xf numFmtId="0" fontId="19" fillId="0" borderId="41" xfId="0" applyFont="1" applyFill="1" applyBorder="1" applyAlignment="1">
      <alignment horizontal="left" vertical="center"/>
    </xf>
    <xf numFmtId="0" fontId="19" fillId="0" borderId="42" xfId="0" applyFont="1" applyFill="1" applyBorder="1" applyAlignment="1">
      <alignment horizontal="left" vertical="center"/>
    </xf>
    <xf numFmtId="0" fontId="19" fillId="0" borderId="48" xfId="0" applyFont="1" applyFill="1" applyBorder="1" applyAlignment="1">
      <alignment horizontal="left" vertical="center" wrapText="1"/>
    </xf>
    <xf numFmtId="0" fontId="19" fillId="0" borderId="41" xfId="0" applyFont="1" applyFill="1" applyBorder="1" applyAlignment="1">
      <alignment horizontal="left" vertical="center" wrapText="1"/>
    </xf>
    <xf numFmtId="0" fontId="19" fillId="0" borderId="42" xfId="0" applyFont="1" applyFill="1" applyBorder="1" applyAlignment="1">
      <alignment horizontal="left" vertical="center" wrapText="1"/>
    </xf>
    <xf numFmtId="0" fontId="1" fillId="0" borderId="79"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1" fillId="0" borderId="23"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54" xfId="0"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0" fontId="2" fillId="0" borderId="0" xfId="0" applyFont="1" applyFill="1" applyBorder="1" applyAlignment="1">
      <alignment horizontal="left"/>
    </xf>
    <xf numFmtId="0" fontId="3" fillId="0" borderId="86"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1" fillId="0" borderId="56"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90" xfId="0" applyFont="1" applyFill="1" applyBorder="1" applyAlignment="1">
      <alignment horizontal="left" vertical="center" wrapText="1"/>
    </xf>
    <xf numFmtId="0" fontId="1" fillId="0" borderId="2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8" xfId="0" applyFont="1" applyFill="1" applyBorder="1" applyAlignment="1">
      <alignment horizontal="center" vertical="center"/>
    </xf>
    <xf numFmtId="0" fontId="1" fillId="0" borderId="91"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60" xfId="0" applyFont="1" applyFill="1" applyBorder="1" applyAlignment="1">
      <alignment horizontal="left" vertical="center" wrapText="1"/>
    </xf>
    <xf numFmtId="49" fontId="1" fillId="0" borderId="22" xfId="0" applyNumberFormat="1" applyFont="1" applyFill="1" applyBorder="1" applyAlignment="1">
      <alignment horizontal="left" vertical="center" wrapText="1" indent="1"/>
    </xf>
    <xf numFmtId="0" fontId="3" fillId="0" borderId="25" xfId="85" applyFont="1" applyFill="1" applyBorder="1" applyAlignment="1">
      <alignment horizontal="center" vertical="center" wrapText="1"/>
      <protection/>
    </xf>
    <xf numFmtId="0" fontId="3" fillId="0" borderId="27" xfId="85" applyFont="1" applyFill="1" applyBorder="1" applyAlignment="1">
      <alignment horizontal="center" vertical="center" wrapText="1"/>
      <protection/>
    </xf>
    <xf numFmtId="0" fontId="3" fillId="0" borderId="26" xfId="85" applyFont="1" applyFill="1" applyBorder="1" applyAlignment="1">
      <alignment horizontal="center" vertical="center" wrapText="1"/>
      <protection/>
    </xf>
    <xf numFmtId="0" fontId="24" fillId="0" borderId="36" xfId="0" applyFont="1" applyFill="1" applyBorder="1" applyAlignment="1">
      <alignment horizontal="left" vertical="center"/>
    </xf>
    <xf numFmtId="0" fontId="24" fillId="0" borderId="37" xfId="0" applyFont="1" applyFill="1" applyBorder="1" applyAlignment="1">
      <alignment horizontal="left" vertical="center"/>
    </xf>
    <xf numFmtId="0" fontId="24" fillId="0" borderId="38" xfId="0" applyFont="1" applyFill="1" applyBorder="1" applyAlignment="1">
      <alignment horizontal="left" vertical="center"/>
    </xf>
    <xf numFmtId="0" fontId="24" fillId="0" borderId="48" xfId="0" applyFont="1" applyFill="1" applyBorder="1" applyAlignment="1">
      <alignment horizontal="left" vertical="center"/>
    </xf>
    <xf numFmtId="0" fontId="24" fillId="0" borderId="41" xfId="0" applyFont="1" applyFill="1" applyBorder="1" applyAlignment="1">
      <alignment horizontal="left" vertical="center"/>
    </xf>
    <xf numFmtId="0" fontId="24" fillId="0" borderId="42" xfId="0" applyFont="1" applyFill="1" applyBorder="1" applyAlignment="1">
      <alignment horizontal="left" vertical="center"/>
    </xf>
    <xf numFmtId="0" fontId="24" fillId="0" borderId="48" xfId="0" applyFont="1" applyFill="1" applyBorder="1" applyAlignment="1">
      <alignment horizontal="left" vertical="center"/>
    </xf>
    <xf numFmtId="0" fontId="24" fillId="0" borderId="41" xfId="0" applyFont="1" applyFill="1" applyBorder="1" applyAlignment="1">
      <alignment horizontal="left" vertical="center"/>
    </xf>
    <xf numFmtId="0" fontId="24" fillId="0" borderId="42" xfId="0" applyFont="1" applyFill="1" applyBorder="1" applyAlignment="1">
      <alignment horizontal="left" vertical="center"/>
    </xf>
    <xf numFmtId="0" fontId="24" fillId="0" borderId="36" xfId="0" applyFont="1" applyFill="1" applyBorder="1" applyAlignment="1">
      <alignment horizontal="left" vertical="center"/>
    </xf>
    <xf numFmtId="0" fontId="24" fillId="0" borderId="37" xfId="0" applyFont="1" applyFill="1" applyBorder="1" applyAlignment="1">
      <alignment horizontal="left" vertical="center"/>
    </xf>
    <xf numFmtId="0" fontId="24" fillId="0" borderId="38" xfId="0" applyFont="1" applyFill="1" applyBorder="1" applyAlignment="1">
      <alignment horizontal="left" vertical="center"/>
    </xf>
    <xf numFmtId="3" fontId="2" fillId="0" borderId="0" xfId="88" applyNumberFormat="1" applyFont="1" applyFill="1" applyBorder="1" applyAlignment="1">
      <alignment horizontal="left" vertical="center" wrapText="1"/>
      <protection/>
    </xf>
    <xf numFmtId="3" fontId="24" fillId="0" borderId="0" xfId="88" applyNumberFormat="1" applyFont="1" applyFill="1" applyBorder="1" applyAlignment="1">
      <alignment horizontal="left" vertical="center" wrapText="1"/>
      <protection/>
    </xf>
    <xf numFmtId="3" fontId="3" fillId="0" borderId="77" xfId="88" applyNumberFormat="1" applyFont="1" applyFill="1" applyBorder="1" applyAlignment="1">
      <alignment horizontal="center" vertical="center" wrapText="1"/>
      <protection/>
    </xf>
    <xf numFmtId="3" fontId="3" fillId="0" borderId="84" xfId="88" applyNumberFormat="1" applyFont="1" applyFill="1" applyBorder="1" applyAlignment="1">
      <alignment horizontal="center" vertical="center" wrapText="1"/>
      <protection/>
    </xf>
    <xf numFmtId="3" fontId="3" fillId="0" borderId="83" xfId="88" applyNumberFormat="1" applyFont="1" applyFill="1" applyBorder="1" applyAlignment="1">
      <alignment horizontal="center" vertical="center" wrapText="1"/>
      <protection/>
    </xf>
    <xf numFmtId="0" fontId="1" fillId="0" borderId="91" xfId="0" applyFont="1" applyFill="1" applyBorder="1" applyAlignment="1">
      <alignment horizontal="left" vertical="center" wrapText="1" indent="1"/>
    </xf>
    <xf numFmtId="0" fontId="1" fillId="0" borderId="41" xfId="0" applyFont="1" applyFill="1" applyBorder="1" applyAlignment="1">
      <alignment horizontal="left" vertical="center" wrapText="1" indent="1"/>
    </xf>
    <xf numFmtId="0" fontId="1" fillId="0" borderId="60" xfId="0" applyFont="1" applyFill="1" applyBorder="1" applyAlignment="1">
      <alignment horizontal="left" vertical="center" wrapText="1" indent="1"/>
    </xf>
    <xf numFmtId="3" fontId="1" fillId="0" borderId="23" xfId="88" applyNumberFormat="1" applyFont="1" applyFill="1" applyBorder="1" applyAlignment="1">
      <alignment horizontal="center" vertical="center" wrapText="1"/>
      <protection/>
    </xf>
    <xf numFmtId="0" fontId="3" fillId="0"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3" fontId="3" fillId="0" borderId="80" xfId="86" applyNumberFormat="1" applyFont="1" applyFill="1" applyBorder="1" applyAlignment="1">
      <alignment horizontal="center" vertical="center" wrapText="1"/>
      <protection/>
    </xf>
    <xf numFmtId="3" fontId="3" fillId="0" borderId="81" xfId="86" applyNumberFormat="1" applyFont="1" applyFill="1" applyBorder="1" applyAlignment="1">
      <alignment horizontal="center" vertical="center" wrapText="1"/>
      <protection/>
    </xf>
    <xf numFmtId="3" fontId="3" fillId="0" borderId="82" xfId="86" applyNumberFormat="1" applyFont="1" applyFill="1" applyBorder="1" applyAlignment="1">
      <alignment horizontal="center" vertical="center" wrapText="1"/>
      <protection/>
    </xf>
    <xf numFmtId="3" fontId="1" fillId="0" borderId="56" xfId="86" applyNumberFormat="1" applyFont="1" applyFill="1" applyBorder="1" applyAlignment="1">
      <alignment horizontal="left" vertical="center" wrapText="1"/>
      <protection/>
    </xf>
    <xf numFmtId="3" fontId="1" fillId="0" borderId="0" xfId="86" applyNumberFormat="1" applyFont="1" applyFill="1" applyBorder="1" applyAlignment="1">
      <alignment horizontal="left" vertical="center" wrapText="1"/>
      <protection/>
    </xf>
    <xf numFmtId="3" fontId="1" fillId="0" borderId="90" xfId="86" applyNumberFormat="1" applyFont="1" applyFill="1" applyBorder="1" applyAlignment="1">
      <alignment horizontal="left" vertical="center" wrapText="1"/>
      <protection/>
    </xf>
    <xf numFmtId="0" fontId="47" fillId="0" borderId="23" xfId="84" applyFont="1" applyFill="1" applyBorder="1" applyAlignment="1">
      <alignment/>
      <protection/>
    </xf>
    <xf numFmtId="0" fontId="47" fillId="0" borderId="22" xfId="84" applyFont="1" applyFill="1" applyBorder="1" applyAlignment="1">
      <alignment/>
      <protection/>
    </xf>
    <xf numFmtId="0" fontId="47" fillId="0" borderId="28" xfId="84" applyFont="1" applyFill="1" applyBorder="1" applyAlignment="1">
      <alignment/>
      <protection/>
    </xf>
    <xf numFmtId="0" fontId="47" fillId="0" borderId="24" xfId="84" applyFont="1" applyFill="1" applyBorder="1" applyAlignment="1">
      <alignment/>
      <protection/>
    </xf>
    <xf numFmtId="0" fontId="3" fillId="0" borderId="77" xfId="0" applyNumberFormat="1" applyFont="1" applyFill="1" applyBorder="1" applyAlignment="1">
      <alignment horizontal="center" vertical="center" wrapText="1"/>
    </xf>
    <xf numFmtId="0" fontId="3" fillId="0" borderId="84" xfId="0" applyNumberFormat="1" applyFont="1" applyFill="1" applyBorder="1" applyAlignment="1">
      <alignment horizontal="center" vertical="center" wrapText="1"/>
    </xf>
    <xf numFmtId="0" fontId="3" fillId="0" borderId="83" xfId="0" applyNumberFormat="1" applyFont="1" applyFill="1" applyBorder="1" applyAlignment="1">
      <alignment horizontal="center" vertical="center" wrapText="1"/>
    </xf>
    <xf numFmtId="0" fontId="1" fillId="0" borderId="80" xfId="0" applyFont="1" applyFill="1" applyBorder="1" applyAlignment="1">
      <alignment horizontal="left" wrapText="1"/>
    </xf>
    <xf numFmtId="0" fontId="1" fillId="0" borderId="81" xfId="0" applyFont="1" applyFill="1" applyBorder="1" applyAlignment="1">
      <alignment horizontal="left" wrapText="1"/>
    </xf>
    <xf numFmtId="0" fontId="1" fillId="0" borderId="82" xfId="0" applyFont="1" applyFill="1" applyBorder="1" applyAlignment="1">
      <alignment horizontal="left" wrapText="1"/>
    </xf>
    <xf numFmtId="0" fontId="1" fillId="0" borderId="51" xfId="84" applyFont="1" applyFill="1" applyBorder="1" applyAlignment="1">
      <alignment/>
      <protection/>
    </xf>
    <xf numFmtId="0" fontId="1" fillId="0" borderId="34" xfId="84" applyFont="1" applyFill="1" applyBorder="1" applyAlignment="1">
      <alignment/>
      <protection/>
    </xf>
    <xf numFmtId="0" fontId="1" fillId="0" borderId="61" xfId="84" applyFont="1" applyFill="1" applyBorder="1" applyAlignment="1">
      <alignment/>
      <protection/>
    </xf>
    <xf numFmtId="0" fontId="2" fillId="0" borderId="62" xfId="84" applyFont="1" applyFill="1" applyBorder="1" applyAlignment="1">
      <alignment/>
      <protection/>
    </xf>
    <xf numFmtId="0" fontId="1" fillId="0" borderId="86" xfId="84" applyFont="1" applyFill="1" applyBorder="1" applyAlignment="1" applyProtection="1">
      <alignment horizontal="left"/>
      <protection/>
    </xf>
    <xf numFmtId="0" fontId="1" fillId="0" borderId="73" xfId="84" applyFont="1" applyFill="1" applyBorder="1" applyAlignment="1" applyProtection="1">
      <alignment horizontal="left"/>
      <protection/>
    </xf>
    <xf numFmtId="0" fontId="1" fillId="0" borderId="44" xfId="84" applyFont="1" applyFill="1" applyBorder="1" applyAlignment="1" applyProtection="1">
      <alignment horizontal="center" vertical="top" wrapText="1"/>
      <protection/>
    </xf>
    <xf numFmtId="0" fontId="1" fillId="0" borderId="23" xfId="84" applyFont="1" applyFill="1" applyBorder="1" applyAlignment="1" applyProtection="1">
      <alignment horizontal="center" vertical="top" wrapText="1"/>
      <protection/>
    </xf>
    <xf numFmtId="0" fontId="54" fillId="0" borderId="92" xfId="84" applyFont="1" applyFill="1" applyBorder="1" applyAlignment="1" applyProtection="1">
      <alignment horizontal="left" vertical="center" wrapText="1"/>
      <protection/>
    </xf>
    <xf numFmtId="0" fontId="54" fillId="0" borderId="37" xfId="84" applyFont="1" applyFill="1" applyBorder="1" applyAlignment="1" applyProtection="1">
      <alignment horizontal="left" vertical="center" wrapText="1"/>
      <protection/>
    </xf>
    <xf numFmtId="0" fontId="54" fillId="0" borderId="93" xfId="84" applyFont="1" applyFill="1" applyBorder="1" applyAlignment="1" applyProtection="1">
      <alignment horizontal="left" vertical="center" wrapText="1"/>
      <protection/>
    </xf>
    <xf numFmtId="0" fontId="1" fillId="0" borderId="25" xfId="84" applyFont="1" applyFill="1" applyBorder="1" applyAlignment="1" applyProtection="1">
      <alignment horizontal="center" vertical="center"/>
      <protection/>
    </xf>
    <xf numFmtId="0" fontId="1" fillId="0" borderId="27" xfId="84" applyFont="1" applyFill="1" applyBorder="1" applyAlignment="1" applyProtection="1">
      <alignment horizontal="center" vertical="center"/>
      <protection/>
    </xf>
    <xf numFmtId="0" fontId="1" fillId="0" borderId="33" xfId="84" applyFont="1" applyFill="1" applyBorder="1" applyAlignment="1" applyProtection="1">
      <alignment horizontal="center" vertical="center"/>
      <protection/>
    </xf>
    <xf numFmtId="0" fontId="1" fillId="0" borderId="53" xfId="84" applyFont="1" applyFill="1" applyBorder="1" applyAlignment="1" applyProtection="1">
      <alignment horizontal="center" vertical="center"/>
      <protection/>
    </xf>
    <xf numFmtId="199" fontId="1" fillId="0" borderId="27" xfId="84" applyNumberFormat="1" applyFont="1" applyFill="1" applyBorder="1" applyAlignment="1" applyProtection="1">
      <alignment horizontal="center" vertical="center"/>
      <protection/>
    </xf>
    <xf numFmtId="0" fontId="2" fillId="0" borderId="51" xfId="84" applyFont="1" applyFill="1" applyBorder="1" applyAlignment="1" applyProtection="1">
      <alignment horizontal="center"/>
      <protection/>
    </xf>
    <xf numFmtId="0" fontId="2" fillId="0" borderId="34" xfId="84" applyFont="1" applyFill="1" applyBorder="1" applyAlignment="1" applyProtection="1">
      <alignment horizontal="center"/>
      <protection/>
    </xf>
    <xf numFmtId="0" fontId="2" fillId="0" borderId="44" xfId="84" applyFont="1" applyFill="1" applyBorder="1" applyAlignment="1">
      <alignment horizontal="center" vertical="center" wrapText="1"/>
      <protection/>
    </xf>
    <xf numFmtId="0" fontId="1" fillId="0" borderId="33" xfId="84" applyFont="1" applyFill="1" applyBorder="1" applyAlignment="1">
      <alignment horizontal="center" vertical="center" wrapText="1"/>
      <protection/>
    </xf>
    <xf numFmtId="0" fontId="1" fillId="0" borderId="77" xfId="84" applyFont="1" applyFill="1" applyBorder="1" applyAlignment="1">
      <alignment horizontal="left" vertical="center" wrapText="1"/>
      <protection/>
    </xf>
    <xf numFmtId="0" fontId="1" fillId="0" borderId="78" xfId="84" applyFont="1" applyFill="1" applyBorder="1" applyAlignment="1">
      <alignment horizontal="left" vertical="center" wrapText="1"/>
      <protection/>
    </xf>
    <xf numFmtId="0" fontId="1" fillId="0" borderId="80" xfId="84" applyFont="1" applyFill="1" applyBorder="1" applyAlignment="1">
      <alignment vertical="center" wrapText="1"/>
      <protection/>
    </xf>
    <xf numFmtId="0" fontId="1" fillId="0" borderId="52" xfId="84" applyFont="1" applyFill="1" applyBorder="1" applyAlignment="1">
      <alignment vertical="center" wrapText="1"/>
      <protection/>
    </xf>
    <xf numFmtId="0" fontId="1" fillId="0" borderId="86" xfId="84" applyFont="1" applyFill="1" applyBorder="1" applyAlignment="1">
      <alignment horizontal="left" vertical="center" wrapText="1"/>
      <protection/>
    </xf>
    <xf numFmtId="0" fontId="1" fillId="0" borderId="73" xfId="84" applyFont="1" applyFill="1" applyBorder="1" applyAlignment="1">
      <alignment horizontal="left" vertical="center" wrapText="1"/>
      <protection/>
    </xf>
    <xf numFmtId="0" fontId="1" fillId="0" borderId="44" xfId="84" applyFont="1" applyFill="1" applyBorder="1" applyAlignment="1">
      <alignment horizontal="center" vertical="center" wrapText="1"/>
      <protection/>
    </xf>
    <xf numFmtId="0" fontId="1" fillId="0" borderId="23" xfId="84" applyFont="1" applyFill="1" applyBorder="1" applyAlignment="1">
      <alignment horizontal="center" vertical="center" wrapText="1"/>
      <protection/>
    </xf>
    <xf numFmtId="0" fontId="1" fillId="0" borderId="70" xfId="84" applyFont="1" applyFill="1" applyBorder="1" applyAlignment="1">
      <alignment horizontal="center" vertical="center" wrapText="1"/>
      <protection/>
    </xf>
    <xf numFmtId="0" fontId="2" fillId="0" borderId="52" xfId="84" applyFont="1" applyFill="1" applyBorder="1" applyAlignment="1">
      <alignment vertical="center" wrapText="1"/>
      <protection/>
    </xf>
    <xf numFmtId="0" fontId="3" fillId="0" borderId="8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54" fillId="0" borderId="91" xfId="84" applyFont="1" applyFill="1" applyBorder="1" applyAlignment="1" applyProtection="1">
      <alignment horizontal="left" vertical="center" wrapText="1"/>
      <protection/>
    </xf>
    <xf numFmtId="0" fontId="54" fillId="0" borderId="41" xfId="84" applyFont="1" applyFill="1" applyBorder="1" applyAlignment="1" applyProtection="1">
      <alignment horizontal="left" vertical="center" wrapText="1"/>
      <protection/>
    </xf>
    <xf numFmtId="0" fontId="54" fillId="0" borderId="60" xfId="84" applyFont="1" applyFill="1" applyBorder="1" applyAlignment="1" applyProtection="1">
      <alignment horizontal="left" vertical="center" wrapText="1"/>
      <protection/>
    </xf>
    <xf numFmtId="0" fontId="1" fillId="0" borderId="44" xfId="84" applyFont="1" applyFill="1" applyBorder="1" applyAlignment="1">
      <alignment horizontal="center" vertical="center"/>
      <protection/>
    </xf>
    <xf numFmtId="0" fontId="1" fillId="0" borderId="59" xfId="84" applyFont="1" applyFill="1" applyBorder="1" applyAlignment="1">
      <alignment horizontal="center" vertical="center"/>
      <protection/>
    </xf>
    <xf numFmtId="0" fontId="1" fillId="0" borderId="33" xfId="84" applyFont="1" applyFill="1" applyBorder="1" applyAlignment="1">
      <alignment horizontal="center" vertical="center"/>
      <protection/>
    </xf>
    <xf numFmtId="0" fontId="1" fillId="0" borderId="53" xfId="84" applyFont="1" applyFill="1" applyBorder="1" applyAlignment="1">
      <alignment horizontal="center" vertical="center"/>
      <protection/>
    </xf>
    <xf numFmtId="3" fontId="1" fillId="0" borderId="59" xfId="84" applyNumberFormat="1" applyFont="1" applyFill="1" applyBorder="1" applyAlignment="1">
      <alignment horizontal="center" vertical="center"/>
      <protection/>
    </xf>
    <xf numFmtId="0" fontId="2" fillId="0" borderId="51" xfId="84" applyFont="1" applyFill="1" applyBorder="1" applyAlignment="1">
      <alignment horizontal="center" vertical="center"/>
      <protection/>
    </xf>
    <xf numFmtId="0" fontId="2" fillId="0" borderId="34" xfId="84" applyFont="1" applyFill="1" applyBorder="1" applyAlignment="1">
      <alignment horizontal="center" vertical="center"/>
      <protection/>
    </xf>
    <xf numFmtId="0" fontId="1" fillId="0" borderId="92" xfId="84" applyFont="1" applyFill="1" applyBorder="1" applyAlignment="1">
      <alignment vertical="center" wrapText="1"/>
      <protection/>
    </xf>
    <xf numFmtId="0" fontId="2" fillId="0" borderId="38" xfId="84" applyFont="1" applyFill="1" applyBorder="1" applyAlignment="1">
      <alignment vertical="center" wrapText="1"/>
      <protection/>
    </xf>
    <xf numFmtId="0" fontId="1" fillId="0" borderId="91" xfId="84" applyFont="1" applyFill="1" applyBorder="1" applyAlignment="1">
      <alignment horizontal="left" vertical="center" wrapText="1"/>
      <protection/>
    </xf>
    <xf numFmtId="0" fontId="1" fillId="0" borderId="42" xfId="84" applyFont="1" applyFill="1" applyBorder="1" applyAlignment="1">
      <alignment horizontal="left" vertical="center" wrapText="1"/>
      <protection/>
    </xf>
    <xf numFmtId="0" fontId="19" fillId="0" borderId="51" xfId="84" applyFont="1" applyFill="1" applyBorder="1" applyAlignment="1">
      <alignment horizontal="center"/>
      <protection/>
    </xf>
    <xf numFmtId="0" fontId="19" fillId="0" borderId="34" xfId="84" applyFont="1" applyFill="1" applyBorder="1" applyAlignment="1">
      <alignment horizontal="center"/>
      <protection/>
    </xf>
    <xf numFmtId="0" fontId="1" fillId="0" borderId="86" xfId="84" applyFont="1" applyFill="1" applyBorder="1" applyAlignment="1">
      <alignment vertical="center" wrapText="1"/>
      <protection/>
    </xf>
    <xf numFmtId="0" fontId="2" fillId="0" borderId="73" xfId="84" applyFont="1" applyFill="1" applyBorder="1" applyAlignment="1">
      <alignment vertical="center" wrapText="1"/>
      <protection/>
    </xf>
    <xf numFmtId="0" fontId="1" fillId="0" borderId="50" xfId="84" applyFont="1" applyFill="1" applyBorder="1" applyAlignment="1">
      <alignment horizontal="left" vertical="center" wrapText="1"/>
      <protection/>
    </xf>
    <xf numFmtId="0" fontId="47" fillId="0" borderId="80" xfId="84" applyFont="1" applyFill="1" applyBorder="1" applyAlignment="1" applyProtection="1">
      <alignment horizontal="left" vertical="center" wrapText="1"/>
      <protection/>
    </xf>
    <xf numFmtId="0" fontId="47" fillId="0" borderId="81" xfId="84" applyFont="1" applyFill="1" applyBorder="1" applyAlignment="1" applyProtection="1">
      <alignment horizontal="left" vertical="center" wrapText="1"/>
      <protection/>
    </xf>
    <xf numFmtId="0" fontId="47" fillId="0" borderId="82" xfId="84" applyFont="1" applyFill="1" applyBorder="1" applyAlignment="1" applyProtection="1">
      <alignment horizontal="left" vertical="center" wrapText="1"/>
      <protection/>
    </xf>
    <xf numFmtId="0" fontId="47" fillId="0" borderId="44" xfId="84" applyFont="1" applyFill="1" applyBorder="1" applyAlignment="1">
      <alignment horizontal="center" vertical="center"/>
      <protection/>
    </xf>
    <xf numFmtId="0" fontId="47" fillId="0" borderId="59" xfId="84" applyFont="1" applyFill="1" applyBorder="1" applyAlignment="1">
      <alignment horizontal="center" vertical="center"/>
      <protection/>
    </xf>
    <xf numFmtId="0" fontId="47" fillId="0" borderId="28" xfId="84" applyFont="1" applyFill="1" applyBorder="1" applyAlignment="1">
      <alignment horizontal="center" vertical="center"/>
      <protection/>
    </xf>
    <xf numFmtId="0" fontId="47" fillId="0" borderId="24" xfId="84" applyFont="1" applyFill="1" applyBorder="1" applyAlignment="1">
      <alignment horizontal="center" vertical="center"/>
      <protection/>
    </xf>
    <xf numFmtId="0" fontId="47" fillId="0" borderId="39" xfId="84" applyFont="1" applyFill="1" applyBorder="1" applyAlignment="1">
      <alignment horizontal="center" vertical="center"/>
      <protection/>
    </xf>
    <xf numFmtId="0" fontId="47" fillId="0" borderId="0" xfId="84" applyFont="1" applyFill="1" applyBorder="1" applyAlignment="1">
      <alignment horizontal="center" vertical="center"/>
      <protection/>
    </xf>
    <xf numFmtId="0" fontId="47" fillId="0" borderId="40" xfId="84" applyFont="1" applyFill="1" applyBorder="1" applyAlignment="1">
      <alignment horizontal="center" vertical="center"/>
      <protection/>
    </xf>
    <xf numFmtId="0" fontId="19" fillId="0" borderId="69" xfId="84" applyFont="1" applyFill="1" applyBorder="1" applyAlignment="1">
      <alignment/>
      <protection/>
    </xf>
    <xf numFmtId="0" fontId="19" fillId="0" borderId="64" xfId="84" applyFont="1" applyFill="1" applyBorder="1" applyAlignment="1">
      <alignment/>
      <protection/>
    </xf>
    <xf numFmtId="0" fontId="19" fillId="0" borderId="94" xfId="84" applyFont="1" applyFill="1" applyBorder="1" applyAlignment="1">
      <alignment/>
      <protection/>
    </xf>
    <xf numFmtId="3" fontId="47" fillId="0" borderId="95" xfId="84" applyNumberFormat="1" applyFont="1" applyFill="1" applyBorder="1" applyAlignment="1">
      <alignment horizontal="center" vertical="center" wrapText="1"/>
      <protection/>
    </xf>
    <xf numFmtId="0" fontId="19" fillId="0" borderId="45" xfId="84" applyFont="1" applyFill="1" applyBorder="1" applyAlignment="1">
      <alignment horizontal="center"/>
      <protection/>
    </xf>
    <xf numFmtId="0" fontId="2" fillId="0" borderId="41" xfId="0" applyFont="1" applyBorder="1" applyAlignment="1">
      <alignment horizontal="left"/>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73" xfId="0" applyFont="1" applyBorder="1" applyAlignment="1">
      <alignment horizontal="center" vertical="center" wrapText="1"/>
    </xf>
  </cellXfs>
  <cellStyles count="13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čiarky 2" xfId="61"/>
    <cellStyle name="čiarky 3" xfId="62"/>
    <cellStyle name="Dobrá" xfId="63"/>
    <cellStyle name="Explanatory Text" xfId="64"/>
    <cellStyle name="Good" xfId="65"/>
    <cellStyle name="Heading 1" xfId="66"/>
    <cellStyle name="Heading 2" xfId="67"/>
    <cellStyle name="Heading 3" xfId="68"/>
    <cellStyle name="Heading 4" xfId="69"/>
    <cellStyle name="Hyperlink" xfId="70"/>
    <cellStyle name="Check Cell" xfId="71"/>
    <cellStyle name="Input" xfId="72"/>
    <cellStyle name="Kontrolná bunka" xfId="73"/>
    <cellStyle name="Linked Cell" xfId="74"/>
    <cellStyle name="Currency" xfId="75"/>
    <cellStyle name="Currency [0]" xfId="76"/>
    <cellStyle name="Nadpis 1" xfId="77"/>
    <cellStyle name="Nadpis 2" xfId="78"/>
    <cellStyle name="Nadpis 3" xfId="79"/>
    <cellStyle name="Nadpis 4" xfId="80"/>
    <cellStyle name="Neutral" xfId="81"/>
    <cellStyle name="Neutrálna" xfId="82"/>
    <cellStyle name="normálne 2" xfId="83"/>
    <cellStyle name="normálne 3" xfId="84"/>
    <cellStyle name="normálne 4" xfId="85"/>
    <cellStyle name="normálne_Databazy_VVŠ_2007_ severská 2" xfId="86"/>
    <cellStyle name="normálne_Databazy_VVŠ_2007_ severská_VVS_vyr_spravy_2009_T24,T25" xfId="87"/>
    <cellStyle name="normálne_sprava_VVŠ_2004_tabuľky_vláda" xfId="88"/>
    <cellStyle name="normální_List1" xfId="89"/>
    <cellStyle name="Note" xfId="90"/>
    <cellStyle name="Output" xfId="91"/>
    <cellStyle name="Percent" xfId="92"/>
    <cellStyle name="Followed Hyperlink" xfId="93"/>
    <cellStyle name="Poznámka" xfId="94"/>
    <cellStyle name="Prepojená bunka" xfId="95"/>
    <cellStyle name="SAPBEXaggData" xfId="96"/>
    <cellStyle name="SAPBEXaggDataEmph" xfId="97"/>
    <cellStyle name="SAPBEXaggItem" xfId="98"/>
    <cellStyle name="SAPBEXaggItemX" xfId="99"/>
    <cellStyle name="SAPBEXexcBad7" xfId="100"/>
    <cellStyle name="SAPBEXexcBad8" xfId="101"/>
    <cellStyle name="SAPBEXexcBad9" xfId="102"/>
    <cellStyle name="SAPBEXexcCritical4" xfId="103"/>
    <cellStyle name="SAPBEXexcCritical5" xfId="104"/>
    <cellStyle name="SAPBEXexcCritical6" xfId="105"/>
    <cellStyle name="SAPBEXexcGood1" xfId="106"/>
    <cellStyle name="SAPBEXexcGood2" xfId="107"/>
    <cellStyle name="SAPBEXexcGood3" xfId="108"/>
    <cellStyle name="SAPBEXfilterDrill" xfId="109"/>
    <cellStyle name="SAPBEXfilterItem" xfId="110"/>
    <cellStyle name="SAPBEXfilterText" xfId="111"/>
    <cellStyle name="SAPBEXformats" xfId="112"/>
    <cellStyle name="SAPBEXheaderItem" xfId="113"/>
    <cellStyle name="SAPBEXheaderText" xfId="114"/>
    <cellStyle name="SAPBEXHLevel0" xfId="115"/>
    <cellStyle name="SAPBEXHLevel0X" xfId="116"/>
    <cellStyle name="SAPBEXHLevel1" xfId="117"/>
    <cellStyle name="SAPBEXHLevel1X" xfId="118"/>
    <cellStyle name="SAPBEXHLevel2" xfId="119"/>
    <cellStyle name="SAPBEXHLevel2X" xfId="120"/>
    <cellStyle name="SAPBEXHLevel3" xfId="121"/>
    <cellStyle name="SAPBEXHLevel3X" xfId="122"/>
    <cellStyle name="SAPBEXchaText" xfId="123"/>
    <cellStyle name="SAPBEXresData" xfId="124"/>
    <cellStyle name="SAPBEXresDataEmph" xfId="125"/>
    <cellStyle name="SAPBEXresItem" xfId="126"/>
    <cellStyle name="SAPBEXresItemX" xfId="127"/>
    <cellStyle name="SAPBEXstdData" xfId="128"/>
    <cellStyle name="SAPBEXstdDataEmph" xfId="129"/>
    <cellStyle name="SAPBEXstdItem" xfId="130"/>
    <cellStyle name="SAPBEXstdItemX" xfId="131"/>
    <cellStyle name="SAPBEXtitle" xfId="132"/>
    <cellStyle name="SAPBEXundefined" xfId="133"/>
    <cellStyle name="Spolu" xfId="134"/>
    <cellStyle name="Text upozornenia" xfId="135"/>
    <cellStyle name="Title" xfId="136"/>
    <cellStyle name="Titul" xfId="137"/>
    <cellStyle name="Total" xfId="138"/>
    <cellStyle name="Vstup" xfId="139"/>
    <cellStyle name="Výpočet" xfId="140"/>
    <cellStyle name="Výstup" xfId="141"/>
    <cellStyle name="Vysvetľujúci text" xfId="142"/>
    <cellStyle name="Warning Text" xfId="143"/>
    <cellStyle name="Zlá" xfId="144"/>
    <cellStyle name="Zvýraznenie1" xfId="145"/>
    <cellStyle name="Zvýraznenie2" xfId="146"/>
    <cellStyle name="Zvýraznenie3" xfId="147"/>
    <cellStyle name="Zvýraznenie4" xfId="148"/>
    <cellStyle name="Zvýraznenie5" xfId="149"/>
    <cellStyle name="Zvýraznenie6" xfId="1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externalLink" Target="externalLinks/externalLink6.xml" /><Relationship Id="rId38" Type="http://schemas.openxmlformats.org/officeDocument/2006/relationships/externalLink" Target="externalLinks/externalLink7.xml" /><Relationship Id="rId39" Type="http://schemas.openxmlformats.org/officeDocument/2006/relationships/externalLink" Target="externalLinks/externalLink8.xml" /><Relationship Id="rId40" Type="http://schemas.openxmlformats.org/officeDocument/2006/relationships/externalLink" Target="externalLinks/externalLink9.xml" /><Relationship Id="rId41" Type="http://schemas.openxmlformats.org/officeDocument/2006/relationships/externalLink" Target="externalLinks/externalLink10.xml" /><Relationship Id="rId42" Type="http://schemas.openxmlformats.org/officeDocument/2006/relationships/externalLink" Target="externalLinks/externalLink11.xml" /><Relationship Id="rId43" Type="http://schemas.openxmlformats.org/officeDocument/2006/relationships/externalLink" Target="externalLinks/externalLink12.xml" /><Relationship Id="rId44" Type="http://schemas.openxmlformats.org/officeDocument/2006/relationships/externalLink" Target="externalLinks/externalLink13.xml" /><Relationship Id="rId45" Type="http://schemas.openxmlformats.org/officeDocument/2006/relationships/externalLink" Target="externalLinks/externalLink14.xml" /><Relationship Id="rId4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1\EDITA~1.PIS\LOCALS~1\Temp\Tab_VS_2011_Rektora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RENATA~1.LUC\AppData\Local\Temp\Tab_7_doktorandi.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1\EDITA~1.PIS\LOCALS~1\Temp\Tab_VS_VVS_2011_renat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1\EDITA~1.PIS\LOCALS~1\Temp\Tab_VS_VVS_2011_renata-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UPJ&#352;_upraMSSR_2011_2604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Fin-VS\Rok_2007\Vyro&#269;n&#233;_spr&#225;vy_2006\VV&#353;_Data\Databazy_VV&#352;_2006_%20seversk&#22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ok_2009\V&#253;ro&#269;n&#233;%20spr&#225;vy_2008\Tabulky_VSH_2008_VV&#3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thena11\zd_adr_sfr\Documents%20and%20Settings\mederly\Local%20Settings\Temporary%20Internet%20Files\OLK185F\struktura%20zamestnancov%20po%20fakultach_PM%2004-12-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1\EDITA~1.PIS\LOCALS~1\Temp\Tab_VS_2011_LF.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1\EDITA~1.PIS\LOCALS~1\Temp\Tab_VS_2011_Pr&#237;r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1\EDITA~1.PIS\LOCALS~1\Temp\Tab_VS_2011_Pr&#225;vF.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1\EDITA~1.PIS\LOCALS~1\Temp\Tab_VS_2011_FV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1\EDITA~1.PIS\LOCALS~1\Temp\Tab_VS_2011_F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8">
        <row r="1">
          <cell r="B1">
            <v>1</v>
          </cell>
        </row>
        <row r="2">
          <cell r="B2">
            <v>0.3</v>
          </cell>
        </row>
        <row r="3">
          <cell r="B3">
            <v>3</v>
          </cell>
        </row>
        <row r="4">
          <cell r="B4">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Obsah"/>
      <sheetName val="zmeny"/>
      <sheetName val="Vysvetlivky"/>
      <sheetName val="Súvzťažnosti"/>
      <sheetName val="T1-Dotácie podľa DZ"/>
      <sheetName val="T2-Ostatné dot mimo MŠ SR"/>
      <sheetName val="T3-Výnosy"/>
      <sheetName val="T4-Výnosy zo školného"/>
      <sheetName val="T5 - Analýza nákladov"/>
      <sheetName val="T6-Zamestnanci_a_mzdy"/>
      <sheetName val="T7_Doktorandi-upr "/>
      <sheetName val="T8-Soc_štipendiá"/>
      <sheetName val="T11-Zdroje KV"/>
      <sheetName val="T12-KV"/>
      <sheetName val="T13 - Fondy"/>
      <sheetName val="T16 - Štruktúra hotovosti"/>
      <sheetName val="T17-Dotácie zo ŠF EU"/>
      <sheetName val="T18-Ostatné dotacie z kap MŠ SR"/>
      <sheetName val="T19-Štip_ z vlastných "/>
      <sheetName val="T20_motivačné štipendiá"/>
      <sheetName val="T21-štruktúra_384"/>
      <sheetName val="T22_Výnosy_soc_oblasť"/>
      <sheetName val="T23_Náklady_soc_oblasť"/>
      <sheetName val="T24a_Aktíva_1"/>
      <sheetName val="T24b_Aktíva_2"/>
      <sheetName val="T25_Pasíva "/>
      <sheetName val="T24__Aktíva"/>
    </sheetNames>
    <sheetDataSet>
      <sheetData sheetId="4">
        <row r="6">
          <cell r="C6">
            <v>3378333</v>
          </cell>
          <cell r="D6">
            <v>280000</v>
          </cell>
        </row>
        <row r="8">
          <cell r="C8">
            <v>725142</v>
          </cell>
        </row>
        <row r="12">
          <cell r="C12">
            <v>224</v>
          </cell>
        </row>
        <row r="16">
          <cell r="C16">
            <v>34550</v>
          </cell>
        </row>
        <row r="17">
          <cell r="C17">
            <v>16959</v>
          </cell>
        </row>
        <row r="18">
          <cell r="C18">
            <v>754934</v>
          </cell>
        </row>
      </sheetData>
      <sheetData sheetId="5">
        <row r="7">
          <cell r="C7">
            <v>10207.72</v>
          </cell>
        </row>
      </sheetData>
      <sheetData sheetId="7">
        <row r="6">
          <cell r="C6">
            <v>6220</v>
          </cell>
        </row>
        <row r="10">
          <cell r="C10">
            <v>840</v>
          </cell>
          <cell r="D10">
            <v>2645</v>
          </cell>
        </row>
        <row r="13">
          <cell r="C13">
            <v>794.55</v>
          </cell>
          <cell r="D13">
            <v>145.65</v>
          </cell>
        </row>
        <row r="15">
          <cell r="C15">
            <v>1164</v>
          </cell>
          <cell r="D15">
            <v>2160</v>
          </cell>
        </row>
      </sheetData>
      <sheetData sheetId="15">
        <row r="7">
          <cell r="C7">
            <v>1269352.34</v>
          </cell>
        </row>
        <row r="8">
          <cell r="C8">
            <v>0</v>
          </cell>
        </row>
        <row r="9">
          <cell r="C9">
            <v>376100.85</v>
          </cell>
        </row>
        <row r="12">
          <cell r="C12">
            <v>10207.72</v>
          </cell>
        </row>
        <row r="13">
          <cell r="C13">
            <v>145015.57</v>
          </cell>
        </row>
        <row r="14">
          <cell r="C14">
            <v>26045.63</v>
          </cell>
        </row>
        <row r="15">
          <cell r="C15">
            <v>54107.85</v>
          </cell>
        </row>
        <row r="16">
          <cell r="C16">
            <v>7485.44</v>
          </cell>
        </row>
        <row r="17">
          <cell r="C17">
            <v>2821.48</v>
          </cell>
        </row>
        <row r="19">
          <cell r="C19">
            <v>119505.24</v>
          </cell>
        </row>
      </sheetData>
      <sheetData sheetId="16">
        <row r="17">
          <cell r="C17">
            <v>365753.36</v>
          </cell>
          <cell r="D17">
            <v>43031.8</v>
          </cell>
        </row>
        <row r="18">
          <cell r="C18">
            <v>7616.74</v>
          </cell>
          <cell r="D18">
            <v>896.11</v>
          </cell>
        </row>
        <row r="22">
          <cell r="C22">
            <v>230681.34</v>
          </cell>
          <cell r="D22">
            <v>27139.23</v>
          </cell>
        </row>
        <row r="24">
          <cell r="C24">
            <v>1629.95</v>
          </cell>
          <cell r="D24">
            <v>191.77</v>
          </cell>
        </row>
      </sheetData>
      <sheetData sheetId="17">
        <row r="7">
          <cell r="C7">
            <v>16253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Vysvetlivky"/>
      <sheetName val="T7_Doktorandi_sumár"/>
      <sheetName val="T7_Doktorandi_LF"/>
      <sheetName val="T7_Doktorandi_PF"/>
      <sheetName val="T7_Doktorandi_PrávF"/>
      <sheetName val="T7_Doktorandi_FF"/>
    </sheetNames>
    <sheetDataSet>
      <sheetData sheetId="2">
        <row r="9">
          <cell r="D9">
            <v>223611.75</v>
          </cell>
          <cell r="F9">
            <v>600</v>
          </cell>
          <cell r="G9">
            <v>0</v>
          </cell>
        </row>
        <row r="10">
          <cell r="E10">
            <v>2292.87</v>
          </cell>
          <cell r="F10">
            <v>0</v>
          </cell>
          <cell r="G10">
            <v>0</v>
          </cell>
        </row>
        <row r="12">
          <cell r="D12">
            <v>195128.57</v>
          </cell>
          <cell r="F12">
            <v>350</v>
          </cell>
          <cell r="G12">
            <v>0</v>
          </cell>
        </row>
        <row r="13">
          <cell r="E13">
            <v>3303.3</v>
          </cell>
          <cell r="F13">
            <v>0</v>
          </cell>
          <cell r="G13">
            <v>159.36</v>
          </cell>
        </row>
        <row r="14">
          <cell r="D14">
            <v>0</v>
          </cell>
          <cell r="E14">
            <v>18054.23</v>
          </cell>
          <cell r="F14">
            <v>0</v>
          </cell>
          <cell r="G14">
            <v>0</v>
          </cell>
        </row>
        <row r="15">
          <cell r="D15">
            <v>22136.07</v>
          </cell>
        </row>
        <row r="16">
          <cell r="D16">
            <v>438751.33</v>
          </cell>
          <cell r="E16">
            <v>22371</v>
          </cell>
        </row>
      </sheetData>
      <sheetData sheetId="3">
        <row r="9">
          <cell r="D9">
            <v>480129</v>
          </cell>
          <cell r="F9">
            <v>5940</v>
          </cell>
        </row>
        <row r="10">
          <cell r="E10">
            <v>4329</v>
          </cell>
          <cell r="F10">
            <v>1697</v>
          </cell>
        </row>
        <row r="12">
          <cell r="D12">
            <v>351333</v>
          </cell>
          <cell r="F12">
            <v>40020</v>
          </cell>
        </row>
        <row r="13">
          <cell r="E13">
            <v>14651.5</v>
          </cell>
          <cell r="F13">
            <v>9202</v>
          </cell>
          <cell r="G13">
            <v>140</v>
          </cell>
        </row>
        <row r="14">
          <cell r="D14">
            <v>0</v>
          </cell>
          <cell r="E14">
            <v>20775.5</v>
          </cell>
        </row>
        <row r="15">
          <cell r="D15">
            <v>27198.87</v>
          </cell>
        </row>
        <row r="16">
          <cell r="D16">
            <v>815855</v>
          </cell>
          <cell r="E16">
            <v>39759</v>
          </cell>
        </row>
      </sheetData>
      <sheetData sheetId="4">
        <row r="9">
          <cell r="D9">
            <v>160875</v>
          </cell>
        </row>
        <row r="10">
          <cell r="E10">
            <v>3012</v>
          </cell>
        </row>
        <row r="12">
          <cell r="D12">
            <v>40849</v>
          </cell>
        </row>
        <row r="13">
          <cell r="E13">
            <v>0</v>
          </cell>
        </row>
        <row r="14">
          <cell r="D14">
            <v>0</v>
          </cell>
          <cell r="E14">
            <v>0</v>
          </cell>
        </row>
        <row r="15">
          <cell r="D15">
            <v>5215.17</v>
          </cell>
        </row>
        <row r="16">
          <cell r="D16">
            <v>196508.83</v>
          </cell>
          <cell r="E16">
            <v>9114</v>
          </cell>
        </row>
      </sheetData>
      <sheetData sheetId="5">
        <row r="9">
          <cell r="D9">
            <v>182655</v>
          </cell>
          <cell r="F9">
            <v>2970</v>
          </cell>
        </row>
        <row r="10">
          <cell r="E10">
            <v>4501.31</v>
          </cell>
          <cell r="F10">
            <v>363</v>
          </cell>
        </row>
        <row r="12">
          <cell r="D12">
            <v>93960</v>
          </cell>
          <cell r="F12">
            <v>3480</v>
          </cell>
          <cell r="G12">
            <v>4640</v>
          </cell>
        </row>
        <row r="13">
          <cell r="E13">
            <v>4799.25</v>
          </cell>
          <cell r="F13">
            <v>426</v>
          </cell>
          <cell r="G13">
            <v>1954.4</v>
          </cell>
        </row>
        <row r="14">
          <cell r="D14">
            <v>0</v>
          </cell>
          <cell r="F14">
            <v>0</v>
          </cell>
        </row>
        <row r="15">
          <cell r="D15">
            <v>11266.16</v>
          </cell>
        </row>
        <row r="16">
          <cell r="D16">
            <v>265348.84</v>
          </cell>
          <cell r="E16">
            <v>95226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Obsah"/>
      <sheetName val="zmeny"/>
      <sheetName val="Vysvetlivky"/>
      <sheetName val="Súvzťažnosti"/>
      <sheetName val="T1-Dotácie podľa DZ"/>
      <sheetName val="T2-Ostatné dot mimo MŠ SR"/>
      <sheetName val="T3-Výnosy"/>
      <sheetName val="T4-Výnosy zo školného"/>
      <sheetName val="T5 - Analýza nákladov"/>
      <sheetName val="T6-Zamestnanci_a_mzdy"/>
      <sheetName val="T7_Doktorandi-upr "/>
      <sheetName val="T8-Soc_štipendiá"/>
      <sheetName val="T9_ŠD "/>
      <sheetName val="T10-ŠJ "/>
      <sheetName val="T11-Zdroje KV"/>
      <sheetName val="T12-KV"/>
      <sheetName val="T13 - Fondy"/>
      <sheetName val="T16 - Štruktúra hotovosti"/>
      <sheetName val="T17-Dotácie zo ŠF EU"/>
      <sheetName val="T18-Ostatné dotacie z kap MŠ SR"/>
      <sheetName val="T19-Štip_ z vlastných "/>
      <sheetName val="T20_motivačné štipendiá"/>
      <sheetName val="T21-štruktúra_384"/>
      <sheetName val="T22_Výnosy_soc_oblasť"/>
      <sheetName val="T23_Náklady_soc_oblasť"/>
      <sheetName val="T24a_Aktíva_1"/>
      <sheetName val="T24b_Aktíva_2"/>
      <sheetName val="T25_Pasíva "/>
      <sheetName val="T24__Aktíva"/>
    </sheetNames>
    <sheetDataSet>
      <sheetData sheetId="25">
        <row r="6">
          <cell r="D6">
            <v>81810692.82000001</v>
          </cell>
          <cell r="E6">
            <v>23354421.660000004</v>
          </cell>
          <cell r="F6">
            <v>58456271.16</v>
          </cell>
          <cell r="G6">
            <v>54553698.440000005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Obsah"/>
      <sheetName val="zmeny"/>
      <sheetName val="Vysvetlivky"/>
      <sheetName val="Súvzťažnosti"/>
      <sheetName val="T1-Dotácie podľa DZ"/>
      <sheetName val="T2-Ostatné dot mimo MŠ SR"/>
      <sheetName val="T3-Výnosy"/>
      <sheetName val="T4-Výnosy zo školného"/>
      <sheetName val="T5 - Analýza nákladov"/>
      <sheetName val="T6-Zamestnanci_a_mzdy"/>
      <sheetName val="T7_Doktorandi-upr "/>
      <sheetName val="T8-Soc_štipendiá"/>
      <sheetName val="T9_ŠD "/>
      <sheetName val="T10-ŠJ "/>
      <sheetName val="T11-Zdroje KV"/>
      <sheetName val="T12-KV"/>
      <sheetName val="T13 - Fondy"/>
      <sheetName val="T16 - Štruktúra hotovosti"/>
      <sheetName val="T17-Dotácie zo ŠF EU"/>
      <sheetName val="T18-Ostatné dotacie z kap MŠ SR"/>
      <sheetName val="T19-Štip_ z vlastných "/>
      <sheetName val="T20_motivačné štipendiá"/>
      <sheetName val="T21-štruktúra_384"/>
      <sheetName val="T22_Výnosy_soc_oblasť"/>
      <sheetName val="T23_Náklady_soc_oblasť"/>
      <sheetName val="T24a_Aktíva_1"/>
      <sheetName val="T24b_Aktíva_2"/>
      <sheetName val="T25_Pasíva "/>
      <sheetName val="T24__Aktíva"/>
    </sheetNames>
    <sheetDataSet>
      <sheetData sheetId="24">
        <row r="42">
          <cell r="D42">
            <v>1509432.7</v>
          </cell>
          <cell r="E42">
            <v>1320384.1200000003</v>
          </cell>
          <cell r="F42">
            <v>-189048.58</v>
          </cell>
        </row>
        <row r="43">
          <cell r="F43">
            <v>-378097.16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Obsah"/>
      <sheetName val="zmeny"/>
      <sheetName val="Vysvetlivky"/>
      <sheetName val="Súvzťažnosti"/>
      <sheetName val="T1-Dotácie podľa DZ"/>
      <sheetName val="T2-Ostatné dot mimo MŠ SR"/>
      <sheetName val="T3-Výnosy"/>
      <sheetName val="T4-Výnosy zo školného"/>
      <sheetName val="T5 - Analýza nákladov "/>
      <sheetName val="T6-Zamestnanci_a_mzdy"/>
      <sheetName val="T7_Doktorandi-upr "/>
      <sheetName val="T8-Soc_štipendiá"/>
      <sheetName val="T9_ŠD  "/>
      <sheetName val="T10-ŠJ "/>
      <sheetName val="T11-Zdroje"/>
      <sheetName val="T12-KV "/>
      <sheetName val="T13 - Fondy "/>
      <sheetName val="T16 - Štruktúra hotovosti"/>
      <sheetName val="T17-Dotácie zo ŠF EU"/>
      <sheetName val="T18-Ostatné dotacie z kap MŠ SR"/>
      <sheetName val="T19-Štip_ z vlastných "/>
      <sheetName val="T20_motivačné štipendiá"/>
      <sheetName val="T21-štruktúra_384 "/>
      <sheetName val="T22_Výnosy_soc_oblasť"/>
      <sheetName val="T23_Náklady_soc_oblasť"/>
      <sheetName val="T24a_Aktíva_1 "/>
      <sheetName val="T24b_Aktíva_2 "/>
      <sheetName val="T25_Pasíva  (2)"/>
      <sheetName val="T24__Aktíva"/>
    </sheetNames>
    <sheetDataSet>
      <sheetData sheetId="26">
        <row r="6">
          <cell r="D6">
            <v>7563719.76</v>
          </cell>
          <cell r="E6">
            <v>0</v>
          </cell>
          <cell r="F6">
            <v>7563719.76</v>
          </cell>
        </row>
        <row r="34">
          <cell r="D34">
            <v>208544.17</v>
          </cell>
          <cell r="E34">
            <v>0</v>
          </cell>
          <cell r="F34">
            <v>208544.17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_18_soc. štip_2005_2007"/>
      <sheetName val="T19 - Ubytovacia_kapacita"/>
      <sheetName val="T_20a_Súvaha_A_2007"/>
      <sheetName val="T24_Náklady_2007"/>
      <sheetName val="T25 - Náklady_porovnanie"/>
      <sheetName val="T_26_HV_2007"/>
      <sheetName val="T23 - Výnosy_porovnanie"/>
      <sheetName val="T_20b_Súvaha_P_2007"/>
      <sheetName val="T_25_soc. štip_2006"/>
      <sheetName val="T_26_ubytov. kapacity_2006"/>
      <sheetName val="T_32_Výnosy_soc.star._2006"/>
      <sheetName val="T_33_Náklady_soc. star._2007"/>
      <sheetName val="T_34_HV_ soc. star._2007"/>
      <sheetName val="T_29_Výnosy_2006"/>
      <sheetName val="T_30_Náklady_2006"/>
      <sheetName val="T_31_HV_2006"/>
      <sheetName val="T_27a_Súvaha_A_2006"/>
      <sheetName val="T_27b_Súvaha_P_2006"/>
      <sheetName val="Databáza_T8"/>
      <sheetName val="KT_8"/>
      <sheetName val="Databáta_T9"/>
      <sheetName val="KT_9"/>
      <sheetName val="Databáza_T10"/>
      <sheetName val="KT_10"/>
      <sheetName val="Databáza_T19"/>
      <sheetName val="KT_19"/>
      <sheetName val="Databáza_T20"/>
      <sheetName val="KT_20"/>
      <sheetName val="T_33_Náklady_soc. star._2006"/>
      <sheetName val="T_34_HV_ soc. star._200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_18_soc. štip_2005_2008"/>
      <sheetName val="T19 - Ubytovanie_2005_2008"/>
      <sheetName val="T_20a_Súvaha_A_2008"/>
      <sheetName val="T_20b_Súvaha_P_2008"/>
      <sheetName val="T_22_Výnosy_2008"/>
      <sheetName val="T23 - Výnosy_porovnanie"/>
      <sheetName val="T24_Náklady_2008"/>
      <sheetName val="T25 - Náklady_porovnanie"/>
      <sheetName val="T_26_HV_2008"/>
      <sheetName val="T_27_Výnosy_so_o_porovnanie"/>
      <sheetName val="T28_Náklady_soc_o_porovnanie"/>
      <sheetName val="T_32_Výnosy_soc.star._2008"/>
      <sheetName val="T_33_Náklady_soc. star._2008"/>
      <sheetName val="T_34_HV_ soc. star._2008"/>
      <sheetName val="T25-účet 38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8">
        <row r="1">
          <cell r="B1">
            <v>1</v>
          </cell>
        </row>
        <row r="2">
          <cell r="B2">
            <v>0.3</v>
          </cell>
        </row>
        <row r="3">
          <cell r="B3">
            <v>3</v>
          </cell>
        </row>
        <row r="4">
          <cell r="B4">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bsah"/>
      <sheetName val="zmeny"/>
      <sheetName val="Vysvetlivky"/>
      <sheetName val="Súvzťažnosti"/>
      <sheetName val="T1-Dotácie podľa DZ"/>
      <sheetName val="T2-Ostatné dot mimo MŠ SR"/>
      <sheetName val="T3-Výnosy"/>
      <sheetName val="T4-Výnosy zo školného"/>
      <sheetName val="T5 - Analýza nákladov"/>
      <sheetName val="T6-Zamestnanci_a_mzdy"/>
      <sheetName val="T7_Doktorandi-upr "/>
      <sheetName val="T8-Soc_štipendiá"/>
      <sheetName val="T11-Zdroje KV"/>
      <sheetName val="T12-KV"/>
      <sheetName val="T13 - Fondy"/>
      <sheetName val="T16 - Štruktúra hotovosti"/>
      <sheetName val="T17-Dotácie zo ŠF EU"/>
      <sheetName val="T18-Ostatné dotacie z kap MŠ SR"/>
      <sheetName val="T19-Štip_ z vlastných "/>
      <sheetName val="T20_motivačné štipendiá"/>
      <sheetName val="T21-štruktúra_384"/>
      <sheetName val="T22_Výnosy_soc_oblasť"/>
      <sheetName val="T23_Náklady_soc_oblasť"/>
      <sheetName val="T24a_Aktíva_1"/>
      <sheetName val="T24b_Aktíva_2"/>
      <sheetName val="T25_Pasíva "/>
      <sheetName val="T24__Aktíva"/>
    </sheetNames>
    <sheetDataSet>
      <sheetData sheetId="4">
        <row r="6">
          <cell r="C6">
            <v>5851024</v>
          </cell>
        </row>
        <row r="8">
          <cell r="C8">
            <v>2030844</v>
          </cell>
        </row>
        <row r="9">
          <cell r="C9">
            <v>215075</v>
          </cell>
          <cell r="D9">
            <v>38259</v>
          </cell>
        </row>
        <row r="12">
          <cell r="C12">
            <v>60971</v>
          </cell>
          <cell r="D12">
            <v>22832</v>
          </cell>
        </row>
        <row r="16">
          <cell r="C16">
            <v>436610</v>
          </cell>
        </row>
        <row r="17">
          <cell r="C17">
            <v>95953</v>
          </cell>
        </row>
      </sheetData>
      <sheetData sheetId="7">
        <row r="6">
          <cell r="C6">
            <v>23550</v>
          </cell>
        </row>
        <row r="7">
          <cell r="C7">
            <v>2229275.15</v>
          </cell>
        </row>
        <row r="8">
          <cell r="C8">
            <v>0</v>
          </cell>
        </row>
        <row r="10">
          <cell r="C10">
            <v>69774.23</v>
          </cell>
          <cell r="D10">
            <v>67752</v>
          </cell>
        </row>
        <row r="12">
          <cell r="C12">
            <v>22331.22</v>
          </cell>
          <cell r="D12">
            <v>12881</v>
          </cell>
        </row>
        <row r="13">
          <cell r="C13">
            <v>5614.19</v>
          </cell>
          <cell r="D13">
            <v>10436.45</v>
          </cell>
        </row>
        <row r="15">
          <cell r="C15">
            <v>6550</v>
          </cell>
          <cell r="D15">
            <v>9378.1</v>
          </cell>
        </row>
      </sheetData>
      <sheetData sheetId="15">
        <row r="7">
          <cell r="C7">
            <v>1016092.26</v>
          </cell>
        </row>
        <row r="9">
          <cell r="C9">
            <v>452980.6</v>
          </cell>
        </row>
        <row r="12">
          <cell r="C12">
            <v>9991</v>
          </cell>
        </row>
        <row r="13">
          <cell r="C13">
            <v>119420.85</v>
          </cell>
        </row>
        <row r="14">
          <cell r="C14">
            <v>340.2</v>
          </cell>
        </row>
        <row r="15">
          <cell r="C15">
            <v>32807.01</v>
          </cell>
        </row>
        <row r="16">
          <cell r="C16">
            <v>61750.47</v>
          </cell>
        </row>
        <row r="19">
          <cell r="C19">
            <v>60770.49</v>
          </cell>
        </row>
      </sheetData>
      <sheetData sheetId="16">
        <row r="17">
          <cell r="C17">
            <v>4403</v>
          </cell>
          <cell r="D17">
            <v>777</v>
          </cell>
        </row>
        <row r="18">
          <cell r="C18">
            <v>2557.44</v>
          </cell>
          <cell r="D18">
            <v>451.32</v>
          </cell>
          <cell r="E18">
            <v>43031.64</v>
          </cell>
          <cell r="F18">
            <v>7593.82</v>
          </cell>
        </row>
      </sheetData>
      <sheetData sheetId="17">
        <row r="7">
          <cell r="C7">
            <v>36443</v>
          </cell>
        </row>
      </sheetData>
      <sheetData sheetId="18">
        <row r="8">
          <cell r="C8">
            <v>404</v>
          </cell>
          <cell r="D8">
            <v>2</v>
          </cell>
          <cell r="E8">
            <v>1006.8</v>
          </cell>
          <cell r="F8">
            <v>3</v>
          </cell>
        </row>
        <row r="11">
          <cell r="C11">
            <v>1840</v>
          </cell>
          <cell r="D11">
            <v>19</v>
          </cell>
          <cell r="E11">
            <v>5130</v>
          </cell>
          <cell r="F11">
            <v>43</v>
          </cell>
        </row>
        <row r="19">
          <cell r="D19">
            <v>21</v>
          </cell>
          <cell r="F19">
            <v>46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Obsah"/>
      <sheetName val="zmeny"/>
      <sheetName val="Vysvetlivky"/>
      <sheetName val="Súvzťažnosti"/>
      <sheetName val="T1-Dotácie podľa DZ"/>
      <sheetName val="T2-Ostatné dot mimo MŠ SR"/>
      <sheetName val="T3-Výnosy"/>
      <sheetName val="T4-Výnosy zo školného"/>
      <sheetName val="T5 - Analýza nákladov"/>
      <sheetName val="T6-Zamestnanci_a_mzdy"/>
      <sheetName val="T7_Doktorandi-upr "/>
      <sheetName val="T8-Soc_štipendiá"/>
      <sheetName val="T11-Zdroje KV"/>
      <sheetName val="T12-KV"/>
      <sheetName val="T13 - Fondy"/>
      <sheetName val="T16 - Štruktúra hotovosti"/>
      <sheetName val="T17-Dotácie zo ŠF EU"/>
      <sheetName val="T18-Ostatné dotacie z kap MŠ SR"/>
      <sheetName val="T19-Štip_ z vlastných "/>
      <sheetName val="T20_motivačné štipendiá"/>
      <sheetName val="T21-štruktúra_384"/>
      <sheetName val="T22_Výnosy_soc_oblasť"/>
      <sheetName val="T23_Náklady_soc_oblasť"/>
      <sheetName val="T24a_Aktíva_1"/>
      <sheetName val="T24b_Aktíva_2"/>
      <sheetName val="T25_Pasíva "/>
      <sheetName val="T24__Aktíva"/>
    </sheetNames>
    <sheetDataSet>
      <sheetData sheetId="4">
        <row r="6">
          <cell r="C6">
            <v>3253565</v>
          </cell>
        </row>
        <row r="8">
          <cell r="C8">
            <v>1981265</v>
          </cell>
        </row>
        <row r="9">
          <cell r="C9">
            <v>264958</v>
          </cell>
          <cell r="D9">
            <v>109294</v>
          </cell>
        </row>
        <row r="12">
          <cell r="C12">
            <v>9841</v>
          </cell>
          <cell r="D12">
            <v>3874</v>
          </cell>
        </row>
        <row r="16">
          <cell r="C16">
            <v>301367</v>
          </cell>
        </row>
        <row r="17">
          <cell r="C17">
            <v>60764</v>
          </cell>
        </row>
      </sheetData>
      <sheetData sheetId="7">
        <row r="6">
          <cell r="C6">
            <v>74237.7</v>
          </cell>
        </row>
        <row r="7">
          <cell r="C7">
            <v>72642.94</v>
          </cell>
        </row>
        <row r="10">
          <cell r="C10">
            <v>41741</v>
          </cell>
          <cell r="D10">
            <v>41099</v>
          </cell>
        </row>
        <row r="11">
          <cell r="C11">
            <v>0</v>
          </cell>
        </row>
        <row r="12">
          <cell r="C12">
            <v>20583.5</v>
          </cell>
          <cell r="D12">
            <v>23295</v>
          </cell>
        </row>
        <row r="13">
          <cell r="C13">
            <v>6450.46</v>
          </cell>
          <cell r="D13">
            <v>5631.9</v>
          </cell>
        </row>
        <row r="15">
          <cell r="C15">
            <v>15708</v>
          </cell>
          <cell r="D15">
            <v>15810</v>
          </cell>
        </row>
      </sheetData>
      <sheetData sheetId="15">
        <row r="7">
          <cell r="C7">
            <v>985288.75</v>
          </cell>
        </row>
        <row r="9">
          <cell r="C9">
            <v>61289.96</v>
          </cell>
        </row>
        <row r="12">
          <cell r="C12">
            <v>57132.549999999996</v>
          </cell>
        </row>
        <row r="14">
          <cell r="C14">
            <v>18142.96</v>
          </cell>
        </row>
        <row r="15">
          <cell r="C15">
            <v>162083.29</v>
          </cell>
        </row>
        <row r="16">
          <cell r="C16">
            <v>4625.79</v>
          </cell>
        </row>
        <row r="19">
          <cell r="C19">
            <v>355636.31000000006</v>
          </cell>
        </row>
      </sheetData>
      <sheetData sheetId="16">
        <row r="17">
          <cell r="C17">
            <v>24152.32</v>
          </cell>
          <cell r="D17">
            <v>4262.24</v>
          </cell>
        </row>
        <row r="18">
          <cell r="C18">
            <v>3934.12</v>
          </cell>
          <cell r="D18">
            <v>694.26</v>
          </cell>
        </row>
        <row r="24">
          <cell r="C24">
            <v>376507.8</v>
          </cell>
          <cell r="D24">
            <v>44295.29</v>
          </cell>
        </row>
      </sheetData>
      <sheetData sheetId="17">
        <row r="7">
          <cell r="C7">
            <v>535397.81</v>
          </cell>
        </row>
        <row r="8">
          <cell r="C8">
            <v>15000</v>
          </cell>
        </row>
        <row r="13">
          <cell r="C13">
            <v>5780</v>
          </cell>
        </row>
      </sheetData>
      <sheetData sheetId="18">
        <row r="11">
          <cell r="C11">
            <v>6110</v>
          </cell>
          <cell r="D11">
            <v>62</v>
          </cell>
          <cell r="E11">
            <v>8500</v>
          </cell>
          <cell r="F11">
            <v>89</v>
          </cell>
        </row>
        <row r="14">
          <cell r="C14">
            <v>1470</v>
          </cell>
          <cell r="D14">
            <v>43</v>
          </cell>
          <cell r="E14">
            <v>550</v>
          </cell>
          <cell r="F14">
            <v>19</v>
          </cell>
        </row>
        <row r="19">
          <cell r="D19">
            <v>105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Obsah"/>
      <sheetName val="zmeny"/>
      <sheetName val="Vysvetlivky"/>
      <sheetName val="Súvzťažnosti"/>
      <sheetName val="T1-Dotácie podľa DZ"/>
      <sheetName val="T2-Ostatné dot mimo MŠ SR"/>
      <sheetName val="T3-Výnosy"/>
      <sheetName val="T4-Výnosy zo školného"/>
      <sheetName val="T5 - Analýza nákladov"/>
      <sheetName val="T6-Zamestnanci_a_mzdy"/>
      <sheetName val="T7_Doktorandi-upr "/>
      <sheetName val="T8-Soc_štipendiá"/>
      <sheetName val="T11-Zdroje KV"/>
      <sheetName val="T12-KV"/>
      <sheetName val="T13 - Fondy"/>
      <sheetName val="T16 - Štruktúra hotovosti"/>
      <sheetName val="T17-Dotácie zo ŠF EU"/>
      <sheetName val="T18-Ostatné dotacie z kap MŠ SR"/>
      <sheetName val="T19-Štip_ z vlastných "/>
      <sheetName val="T20_motivačné štipendiá"/>
      <sheetName val="T21-štruktúra_384"/>
      <sheetName val="T22_Výnosy_soc_oblasť"/>
      <sheetName val="T23_Náklady_soc_oblasť"/>
      <sheetName val="T24a_Aktíva_1"/>
      <sheetName val="T24b_Aktíva_2"/>
      <sheetName val="T25_Pasíva "/>
      <sheetName val="T24__Aktíva"/>
    </sheetNames>
    <sheetDataSet>
      <sheetData sheetId="4">
        <row r="6">
          <cell r="C6">
            <v>897544</v>
          </cell>
        </row>
        <row r="8">
          <cell r="C8">
            <v>288552</v>
          </cell>
        </row>
        <row r="9">
          <cell r="C9">
            <v>23076</v>
          </cell>
          <cell r="D9">
            <v>1162</v>
          </cell>
        </row>
        <row r="12">
          <cell r="C12">
            <v>1178</v>
          </cell>
        </row>
        <row r="16">
          <cell r="C16">
            <v>141228</v>
          </cell>
        </row>
        <row r="17">
          <cell r="C17">
            <v>56318</v>
          </cell>
        </row>
      </sheetData>
      <sheetData sheetId="7">
        <row r="6">
          <cell r="C6">
            <v>37332.62</v>
          </cell>
        </row>
        <row r="7">
          <cell r="C7">
            <v>0</v>
          </cell>
        </row>
        <row r="8">
          <cell r="C8">
            <v>107399.34</v>
          </cell>
        </row>
        <row r="10">
          <cell r="C10">
            <v>42644.88</v>
          </cell>
          <cell r="D10">
            <v>34971.5</v>
          </cell>
        </row>
        <row r="11">
          <cell r="C11">
            <v>56421.1</v>
          </cell>
        </row>
        <row r="12">
          <cell r="C12">
            <v>25681</v>
          </cell>
          <cell r="D12">
            <v>25148</v>
          </cell>
        </row>
        <row r="13">
          <cell r="C13">
            <v>1190.27</v>
          </cell>
          <cell r="D13">
            <v>2485.64</v>
          </cell>
        </row>
        <row r="15">
          <cell r="C15">
            <v>6171</v>
          </cell>
          <cell r="D15">
            <v>8688</v>
          </cell>
        </row>
      </sheetData>
      <sheetData sheetId="15">
        <row r="7">
          <cell r="C7">
            <v>166107.16</v>
          </cell>
        </row>
        <row r="9">
          <cell r="C9">
            <v>382810.77</v>
          </cell>
        </row>
        <row r="14">
          <cell r="C14">
            <v>10217.25</v>
          </cell>
        </row>
        <row r="15">
          <cell r="C15">
            <v>60337.94</v>
          </cell>
        </row>
        <row r="16">
          <cell r="C16">
            <v>444.59</v>
          </cell>
        </row>
        <row r="19">
          <cell r="C19">
            <v>6476.7</v>
          </cell>
        </row>
      </sheetData>
      <sheetData sheetId="17">
        <row r="7">
          <cell r="C7">
            <v>76570</v>
          </cell>
        </row>
      </sheetData>
      <sheetData sheetId="18">
        <row r="11">
          <cell r="C11">
            <v>5500</v>
          </cell>
          <cell r="D11">
            <v>39</v>
          </cell>
          <cell r="E11">
            <v>5350</v>
          </cell>
          <cell r="F11">
            <v>42</v>
          </cell>
        </row>
        <row r="14">
          <cell r="E14">
            <v>450</v>
          </cell>
          <cell r="F14">
            <v>9</v>
          </cell>
        </row>
        <row r="17">
          <cell r="E17">
            <v>400</v>
          </cell>
          <cell r="F17">
            <v>2</v>
          </cell>
        </row>
        <row r="19">
          <cell r="D19">
            <v>39</v>
          </cell>
          <cell r="F19">
            <v>53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Obsah"/>
      <sheetName val="zmeny"/>
      <sheetName val="Vysvetlivky"/>
      <sheetName val="Súvzťažnosti"/>
      <sheetName val="T1-Dotácie podľa DZ"/>
      <sheetName val="T2-Ostatné dot mimo MŠ SR"/>
      <sheetName val="T3-Výnosy"/>
      <sheetName val="T4-Výnosy zo školného"/>
      <sheetName val="T5 - Analýza nákladov"/>
      <sheetName val="T6-Zamestnanci_a_mzdy"/>
      <sheetName val="T7_Doktorandi-upr "/>
      <sheetName val="T8-Soc_štipendiá"/>
      <sheetName val="T11-Zdroje KV"/>
      <sheetName val="T12-KV"/>
      <sheetName val="T13 - Fondy"/>
      <sheetName val="T16 - Štruktúra hotovosti"/>
      <sheetName val="T17-Dotácie zo ŠF EU"/>
      <sheetName val="T18-Ostatné dotacie z kap MŠ SR"/>
      <sheetName val="T19-Štip_ z vlastných "/>
      <sheetName val="T20_motivačné štipendiá"/>
      <sheetName val="T21-štruktúra_384"/>
      <sheetName val="T22_Výnosy_soc_oblasť"/>
      <sheetName val="T23_Náklady_soc_oblasť"/>
      <sheetName val="T24a_Aktíva_1"/>
      <sheetName val="T24b_Aktíva_2"/>
      <sheetName val="T25_Pasíva "/>
      <sheetName val="T24__Aktíva"/>
    </sheetNames>
    <sheetDataSet>
      <sheetData sheetId="4">
        <row r="6">
          <cell r="C6">
            <v>596149</v>
          </cell>
        </row>
        <row r="8">
          <cell r="C8">
            <v>116806</v>
          </cell>
        </row>
        <row r="9">
          <cell r="C9">
            <v>6044</v>
          </cell>
          <cell r="D9">
            <v>1988</v>
          </cell>
        </row>
        <row r="16">
          <cell r="C16">
            <v>343700</v>
          </cell>
        </row>
        <row r="17">
          <cell r="C17">
            <v>32988</v>
          </cell>
        </row>
      </sheetData>
      <sheetData sheetId="7">
        <row r="6">
          <cell r="C6">
            <v>25252.5</v>
          </cell>
        </row>
        <row r="8">
          <cell r="C8">
            <v>13560</v>
          </cell>
        </row>
        <row r="10">
          <cell r="C10">
            <v>26811</v>
          </cell>
          <cell r="D10">
            <v>23190</v>
          </cell>
        </row>
        <row r="11">
          <cell r="C11">
            <v>5510.99</v>
          </cell>
        </row>
        <row r="12">
          <cell r="C12">
            <v>5755</v>
          </cell>
          <cell r="D12">
            <v>5890</v>
          </cell>
        </row>
        <row r="13">
          <cell r="C13">
            <v>566.6</v>
          </cell>
          <cell r="D13">
            <v>1186.2</v>
          </cell>
        </row>
        <row r="15">
          <cell r="C15">
            <v>8329.8</v>
          </cell>
          <cell r="D15">
            <v>11260</v>
          </cell>
        </row>
      </sheetData>
      <sheetData sheetId="15">
        <row r="7">
          <cell r="C7">
            <v>212793.65</v>
          </cell>
        </row>
        <row r="9">
          <cell r="C9">
            <v>89936.49</v>
          </cell>
        </row>
        <row r="13">
          <cell r="C13">
            <v>7.34</v>
          </cell>
        </row>
        <row r="14">
          <cell r="C14">
            <v>25596.32</v>
          </cell>
        </row>
        <row r="15">
          <cell r="C15">
            <v>4918.81</v>
          </cell>
        </row>
        <row r="16">
          <cell r="C16">
            <v>1349.52</v>
          </cell>
        </row>
        <row r="19">
          <cell r="C19">
            <v>5349.7</v>
          </cell>
        </row>
      </sheetData>
      <sheetData sheetId="18">
        <row r="11">
          <cell r="C11">
            <v>160</v>
          </cell>
          <cell r="D11">
            <v>3</v>
          </cell>
          <cell r="E11">
            <v>3120</v>
          </cell>
          <cell r="F11">
            <v>13</v>
          </cell>
        </row>
        <row r="14">
          <cell r="E14">
            <v>810</v>
          </cell>
          <cell r="F14">
            <v>14</v>
          </cell>
        </row>
        <row r="19">
          <cell r="D19">
            <v>3</v>
          </cell>
          <cell r="F19">
            <v>27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Obsah"/>
      <sheetName val="zmeny"/>
      <sheetName val="Vysvetlivky"/>
      <sheetName val="Súvzťažnosti"/>
      <sheetName val="T1-Dotácie podľa DZ"/>
      <sheetName val="T2-Ostatné dot mimo MŠ SR"/>
      <sheetName val="T3-Výnosy"/>
      <sheetName val="T4-Výnosy zo školného"/>
      <sheetName val="T5 - Analýza nákladov"/>
      <sheetName val="T6-Zamestnanci_a_mzdy"/>
      <sheetName val="T7_Doktorandi-upr "/>
      <sheetName val="T8-Soc_štipendiá"/>
      <sheetName val="T11-Zdroje KV"/>
      <sheetName val="T12-KV"/>
      <sheetName val="T13 - Fondy"/>
      <sheetName val="T16 - Štruktúra hotovosti"/>
      <sheetName val="T17-Dotácie zo ŠF EU"/>
      <sheetName val="T18-Ostatné dotacie z kap MŠ SR"/>
      <sheetName val="T19-Štip_ z vlastných "/>
      <sheetName val="T20_motivačné štipendiá"/>
      <sheetName val="T21-štruktúra_384"/>
      <sheetName val="T22_Výnosy_soc_oblasť"/>
      <sheetName val="T23_Náklady_soc_oblasť"/>
      <sheetName val="T24a_Aktíva_1"/>
      <sheetName val="T24b_Aktíva_2"/>
      <sheetName val="T25_Pasíva "/>
      <sheetName val="T24__Aktíva"/>
    </sheetNames>
    <sheetDataSet>
      <sheetData sheetId="4">
        <row r="6">
          <cell r="C6">
            <v>1580167</v>
          </cell>
        </row>
        <row r="8">
          <cell r="C8">
            <v>586797</v>
          </cell>
        </row>
        <row r="9">
          <cell r="C9">
            <v>6918</v>
          </cell>
          <cell r="D9">
            <v>6002</v>
          </cell>
        </row>
        <row r="12">
          <cell r="C12">
            <v>18057</v>
          </cell>
        </row>
        <row r="16">
          <cell r="C16">
            <v>409953</v>
          </cell>
        </row>
        <row r="17">
          <cell r="C17">
            <v>91718</v>
          </cell>
        </row>
      </sheetData>
      <sheetData sheetId="7">
        <row r="6">
          <cell r="C6">
            <v>67771</v>
          </cell>
        </row>
        <row r="7">
          <cell r="C7">
            <v>30000</v>
          </cell>
        </row>
        <row r="8">
          <cell r="C8">
            <v>175533.5</v>
          </cell>
        </row>
        <row r="10">
          <cell r="C10">
            <v>101831.13</v>
          </cell>
          <cell r="D10">
            <v>86296</v>
          </cell>
        </row>
        <row r="13">
          <cell r="D13">
            <v>6.6</v>
          </cell>
        </row>
        <row r="15">
          <cell r="C15">
            <v>13554.2</v>
          </cell>
          <cell r="D15">
            <v>21360</v>
          </cell>
        </row>
      </sheetData>
      <sheetData sheetId="17">
        <row r="7">
          <cell r="C7">
            <v>23560</v>
          </cell>
        </row>
        <row r="12">
          <cell r="C12">
            <v>3690</v>
          </cell>
        </row>
        <row r="13">
          <cell r="C13">
            <v>8850</v>
          </cell>
        </row>
      </sheetData>
      <sheetData sheetId="18">
        <row r="8">
          <cell r="C8">
            <v>6006</v>
          </cell>
          <cell r="D8">
            <v>12</v>
          </cell>
        </row>
        <row r="11">
          <cell r="E11">
            <v>2700</v>
          </cell>
          <cell r="F11">
            <v>13</v>
          </cell>
        </row>
        <row r="17">
          <cell r="E17">
            <v>1480</v>
          </cell>
          <cell r="F17">
            <v>3</v>
          </cell>
        </row>
        <row r="19">
          <cell r="D19">
            <v>12</v>
          </cell>
          <cell r="F19">
            <v>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C:\Users\emilia.severska\Documents%20and%20Settings\peter.viest\Local%20Settings\Temporary%20Internet%20Files\Documents%20and%20Settings\Rok_2008\V&#253;ro&#269;n&#233;_spr&#225;vy_2007\Tabu&#318;ky_VV&#352;_2007_pr&#225;zdne.xl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5"/>
  </sheetPr>
  <dimension ref="A2:Q29"/>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T7" sqref="T7"/>
    </sheetView>
  </sheetViews>
  <sheetFormatPr defaultColWidth="9.140625" defaultRowHeight="12.75"/>
  <cols>
    <col min="1" max="1" width="13.7109375" style="55" customWidth="1"/>
    <col min="17" max="17" width="10.28125" style="0" customWidth="1"/>
  </cols>
  <sheetData>
    <row r="2" spans="1:17" ht="23.25" customHeight="1">
      <c r="A2" s="97"/>
      <c r="B2" s="140" t="s">
        <v>1207</v>
      </c>
      <c r="C2" s="141"/>
      <c r="D2" s="141"/>
      <c r="E2" s="141"/>
      <c r="F2" s="141"/>
      <c r="G2" s="141"/>
      <c r="H2" s="141"/>
      <c r="I2" s="141"/>
      <c r="J2" s="141"/>
      <c r="K2" s="141"/>
      <c r="L2" s="142"/>
      <c r="M2" s="98"/>
      <c r="N2" s="98"/>
      <c r="O2" s="98"/>
      <c r="P2" s="98"/>
      <c r="Q2" s="99"/>
    </row>
    <row r="3" spans="1:17" ht="15.75">
      <c r="A3" s="100"/>
      <c r="B3" s="94"/>
      <c r="C3" s="95"/>
      <c r="D3" s="95"/>
      <c r="E3" s="95"/>
      <c r="F3" s="95"/>
      <c r="G3" s="95"/>
      <c r="H3" s="95"/>
      <c r="I3" s="95"/>
      <c r="J3" s="95"/>
      <c r="K3" s="95"/>
      <c r="L3" s="27"/>
      <c r="M3" s="27"/>
      <c r="N3" s="27"/>
      <c r="O3" s="27"/>
      <c r="P3" s="27"/>
      <c r="Q3" s="101"/>
    </row>
    <row r="4" spans="1:17" ht="22.5" customHeight="1">
      <c r="A4" s="136" t="s">
        <v>11</v>
      </c>
      <c r="B4" s="103" t="s">
        <v>974</v>
      </c>
      <c r="C4" s="104"/>
      <c r="D4" s="104"/>
      <c r="E4" s="104"/>
      <c r="F4" s="104"/>
      <c r="G4" s="104"/>
      <c r="H4" s="104"/>
      <c r="I4" s="104"/>
      <c r="J4" s="104"/>
      <c r="K4" s="104"/>
      <c r="L4" s="104"/>
      <c r="M4" s="104"/>
      <c r="N4" s="104"/>
      <c r="O4" s="104"/>
      <c r="P4" s="104"/>
      <c r="Q4" s="105"/>
    </row>
    <row r="5" spans="1:17" ht="22.5" customHeight="1">
      <c r="A5" s="136" t="s">
        <v>949</v>
      </c>
      <c r="B5" s="103" t="s">
        <v>975</v>
      </c>
      <c r="C5" s="104"/>
      <c r="D5" s="104"/>
      <c r="E5" s="104"/>
      <c r="F5" s="104"/>
      <c r="G5" s="104"/>
      <c r="H5" s="104"/>
      <c r="I5" s="104"/>
      <c r="J5" s="104"/>
      <c r="K5" s="104"/>
      <c r="L5" s="104"/>
      <c r="M5" s="104"/>
      <c r="N5" s="104"/>
      <c r="O5" s="104"/>
      <c r="P5" s="104"/>
      <c r="Q5" s="105"/>
    </row>
    <row r="6" spans="1:17" ht="39.75" customHeight="1">
      <c r="A6" s="135" t="s">
        <v>384</v>
      </c>
      <c r="B6" s="537" t="s">
        <v>1071</v>
      </c>
      <c r="C6" s="537"/>
      <c r="D6" s="537"/>
      <c r="E6" s="537"/>
      <c r="F6" s="537"/>
      <c r="G6" s="537"/>
      <c r="H6" s="537"/>
      <c r="I6" s="537"/>
      <c r="J6" s="537"/>
      <c r="K6" s="537"/>
      <c r="L6" s="537"/>
      <c r="M6" s="537"/>
      <c r="N6" s="537"/>
      <c r="O6" s="537"/>
      <c r="P6" s="537"/>
      <c r="Q6" s="538"/>
    </row>
    <row r="7" spans="1:17" ht="22.5" customHeight="1">
      <c r="A7" s="135" t="s">
        <v>272</v>
      </c>
      <c r="B7" s="137" t="s">
        <v>978</v>
      </c>
      <c r="C7" s="138"/>
      <c r="D7" s="138"/>
      <c r="E7" s="138"/>
      <c r="F7" s="138"/>
      <c r="G7" s="138"/>
      <c r="H7" s="138"/>
      <c r="I7" s="138"/>
      <c r="J7" s="138"/>
      <c r="K7" s="138"/>
      <c r="L7" s="138"/>
      <c r="M7" s="138"/>
      <c r="N7" s="138"/>
      <c r="O7" s="138"/>
      <c r="P7" s="138"/>
      <c r="Q7" s="139"/>
    </row>
    <row r="8" spans="1:17" ht="22.5" customHeight="1">
      <c r="A8" s="135" t="s">
        <v>273</v>
      </c>
      <c r="B8" s="137" t="s">
        <v>979</v>
      </c>
      <c r="C8" s="138"/>
      <c r="D8" s="138"/>
      <c r="E8" s="138"/>
      <c r="F8" s="138"/>
      <c r="G8" s="138"/>
      <c r="H8" s="138"/>
      <c r="I8" s="138"/>
      <c r="J8" s="138"/>
      <c r="K8" s="138"/>
      <c r="L8" s="138"/>
      <c r="M8" s="138"/>
      <c r="N8" s="138"/>
      <c r="O8" s="138"/>
      <c r="P8" s="138"/>
      <c r="Q8" s="139"/>
    </row>
    <row r="9" spans="1:17" ht="22.5" customHeight="1">
      <c r="A9" s="102" t="s">
        <v>274</v>
      </c>
      <c r="B9" s="96" t="s">
        <v>980</v>
      </c>
      <c r="C9" s="27"/>
      <c r="D9" s="27"/>
      <c r="E9" s="27"/>
      <c r="F9" s="27"/>
      <c r="G9" s="27"/>
      <c r="H9" s="27"/>
      <c r="I9" s="27"/>
      <c r="J9" s="27"/>
      <c r="K9" s="27"/>
      <c r="L9" s="27"/>
      <c r="M9" s="27"/>
      <c r="N9" s="27"/>
      <c r="O9" s="27"/>
      <c r="P9" s="27"/>
      <c r="Q9" s="101"/>
    </row>
    <row r="10" spans="1:17" ht="22.5" customHeight="1">
      <c r="A10" s="135" t="s">
        <v>275</v>
      </c>
      <c r="B10" s="137" t="s">
        <v>981</v>
      </c>
      <c r="C10" s="138"/>
      <c r="D10" s="138"/>
      <c r="E10" s="138"/>
      <c r="F10" s="138"/>
      <c r="G10" s="138"/>
      <c r="H10" s="138"/>
      <c r="I10" s="138"/>
      <c r="J10" s="138"/>
      <c r="K10" s="138"/>
      <c r="L10" s="138"/>
      <c r="M10" s="138"/>
      <c r="N10" s="138"/>
      <c r="O10" s="138"/>
      <c r="P10" s="138"/>
      <c r="Q10" s="139"/>
    </row>
    <row r="11" spans="1:17" ht="22.5" customHeight="1">
      <c r="A11" s="102" t="s">
        <v>276</v>
      </c>
      <c r="B11" s="96" t="s">
        <v>982</v>
      </c>
      <c r="C11" s="27"/>
      <c r="D11" s="27"/>
      <c r="E11" s="27"/>
      <c r="F11" s="27"/>
      <c r="G11" s="27"/>
      <c r="H11" s="27"/>
      <c r="I11" s="27"/>
      <c r="J11" s="27"/>
      <c r="K11" s="27"/>
      <c r="L11" s="27"/>
      <c r="M11" s="27"/>
      <c r="N11" s="27"/>
      <c r="O11" s="27"/>
      <c r="P11" s="27"/>
      <c r="Q11" s="101"/>
    </row>
    <row r="12" spans="1:17" ht="22.5" customHeight="1">
      <c r="A12" s="135" t="s">
        <v>277</v>
      </c>
      <c r="B12" s="137" t="s">
        <v>983</v>
      </c>
      <c r="C12" s="138"/>
      <c r="D12" s="138"/>
      <c r="E12" s="138"/>
      <c r="F12" s="138"/>
      <c r="G12" s="138"/>
      <c r="H12" s="138"/>
      <c r="I12" s="138"/>
      <c r="J12" s="138"/>
      <c r="K12" s="138"/>
      <c r="L12" s="138"/>
      <c r="M12" s="138"/>
      <c r="N12" s="138"/>
      <c r="O12" s="138"/>
      <c r="P12" s="138"/>
      <c r="Q12" s="139"/>
    </row>
    <row r="13" spans="1:17" ht="22.5" customHeight="1">
      <c r="A13" s="102" t="s">
        <v>252</v>
      </c>
      <c r="B13" s="96" t="s">
        <v>984</v>
      </c>
      <c r="C13" s="27"/>
      <c r="D13" s="27"/>
      <c r="E13" s="27"/>
      <c r="F13" s="27"/>
      <c r="G13" s="27"/>
      <c r="H13" s="27"/>
      <c r="I13" s="27"/>
      <c r="J13" s="27"/>
      <c r="K13" s="27"/>
      <c r="L13" s="27"/>
      <c r="M13" s="27"/>
      <c r="N13" s="27"/>
      <c r="O13" s="27"/>
      <c r="P13" s="27"/>
      <c r="Q13" s="101"/>
    </row>
    <row r="14" spans="1:17" ht="22.5" customHeight="1">
      <c r="A14" s="135" t="s">
        <v>0</v>
      </c>
      <c r="B14" s="137" t="s">
        <v>985</v>
      </c>
      <c r="C14" s="138"/>
      <c r="D14" s="138"/>
      <c r="E14" s="138"/>
      <c r="F14" s="138"/>
      <c r="G14" s="138"/>
      <c r="H14" s="138"/>
      <c r="I14" s="138"/>
      <c r="J14" s="138"/>
      <c r="K14" s="138"/>
      <c r="L14" s="138"/>
      <c r="M14" s="138"/>
      <c r="N14" s="138"/>
      <c r="O14" s="138"/>
      <c r="P14" s="138"/>
      <c r="Q14" s="139"/>
    </row>
    <row r="15" spans="1:17" ht="22.5" customHeight="1">
      <c r="A15" s="102" t="s">
        <v>1</v>
      </c>
      <c r="B15" s="96" t="s">
        <v>1046</v>
      </c>
      <c r="C15" s="27"/>
      <c r="D15" s="27"/>
      <c r="E15" s="27"/>
      <c r="F15" s="27"/>
      <c r="G15" s="27"/>
      <c r="H15" s="27"/>
      <c r="I15" s="27"/>
      <c r="J15" s="27"/>
      <c r="K15" s="27"/>
      <c r="L15" s="27"/>
      <c r="M15" s="27"/>
      <c r="N15" s="27"/>
      <c r="O15" s="27"/>
      <c r="P15" s="27"/>
      <c r="Q15" s="101"/>
    </row>
    <row r="16" spans="1:17" ht="22.5" customHeight="1">
      <c r="A16" s="135" t="s">
        <v>2</v>
      </c>
      <c r="B16" s="137" t="s">
        <v>986</v>
      </c>
      <c r="C16" s="137"/>
      <c r="D16" s="137"/>
      <c r="E16" s="137"/>
      <c r="F16" s="138"/>
      <c r="G16" s="138"/>
      <c r="H16" s="138"/>
      <c r="I16" s="138"/>
      <c r="J16" s="138"/>
      <c r="K16" s="138"/>
      <c r="L16" s="138"/>
      <c r="M16" s="138"/>
      <c r="N16" s="138"/>
      <c r="O16" s="138"/>
      <c r="P16" s="138"/>
      <c r="Q16" s="139"/>
    </row>
    <row r="17" spans="1:17" ht="22.5" customHeight="1">
      <c r="A17" s="102" t="s">
        <v>3</v>
      </c>
      <c r="B17" s="96" t="s">
        <v>987</v>
      </c>
      <c r="C17" s="27"/>
      <c r="D17" s="27"/>
      <c r="E17" s="27"/>
      <c r="F17" s="27"/>
      <c r="G17" s="27"/>
      <c r="H17" s="27"/>
      <c r="I17" s="27"/>
      <c r="J17" s="27"/>
      <c r="K17" s="27"/>
      <c r="L17" s="27"/>
      <c r="M17" s="27"/>
      <c r="N17" s="27"/>
      <c r="O17" s="27"/>
      <c r="P17" s="27"/>
      <c r="Q17" s="101"/>
    </row>
    <row r="18" spans="1:17" ht="22.5" customHeight="1">
      <c r="A18" s="135" t="s">
        <v>4</v>
      </c>
      <c r="B18" s="137" t="s">
        <v>988</v>
      </c>
      <c r="C18" s="138"/>
      <c r="D18" s="138"/>
      <c r="E18" s="138"/>
      <c r="F18" s="138"/>
      <c r="G18" s="138"/>
      <c r="H18" s="138"/>
      <c r="I18" s="138"/>
      <c r="J18" s="138"/>
      <c r="K18" s="138"/>
      <c r="L18" s="138"/>
      <c r="M18" s="138"/>
      <c r="N18" s="138"/>
      <c r="O18" s="138"/>
      <c r="P18" s="138"/>
      <c r="Q18" s="139"/>
    </row>
    <row r="19" spans="1:17" ht="22.5" customHeight="1">
      <c r="A19" s="102" t="s">
        <v>5</v>
      </c>
      <c r="B19" s="96" t="s">
        <v>1216</v>
      </c>
      <c r="C19" s="27"/>
      <c r="D19" s="27"/>
      <c r="E19" s="27"/>
      <c r="F19" s="27"/>
      <c r="G19" s="27"/>
      <c r="H19" s="27"/>
      <c r="I19" s="27"/>
      <c r="J19" s="27"/>
      <c r="K19" s="27"/>
      <c r="L19" s="27"/>
      <c r="M19" s="27"/>
      <c r="N19" s="27"/>
      <c r="O19" s="27"/>
      <c r="P19" s="27"/>
      <c r="Q19" s="101"/>
    </row>
    <row r="20" spans="1:17" ht="32.25" customHeight="1">
      <c r="A20" s="135" t="s">
        <v>91</v>
      </c>
      <c r="B20" s="541" t="s">
        <v>1215</v>
      </c>
      <c r="C20" s="541"/>
      <c r="D20" s="541"/>
      <c r="E20" s="541"/>
      <c r="F20" s="541"/>
      <c r="G20" s="541"/>
      <c r="H20" s="541"/>
      <c r="I20" s="541"/>
      <c r="J20" s="541"/>
      <c r="K20" s="541"/>
      <c r="L20" s="541"/>
      <c r="M20" s="541"/>
      <c r="N20" s="541"/>
      <c r="O20" s="541"/>
      <c r="P20" s="541"/>
      <c r="Q20" s="542"/>
    </row>
    <row r="21" spans="1:17" ht="33" customHeight="1">
      <c r="A21" s="102" t="s">
        <v>6</v>
      </c>
      <c r="B21" s="539" t="s">
        <v>1214</v>
      </c>
      <c r="C21" s="539"/>
      <c r="D21" s="539"/>
      <c r="E21" s="539"/>
      <c r="F21" s="539"/>
      <c r="G21" s="539"/>
      <c r="H21" s="539"/>
      <c r="I21" s="539"/>
      <c r="J21" s="539"/>
      <c r="K21" s="539"/>
      <c r="L21" s="539"/>
      <c r="M21" s="539"/>
      <c r="N21" s="539"/>
      <c r="O21" s="539"/>
      <c r="P21" s="539"/>
      <c r="Q21" s="540"/>
    </row>
    <row r="22" spans="1:17" ht="22.5" customHeight="1">
      <c r="A22" s="135" t="s">
        <v>7</v>
      </c>
      <c r="B22" s="137" t="s">
        <v>989</v>
      </c>
      <c r="C22" s="138"/>
      <c r="D22" s="138"/>
      <c r="E22" s="138"/>
      <c r="F22" s="138"/>
      <c r="G22" s="138"/>
      <c r="H22" s="138"/>
      <c r="I22" s="138"/>
      <c r="J22" s="138"/>
      <c r="K22" s="138"/>
      <c r="L22" s="138"/>
      <c r="M22" s="138"/>
      <c r="N22" s="138"/>
      <c r="O22" s="138"/>
      <c r="P22" s="138"/>
      <c r="Q22" s="139"/>
    </row>
    <row r="23" spans="1:17" ht="22.5" customHeight="1">
      <c r="A23" s="135" t="s">
        <v>8</v>
      </c>
      <c r="B23" s="96" t="s">
        <v>990</v>
      </c>
      <c r="C23" s="27"/>
      <c r="D23" s="27"/>
      <c r="E23" s="27"/>
      <c r="F23" s="27"/>
      <c r="G23" s="27"/>
      <c r="H23" s="27"/>
      <c r="I23" s="27"/>
      <c r="J23" s="27"/>
      <c r="K23" s="27"/>
      <c r="L23" s="27"/>
      <c r="M23" s="27"/>
      <c r="N23" s="27"/>
      <c r="O23" s="27"/>
      <c r="P23" s="27"/>
      <c r="Q23" s="101"/>
    </row>
    <row r="24" spans="1:17" ht="22.5" customHeight="1">
      <c r="A24" s="135" t="s">
        <v>9</v>
      </c>
      <c r="B24" s="137" t="s">
        <v>991</v>
      </c>
      <c r="C24" s="138"/>
      <c r="D24" s="138"/>
      <c r="E24" s="138"/>
      <c r="F24" s="138"/>
      <c r="G24" s="138"/>
      <c r="H24" s="138"/>
      <c r="I24" s="138"/>
      <c r="J24" s="138"/>
      <c r="K24" s="138"/>
      <c r="L24" s="138"/>
      <c r="M24" s="138"/>
      <c r="N24" s="138"/>
      <c r="O24" s="138"/>
      <c r="P24" s="138"/>
      <c r="Q24" s="139"/>
    </row>
    <row r="25" spans="1:17" ht="22.5" customHeight="1">
      <c r="A25" s="135" t="s">
        <v>735</v>
      </c>
      <c r="B25" s="96" t="s">
        <v>992</v>
      </c>
      <c r="C25" s="27"/>
      <c r="D25" s="27"/>
      <c r="E25" s="27"/>
      <c r="F25" s="27"/>
      <c r="G25" s="27"/>
      <c r="H25" s="27"/>
      <c r="I25" s="27"/>
      <c r="J25" s="27"/>
      <c r="K25" s="27"/>
      <c r="L25" s="27"/>
      <c r="M25" s="27"/>
      <c r="N25" s="27"/>
      <c r="O25" s="27"/>
      <c r="P25" s="27"/>
      <c r="Q25" s="101"/>
    </row>
    <row r="26" spans="1:17" ht="22.5" customHeight="1">
      <c r="A26" s="135" t="s">
        <v>736</v>
      </c>
      <c r="B26" s="137" t="s">
        <v>993</v>
      </c>
      <c r="C26" s="138"/>
      <c r="D26" s="138"/>
      <c r="E26" s="138"/>
      <c r="F26" s="138"/>
      <c r="G26" s="138"/>
      <c r="H26" s="138"/>
      <c r="I26" s="138"/>
      <c r="J26" s="138"/>
      <c r="K26" s="138"/>
      <c r="L26" s="138"/>
      <c r="M26" s="138"/>
      <c r="N26" s="138"/>
      <c r="O26" s="138"/>
      <c r="P26" s="138"/>
      <c r="Q26" s="139"/>
    </row>
    <row r="27" spans="1:17" ht="22.5" customHeight="1">
      <c r="A27" s="135" t="s">
        <v>946</v>
      </c>
      <c r="B27" s="96" t="s">
        <v>1208</v>
      </c>
      <c r="C27" s="143"/>
      <c r="D27" s="27"/>
      <c r="E27" s="27"/>
      <c r="F27" s="27"/>
      <c r="G27" s="27"/>
      <c r="H27" s="27"/>
      <c r="I27" s="27"/>
      <c r="J27" s="27"/>
      <c r="K27" s="27"/>
      <c r="L27" s="27"/>
      <c r="M27" s="27"/>
      <c r="N27" s="27"/>
      <c r="O27" s="27"/>
      <c r="P27" s="27"/>
      <c r="Q27" s="101"/>
    </row>
    <row r="28" spans="1:17" ht="22.5" customHeight="1">
      <c r="A28" s="135" t="s">
        <v>947</v>
      </c>
      <c r="B28" s="137" t="s">
        <v>1209</v>
      </c>
      <c r="C28" s="144"/>
      <c r="D28" s="138"/>
      <c r="E28" s="138"/>
      <c r="F28" s="138"/>
      <c r="G28" s="138"/>
      <c r="H28" s="138"/>
      <c r="I28" s="138"/>
      <c r="J28" s="138"/>
      <c r="K28" s="138"/>
      <c r="L28" s="138"/>
      <c r="M28" s="138"/>
      <c r="N28" s="138"/>
      <c r="O28" s="138"/>
      <c r="P28" s="138"/>
      <c r="Q28" s="139"/>
    </row>
    <row r="29" spans="1:17" ht="22.5" customHeight="1">
      <c r="A29" s="135" t="s">
        <v>737</v>
      </c>
      <c r="B29" s="103" t="s">
        <v>1210</v>
      </c>
      <c r="C29" s="145"/>
      <c r="D29" s="104"/>
      <c r="E29" s="104"/>
      <c r="F29" s="104"/>
      <c r="G29" s="104"/>
      <c r="H29" s="104"/>
      <c r="I29" s="104"/>
      <c r="J29" s="104"/>
      <c r="K29" s="104"/>
      <c r="L29" s="104"/>
      <c r="M29" s="104"/>
      <c r="N29" s="104"/>
      <c r="O29" s="104"/>
      <c r="P29" s="104"/>
      <c r="Q29" s="105"/>
    </row>
  </sheetData>
  <sheetProtection/>
  <mergeCells count="3">
    <mergeCell ref="B6:Q6"/>
    <mergeCell ref="B21:Q21"/>
    <mergeCell ref="B20:Q20"/>
  </mergeCells>
  <hyperlinks>
    <hyperlink ref="B6" r:id="rId1" display="Tabuľky_VVŠ_2007_prázdne.xls"/>
    <hyperlink ref="A8" location="'T3-Výnosy'!A1" display="Tabuľka 3"/>
    <hyperlink ref="A7" location="'T2-Ostatné dot mimo MŠ SR'!A1" display="Tabuľka 2"/>
    <hyperlink ref="A9" location="'T4-Výnosy zo školného'!A1" display="Tabuľka 4"/>
    <hyperlink ref="A6" location="'T1-Dotácie podľa DZ'!A1" display="Tabuľka 1"/>
    <hyperlink ref="A10" location="'T5 - Analýza nákladov'!A1" display="Tabuľka 5"/>
    <hyperlink ref="A11" location="'T6-Zamestnanci_a_mzdy'!A1" display="Tabuľka 6"/>
    <hyperlink ref="A13" location="'T8-Soc_štipendiá'!A1" display="Tabuľka 8"/>
    <hyperlink ref="A14" location="'T9_ŠD '!A1" display="Tabuľka 9"/>
    <hyperlink ref="A15" location="'T10-ŠJ '!A1" display="Tabuľka 10"/>
    <hyperlink ref="A16" location="'T11-Zdroje KV'!A1" display="Tabuľka 11"/>
    <hyperlink ref="A17" location="'T12-KV'!A1" display="Tabuľka 12"/>
    <hyperlink ref="A18" location="'T13 - Fondy'!A1" display="Tabuľka 13"/>
    <hyperlink ref="A19" location="'T16 - Štruktúra hotovosti'!A1" display="Tabuľka 16"/>
    <hyperlink ref="A20" location="'T17-Dotácie z ESF'!A1" display="Tabuľka 17a"/>
    <hyperlink ref="A21" location="'T18-Ostatné dotacie z kap MŠ SR'!A1" display="Tabuľka 18"/>
    <hyperlink ref="A22" location="'T19-Štip_ z vlastných '!A1" display="Tabuľka 19"/>
    <hyperlink ref="A23" location="'T20_motivačné štipendiá_nová'!A1" display="Tabuľka 20"/>
    <hyperlink ref="A24" location="'T21-štruktúra_384'!A1" display="Tabuľka 21"/>
    <hyperlink ref="A5" location="Súvzťažnosti!Názvy_tlače" display="Súvzťažnosti"/>
    <hyperlink ref="A4" location="Vysvetlivky!A1" display="Vysvetlivky"/>
    <hyperlink ref="A25" location="T22_Výnosy_soc_oblasť!Oblasť_tlače" display="Tabuľka_22"/>
    <hyperlink ref="A26" location="T23_Náklady_soc_oblasť!A1" display="Tabuľka_­23"/>
    <hyperlink ref="A29" location="'T25_Pasíva '!A1" display="'Tabuľka_25"/>
    <hyperlink ref="A12" location="'T7_Doktorandi-upr '!A1" display="Tabuľka_7"/>
    <hyperlink ref="A27" location="T24a_Aktíva_1!A1" display="Tabuľka 24a"/>
    <hyperlink ref="A28" location="T24b_Aktíva_2!A1" display="Tabuľka 24b"/>
  </hyperlinks>
  <printOptions/>
  <pageMargins left="0.7086614173228347" right="0.4330708661417323" top="0.4724409448818898" bottom="0.2362204724409449" header="0.2362204724409449" footer="0.1968503937007874"/>
  <pageSetup horizontalDpi="600" verticalDpi="600" orientation="landscape" paperSize="9" scale="79" r:id="rId2"/>
</worksheet>
</file>

<file path=xl/worksheets/sheet10.xml><?xml version="1.0" encoding="utf-8"?>
<worksheet xmlns="http://schemas.openxmlformats.org/spreadsheetml/2006/main" xmlns:r="http://schemas.openxmlformats.org/officeDocument/2006/relationships">
  <sheetPr>
    <tabColor indexed="42"/>
    <pageSetUpPr fitToPage="1"/>
  </sheetPr>
  <dimension ref="A1:J38"/>
  <sheetViews>
    <sheetView zoomScalePageLayoutView="0" workbookViewId="0" topLeftCell="A1">
      <pane xSplit="2" ySplit="6" topLeftCell="E21" activePane="bottomRight" state="frozen"/>
      <selection pane="topLeft" activeCell="A1" sqref="A1"/>
      <selection pane="topRight" activeCell="C1" sqref="C1"/>
      <selection pane="bottomLeft" activeCell="A7" sqref="A7"/>
      <selection pane="bottomRight" activeCell="B32" sqref="B32:J32"/>
    </sheetView>
  </sheetViews>
  <sheetFormatPr defaultColWidth="9.140625" defaultRowHeight="12.75"/>
  <cols>
    <col min="1" max="1" width="5.57421875" style="288" customWidth="1"/>
    <col min="2" max="2" width="60.00390625" style="289" customWidth="1"/>
    <col min="3" max="3" width="14.7109375" style="275" customWidth="1"/>
    <col min="4" max="4" width="14.00390625" style="275" customWidth="1"/>
    <col min="5" max="5" width="15.8515625" style="275" customWidth="1"/>
    <col min="6" max="6" width="15.7109375" style="275" customWidth="1"/>
    <col min="7" max="7" width="19.140625" style="275" customWidth="1"/>
    <col min="8" max="8" width="18.7109375" style="275" customWidth="1"/>
    <col min="9" max="9" width="17.7109375" style="275" customWidth="1"/>
    <col min="10" max="10" width="17.7109375" style="275" bestFit="1" customWidth="1"/>
    <col min="11" max="16384" width="9.140625" style="275" customWidth="1"/>
  </cols>
  <sheetData>
    <row r="1" spans="1:10" ht="34.5" customHeight="1">
      <c r="A1" s="607" t="s">
        <v>1172</v>
      </c>
      <c r="B1" s="608"/>
      <c r="C1" s="608"/>
      <c r="D1" s="608"/>
      <c r="E1" s="608"/>
      <c r="F1" s="608"/>
      <c r="G1" s="608"/>
      <c r="H1" s="608"/>
      <c r="I1" s="608"/>
      <c r="J1" s="609"/>
    </row>
    <row r="2" spans="1:10" ht="35.25" customHeight="1">
      <c r="A2" s="610" t="s">
        <v>1325</v>
      </c>
      <c r="B2" s="611"/>
      <c r="C2" s="611"/>
      <c r="D2" s="611"/>
      <c r="E2" s="611"/>
      <c r="F2" s="611"/>
      <c r="G2" s="611"/>
      <c r="H2" s="611"/>
      <c r="I2" s="611"/>
      <c r="J2" s="612"/>
    </row>
    <row r="3" spans="1:10" ht="42.75" customHeight="1">
      <c r="A3" s="613" t="s">
        <v>271</v>
      </c>
      <c r="B3" s="614" t="s">
        <v>300</v>
      </c>
      <c r="C3" s="602" t="s">
        <v>976</v>
      </c>
      <c r="D3" s="602"/>
      <c r="E3" s="602"/>
      <c r="F3" s="602"/>
      <c r="G3" s="602" t="s">
        <v>1180</v>
      </c>
      <c r="H3" s="602" t="s">
        <v>376</v>
      </c>
      <c r="I3" s="602" t="s">
        <v>1182</v>
      </c>
      <c r="J3" s="603" t="s">
        <v>1183</v>
      </c>
    </row>
    <row r="4" spans="1:10" ht="34.5" customHeight="1">
      <c r="A4" s="613"/>
      <c r="B4" s="614"/>
      <c r="C4" s="602" t="s">
        <v>298</v>
      </c>
      <c r="D4" s="157" t="s">
        <v>376</v>
      </c>
      <c r="E4" s="602" t="s">
        <v>299</v>
      </c>
      <c r="F4" s="602" t="s">
        <v>244</v>
      </c>
      <c r="G4" s="602"/>
      <c r="H4" s="602"/>
      <c r="I4" s="602"/>
      <c r="J4" s="603"/>
    </row>
    <row r="5" spans="1:10" s="276" customFormat="1" ht="63">
      <c r="A5" s="613"/>
      <c r="B5" s="614"/>
      <c r="C5" s="602"/>
      <c r="D5" s="157" t="s">
        <v>952</v>
      </c>
      <c r="E5" s="602"/>
      <c r="F5" s="602"/>
      <c r="G5" s="602"/>
      <c r="H5" s="157" t="s">
        <v>1181</v>
      </c>
      <c r="I5" s="602"/>
      <c r="J5" s="603"/>
    </row>
    <row r="6" spans="1:10" s="277" customFormat="1" ht="18" customHeight="1">
      <c r="A6" s="155"/>
      <c r="B6" s="156"/>
      <c r="C6" s="157" t="s">
        <v>359</v>
      </c>
      <c r="D6" s="157" t="s">
        <v>360</v>
      </c>
      <c r="E6" s="157" t="s">
        <v>361</v>
      </c>
      <c r="F6" s="157" t="s">
        <v>245</v>
      </c>
      <c r="G6" s="157" t="s">
        <v>362</v>
      </c>
      <c r="H6" s="157" t="s">
        <v>363</v>
      </c>
      <c r="I6" s="157" t="s">
        <v>364</v>
      </c>
      <c r="J6" s="158" t="s">
        <v>246</v>
      </c>
    </row>
    <row r="7" spans="1:10" s="281" customFormat="1" ht="15.75">
      <c r="A7" s="278">
        <v>1</v>
      </c>
      <c r="B7" s="156" t="s">
        <v>354</v>
      </c>
      <c r="C7" s="279">
        <f>SUM(C8:C12)</f>
        <v>559.3</v>
      </c>
      <c r="D7" s="279">
        <f>SUM(D8:D12)</f>
        <v>557.1</v>
      </c>
      <c r="E7" s="279">
        <f>SUM(E8:E12)</f>
        <v>47.49999999999999</v>
      </c>
      <c r="F7" s="279">
        <f aca="true" t="shared" si="0" ref="F7:F13">C7+E7</f>
        <v>606.8</v>
      </c>
      <c r="G7" s="279">
        <f>SUM(G8:G12)</f>
        <v>7096532.180000001</v>
      </c>
      <c r="H7" s="279">
        <f>SUM(H8:H12)</f>
        <v>6673267.85</v>
      </c>
      <c r="I7" s="279">
        <f>SUM(I8:I12)</f>
        <v>1401138.9999999998</v>
      </c>
      <c r="J7" s="280">
        <f aca="true" t="shared" si="1" ref="J7:J13">G7+I7</f>
        <v>8497671.18</v>
      </c>
    </row>
    <row r="8" spans="1:10" ht="15.75">
      <c r="A8" s="278">
        <v>2</v>
      </c>
      <c r="B8" s="159" t="s">
        <v>301</v>
      </c>
      <c r="C8" s="282">
        <v>86.6</v>
      </c>
      <c r="D8" s="282">
        <v>86</v>
      </c>
      <c r="E8" s="282">
        <v>17</v>
      </c>
      <c r="F8" s="279">
        <f t="shared" si="0"/>
        <v>103.6</v>
      </c>
      <c r="G8" s="282">
        <v>1674453.19</v>
      </c>
      <c r="H8" s="282">
        <v>1511685.28</v>
      </c>
      <c r="I8" s="282">
        <v>521808.81</v>
      </c>
      <c r="J8" s="280">
        <f t="shared" si="1"/>
        <v>2196262</v>
      </c>
    </row>
    <row r="9" spans="1:10" ht="15.75">
      <c r="A9" s="278">
        <v>3</v>
      </c>
      <c r="B9" s="159" t="s">
        <v>302</v>
      </c>
      <c r="C9" s="282">
        <v>107.1</v>
      </c>
      <c r="D9" s="282">
        <v>107</v>
      </c>
      <c r="E9" s="282">
        <v>10</v>
      </c>
      <c r="F9" s="279">
        <f t="shared" si="0"/>
        <v>117.1</v>
      </c>
      <c r="G9" s="282">
        <v>1604705.02</v>
      </c>
      <c r="H9" s="282">
        <v>1469137.32</v>
      </c>
      <c r="I9" s="282">
        <v>298240.62</v>
      </c>
      <c r="J9" s="280">
        <f t="shared" si="1"/>
        <v>1902945.6400000001</v>
      </c>
    </row>
    <row r="10" spans="1:10" ht="31.5">
      <c r="A10" s="278">
        <v>4</v>
      </c>
      <c r="B10" s="159" t="s">
        <v>303</v>
      </c>
      <c r="C10" s="282">
        <v>307.5</v>
      </c>
      <c r="D10" s="282">
        <v>306</v>
      </c>
      <c r="E10" s="282">
        <v>16.4</v>
      </c>
      <c r="F10" s="279">
        <f t="shared" si="0"/>
        <v>323.9</v>
      </c>
      <c r="G10" s="282">
        <v>3327340.04</v>
      </c>
      <c r="H10" s="282">
        <v>3204456.8</v>
      </c>
      <c r="I10" s="282">
        <v>503171.55</v>
      </c>
      <c r="J10" s="280">
        <f t="shared" si="1"/>
        <v>3830511.59</v>
      </c>
    </row>
    <row r="11" spans="1:10" ht="15.75">
      <c r="A11" s="278">
        <v>5</v>
      </c>
      <c r="B11" s="159" t="s">
        <v>304</v>
      </c>
      <c r="C11" s="282">
        <v>43.1</v>
      </c>
      <c r="D11" s="282">
        <v>43.1</v>
      </c>
      <c r="E11" s="282">
        <v>1.8</v>
      </c>
      <c r="F11" s="279">
        <f t="shared" si="0"/>
        <v>44.9</v>
      </c>
      <c r="G11" s="282">
        <v>359392.74</v>
      </c>
      <c r="H11" s="282">
        <v>357677.06</v>
      </c>
      <c r="I11" s="282">
        <v>49653.88</v>
      </c>
      <c r="J11" s="280">
        <f t="shared" si="1"/>
        <v>409046.62</v>
      </c>
    </row>
    <row r="12" spans="1:10" ht="15.75">
      <c r="A12" s="278">
        <v>6</v>
      </c>
      <c r="B12" s="159" t="s">
        <v>305</v>
      </c>
      <c r="C12" s="282">
        <v>15</v>
      </c>
      <c r="D12" s="282">
        <v>15</v>
      </c>
      <c r="E12" s="282">
        <v>2.3</v>
      </c>
      <c r="F12" s="279">
        <f t="shared" si="0"/>
        <v>17.3</v>
      </c>
      <c r="G12" s="282">
        <v>130641.19</v>
      </c>
      <c r="H12" s="282">
        <v>130311.39</v>
      </c>
      <c r="I12" s="282">
        <v>28264.14</v>
      </c>
      <c r="J12" s="280">
        <f t="shared" si="1"/>
        <v>158905.33000000002</v>
      </c>
    </row>
    <row r="13" spans="1:10" ht="15.75">
      <c r="A13" s="278">
        <v>7</v>
      </c>
      <c r="B13" s="156" t="s">
        <v>84</v>
      </c>
      <c r="C13" s="282">
        <v>168.4</v>
      </c>
      <c r="D13" s="282">
        <v>160.3</v>
      </c>
      <c r="E13" s="282">
        <v>28.8</v>
      </c>
      <c r="F13" s="279">
        <f t="shared" si="0"/>
        <v>197.20000000000002</v>
      </c>
      <c r="G13" s="282">
        <v>1276715.67</v>
      </c>
      <c r="H13" s="282">
        <v>1141835.66</v>
      </c>
      <c r="I13" s="282">
        <v>354272.72</v>
      </c>
      <c r="J13" s="280">
        <f t="shared" si="1"/>
        <v>1630988.39</v>
      </c>
    </row>
    <row r="14" spans="1:10" ht="15.75">
      <c r="A14" s="278"/>
      <c r="B14" s="159" t="s">
        <v>376</v>
      </c>
      <c r="C14" s="282"/>
      <c r="D14" s="282"/>
      <c r="E14" s="282"/>
      <c r="F14" s="279"/>
      <c r="G14" s="282"/>
      <c r="H14" s="282"/>
      <c r="I14" s="282"/>
      <c r="J14" s="280"/>
    </row>
    <row r="15" spans="1:10" ht="15.75">
      <c r="A15" s="278">
        <v>8</v>
      </c>
      <c r="B15" s="159" t="s">
        <v>88</v>
      </c>
      <c r="C15" s="282">
        <v>34.4</v>
      </c>
      <c r="D15" s="282">
        <v>31.47</v>
      </c>
      <c r="E15" s="282">
        <v>6.98</v>
      </c>
      <c r="F15" s="279">
        <f aca="true" t="shared" si="2" ref="F15:F21">C15+E15</f>
        <v>41.379999999999995</v>
      </c>
      <c r="G15" s="282">
        <v>314990.77</v>
      </c>
      <c r="H15" s="282">
        <v>266715.71</v>
      </c>
      <c r="I15" s="282">
        <v>98291.99</v>
      </c>
      <c r="J15" s="280">
        <f aca="true" t="shared" si="3" ref="J15:J21">G15+I15</f>
        <v>413282.76</v>
      </c>
    </row>
    <row r="16" spans="1:10" ht="15.75">
      <c r="A16" s="278">
        <v>9</v>
      </c>
      <c r="B16" s="156" t="s">
        <v>355</v>
      </c>
      <c r="C16" s="279">
        <f>SUM(C17:C19)</f>
        <v>167</v>
      </c>
      <c r="D16" s="279">
        <f>SUM(D17:D19)</f>
        <v>166.5</v>
      </c>
      <c r="E16" s="279">
        <f>SUM(E17:E19)</f>
        <v>23.82</v>
      </c>
      <c r="F16" s="279">
        <f t="shared" si="2"/>
        <v>190.82</v>
      </c>
      <c r="G16" s="279">
        <f>SUM(G17:G19)</f>
        <v>1328200.48</v>
      </c>
      <c r="H16" s="279">
        <f>SUM(H17:H19)</f>
        <v>1303790.61</v>
      </c>
      <c r="I16" s="279">
        <f>SUM(I17:I19)</f>
        <v>254944.79</v>
      </c>
      <c r="J16" s="280">
        <f t="shared" si="3"/>
        <v>1583145.27</v>
      </c>
    </row>
    <row r="17" spans="1:10" ht="15.75">
      <c r="A17" s="278">
        <v>10</v>
      </c>
      <c r="B17" s="159" t="s">
        <v>306</v>
      </c>
      <c r="C17" s="282">
        <v>60.06</v>
      </c>
      <c r="D17" s="282">
        <v>60.06</v>
      </c>
      <c r="E17" s="282">
        <v>1.76</v>
      </c>
      <c r="F17" s="279">
        <f t="shared" si="2"/>
        <v>61.82</v>
      </c>
      <c r="G17" s="282">
        <v>555300.86</v>
      </c>
      <c r="H17" s="282">
        <v>545511</v>
      </c>
      <c r="I17" s="282">
        <v>26336.51</v>
      </c>
      <c r="J17" s="280">
        <f t="shared" si="3"/>
        <v>581637.37</v>
      </c>
    </row>
    <row r="18" spans="1:10" ht="15.75">
      <c r="A18" s="278">
        <v>11</v>
      </c>
      <c r="B18" s="159" t="s">
        <v>247</v>
      </c>
      <c r="C18" s="282">
        <v>57.19</v>
      </c>
      <c r="D18" s="282">
        <v>57.19</v>
      </c>
      <c r="E18" s="282">
        <v>17.29</v>
      </c>
      <c r="F18" s="279">
        <f t="shared" si="2"/>
        <v>74.47999999999999</v>
      </c>
      <c r="G18" s="282">
        <v>491000.04</v>
      </c>
      <c r="H18" s="282">
        <v>479641.78</v>
      </c>
      <c r="I18" s="282">
        <v>191204.62</v>
      </c>
      <c r="J18" s="280">
        <f t="shared" si="3"/>
        <v>682204.6599999999</v>
      </c>
    </row>
    <row r="19" spans="1:10" ht="15.75">
      <c r="A19" s="278">
        <v>12</v>
      </c>
      <c r="B19" s="159" t="s">
        <v>223</v>
      </c>
      <c r="C19" s="282">
        <v>49.75</v>
      </c>
      <c r="D19" s="282">
        <v>49.25</v>
      </c>
      <c r="E19" s="282">
        <v>4.77</v>
      </c>
      <c r="F19" s="279">
        <f t="shared" si="2"/>
        <v>54.519999999999996</v>
      </c>
      <c r="G19" s="282">
        <v>281899.58</v>
      </c>
      <c r="H19" s="282">
        <v>278637.83</v>
      </c>
      <c r="I19" s="282">
        <v>37403.66</v>
      </c>
      <c r="J19" s="280">
        <f t="shared" si="3"/>
        <v>319303.24</v>
      </c>
    </row>
    <row r="20" spans="1:10" ht="15.75">
      <c r="A20" s="278">
        <v>13</v>
      </c>
      <c r="B20" s="156" t="s">
        <v>352</v>
      </c>
      <c r="C20" s="282">
        <v>83.9</v>
      </c>
      <c r="D20" s="282">
        <v>76.8</v>
      </c>
      <c r="E20" s="282">
        <v>16.4</v>
      </c>
      <c r="F20" s="279">
        <f t="shared" si="2"/>
        <v>100.30000000000001</v>
      </c>
      <c r="G20" s="282">
        <v>948382.67</v>
      </c>
      <c r="H20" s="282">
        <v>804165.96</v>
      </c>
      <c r="I20" s="282">
        <v>263875.33</v>
      </c>
      <c r="J20" s="280">
        <f t="shared" si="3"/>
        <v>1212258</v>
      </c>
    </row>
    <row r="21" spans="1:10" ht="31.5">
      <c r="A21" s="278">
        <v>14</v>
      </c>
      <c r="B21" s="156" t="s">
        <v>85</v>
      </c>
      <c r="C21" s="282">
        <v>135.1</v>
      </c>
      <c r="D21" s="282">
        <v>134.9</v>
      </c>
      <c r="E21" s="282">
        <v>17</v>
      </c>
      <c r="F21" s="279">
        <f t="shared" si="2"/>
        <v>152.1</v>
      </c>
      <c r="G21" s="282">
        <v>707639.02</v>
      </c>
      <c r="H21" s="282">
        <v>706921.94</v>
      </c>
      <c r="I21" s="282">
        <v>126609.72</v>
      </c>
      <c r="J21" s="280">
        <f t="shared" si="3"/>
        <v>834248.74</v>
      </c>
    </row>
    <row r="22" spans="1:10" ht="47.25">
      <c r="A22" s="278">
        <v>15</v>
      </c>
      <c r="B22" s="156" t="s">
        <v>399</v>
      </c>
      <c r="C22" s="279">
        <f aca="true" t="shared" si="4" ref="C22:J22">SUM(C23:C27)</f>
        <v>55.900000000000006</v>
      </c>
      <c r="D22" s="279">
        <f t="shared" si="4"/>
        <v>55.900000000000006</v>
      </c>
      <c r="E22" s="279">
        <f t="shared" si="4"/>
        <v>5.27</v>
      </c>
      <c r="F22" s="279">
        <f t="shared" si="4"/>
        <v>61.17</v>
      </c>
      <c r="G22" s="279">
        <f t="shared" si="4"/>
        <v>360023.3</v>
      </c>
      <c r="H22" s="279">
        <f t="shared" si="4"/>
        <v>360023.3</v>
      </c>
      <c r="I22" s="279">
        <f t="shared" si="4"/>
        <v>47738.49</v>
      </c>
      <c r="J22" s="280">
        <f t="shared" si="4"/>
        <v>407761.79000000004</v>
      </c>
    </row>
    <row r="23" spans="1:10" ht="15.75">
      <c r="A23" s="278" t="s">
        <v>353</v>
      </c>
      <c r="B23" s="159" t="s">
        <v>1308</v>
      </c>
      <c r="C23" s="282">
        <v>4.2</v>
      </c>
      <c r="D23" s="282">
        <v>4.2</v>
      </c>
      <c r="E23" s="282"/>
      <c r="F23" s="279">
        <f aca="true" t="shared" si="5" ref="F23:F29">C23+E23</f>
        <v>4.2</v>
      </c>
      <c r="G23" s="282">
        <v>28759.78</v>
      </c>
      <c r="H23" s="282">
        <v>28759.78</v>
      </c>
      <c r="I23" s="282"/>
      <c r="J23" s="280">
        <f aca="true" t="shared" si="6" ref="J23:J29">G23+I23</f>
        <v>28759.78</v>
      </c>
    </row>
    <row r="24" spans="1:10" ht="15.75">
      <c r="A24" s="278" t="s">
        <v>476</v>
      </c>
      <c r="B24" s="159" t="s">
        <v>1309</v>
      </c>
      <c r="C24" s="282">
        <v>36.2</v>
      </c>
      <c r="D24" s="282">
        <v>36.2</v>
      </c>
      <c r="E24" s="282">
        <v>5.27</v>
      </c>
      <c r="F24" s="279">
        <f t="shared" si="5"/>
        <v>41.47</v>
      </c>
      <c r="G24" s="282">
        <v>209862.64</v>
      </c>
      <c r="H24" s="282">
        <v>209862.64</v>
      </c>
      <c r="I24" s="282">
        <v>47738.49</v>
      </c>
      <c r="J24" s="280">
        <f t="shared" si="6"/>
        <v>257601.13</v>
      </c>
    </row>
    <row r="25" spans="1:10" ht="15.75">
      <c r="A25" s="278" t="s">
        <v>477</v>
      </c>
      <c r="B25" s="159" t="s">
        <v>1310</v>
      </c>
      <c r="C25" s="282">
        <v>14.5</v>
      </c>
      <c r="D25" s="282">
        <v>14.5</v>
      </c>
      <c r="E25" s="282"/>
      <c r="F25" s="279">
        <f t="shared" si="5"/>
        <v>14.5</v>
      </c>
      <c r="G25" s="282">
        <v>115132.08</v>
      </c>
      <c r="H25" s="282">
        <v>115132.08</v>
      </c>
      <c r="I25" s="282"/>
      <c r="J25" s="280">
        <f t="shared" si="6"/>
        <v>115132.08</v>
      </c>
    </row>
    <row r="26" spans="1:10" ht="15.75">
      <c r="A26" s="278" t="s">
        <v>478</v>
      </c>
      <c r="B26" s="159" t="s">
        <v>1311</v>
      </c>
      <c r="C26" s="282">
        <v>1</v>
      </c>
      <c r="D26" s="282">
        <v>1</v>
      </c>
      <c r="E26" s="282"/>
      <c r="F26" s="279">
        <f t="shared" si="5"/>
        <v>1</v>
      </c>
      <c r="G26" s="282">
        <v>6268.8</v>
      </c>
      <c r="H26" s="282">
        <v>6268.8</v>
      </c>
      <c r="I26" s="282"/>
      <c r="J26" s="280">
        <f t="shared" si="6"/>
        <v>6268.8</v>
      </c>
    </row>
    <row r="27" spans="1:10" ht="15.75">
      <c r="A27" s="278"/>
      <c r="B27" s="159"/>
      <c r="C27" s="282"/>
      <c r="D27" s="282"/>
      <c r="E27" s="282"/>
      <c r="F27" s="279">
        <f t="shared" si="5"/>
        <v>0</v>
      </c>
      <c r="G27" s="282"/>
      <c r="H27" s="282"/>
      <c r="I27" s="282"/>
      <c r="J27" s="280">
        <f t="shared" si="6"/>
        <v>0</v>
      </c>
    </row>
    <row r="28" spans="1:10" ht="15.75">
      <c r="A28" s="278">
        <v>16</v>
      </c>
      <c r="B28" s="156" t="s">
        <v>86</v>
      </c>
      <c r="C28" s="282">
        <v>52.4</v>
      </c>
      <c r="D28" s="282">
        <v>52.4</v>
      </c>
      <c r="E28" s="282">
        <v>7.7</v>
      </c>
      <c r="F28" s="279">
        <f t="shared" si="5"/>
        <v>60.1</v>
      </c>
      <c r="G28" s="282">
        <v>287656.98</v>
      </c>
      <c r="H28" s="282">
        <v>287656.98</v>
      </c>
      <c r="I28" s="282">
        <v>60762.66</v>
      </c>
      <c r="J28" s="280">
        <f t="shared" si="6"/>
        <v>348419.64</v>
      </c>
    </row>
    <row r="29" spans="1:10" ht="15.75">
      <c r="A29" s="278">
        <v>17</v>
      </c>
      <c r="B29" s="156" t="s">
        <v>87</v>
      </c>
      <c r="C29" s="282"/>
      <c r="D29" s="282"/>
      <c r="E29" s="282">
        <v>18.3</v>
      </c>
      <c r="F29" s="279">
        <f t="shared" si="5"/>
        <v>18.3</v>
      </c>
      <c r="G29" s="282"/>
      <c r="H29" s="282"/>
      <c r="I29" s="282">
        <v>101324.78</v>
      </c>
      <c r="J29" s="280">
        <f t="shared" si="6"/>
        <v>101324.78</v>
      </c>
    </row>
    <row r="30" spans="1:10" ht="16.5" thickBot="1">
      <c r="A30" s="283">
        <v>18</v>
      </c>
      <c r="B30" s="284" t="s">
        <v>400</v>
      </c>
      <c r="C30" s="285">
        <f aca="true" t="shared" si="7" ref="C30:J30">C7+C13+C16+C20+C21+C28+C29</f>
        <v>1166.1</v>
      </c>
      <c r="D30" s="285">
        <f t="shared" si="7"/>
        <v>1148.0000000000002</v>
      </c>
      <c r="E30" s="285">
        <f t="shared" si="7"/>
        <v>159.52</v>
      </c>
      <c r="F30" s="285">
        <f t="shared" si="7"/>
        <v>1325.6199999999997</v>
      </c>
      <c r="G30" s="285">
        <f t="shared" si="7"/>
        <v>11645127</v>
      </c>
      <c r="H30" s="285">
        <f t="shared" si="7"/>
        <v>10917638.999999998</v>
      </c>
      <c r="I30" s="285">
        <f t="shared" si="7"/>
        <v>2562929</v>
      </c>
      <c r="J30" s="286">
        <f t="shared" si="7"/>
        <v>14208056</v>
      </c>
    </row>
    <row r="31" spans="1:10" ht="15.75">
      <c r="A31" s="287"/>
      <c r="B31" s="287"/>
      <c r="C31" s="183"/>
      <c r="D31" s="287"/>
      <c r="E31" s="287"/>
      <c r="F31" s="183"/>
      <c r="G31" s="183"/>
      <c r="H31" s="183"/>
      <c r="I31" s="183"/>
      <c r="J31" s="183"/>
    </row>
    <row r="32" spans="2:10" ht="50.25" customHeight="1">
      <c r="B32" s="604" t="s">
        <v>1368</v>
      </c>
      <c r="C32" s="604"/>
      <c r="D32" s="604"/>
      <c r="E32" s="604"/>
      <c r="F32" s="604"/>
      <c r="G32" s="604"/>
      <c r="H32" s="604"/>
      <c r="I32" s="604"/>
      <c r="J32" s="604"/>
    </row>
    <row r="33" ht="15.75">
      <c r="B33" s="290" t="s">
        <v>1124</v>
      </c>
    </row>
    <row r="34" ht="15.75">
      <c r="B34" s="290" t="s">
        <v>1125</v>
      </c>
    </row>
    <row r="35" ht="15.75">
      <c r="B35" s="290" t="s">
        <v>1126</v>
      </c>
    </row>
    <row r="37" spans="1:10" ht="15.75" customHeight="1">
      <c r="A37" s="605" t="s">
        <v>1320</v>
      </c>
      <c r="B37" s="605"/>
      <c r="C37" s="605"/>
      <c r="D37" s="605"/>
      <c r="E37" s="605"/>
      <c r="F37" s="605"/>
      <c r="G37" s="605"/>
      <c r="H37" s="605"/>
      <c r="I37" s="605"/>
      <c r="J37" s="605"/>
    </row>
    <row r="38" spans="2:10" ht="15.75" customHeight="1">
      <c r="B38" s="606" t="s">
        <v>1329</v>
      </c>
      <c r="C38" s="606"/>
      <c r="D38" s="606"/>
      <c r="E38" s="606"/>
      <c r="F38" s="606"/>
      <c r="G38" s="606"/>
      <c r="H38" s="606"/>
      <c r="I38" s="606"/>
      <c r="J38" s="606"/>
    </row>
  </sheetData>
  <sheetProtection/>
  <mergeCells count="15">
    <mergeCell ref="B32:J32"/>
    <mergeCell ref="A37:J37"/>
    <mergeCell ref="B38:J38"/>
    <mergeCell ref="A1:J1"/>
    <mergeCell ref="A2:J2"/>
    <mergeCell ref="A3:A5"/>
    <mergeCell ref="B3:B5"/>
    <mergeCell ref="C3:F3"/>
    <mergeCell ref="G3:G5"/>
    <mergeCell ref="H3:H4"/>
    <mergeCell ref="I3:I5"/>
    <mergeCell ref="J3:J5"/>
    <mergeCell ref="C4:C5"/>
    <mergeCell ref="E4:E5"/>
    <mergeCell ref="F4:F5"/>
  </mergeCells>
  <printOptions gridLines="1"/>
  <pageMargins left="0.47" right="0.31" top="0.75" bottom="0.41" header="0.5118110236220472" footer="0.28"/>
  <pageSetup fitToHeight="1" fitToWidth="1" horizontalDpi="600" verticalDpi="600" orientation="landscape" paperSize="9" scale="63" r:id="rId1"/>
</worksheet>
</file>

<file path=xl/worksheets/sheet11.xml><?xml version="1.0" encoding="utf-8"?>
<worksheet xmlns="http://schemas.openxmlformats.org/spreadsheetml/2006/main" xmlns:r="http://schemas.openxmlformats.org/officeDocument/2006/relationships">
  <sheetPr>
    <tabColor theme="9" tint="0.39998000860214233"/>
    <pageSetUpPr fitToPage="1"/>
  </sheetPr>
  <dimension ref="A1:K23"/>
  <sheetViews>
    <sheetView zoomScale="82" zoomScaleNormal="82" zoomScalePageLayoutView="0" workbookViewId="0" topLeftCell="A1">
      <pane xSplit="2" ySplit="6" topLeftCell="C10" activePane="bottomRight" state="frozen"/>
      <selection pane="topLeft" activeCell="A1" sqref="A1"/>
      <selection pane="topRight" activeCell="C1" sqref="C1"/>
      <selection pane="bottomLeft" activeCell="A7" sqref="A7"/>
      <selection pane="bottomRight" activeCell="B14" sqref="B14"/>
    </sheetView>
  </sheetViews>
  <sheetFormatPr defaultColWidth="9.140625" defaultRowHeight="12.75"/>
  <cols>
    <col min="1" max="1" width="9.140625" style="292" customWidth="1"/>
    <col min="2" max="2" width="85.28125" style="292" customWidth="1"/>
    <col min="3" max="3" width="17.7109375" style="292" customWidth="1"/>
    <col min="4" max="5" width="22.57421875" style="292" customWidth="1"/>
    <col min="6" max="6" width="22.28125" style="292" customWidth="1"/>
    <col min="7" max="7" width="16.7109375" style="292" customWidth="1"/>
    <col min="8" max="8" width="17.140625" style="292" customWidth="1"/>
    <col min="9" max="9" width="10.140625" style="292" bestFit="1" customWidth="1"/>
    <col min="10" max="16384" width="9.140625" style="292" customWidth="1"/>
  </cols>
  <sheetData>
    <row r="1" spans="1:8" ht="28.5" customHeight="1">
      <c r="A1" s="615" t="s">
        <v>1184</v>
      </c>
      <c r="B1" s="615"/>
      <c r="C1" s="615"/>
      <c r="D1" s="615"/>
      <c r="E1" s="615"/>
      <c r="F1" s="615"/>
      <c r="G1" s="615"/>
      <c r="H1" s="615"/>
    </row>
    <row r="2" spans="1:9" ht="44.25" customHeight="1" thickBot="1">
      <c r="A2" s="616" t="s">
        <v>1245</v>
      </c>
      <c r="B2" s="616"/>
      <c r="C2" s="616"/>
      <c r="D2" s="616"/>
      <c r="E2" s="616"/>
      <c r="F2" s="616"/>
      <c r="G2" s="616"/>
      <c r="H2" s="616"/>
      <c r="I2" s="293"/>
    </row>
    <row r="3" spans="1:8" ht="25.5" customHeight="1">
      <c r="A3" s="617" t="s">
        <v>271</v>
      </c>
      <c r="B3" s="619" t="s">
        <v>407</v>
      </c>
      <c r="C3" s="622" t="s">
        <v>1238</v>
      </c>
      <c r="D3" s="623"/>
      <c r="E3" s="623"/>
      <c r="F3" s="624"/>
      <c r="G3" s="625" t="s">
        <v>1052</v>
      </c>
      <c r="H3" s="627" t="s">
        <v>269</v>
      </c>
    </row>
    <row r="4" spans="1:8" ht="15.75">
      <c r="A4" s="618"/>
      <c r="B4" s="620"/>
      <c r="C4" s="629" t="s">
        <v>269</v>
      </c>
      <c r="D4" s="630" t="s">
        <v>419</v>
      </c>
      <c r="E4" s="630"/>
      <c r="F4" s="630"/>
      <c r="G4" s="626"/>
      <c r="H4" s="628"/>
    </row>
    <row r="5" spans="1:8" ht="49.5" customHeight="1">
      <c r="A5" s="618"/>
      <c r="B5" s="621"/>
      <c r="C5" s="621"/>
      <c r="D5" s="294" t="s">
        <v>966</v>
      </c>
      <c r="E5" s="294" t="s">
        <v>1369</v>
      </c>
      <c r="F5" s="294" t="s">
        <v>1171</v>
      </c>
      <c r="G5" s="626"/>
      <c r="H5" s="628"/>
    </row>
    <row r="6" spans="1:8" ht="26.25" customHeight="1">
      <c r="A6" s="295"/>
      <c r="B6" s="296"/>
      <c r="C6" s="297" t="s">
        <v>1016</v>
      </c>
      <c r="D6" s="297" t="s">
        <v>360</v>
      </c>
      <c r="E6" s="297" t="s">
        <v>361</v>
      </c>
      <c r="F6" s="297" t="s">
        <v>368</v>
      </c>
      <c r="G6" s="297" t="s">
        <v>362</v>
      </c>
      <c r="H6" s="298" t="s">
        <v>1012</v>
      </c>
    </row>
    <row r="7" spans="1:11" ht="26.25" customHeight="1">
      <c r="A7" s="299">
        <v>1</v>
      </c>
      <c r="B7" s="300" t="s">
        <v>1370</v>
      </c>
      <c r="C7" s="205">
        <f>SUM(D7:F7)</f>
        <v>1869308.28</v>
      </c>
      <c r="D7" s="205">
        <f>D8+D11+D14</f>
        <v>1728541.32</v>
      </c>
      <c r="E7" s="205">
        <f>E8+E11+E14</f>
        <v>75718.95999999999</v>
      </c>
      <c r="F7" s="205">
        <f>F8+F11+F14</f>
        <v>65048</v>
      </c>
      <c r="G7" s="205">
        <f>G8+G11+G14</f>
        <v>6893.76</v>
      </c>
      <c r="H7" s="248">
        <f>C7+G7</f>
        <v>1876202.04</v>
      </c>
      <c r="I7" s="301">
        <f>'T5 - Analýza nákladov '!E82</f>
        <v>1876202.04</v>
      </c>
      <c r="J7" s="301">
        <f>I7-H7</f>
        <v>0</v>
      </c>
      <c r="K7" s="292" t="s">
        <v>1330</v>
      </c>
    </row>
    <row r="8" spans="1:8" ht="31.5">
      <c r="A8" s="299">
        <v>2</v>
      </c>
      <c r="B8" s="291" t="s">
        <v>483</v>
      </c>
      <c r="C8" s="205">
        <f>SUM(D8:F8)</f>
        <v>1072975.93</v>
      </c>
      <c r="D8" s="205">
        <f>D9</f>
        <v>1047270.75</v>
      </c>
      <c r="E8" s="205">
        <f>E10</f>
        <v>14135.18</v>
      </c>
      <c r="F8" s="205">
        <f>SUM(F9:F10)</f>
        <v>11570</v>
      </c>
      <c r="G8" s="205">
        <f>SUM(G9:G10)</f>
        <v>0</v>
      </c>
      <c r="H8" s="248">
        <f>SUM(H9:H10)</f>
        <v>1072975.93</v>
      </c>
    </row>
    <row r="9" spans="1:9" ht="31.5">
      <c r="A9" s="299">
        <v>3</v>
      </c>
      <c r="B9" s="291" t="s">
        <v>1371</v>
      </c>
      <c r="C9" s="208">
        <f>D9+F9</f>
        <v>1056780.75</v>
      </c>
      <c r="D9" s="208">
        <f>'[11]T7_Doktorandi_LF'!D9+'[11]T7_Doktorandi_PF'!D9+'[11]T7_Doktorandi_PrávF'!D9+'[11]T7_Doktorandi_FF'!D9</f>
        <v>1047270.75</v>
      </c>
      <c r="E9" s="176" t="s">
        <v>391</v>
      </c>
      <c r="F9" s="208">
        <f>'[11]T7_Doktorandi_LF'!F9+'[11]T7_Doktorandi_PF'!F9+'[11]T7_Doktorandi_PrávF'!F9+'[11]T7_Doktorandi_FF'!F9</f>
        <v>9510</v>
      </c>
      <c r="G9" s="208">
        <f>'[11]T7_Doktorandi_LF'!G9+'[11]T7_Doktorandi_PF'!G9+'[11]T7_Doktorandi_PrávF'!G9+'[11]T7_Doktorandi_FF'!G9</f>
        <v>0</v>
      </c>
      <c r="H9" s="253">
        <f>C9+G9</f>
        <v>1056780.75</v>
      </c>
      <c r="I9" s="302"/>
    </row>
    <row r="10" spans="1:9" ht="39" customHeight="1">
      <c r="A10" s="299">
        <v>4</v>
      </c>
      <c r="B10" s="291" t="s">
        <v>1372</v>
      </c>
      <c r="C10" s="208">
        <f>E10+F10</f>
        <v>16195.18</v>
      </c>
      <c r="D10" s="176" t="s">
        <v>391</v>
      </c>
      <c r="E10" s="208">
        <f>'[11]T7_Doktorandi_LF'!E10+'[11]T7_Doktorandi_PF'!E10+'[11]T7_Doktorandi_PrávF'!E10+'[11]T7_Doktorandi_FF'!E10</f>
        <v>14135.18</v>
      </c>
      <c r="F10" s="208">
        <f>'[11]T7_Doktorandi_LF'!F10+'[11]T7_Doktorandi_PF'!F10+'[11]T7_Doktorandi_PrávF'!F10+'[11]T7_Doktorandi_FF'!F10</f>
        <v>2060</v>
      </c>
      <c r="G10" s="208">
        <f>'[11]T7_Doktorandi_LF'!G10+'[11]T7_Doktorandi_PF'!G10+'[11]T7_Doktorandi_PrávF'!G10+'[11]T7_Doktorandi_FF'!G10</f>
        <v>0</v>
      </c>
      <c r="H10" s="253">
        <f>C10+G10</f>
        <v>16195.18</v>
      </c>
      <c r="I10" s="302"/>
    </row>
    <row r="11" spans="1:8" ht="31.5">
      <c r="A11" s="299">
        <v>5</v>
      </c>
      <c r="B11" s="291" t="s">
        <v>945</v>
      </c>
      <c r="C11" s="205">
        <f>SUM(D11:F11)</f>
        <v>757502.6200000001</v>
      </c>
      <c r="D11" s="205">
        <f>D12</f>
        <v>681270.5700000001</v>
      </c>
      <c r="E11" s="205">
        <f>E13</f>
        <v>22754.05</v>
      </c>
      <c r="F11" s="205">
        <f>SUM(F12:F13)</f>
        <v>53478</v>
      </c>
      <c r="G11" s="205">
        <f>SUM(G12:G13)</f>
        <v>6893.76</v>
      </c>
      <c r="H11" s="248">
        <f>SUM(H12:H13)</f>
        <v>764396.3800000001</v>
      </c>
    </row>
    <row r="12" spans="1:8" ht="31.5">
      <c r="A12" s="299">
        <v>6</v>
      </c>
      <c r="B12" s="291" t="s">
        <v>1373</v>
      </c>
      <c r="C12" s="208">
        <f>D12+F12</f>
        <v>725120.5700000001</v>
      </c>
      <c r="D12" s="208">
        <f>'[11]T7_Doktorandi_LF'!D12+'[11]T7_Doktorandi_PF'!D12+'[11]T7_Doktorandi_PrávF'!D12+'[11]T7_Doktorandi_FF'!D12</f>
        <v>681270.5700000001</v>
      </c>
      <c r="E12" s="176" t="s">
        <v>391</v>
      </c>
      <c r="F12" s="208">
        <f>'[11]T7_Doktorandi_LF'!F12+'[11]T7_Doktorandi_PF'!F12+'[11]T7_Doktorandi_PrávF'!F12+'[11]T7_Doktorandi_FF'!F12</f>
        <v>43850</v>
      </c>
      <c r="G12" s="208">
        <f>'[11]T7_Doktorandi_LF'!G12+'[11]T7_Doktorandi_PF'!G12+'[11]T7_Doktorandi_PrávF'!G12+'[11]T7_Doktorandi_FF'!G12</f>
        <v>4640</v>
      </c>
      <c r="H12" s="253">
        <f>C12+G12</f>
        <v>729760.5700000001</v>
      </c>
    </row>
    <row r="13" spans="1:8" ht="38.25" customHeight="1">
      <c r="A13" s="299">
        <v>7</v>
      </c>
      <c r="B13" s="291" t="s">
        <v>1374</v>
      </c>
      <c r="C13" s="208">
        <f>E13+F13</f>
        <v>32382.05</v>
      </c>
      <c r="D13" s="208" t="s">
        <v>391</v>
      </c>
      <c r="E13" s="208">
        <f>'[11]T7_Doktorandi_LF'!E13+'[11]T7_Doktorandi_PF'!E13+'[11]T7_Doktorandi_PrávF'!E13+'[11]T7_Doktorandi_FF'!E13</f>
        <v>22754.05</v>
      </c>
      <c r="F13" s="208">
        <f>'[11]T7_Doktorandi_LF'!F13+'[11]T7_Doktorandi_PF'!F13+'[11]T7_Doktorandi_PrávF'!F13+'[11]T7_Doktorandi_FF'!F13</f>
        <v>9628</v>
      </c>
      <c r="G13" s="208">
        <f>'[11]T7_Doktorandi_LF'!G13+'[11]T7_Doktorandi_PF'!G13+'[11]T7_Doktorandi_PrávF'!G13+'[11]T7_Doktorandi_FF'!G13</f>
        <v>2253.76</v>
      </c>
      <c r="H13" s="253">
        <f>C13+G13</f>
        <v>34635.81</v>
      </c>
    </row>
    <row r="14" spans="1:8" ht="31.5">
      <c r="A14" s="299">
        <v>8</v>
      </c>
      <c r="B14" s="291" t="s">
        <v>1375</v>
      </c>
      <c r="C14" s="205">
        <f>SUM(D14:F14)</f>
        <v>38829.729999999996</v>
      </c>
      <c r="D14" s="208">
        <f>'[11]T7_Doktorandi_LF'!D14+'[11]T7_Doktorandi_PF'!D14+'[11]T7_Doktorandi_PrávF'!D14+'[11]T7_Doktorandi_FF'!D14</f>
        <v>0</v>
      </c>
      <c r="E14" s="208">
        <f>'[11]T7_Doktorandi_LF'!E14+'[11]T7_Doktorandi_PF'!E14+'[11]T7_Doktorandi_PrávF'!E14+'[11]T7_Doktorandi_FF'!E14</f>
        <v>38829.729999999996</v>
      </c>
      <c r="F14" s="208">
        <f>'[11]T7_Doktorandi_LF'!F14+'[11]T7_Doktorandi_PF'!F14+'[11]T7_Doktorandi_PrávF'!F14+'[11]T7_Doktorandi_FF'!F14</f>
        <v>0</v>
      </c>
      <c r="G14" s="208">
        <f>'[11]T7_Doktorandi_LF'!G14+'[11]T7_Doktorandi_PF'!G14+'[11]T7_Doktorandi_PrávF'!G14+'[11]T7_Doktorandi_FF'!G14</f>
        <v>0</v>
      </c>
      <c r="H14" s="253">
        <f>C14+G14</f>
        <v>38829.729999999996</v>
      </c>
    </row>
    <row r="15" spans="1:8" s="34" customFormat="1" ht="39.75" customHeight="1">
      <c r="A15" s="299">
        <v>9</v>
      </c>
      <c r="B15" s="53" t="s">
        <v>1014</v>
      </c>
      <c r="C15" s="176" t="s">
        <v>391</v>
      </c>
      <c r="D15" s="208">
        <f>'[11]T7_Doktorandi_LF'!D15+'[11]T7_Doktorandi_PF'!D15+'[11]T7_Doktorandi_PrávF'!D15+'[11]T7_Doktorandi_FF'!D15</f>
        <v>65816.27</v>
      </c>
      <c r="E15" s="176" t="s">
        <v>391</v>
      </c>
      <c r="F15" s="176" t="s">
        <v>391</v>
      </c>
      <c r="G15" s="176" t="s">
        <v>391</v>
      </c>
      <c r="H15" s="303" t="s">
        <v>391</v>
      </c>
    </row>
    <row r="16" spans="1:8" ht="36" customHeight="1">
      <c r="A16" s="299">
        <v>10</v>
      </c>
      <c r="B16" s="291" t="s">
        <v>1015</v>
      </c>
      <c r="C16" s="176" t="s">
        <v>391</v>
      </c>
      <c r="D16" s="208">
        <f>'[11]T7_Doktorandi_LF'!D16+'[11]T7_Doktorandi_PF'!D16+'[11]T7_Doktorandi_PrávF'!D16+'[11]T7_Doktorandi_FF'!D16</f>
        <v>1716464.0000000002</v>
      </c>
      <c r="E16" s="208">
        <f>'[11]T7_Doktorandi_LF'!E16+'[11]T7_Doktorandi_PF'!E16+'[11]T7_Doktorandi_PrávF'!E16+'[11]T7_Doktorandi_FF'!E16</f>
        <v>166470</v>
      </c>
      <c r="F16" s="176" t="s">
        <v>391</v>
      </c>
      <c r="G16" s="176" t="s">
        <v>391</v>
      </c>
      <c r="H16" s="303" t="s">
        <v>391</v>
      </c>
    </row>
    <row r="17" spans="1:9" ht="30" customHeight="1">
      <c r="A17" s="299">
        <v>11</v>
      </c>
      <c r="B17" s="291" t="s">
        <v>1017</v>
      </c>
      <c r="C17" s="176" t="s">
        <v>391</v>
      </c>
      <c r="D17" s="208">
        <f>D15+D16-D7</f>
        <v>53738.950000000186</v>
      </c>
      <c r="E17" s="176" t="s">
        <v>391</v>
      </c>
      <c r="F17" s="176" t="s">
        <v>391</v>
      </c>
      <c r="G17" s="176" t="s">
        <v>391</v>
      </c>
      <c r="H17" s="303" t="s">
        <v>391</v>
      </c>
      <c r="I17" s="304"/>
    </row>
    <row r="18" spans="1:8" ht="24" customHeight="1">
      <c r="A18" s="299">
        <v>12</v>
      </c>
      <c r="B18" s="305" t="s">
        <v>1010</v>
      </c>
      <c r="C18" s="208">
        <f>D18</f>
        <v>3605</v>
      </c>
      <c r="D18" s="208">
        <v>3605</v>
      </c>
      <c r="E18" s="176" t="s">
        <v>391</v>
      </c>
      <c r="F18" s="176" t="s">
        <v>391</v>
      </c>
      <c r="G18" s="208">
        <v>16</v>
      </c>
      <c r="H18" s="253">
        <f>C18+G18</f>
        <v>3621</v>
      </c>
    </row>
    <row r="19" spans="1:8" ht="21" customHeight="1" thickBot="1">
      <c r="A19" s="299">
        <v>13</v>
      </c>
      <c r="B19" s="306" t="s">
        <v>484</v>
      </c>
      <c r="C19" s="254">
        <f>IF(C18=0,0,+C7/C18)</f>
        <v>518.5321165048543</v>
      </c>
      <c r="D19" s="254">
        <f>IF(D18=0,0,+D7/D18)</f>
        <v>479.4844160887656</v>
      </c>
      <c r="E19" s="307" t="s">
        <v>391</v>
      </c>
      <c r="F19" s="307" t="s">
        <v>391</v>
      </c>
      <c r="G19" s="254">
        <f>IF(G18=0,0,+G7/G18)</f>
        <v>430.86</v>
      </c>
      <c r="H19" s="255">
        <f>IF(H18=0,0,+H7/H18)</f>
        <v>518.1447224523613</v>
      </c>
    </row>
    <row r="21" ht="15.75">
      <c r="A21" s="292" t="s">
        <v>1011</v>
      </c>
    </row>
    <row r="22" spans="4:5" ht="15.75">
      <c r="D22" s="308">
        <f>1728541+6516.75</f>
        <v>1735057.75</v>
      </c>
      <c r="E22" s="292" t="s">
        <v>1334</v>
      </c>
    </row>
    <row r="23" spans="4:5" ht="15.75">
      <c r="D23" s="301">
        <f>D22-D7</f>
        <v>6516.429999999935</v>
      </c>
      <c r="E23" s="292" t="s">
        <v>1335</v>
      </c>
    </row>
  </sheetData>
  <sheetProtection/>
  <mergeCells count="9">
    <mergeCell ref="A1:H1"/>
    <mergeCell ref="A2:H2"/>
    <mergeCell ref="A3:A5"/>
    <mergeCell ref="B3:B5"/>
    <mergeCell ref="C3:F3"/>
    <mergeCell ref="G3:G5"/>
    <mergeCell ref="H3:H5"/>
    <mergeCell ref="C4:C5"/>
    <mergeCell ref="D4:F4"/>
  </mergeCells>
  <printOptions/>
  <pageMargins left="0.45" right="0.33" top="0.7480314960629921" bottom="0.7480314960629921" header="0.31496062992125984" footer="0.31496062992125984"/>
  <pageSetup fitToHeight="1" fitToWidth="1" horizontalDpi="600" verticalDpi="600" orientation="landscape" paperSize="9" scale="66" r:id="rId1"/>
</worksheet>
</file>

<file path=xl/worksheets/sheet12.xml><?xml version="1.0" encoding="utf-8"?>
<worksheet xmlns="http://schemas.openxmlformats.org/spreadsheetml/2006/main" xmlns:r="http://schemas.openxmlformats.org/officeDocument/2006/relationships">
  <sheetPr>
    <tabColor indexed="42"/>
    <pageSetUpPr fitToPage="1"/>
  </sheetPr>
  <dimension ref="A1:H15"/>
  <sheetViews>
    <sheetView zoomScale="80" zoomScaleNormal="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F23" sqref="F23"/>
    </sheetView>
  </sheetViews>
  <sheetFormatPr defaultColWidth="9.140625" defaultRowHeight="12.75"/>
  <cols>
    <col min="1" max="1" width="8.140625" style="34" customWidth="1"/>
    <col min="2" max="2" width="91.421875" style="323" bestFit="1" customWidth="1"/>
    <col min="3" max="3" width="17.28125" style="34" customWidth="1"/>
    <col min="4" max="4" width="17.140625" style="34" customWidth="1"/>
    <col min="5" max="5" width="15.7109375" style="34" customWidth="1"/>
    <col min="6" max="6" width="18.00390625" style="34" customWidth="1"/>
    <col min="7" max="7" width="7.57421875" style="34" customWidth="1"/>
    <col min="8" max="16384" width="9.140625" style="34" customWidth="1"/>
  </cols>
  <sheetData>
    <row r="1" spans="1:8" ht="49.5" customHeight="1" thickBot="1">
      <c r="A1" s="585" t="s">
        <v>1173</v>
      </c>
      <c r="B1" s="586"/>
      <c r="C1" s="586"/>
      <c r="D1" s="586"/>
      <c r="E1" s="586"/>
      <c r="F1" s="587"/>
      <c r="G1" s="318"/>
      <c r="H1" s="319"/>
    </row>
    <row r="2" spans="1:7" ht="36.75" customHeight="1">
      <c r="A2" s="588" t="s">
        <v>1244</v>
      </c>
      <c r="B2" s="589"/>
      <c r="C2" s="589"/>
      <c r="D2" s="589"/>
      <c r="E2" s="589"/>
      <c r="F2" s="590"/>
      <c r="G2" s="309"/>
    </row>
    <row r="3" spans="1:7" ht="33" customHeight="1">
      <c r="A3" s="643" t="s">
        <v>271</v>
      </c>
      <c r="B3" s="641" t="s">
        <v>407</v>
      </c>
      <c r="C3" s="637">
        <v>2010</v>
      </c>
      <c r="D3" s="638"/>
      <c r="E3" s="639">
        <v>2011</v>
      </c>
      <c r="F3" s="640"/>
      <c r="G3" s="309"/>
    </row>
    <row r="4" spans="1:7" ht="69" customHeight="1">
      <c r="A4" s="644"/>
      <c r="B4" s="642"/>
      <c r="C4" s="310" t="s">
        <v>1185</v>
      </c>
      <c r="D4" s="310" t="s">
        <v>249</v>
      </c>
      <c r="E4" s="310" t="s">
        <v>1185</v>
      </c>
      <c r="F4" s="10" t="s">
        <v>345</v>
      </c>
      <c r="G4" s="309"/>
    </row>
    <row r="5" spans="1:7" ht="15.75">
      <c r="A5" s="320"/>
      <c r="B5" s="202"/>
      <c r="C5" s="25" t="s">
        <v>359</v>
      </c>
      <c r="D5" s="25" t="s">
        <v>360</v>
      </c>
      <c r="E5" s="25" t="s">
        <v>361</v>
      </c>
      <c r="F5" s="26" t="s">
        <v>368</v>
      </c>
      <c r="G5" s="309"/>
    </row>
    <row r="6" spans="1:7" ht="38.25" customHeight="1">
      <c r="A6" s="56">
        <v>1</v>
      </c>
      <c r="B6" s="28" t="s">
        <v>94</v>
      </c>
      <c r="C6" s="312">
        <v>1611605</v>
      </c>
      <c r="D6" s="176" t="s">
        <v>391</v>
      </c>
      <c r="E6" s="312">
        <v>1874264</v>
      </c>
      <c r="F6" s="303" t="s">
        <v>391</v>
      </c>
      <c r="G6" s="309"/>
    </row>
    <row r="7" spans="1:7" ht="38.25" customHeight="1">
      <c r="A7" s="56">
        <f>A6+1</f>
        <v>2</v>
      </c>
      <c r="B7" s="28" t="s">
        <v>420</v>
      </c>
      <c r="C7" s="176" t="s">
        <v>391</v>
      </c>
      <c r="D7" s="205">
        <v>8072</v>
      </c>
      <c r="E7" s="176" t="s">
        <v>391</v>
      </c>
      <c r="F7" s="248">
        <v>9138</v>
      </c>
      <c r="G7" s="309"/>
    </row>
    <row r="8" spans="1:7" ht="38.25" customHeight="1">
      <c r="A8" s="56">
        <f>A7+1</f>
        <v>3</v>
      </c>
      <c r="B8" s="28" t="s">
        <v>421</v>
      </c>
      <c r="C8" s="176" t="s">
        <v>391</v>
      </c>
      <c r="D8" s="205">
        <v>1210</v>
      </c>
      <c r="E8" s="176" t="s">
        <v>391</v>
      </c>
      <c r="F8" s="248">
        <v>1106</v>
      </c>
      <c r="G8" s="309"/>
    </row>
    <row r="9" spans="1:7" ht="34.5" customHeight="1">
      <c r="A9" s="56">
        <f>A8+1</f>
        <v>4</v>
      </c>
      <c r="B9" s="28" t="s">
        <v>968</v>
      </c>
      <c r="C9" s="312">
        <v>168529.81</v>
      </c>
      <c r="D9" s="176" t="s">
        <v>391</v>
      </c>
      <c r="E9" s="313">
        <v>244196.81000000006</v>
      </c>
      <c r="F9" s="303" t="s">
        <v>391</v>
      </c>
      <c r="G9" s="309"/>
    </row>
    <row r="10" spans="1:7" ht="31.5">
      <c r="A10" s="56">
        <f>A9+1</f>
        <v>5</v>
      </c>
      <c r="B10" s="28" t="s">
        <v>967</v>
      </c>
      <c r="C10" s="312">
        <v>1687272</v>
      </c>
      <c r="D10" s="176" t="s">
        <v>391</v>
      </c>
      <c r="E10" s="313">
        <v>1667408</v>
      </c>
      <c r="F10" s="303" t="s">
        <v>391</v>
      </c>
      <c r="G10" s="309"/>
    </row>
    <row r="11" spans="1:7" ht="33" customHeight="1">
      <c r="A11" s="56">
        <v>6</v>
      </c>
      <c r="B11" s="28" t="s">
        <v>320</v>
      </c>
      <c r="C11" s="312">
        <v>244196.81000000006</v>
      </c>
      <c r="D11" s="176" t="s">
        <v>391</v>
      </c>
      <c r="E11" s="313">
        <v>37340.810000000056</v>
      </c>
      <c r="F11" s="303" t="s">
        <v>391</v>
      </c>
      <c r="G11" s="309"/>
    </row>
    <row r="12" spans="1:7" ht="36" customHeight="1" thickBot="1">
      <c r="A12" s="321">
        <v>7</v>
      </c>
      <c r="B12" s="43" t="s">
        <v>321</v>
      </c>
      <c r="C12" s="314">
        <v>199.65374132804757</v>
      </c>
      <c r="D12" s="307" t="s">
        <v>391</v>
      </c>
      <c r="E12" s="314">
        <v>205.1065878748085</v>
      </c>
      <c r="F12" s="315" t="s">
        <v>391</v>
      </c>
      <c r="G12" s="309"/>
    </row>
    <row r="13" spans="2:7" ht="15.75">
      <c r="B13" s="322"/>
      <c r="G13" s="309"/>
    </row>
    <row r="14" spans="1:7" ht="15.75">
      <c r="A14" s="631" t="s">
        <v>102</v>
      </c>
      <c r="B14" s="632"/>
      <c r="C14" s="632"/>
      <c r="D14" s="632"/>
      <c r="E14" s="632"/>
      <c r="F14" s="633"/>
      <c r="G14" s="309"/>
    </row>
    <row r="15" spans="1:7" ht="15.75">
      <c r="A15" s="634" t="s">
        <v>464</v>
      </c>
      <c r="B15" s="635"/>
      <c r="C15" s="635"/>
      <c r="D15" s="635"/>
      <c r="E15" s="635"/>
      <c r="F15" s="636"/>
      <c r="G15" s="309"/>
    </row>
  </sheetData>
  <sheetProtection/>
  <mergeCells count="8">
    <mergeCell ref="A14:F14"/>
    <mergeCell ref="A15:F15"/>
    <mergeCell ref="A1:F1"/>
    <mergeCell ref="A2:F2"/>
    <mergeCell ref="C3:D3"/>
    <mergeCell ref="E3:F3"/>
    <mergeCell ref="B3:B4"/>
    <mergeCell ref="A3:A4"/>
  </mergeCells>
  <printOptions/>
  <pageMargins left="0.5" right="0.39" top="0.984251968503937" bottom="0.984251968503937" header="0.5118110236220472" footer="0.5118110236220472"/>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indexed="42"/>
    <pageSetUpPr fitToPage="1"/>
  </sheetPr>
  <dimension ref="A1:G21"/>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9" sqref="B9"/>
    </sheetView>
  </sheetViews>
  <sheetFormatPr defaultColWidth="9.140625" defaultRowHeight="12.75"/>
  <cols>
    <col min="1" max="1" width="8.28125" style="325" customWidth="1"/>
    <col min="2" max="2" width="77.7109375" style="325" customWidth="1"/>
    <col min="3" max="6" width="14.7109375" style="325" customWidth="1"/>
    <col min="7" max="16384" width="9.140625" style="325" customWidth="1"/>
  </cols>
  <sheetData>
    <row r="1" spans="1:6" ht="49.5" customHeight="1">
      <c r="A1" s="558" t="s">
        <v>1174</v>
      </c>
      <c r="B1" s="648"/>
      <c r="C1" s="648"/>
      <c r="D1" s="648"/>
      <c r="E1" s="648"/>
      <c r="F1" s="649"/>
    </row>
    <row r="2" spans="1:6" ht="33" customHeight="1">
      <c r="A2" s="561" t="s">
        <v>1326</v>
      </c>
      <c r="B2" s="562"/>
      <c r="C2" s="562"/>
      <c r="D2" s="562"/>
      <c r="E2" s="562"/>
      <c r="F2" s="563"/>
    </row>
    <row r="3" spans="1:6" ht="18.75" customHeight="1">
      <c r="A3" s="650" t="s">
        <v>271</v>
      </c>
      <c r="B3" s="652" t="s">
        <v>407</v>
      </c>
      <c r="C3" s="653" t="s">
        <v>1186</v>
      </c>
      <c r="D3" s="653"/>
      <c r="E3" s="653" t="s">
        <v>435</v>
      </c>
      <c r="F3" s="654"/>
    </row>
    <row r="4" spans="1:6" ht="18.75" customHeight="1">
      <c r="A4" s="651"/>
      <c r="B4" s="652"/>
      <c r="C4" s="9">
        <v>2010</v>
      </c>
      <c r="D4" s="9">
        <v>2011</v>
      </c>
      <c r="E4" s="3">
        <v>2010</v>
      </c>
      <c r="F4" s="2">
        <v>2011</v>
      </c>
    </row>
    <row r="5" spans="1:6" ht="15.75">
      <c r="A5" s="12"/>
      <c r="B5" s="324"/>
      <c r="C5" s="5" t="s">
        <v>359</v>
      </c>
      <c r="D5" s="5" t="s">
        <v>360</v>
      </c>
      <c r="E5" s="5" t="s">
        <v>361</v>
      </c>
      <c r="F5" s="26" t="s">
        <v>368</v>
      </c>
    </row>
    <row r="6" spans="1:7" ht="31.5">
      <c r="A6" s="12">
        <v>1</v>
      </c>
      <c r="B6" s="17" t="s">
        <v>1023</v>
      </c>
      <c r="C6" s="13" t="s">
        <v>391</v>
      </c>
      <c r="D6" s="13" t="s">
        <v>391</v>
      </c>
      <c r="E6" s="208">
        <v>1951</v>
      </c>
      <c r="F6" s="253">
        <v>1951</v>
      </c>
      <c r="G6" s="325" t="s">
        <v>1331</v>
      </c>
    </row>
    <row r="7" spans="1:6" ht="37.5">
      <c r="A7" s="12">
        <f>A6+1</f>
        <v>2</v>
      </c>
      <c r="B7" s="17" t="s">
        <v>422</v>
      </c>
      <c r="C7" s="13" t="s">
        <v>391</v>
      </c>
      <c r="D7" s="13" t="s">
        <v>391</v>
      </c>
      <c r="E7" s="208">
        <v>18745</v>
      </c>
      <c r="F7" s="253">
        <v>19243</v>
      </c>
    </row>
    <row r="8" spans="1:6" ht="15.75">
      <c r="A8" s="12">
        <v>3</v>
      </c>
      <c r="B8" s="23" t="s">
        <v>1376</v>
      </c>
      <c r="C8" s="13" t="s">
        <v>391</v>
      </c>
      <c r="D8" s="13" t="s">
        <v>391</v>
      </c>
      <c r="E8" s="205">
        <f>E7/12</f>
        <v>1562.0833333333333</v>
      </c>
      <c r="F8" s="248">
        <f>F7/12</f>
        <v>1603.5833333333333</v>
      </c>
    </row>
    <row r="9" spans="1:6" ht="31.5">
      <c r="A9" s="12">
        <f aca="true" t="shared" si="0" ref="A9:A18">A8+1</f>
        <v>4</v>
      </c>
      <c r="B9" s="17" t="s">
        <v>438</v>
      </c>
      <c r="C9" s="168">
        <v>697609.04</v>
      </c>
      <c r="D9" s="175">
        <v>725080.9</v>
      </c>
      <c r="E9" s="13" t="s">
        <v>391</v>
      </c>
      <c r="F9" s="166" t="s">
        <v>391</v>
      </c>
    </row>
    <row r="10" spans="1:6" ht="31.5">
      <c r="A10" s="12">
        <f t="shared" si="0"/>
        <v>5</v>
      </c>
      <c r="B10" s="17" t="s">
        <v>457</v>
      </c>
      <c r="C10" s="168">
        <v>22547.67</v>
      </c>
      <c r="D10" s="168">
        <v>22775.31</v>
      </c>
      <c r="E10" s="168">
        <v>244</v>
      </c>
      <c r="F10" s="169">
        <v>521</v>
      </c>
    </row>
    <row r="11" spans="1:7" ht="31.5">
      <c r="A11" s="12">
        <f t="shared" si="0"/>
        <v>6</v>
      </c>
      <c r="B11" s="17" t="s">
        <v>351</v>
      </c>
      <c r="C11" s="208">
        <v>711043</v>
      </c>
      <c r="D11" s="208">
        <v>684469</v>
      </c>
      <c r="E11" s="13" t="s">
        <v>391</v>
      </c>
      <c r="F11" s="166" t="s">
        <v>391</v>
      </c>
      <c r="G11" s="325" t="s">
        <v>1331</v>
      </c>
    </row>
    <row r="12" spans="1:6" ht="15.75">
      <c r="A12" s="12">
        <f t="shared" si="0"/>
        <v>7</v>
      </c>
      <c r="B12" s="17" t="s">
        <v>436</v>
      </c>
      <c r="C12" s="168">
        <v>28130.05</v>
      </c>
      <c r="D12" s="168">
        <v>2421.8</v>
      </c>
      <c r="E12" s="13" t="s">
        <v>391</v>
      </c>
      <c r="F12" s="166" t="s">
        <v>391</v>
      </c>
    </row>
    <row r="13" spans="1:6" ht="15.75">
      <c r="A13" s="12">
        <f t="shared" si="0"/>
        <v>8</v>
      </c>
      <c r="B13" s="17" t="s">
        <v>458</v>
      </c>
      <c r="C13" s="205">
        <f>SUM(C9:C12)</f>
        <v>1459329.76</v>
      </c>
      <c r="D13" s="205">
        <f>SUM(D9:D12)</f>
        <v>1434747.01</v>
      </c>
      <c r="E13" s="13" t="s">
        <v>391</v>
      </c>
      <c r="F13" s="166" t="s">
        <v>391</v>
      </c>
    </row>
    <row r="14" spans="1:6" ht="15.75">
      <c r="A14" s="12">
        <f t="shared" si="0"/>
        <v>9</v>
      </c>
      <c r="B14" s="17" t="s">
        <v>459</v>
      </c>
      <c r="C14" s="205">
        <f>C15+C16</f>
        <v>1351322.99</v>
      </c>
      <c r="D14" s="205">
        <f>D15+D16</f>
        <v>1133159.92</v>
      </c>
      <c r="E14" s="13" t="s">
        <v>391</v>
      </c>
      <c r="F14" s="166" t="s">
        <v>391</v>
      </c>
    </row>
    <row r="15" spans="1:6" ht="15.75">
      <c r="A15" s="12">
        <f t="shared" si="0"/>
        <v>10</v>
      </c>
      <c r="B15" s="15" t="s">
        <v>80</v>
      </c>
      <c r="C15" s="168">
        <v>423653.66</v>
      </c>
      <c r="D15" s="168">
        <v>412306.94</v>
      </c>
      <c r="E15" s="13" t="s">
        <v>391</v>
      </c>
      <c r="F15" s="166" t="s">
        <v>391</v>
      </c>
    </row>
    <row r="16" spans="1:6" ht="15.75">
      <c r="A16" s="12">
        <f t="shared" si="0"/>
        <v>11</v>
      </c>
      <c r="B16" s="15" t="s">
        <v>81</v>
      </c>
      <c r="C16" s="168">
        <v>927669.33</v>
      </c>
      <c r="D16" s="168">
        <f>1133159.92-D15</f>
        <v>720852.98</v>
      </c>
      <c r="E16" s="13" t="s">
        <v>391</v>
      </c>
      <c r="F16" s="166" t="s">
        <v>391</v>
      </c>
    </row>
    <row r="17" spans="1:6" ht="31.5">
      <c r="A17" s="12">
        <f t="shared" si="0"/>
        <v>12</v>
      </c>
      <c r="B17" s="17" t="s">
        <v>460</v>
      </c>
      <c r="C17" s="205">
        <f>+C13-C14</f>
        <v>108006.77000000002</v>
      </c>
      <c r="D17" s="205">
        <f>+D13-D14</f>
        <v>301587.0900000001</v>
      </c>
      <c r="E17" s="13" t="s">
        <v>391</v>
      </c>
      <c r="F17" s="166" t="s">
        <v>391</v>
      </c>
    </row>
    <row r="18" spans="1:6" ht="16.5" thickBot="1">
      <c r="A18" s="193">
        <f t="shared" si="0"/>
        <v>13</v>
      </c>
      <c r="B18" s="31" t="s">
        <v>461</v>
      </c>
      <c r="C18" s="172">
        <f>IF(E8=0,0,C14/E8)</f>
        <v>865.0774009069086</v>
      </c>
      <c r="D18" s="172">
        <f>IF(F8=0,0,D14/F8)</f>
        <v>706.6423655355194</v>
      </c>
      <c r="E18" s="167" t="s">
        <v>391</v>
      </c>
      <c r="F18" s="326" t="s">
        <v>391</v>
      </c>
    </row>
    <row r="20" spans="1:6" ht="15">
      <c r="A20" s="631" t="s">
        <v>437</v>
      </c>
      <c r="B20" s="632"/>
      <c r="C20" s="632"/>
      <c r="D20" s="632"/>
      <c r="E20" s="632"/>
      <c r="F20" s="633"/>
    </row>
    <row r="21" spans="1:6" ht="35.25" customHeight="1">
      <c r="A21" s="645" t="s">
        <v>108</v>
      </c>
      <c r="B21" s="646"/>
      <c r="C21" s="646"/>
      <c r="D21" s="646"/>
      <c r="E21" s="646"/>
      <c r="F21" s="647"/>
    </row>
  </sheetData>
  <sheetProtection/>
  <mergeCells count="8">
    <mergeCell ref="A20:F20"/>
    <mergeCell ref="A21:F21"/>
    <mergeCell ref="A1:F1"/>
    <mergeCell ref="A2:F2"/>
    <mergeCell ref="A3:A4"/>
    <mergeCell ref="B3:B4"/>
    <mergeCell ref="C3:D3"/>
    <mergeCell ref="E3:F3"/>
  </mergeCells>
  <printOptions/>
  <pageMargins left="0.66" right="0.45" top="0.984251968503937" bottom="0.77" header="0.5118110236220472" footer="0.5118110236220472"/>
  <pageSetup fitToHeight="1" fitToWidth="1"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tabColor indexed="42"/>
  </sheetPr>
  <dimension ref="A1:E28"/>
  <sheetViews>
    <sheetView zoomScalePageLayoutView="0" workbookViewId="0" topLeftCell="A1">
      <pane xSplit="2" ySplit="4" topLeftCell="C17" activePane="bottomRight" state="frozen"/>
      <selection pane="topLeft" activeCell="A1" sqref="A1"/>
      <selection pane="topRight" activeCell="C1" sqref="C1"/>
      <selection pane="bottomLeft" activeCell="A5" sqref="A5"/>
      <selection pane="bottomRight" activeCell="D35" sqref="D35"/>
    </sheetView>
  </sheetViews>
  <sheetFormatPr defaultColWidth="9.140625" defaultRowHeight="12.75"/>
  <cols>
    <col min="1" max="1" width="8.140625" style="14" customWidth="1"/>
    <col min="2" max="2" width="93.28125" style="250" customWidth="1"/>
    <col min="3" max="4" width="17.57421875" style="14" customWidth="1"/>
    <col min="5" max="5" width="11.421875" style="42" customWidth="1"/>
    <col min="6" max="16384" width="9.140625" style="14" customWidth="1"/>
  </cols>
  <sheetData>
    <row r="1" spans="1:5" ht="42.75" customHeight="1">
      <c r="A1" s="558" t="s">
        <v>1187</v>
      </c>
      <c r="B1" s="655"/>
      <c r="C1" s="655"/>
      <c r="D1" s="656"/>
      <c r="E1" s="327"/>
    </row>
    <row r="2" spans="1:4" ht="18" customHeight="1">
      <c r="A2" s="657" t="s">
        <v>1327</v>
      </c>
      <c r="B2" s="658"/>
      <c r="C2" s="658"/>
      <c r="D2" s="659"/>
    </row>
    <row r="3" spans="1:4" ht="33" customHeight="1">
      <c r="A3" s="192" t="s">
        <v>271</v>
      </c>
      <c r="B3" s="189" t="s">
        <v>407</v>
      </c>
      <c r="C3" s="3">
        <v>2010</v>
      </c>
      <c r="D3" s="2">
        <v>2011</v>
      </c>
    </row>
    <row r="4" spans="1:4" ht="15.75">
      <c r="A4" s="328"/>
      <c r="B4" s="329"/>
      <c r="C4" s="11" t="s">
        <v>359</v>
      </c>
      <c r="D4" s="57" t="s">
        <v>360</v>
      </c>
    </row>
    <row r="5" spans="1:4" ht="18.75">
      <c r="A5" s="12">
        <v>1</v>
      </c>
      <c r="B5" s="17" t="s">
        <v>1377</v>
      </c>
      <c r="C5" s="184">
        <f>+C6+C9</f>
        <v>149839.32</v>
      </c>
      <c r="D5" s="170">
        <f>D6+D9</f>
        <v>167684.07</v>
      </c>
    </row>
    <row r="6" spans="1:4" ht="15.75">
      <c r="A6" s="12">
        <f aca="true" t="shared" si="0" ref="A6:A13">A5+1</f>
        <v>2</v>
      </c>
      <c r="B6" s="17" t="s">
        <v>442</v>
      </c>
      <c r="C6" s="184">
        <f>+C7+C8</f>
        <v>94777.32</v>
      </c>
      <c r="D6" s="170">
        <f>+D7+D8</f>
        <v>103819.27</v>
      </c>
    </row>
    <row r="7" spans="1:4" ht="15.75">
      <c r="A7" s="12">
        <f t="shared" si="0"/>
        <v>3</v>
      </c>
      <c r="B7" s="16" t="s">
        <v>440</v>
      </c>
      <c r="C7" s="168">
        <v>94777.32</v>
      </c>
      <c r="D7" s="169">
        <v>103819.27</v>
      </c>
    </row>
    <row r="8" spans="1:4" ht="15.75">
      <c r="A8" s="12">
        <f t="shared" si="0"/>
        <v>4</v>
      </c>
      <c r="B8" s="16" t="s">
        <v>441</v>
      </c>
      <c r="C8" s="168"/>
      <c r="D8" s="169"/>
    </row>
    <row r="9" spans="1:4" ht="15.75">
      <c r="A9" s="12">
        <f t="shared" si="0"/>
        <v>5</v>
      </c>
      <c r="B9" s="17" t="s">
        <v>322</v>
      </c>
      <c r="C9" s="168">
        <f>+C10+C11-C12</f>
        <v>55062</v>
      </c>
      <c r="D9" s="169">
        <f>+D10+D11-D12</f>
        <v>63864.8</v>
      </c>
    </row>
    <row r="10" spans="1:4" ht="19.5" customHeight="1">
      <c r="A10" s="12">
        <f t="shared" si="0"/>
        <v>6</v>
      </c>
      <c r="B10" s="16" t="s">
        <v>255</v>
      </c>
      <c r="C10" s="168">
        <v>2841.21</v>
      </c>
      <c r="D10" s="169">
        <f>+C12</f>
        <v>-69.79000000000087</v>
      </c>
    </row>
    <row r="11" spans="1:4" ht="15.75">
      <c r="A11" s="12">
        <f t="shared" si="0"/>
        <v>7</v>
      </c>
      <c r="B11" s="15" t="s">
        <v>289</v>
      </c>
      <c r="C11" s="168">
        <v>52151</v>
      </c>
      <c r="D11" s="169">
        <v>50202</v>
      </c>
    </row>
    <row r="12" spans="1:4" ht="15.75">
      <c r="A12" s="12">
        <f t="shared" si="0"/>
        <v>8</v>
      </c>
      <c r="B12" s="15" t="s">
        <v>1029</v>
      </c>
      <c r="C12" s="168">
        <f>C10+C11-C22</f>
        <v>-69.79000000000087</v>
      </c>
      <c r="D12" s="169">
        <f>D10+D11-D22</f>
        <v>-13732.590000000004</v>
      </c>
    </row>
    <row r="13" spans="1:4" ht="15.75">
      <c r="A13" s="12">
        <f t="shared" si="0"/>
        <v>9</v>
      </c>
      <c r="B13" s="17" t="s">
        <v>1027</v>
      </c>
      <c r="C13" s="184">
        <f>C15</f>
        <v>139869.57</v>
      </c>
      <c r="D13" s="170">
        <f>D15</f>
        <v>181624.2</v>
      </c>
    </row>
    <row r="14" spans="1:4" ht="15.75">
      <c r="A14" s="12"/>
      <c r="B14" s="16" t="s">
        <v>376</v>
      </c>
      <c r="C14" s="168"/>
      <c r="D14" s="169"/>
    </row>
    <row r="15" spans="1:4" ht="18.75">
      <c r="A15" s="12">
        <f>A13+1</f>
        <v>10</v>
      </c>
      <c r="B15" s="16" t="s">
        <v>1378</v>
      </c>
      <c r="C15" s="168">
        <v>139869.57</v>
      </c>
      <c r="D15" s="169">
        <v>181624.2</v>
      </c>
    </row>
    <row r="16" spans="1:4" ht="15.75">
      <c r="A16" s="12">
        <f>+A15+1</f>
        <v>11</v>
      </c>
      <c r="B16" s="17" t="s">
        <v>1379</v>
      </c>
      <c r="C16" s="184">
        <f>C5-C13</f>
        <v>9969.75</v>
      </c>
      <c r="D16" s="170">
        <f>D5-D13</f>
        <v>-13940.130000000005</v>
      </c>
    </row>
    <row r="17" spans="1:4" ht="18.75">
      <c r="A17" s="12">
        <f>+A16+1</f>
        <v>12</v>
      </c>
      <c r="B17" s="15" t="s">
        <v>1380</v>
      </c>
      <c r="C17" s="168">
        <v>55062</v>
      </c>
      <c r="D17" s="170">
        <f>D18+D19+D20+D21</f>
        <v>71899</v>
      </c>
    </row>
    <row r="18" spans="1:4" ht="34.5">
      <c r="A18" s="12">
        <f>+A17+1</f>
        <v>13</v>
      </c>
      <c r="B18" s="15" t="s">
        <v>1381</v>
      </c>
      <c r="C18" s="6" t="s">
        <v>391</v>
      </c>
      <c r="D18" s="169">
        <v>31728</v>
      </c>
    </row>
    <row r="19" spans="1:4" ht="34.5">
      <c r="A19" s="12">
        <v>14</v>
      </c>
      <c r="B19" s="15" t="s">
        <v>1382</v>
      </c>
      <c r="C19" s="6" t="s">
        <v>391</v>
      </c>
      <c r="D19" s="169">
        <v>0</v>
      </c>
    </row>
    <row r="20" spans="1:4" ht="34.5">
      <c r="A20" s="12">
        <v>15</v>
      </c>
      <c r="B20" s="15" t="s">
        <v>1383</v>
      </c>
      <c r="C20" s="6" t="s">
        <v>391</v>
      </c>
      <c r="D20" s="169">
        <v>40171</v>
      </c>
    </row>
    <row r="21" spans="1:4" ht="34.5">
      <c r="A21" s="12">
        <v>16</v>
      </c>
      <c r="B21" s="15" t="s">
        <v>1384</v>
      </c>
      <c r="C21" s="6" t="s">
        <v>391</v>
      </c>
      <c r="D21" s="169">
        <v>0</v>
      </c>
    </row>
    <row r="22" spans="1:4" ht="15.75">
      <c r="A22" s="12">
        <v>17</v>
      </c>
      <c r="B22" s="17" t="s">
        <v>1385</v>
      </c>
      <c r="C22" s="184">
        <v>55062</v>
      </c>
      <c r="D22" s="170">
        <f>(D18+D19)*1+(D20+D21)*0.8</f>
        <v>63864.8</v>
      </c>
    </row>
    <row r="23" spans="1:4" ht="16.5" thickBot="1">
      <c r="A23" s="193">
        <v>18</v>
      </c>
      <c r="B23" s="18" t="s">
        <v>1386</v>
      </c>
      <c r="C23" s="332">
        <f>IF(C17=0,0,C15/C17)</f>
        <v>2.540219570665795</v>
      </c>
      <c r="D23" s="333">
        <f>IF(D17=0,0,D15/D17)</f>
        <v>2.5261018929331427</v>
      </c>
    </row>
    <row r="24" spans="1:4" ht="15.75">
      <c r="A24" s="40"/>
      <c r="B24" s="39"/>
      <c r="C24" s="334"/>
      <c r="D24" s="334"/>
    </row>
    <row r="25" spans="1:4" ht="15.75">
      <c r="A25" s="660" t="s">
        <v>439</v>
      </c>
      <c r="B25" s="661"/>
      <c r="C25" s="661"/>
      <c r="D25" s="662"/>
    </row>
    <row r="26" spans="1:4" ht="15.75">
      <c r="A26" s="663" t="s">
        <v>1387</v>
      </c>
      <c r="B26" s="664"/>
      <c r="C26" s="664"/>
      <c r="D26" s="665"/>
    </row>
    <row r="27" spans="1:4" ht="15.75">
      <c r="A27" s="663" t="s">
        <v>1388</v>
      </c>
      <c r="B27" s="664"/>
      <c r="C27" s="664"/>
      <c r="D27" s="665"/>
    </row>
    <row r="28" spans="1:4" ht="15.75">
      <c r="A28" s="666" t="s">
        <v>1389</v>
      </c>
      <c r="B28" s="667"/>
      <c r="C28" s="667"/>
      <c r="D28" s="668"/>
    </row>
  </sheetData>
  <sheetProtection/>
  <mergeCells count="6">
    <mergeCell ref="A1:D1"/>
    <mergeCell ref="A2:D2"/>
    <mergeCell ref="A25:D25"/>
    <mergeCell ref="A26:D26"/>
    <mergeCell ref="A27:D27"/>
    <mergeCell ref="A28:D28"/>
  </mergeCells>
  <printOptions/>
  <pageMargins left="0.7480314960629921" right="0.7480314960629921" top="0.5905511811023623" bottom="0.5905511811023623" header="0.5118110236220472" footer="0.5118110236220472"/>
  <pageSetup horizontalDpi="600" verticalDpi="600" orientation="landscape" paperSize="9" scale="88" r:id="rId1"/>
</worksheet>
</file>

<file path=xl/worksheets/sheet15.xml><?xml version="1.0" encoding="utf-8"?>
<worksheet xmlns="http://schemas.openxmlformats.org/spreadsheetml/2006/main" xmlns:r="http://schemas.openxmlformats.org/officeDocument/2006/relationships">
  <sheetPr>
    <tabColor indexed="42"/>
    <pageSetUpPr fitToPage="1"/>
  </sheetPr>
  <dimension ref="A1:I23"/>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9" sqref="B9"/>
    </sheetView>
  </sheetViews>
  <sheetFormatPr defaultColWidth="9.140625" defaultRowHeight="12.75"/>
  <cols>
    <col min="1" max="1" width="9.140625" style="177" customWidth="1"/>
    <col min="2" max="2" width="80.28125" style="337" customWidth="1"/>
    <col min="3" max="3" width="15.8515625" style="177" customWidth="1"/>
    <col min="4" max="4" width="16.00390625" style="177" customWidth="1"/>
    <col min="5" max="5" width="16.28125" style="338" bestFit="1" customWidth="1"/>
    <col min="6" max="6" width="9.140625" style="338" customWidth="1"/>
    <col min="7" max="16384" width="9.140625" style="177" customWidth="1"/>
  </cols>
  <sheetData>
    <row r="1" spans="1:4" ht="49.5" customHeight="1">
      <c r="A1" s="558" t="s">
        <v>1188</v>
      </c>
      <c r="B1" s="648"/>
      <c r="C1" s="648"/>
      <c r="D1" s="649"/>
    </row>
    <row r="2" spans="1:4" ht="27.75" customHeight="1">
      <c r="A2" s="672" t="s">
        <v>1327</v>
      </c>
      <c r="B2" s="673"/>
      <c r="C2" s="673"/>
      <c r="D2" s="674"/>
    </row>
    <row r="3" spans="1:4" ht="15.75">
      <c r="A3" s="675" t="s">
        <v>271</v>
      </c>
      <c r="B3" s="652" t="s">
        <v>407</v>
      </c>
      <c r="C3" s="676" t="s">
        <v>379</v>
      </c>
      <c r="D3" s="677"/>
    </row>
    <row r="4" spans="1:6" s="335" customFormat="1" ht="15.75">
      <c r="A4" s="675"/>
      <c r="B4" s="652"/>
      <c r="C4" s="3">
        <v>2010</v>
      </c>
      <c r="D4" s="2">
        <v>2011</v>
      </c>
      <c r="E4" s="339"/>
      <c r="F4" s="339"/>
    </row>
    <row r="5" spans="1:6" s="335" customFormat="1" ht="15.75">
      <c r="A5" s="12"/>
      <c r="B5" s="329"/>
      <c r="C5" s="3" t="s">
        <v>359</v>
      </c>
      <c r="D5" s="2" t="s">
        <v>360</v>
      </c>
      <c r="E5" s="339"/>
      <c r="F5" s="339"/>
    </row>
    <row r="6" spans="1:6" s="335" customFormat="1" ht="15.75">
      <c r="A6" s="12">
        <v>1</v>
      </c>
      <c r="B6" s="20" t="s">
        <v>280</v>
      </c>
      <c r="C6" s="184">
        <v>579579.91</v>
      </c>
      <c r="D6" s="170">
        <v>3538110.73</v>
      </c>
      <c r="E6" s="339"/>
      <c r="F6" s="339"/>
    </row>
    <row r="7" spans="1:6" s="335" customFormat="1" ht="15.75">
      <c r="A7" s="12">
        <f aca="true" t="shared" si="0" ref="A7:A20">A6+1</f>
        <v>2</v>
      </c>
      <c r="B7" s="17" t="s">
        <v>222</v>
      </c>
      <c r="C7" s="184">
        <f>SUM(C8:C13)</f>
        <v>2817014.35</v>
      </c>
      <c r="D7" s="170">
        <f>SUM(D8:D13)</f>
        <v>1255396.66</v>
      </c>
      <c r="E7" s="339"/>
      <c r="F7" s="339"/>
    </row>
    <row r="8" spans="1:6" s="335" customFormat="1" ht="18.75">
      <c r="A8" s="12">
        <f t="shared" si="0"/>
        <v>3</v>
      </c>
      <c r="B8" s="16" t="s">
        <v>1390</v>
      </c>
      <c r="C8" s="168"/>
      <c r="D8" s="169"/>
      <c r="E8" s="339"/>
      <c r="F8" s="339"/>
    </row>
    <row r="9" spans="1:6" s="335" customFormat="1" ht="15.75">
      <c r="A9" s="12">
        <f t="shared" si="0"/>
        <v>4</v>
      </c>
      <c r="B9" s="16" t="s">
        <v>469</v>
      </c>
      <c r="C9" s="168">
        <v>854565.35</v>
      </c>
      <c r="D9" s="169">
        <v>1183745.2</v>
      </c>
      <c r="E9" s="339"/>
      <c r="F9" s="339"/>
    </row>
    <row r="10" spans="1:6" s="335" customFormat="1" ht="15.75">
      <c r="A10" s="12">
        <f t="shared" si="0"/>
        <v>5</v>
      </c>
      <c r="B10" s="16" t="s">
        <v>470</v>
      </c>
      <c r="C10" s="168">
        <v>1962449</v>
      </c>
      <c r="D10" s="336">
        <f>14242.58+35802.96+21605.92</f>
        <v>71651.45999999999</v>
      </c>
      <c r="E10" s="339"/>
      <c r="F10" s="339"/>
    </row>
    <row r="11" spans="1:6" s="335" customFormat="1" ht="15.75">
      <c r="A11" s="12">
        <f t="shared" si="0"/>
        <v>6</v>
      </c>
      <c r="B11" s="16" t="s">
        <v>467</v>
      </c>
      <c r="C11" s="168"/>
      <c r="D11" s="169"/>
      <c r="E11" s="339"/>
      <c r="F11" s="339"/>
    </row>
    <row r="12" spans="1:6" s="335" customFormat="1" ht="15.75">
      <c r="A12" s="12">
        <f t="shared" si="0"/>
        <v>7</v>
      </c>
      <c r="B12" s="16" t="s">
        <v>468</v>
      </c>
      <c r="C12" s="168"/>
      <c r="D12" s="169"/>
      <c r="E12" s="339"/>
      <c r="F12" s="339"/>
    </row>
    <row r="13" spans="1:6" s="335" customFormat="1" ht="19.5" customHeight="1">
      <c r="A13" s="12">
        <f t="shared" si="0"/>
        <v>8</v>
      </c>
      <c r="B13" s="16" t="s">
        <v>1391</v>
      </c>
      <c r="C13" s="168"/>
      <c r="D13" s="169"/>
      <c r="E13" s="339"/>
      <c r="F13" s="339"/>
    </row>
    <row r="14" spans="1:6" s="335" customFormat="1" ht="31.5">
      <c r="A14" s="12">
        <f t="shared" si="0"/>
        <v>9</v>
      </c>
      <c r="B14" s="17" t="s">
        <v>77</v>
      </c>
      <c r="C14" s="184">
        <f>C6+C7</f>
        <v>3396594.2600000002</v>
      </c>
      <c r="D14" s="170">
        <f>D6+D7</f>
        <v>4793507.39</v>
      </c>
      <c r="E14" s="339"/>
      <c r="F14" s="339"/>
    </row>
    <row r="15" spans="1:6" s="335" customFormat="1" ht="15.75">
      <c r="A15" s="12">
        <f t="shared" si="0"/>
        <v>10</v>
      </c>
      <c r="B15" s="17" t="s">
        <v>334</v>
      </c>
      <c r="C15" s="184">
        <v>1618863.26</v>
      </c>
      <c r="D15" s="170">
        <v>463411</v>
      </c>
      <c r="E15" s="339"/>
      <c r="F15" s="340"/>
    </row>
    <row r="16" spans="1:6" s="335" customFormat="1" ht="31.5">
      <c r="A16" s="12" t="s">
        <v>1064</v>
      </c>
      <c r="B16" s="17" t="s">
        <v>1392</v>
      </c>
      <c r="C16" s="184">
        <v>7108099.41</v>
      </c>
      <c r="D16" s="170">
        <f>7106832.28+846102.76</f>
        <v>7952935.04</v>
      </c>
      <c r="E16" s="339"/>
      <c r="F16" s="340"/>
    </row>
    <row r="17" spans="1:6" s="335" customFormat="1" ht="28.5" customHeight="1">
      <c r="A17" s="12">
        <f>A15+1</f>
        <v>11</v>
      </c>
      <c r="B17" s="17" t="s">
        <v>1393</v>
      </c>
      <c r="C17" s="184">
        <v>228263.3</v>
      </c>
      <c r="D17" s="170">
        <v>817237.32</v>
      </c>
      <c r="E17" s="339"/>
      <c r="F17" s="339"/>
    </row>
    <row r="18" spans="1:6" s="335" customFormat="1" ht="23.25" customHeight="1">
      <c r="A18" s="12">
        <f t="shared" si="0"/>
        <v>12</v>
      </c>
      <c r="B18" s="17" t="s">
        <v>333</v>
      </c>
      <c r="C18" s="184"/>
      <c r="D18" s="170"/>
      <c r="E18" s="339"/>
      <c r="F18" s="339"/>
    </row>
    <row r="19" spans="1:6" s="335" customFormat="1" ht="33" customHeight="1">
      <c r="A19" s="12">
        <f t="shared" si="0"/>
        <v>13</v>
      </c>
      <c r="B19" s="17" t="s">
        <v>1394</v>
      </c>
      <c r="C19" s="184">
        <v>950344.59</v>
      </c>
      <c r="D19" s="170">
        <v>1578872.45</v>
      </c>
      <c r="E19" s="339"/>
      <c r="F19" s="339"/>
    </row>
    <row r="20" spans="1:6" s="335" customFormat="1" ht="32.25" thickBot="1">
      <c r="A20" s="193">
        <f t="shared" si="0"/>
        <v>14</v>
      </c>
      <c r="B20" s="18" t="s">
        <v>110</v>
      </c>
      <c r="C20" s="195">
        <f>SUM(C14:C19)</f>
        <v>13302164.82</v>
      </c>
      <c r="D20" s="195">
        <f>SUM(D14:D19)</f>
        <v>15605963.2</v>
      </c>
      <c r="E20" s="339"/>
      <c r="F20" s="339"/>
    </row>
    <row r="22" spans="1:4" ht="18" customHeight="1">
      <c r="A22" s="660" t="s">
        <v>112</v>
      </c>
      <c r="B22" s="661"/>
      <c r="C22" s="661"/>
      <c r="D22" s="662"/>
    </row>
    <row r="23" spans="1:9" ht="26.25" customHeight="1">
      <c r="A23" s="669" t="s">
        <v>28</v>
      </c>
      <c r="B23" s="670"/>
      <c r="C23" s="670"/>
      <c r="D23" s="671"/>
      <c r="E23" s="339"/>
      <c r="F23" s="339"/>
      <c r="G23" s="341"/>
      <c r="H23" s="341"/>
      <c r="I23" s="341"/>
    </row>
  </sheetData>
  <sheetProtection/>
  <mergeCells count="7">
    <mergeCell ref="A23:D23"/>
    <mergeCell ref="A1:D1"/>
    <mergeCell ref="A2:D2"/>
    <mergeCell ref="A3:A4"/>
    <mergeCell ref="B3:B4"/>
    <mergeCell ref="C3:D3"/>
    <mergeCell ref="A22:D22"/>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tabColor indexed="42"/>
    <pageSetUpPr fitToPage="1"/>
  </sheetPr>
  <dimension ref="A1:J81"/>
  <sheetViews>
    <sheetView zoomScalePageLayoutView="0" workbookViewId="0" topLeftCell="A1">
      <pane xSplit="2" ySplit="5" topLeftCell="C15" activePane="bottomRight" state="frozen"/>
      <selection pane="topLeft" activeCell="A1" sqref="A1"/>
      <selection pane="topRight" activeCell="C1" sqref="C1"/>
      <selection pane="bottomLeft" activeCell="A6" sqref="A6"/>
      <selection pane="bottomRight" activeCell="G31" sqref="G31"/>
    </sheetView>
  </sheetViews>
  <sheetFormatPr defaultColWidth="9.140625" defaultRowHeight="12.75"/>
  <cols>
    <col min="1" max="1" width="7.421875" style="177" customWidth="1"/>
    <col min="2" max="2" width="51.57421875" style="337" customWidth="1"/>
    <col min="3" max="3" width="15.28125" style="337" customWidth="1"/>
    <col min="4" max="4" width="18.140625" style="177" customWidth="1"/>
    <col min="5" max="5" width="18.57421875" style="177" customWidth="1"/>
    <col min="6" max="6" width="16.28125" style="177" customWidth="1"/>
    <col min="7" max="7" width="12.8515625" style="177" customWidth="1"/>
    <col min="8" max="8" width="17.00390625" style="177" customWidth="1"/>
    <col min="9" max="9" width="21.00390625" style="177" customWidth="1"/>
    <col min="10" max="10" width="25.7109375" style="177" customWidth="1"/>
    <col min="11" max="16384" width="9.140625" style="177" customWidth="1"/>
  </cols>
  <sheetData>
    <row r="1" spans="1:9" ht="34.5" customHeight="1">
      <c r="A1" s="681" t="s">
        <v>1189</v>
      </c>
      <c r="B1" s="682"/>
      <c r="C1" s="682"/>
      <c r="D1" s="682"/>
      <c r="E1" s="682"/>
      <c r="F1" s="682"/>
      <c r="G1" s="682"/>
      <c r="H1" s="682"/>
      <c r="I1" s="683"/>
    </row>
    <row r="2" spans="1:9" ht="34.5" customHeight="1" thickBot="1">
      <c r="A2" s="684" t="s">
        <v>1327</v>
      </c>
      <c r="B2" s="685"/>
      <c r="C2" s="685"/>
      <c r="D2" s="685"/>
      <c r="E2" s="685"/>
      <c r="F2" s="685"/>
      <c r="G2" s="685"/>
      <c r="H2" s="685"/>
      <c r="I2" s="686"/>
    </row>
    <row r="3" spans="1:9" s="335" customFormat="1" ht="35.25" customHeight="1">
      <c r="A3" s="687" t="s">
        <v>271</v>
      </c>
      <c r="B3" s="688" t="s">
        <v>407</v>
      </c>
      <c r="C3" s="688" t="s">
        <v>1395</v>
      </c>
      <c r="D3" s="688" t="s">
        <v>1396</v>
      </c>
      <c r="E3" s="688" t="s">
        <v>1066</v>
      </c>
      <c r="F3" s="688" t="s">
        <v>237</v>
      </c>
      <c r="G3" s="688" t="s">
        <v>296</v>
      </c>
      <c r="H3" s="688" t="s">
        <v>1132</v>
      </c>
      <c r="I3" s="678" t="s">
        <v>297</v>
      </c>
    </row>
    <row r="4" spans="1:9" s="335" customFormat="1" ht="72" customHeight="1">
      <c r="A4" s="675"/>
      <c r="B4" s="652"/>
      <c r="C4" s="652"/>
      <c r="D4" s="652"/>
      <c r="E4" s="652"/>
      <c r="F4" s="652"/>
      <c r="G4" s="652"/>
      <c r="H4" s="652"/>
      <c r="I4" s="679"/>
    </row>
    <row r="5" spans="1:9" s="335" customFormat="1" ht="15.75">
      <c r="A5" s="12"/>
      <c r="B5" s="331"/>
      <c r="C5" s="30" t="s">
        <v>359</v>
      </c>
      <c r="D5" s="30" t="s">
        <v>360</v>
      </c>
      <c r="E5" s="5" t="s">
        <v>361</v>
      </c>
      <c r="F5" s="5" t="s">
        <v>368</v>
      </c>
      <c r="G5" s="5" t="s">
        <v>362</v>
      </c>
      <c r="H5" s="5" t="s">
        <v>363</v>
      </c>
      <c r="I5" s="114" t="s">
        <v>1065</v>
      </c>
    </row>
    <row r="6" spans="1:9" s="335" customFormat="1" ht="15.75">
      <c r="A6" s="12">
        <v>1</v>
      </c>
      <c r="B6" s="203" t="s">
        <v>463</v>
      </c>
      <c r="C6" s="153">
        <v>7047.34</v>
      </c>
      <c r="D6" s="168">
        <v>233210.53</v>
      </c>
      <c r="E6" s="168"/>
      <c r="F6" s="168">
        <v>91683.12</v>
      </c>
      <c r="G6" s="168"/>
      <c r="H6" s="168"/>
      <c r="I6" s="170">
        <f aca="true" t="shared" si="0" ref="I6:I16">SUM(C6:H6)</f>
        <v>331940.99</v>
      </c>
    </row>
    <row r="7" spans="1:9" s="335" customFormat="1" ht="15.75">
      <c r="A7" s="12"/>
      <c r="B7" s="345" t="s">
        <v>376</v>
      </c>
      <c r="C7" s="153"/>
      <c r="D7" s="168"/>
      <c r="E7" s="168"/>
      <c r="F7" s="168"/>
      <c r="G7" s="168"/>
      <c r="H7" s="168"/>
      <c r="I7" s="170"/>
    </row>
    <row r="8" spans="1:9" s="335" customFormat="1" ht="15.75">
      <c r="A8" s="12">
        <v>2</v>
      </c>
      <c r="B8" s="15" t="s">
        <v>78</v>
      </c>
      <c r="C8" s="153">
        <v>7047.34</v>
      </c>
      <c r="D8" s="168">
        <v>233210.53</v>
      </c>
      <c r="E8" s="168"/>
      <c r="F8" s="168">
        <v>91683.12</v>
      </c>
      <c r="G8" s="168"/>
      <c r="H8" s="168"/>
      <c r="I8" s="170">
        <f t="shared" si="0"/>
        <v>331940.99</v>
      </c>
    </row>
    <row r="9" spans="1:9" ht="15.75">
      <c r="A9" s="12">
        <v>3</v>
      </c>
      <c r="B9" s="203" t="s">
        <v>357</v>
      </c>
      <c r="C9" s="153"/>
      <c r="D9" s="168"/>
      <c r="E9" s="168"/>
      <c r="F9" s="168"/>
      <c r="G9" s="168"/>
      <c r="H9" s="168"/>
      <c r="I9" s="170">
        <f t="shared" si="0"/>
        <v>0</v>
      </c>
    </row>
    <row r="10" spans="1:9" ht="31.5">
      <c r="A10" s="12">
        <v>4</v>
      </c>
      <c r="B10" s="203" t="s">
        <v>318</v>
      </c>
      <c r="C10" s="346">
        <f aca="true" t="shared" si="1" ref="C10:H10">SUM(C11:C15)</f>
        <v>207484.59999999998</v>
      </c>
      <c r="D10" s="184">
        <f t="shared" si="1"/>
        <v>5291154.409999999</v>
      </c>
      <c r="E10" s="184">
        <f t="shared" si="1"/>
        <v>0</v>
      </c>
      <c r="F10" s="184">
        <f t="shared" si="1"/>
        <v>630731.3799999999</v>
      </c>
      <c r="G10" s="184">
        <f t="shared" si="1"/>
        <v>0</v>
      </c>
      <c r="H10" s="184">
        <f t="shared" si="1"/>
        <v>0</v>
      </c>
      <c r="I10" s="170">
        <f t="shared" si="0"/>
        <v>6129370.389999999</v>
      </c>
    </row>
    <row r="11" spans="1:9" ht="15.75">
      <c r="A11" s="12">
        <v>5</v>
      </c>
      <c r="B11" s="15" t="s">
        <v>430</v>
      </c>
      <c r="C11" s="153">
        <v>6686.8</v>
      </c>
      <c r="D11" s="168">
        <v>55341.83</v>
      </c>
      <c r="E11" s="168"/>
      <c r="F11" s="168">
        <v>8697.45</v>
      </c>
      <c r="G11" s="168"/>
      <c r="H11" s="168"/>
      <c r="I11" s="170">
        <f t="shared" si="0"/>
        <v>70726.08</v>
      </c>
    </row>
    <row r="12" spans="1:9" ht="15.75">
      <c r="A12" s="12">
        <v>6</v>
      </c>
      <c r="B12" s="15" t="s">
        <v>431</v>
      </c>
      <c r="C12" s="153">
        <v>970</v>
      </c>
      <c r="D12" s="168">
        <v>182868.6</v>
      </c>
      <c r="E12" s="168"/>
      <c r="F12" s="168">
        <v>46146.48</v>
      </c>
      <c r="G12" s="168"/>
      <c r="H12" s="168"/>
      <c r="I12" s="170">
        <f t="shared" si="0"/>
        <v>229985.08000000002</v>
      </c>
    </row>
    <row r="13" spans="1:9" ht="15.75">
      <c r="A13" s="12">
        <v>7</v>
      </c>
      <c r="B13" s="15" t="s">
        <v>432</v>
      </c>
      <c r="C13" s="153">
        <v>48157.04</v>
      </c>
      <c r="D13" s="168">
        <v>379635.47</v>
      </c>
      <c r="E13" s="168"/>
      <c r="F13" s="168">
        <v>237977.61</v>
      </c>
      <c r="G13" s="168"/>
      <c r="H13" s="168"/>
      <c r="I13" s="170">
        <f t="shared" si="0"/>
        <v>665770.1199999999</v>
      </c>
    </row>
    <row r="14" spans="1:10" ht="31.5">
      <c r="A14" s="12">
        <v>8</v>
      </c>
      <c r="B14" s="15" t="s">
        <v>433</v>
      </c>
      <c r="C14" s="153">
        <v>149376.36</v>
      </c>
      <c r="D14" s="168">
        <v>4670680.81</v>
      </c>
      <c r="E14" s="168"/>
      <c r="F14" s="168">
        <v>333179.36</v>
      </c>
      <c r="G14" s="168"/>
      <c r="H14" s="168"/>
      <c r="I14" s="170">
        <f t="shared" si="0"/>
        <v>5153236.53</v>
      </c>
      <c r="J14" s="343"/>
    </row>
    <row r="15" spans="1:9" ht="31.5">
      <c r="A15" s="12">
        <v>9</v>
      </c>
      <c r="B15" s="15" t="s">
        <v>434</v>
      </c>
      <c r="C15" s="153">
        <v>2294.4</v>
      </c>
      <c r="D15" s="168">
        <v>2627.7</v>
      </c>
      <c r="E15" s="168"/>
      <c r="F15" s="168">
        <v>4730.48</v>
      </c>
      <c r="G15" s="168"/>
      <c r="H15" s="168"/>
      <c r="I15" s="170">
        <f t="shared" si="0"/>
        <v>9652.58</v>
      </c>
    </row>
    <row r="16" spans="1:9" ht="15.75">
      <c r="A16" s="12">
        <v>10</v>
      </c>
      <c r="B16" s="17" t="s">
        <v>241</v>
      </c>
      <c r="C16" s="153"/>
      <c r="D16" s="168"/>
      <c r="E16" s="168"/>
      <c r="F16" s="168">
        <v>15379.4</v>
      </c>
      <c r="G16" s="168"/>
      <c r="H16" s="168"/>
      <c r="I16" s="170">
        <f t="shared" si="0"/>
        <v>15379.4</v>
      </c>
    </row>
    <row r="17" spans="1:9" ht="15.75">
      <c r="A17" s="12">
        <v>11</v>
      </c>
      <c r="B17" s="203" t="s">
        <v>242</v>
      </c>
      <c r="C17" s="153">
        <v>11928</v>
      </c>
      <c r="D17" s="168"/>
      <c r="E17" s="168"/>
      <c r="F17" s="168">
        <v>52798.8</v>
      </c>
      <c r="G17" s="168"/>
      <c r="H17" s="168"/>
      <c r="I17" s="170">
        <f>SUM(C17:H17)</f>
        <v>64726.8</v>
      </c>
    </row>
    <row r="18" spans="1:9" ht="15.75">
      <c r="A18" s="12">
        <v>12</v>
      </c>
      <c r="B18" s="203" t="s">
        <v>373</v>
      </c>
      <c r="C18" s="153">
        <v>745484.83</v>
      </c>
      <c r="D18" s="168">
        <v>1409681.45</v>
      </c>
      <c r="E18" s="168">
        <v>37074.88</v>
      </c>
      <c r="F18" s="168">
        <v>783972.72</v>
      </c>
      <c r="G18" s="168"/>
      <c r="H18" s="168"/>
      <c r="I18" s="170">
        <f>SUM(C18:H18)</f>
        <v>2976213.88</v>
      </c>
    </row>
    <row r="19" spans="1:9" ht="15.75">
      <c r="A19" s="12">
        <v>13</v>
      </c>
      <c r="B19" s="203" t="s">
        <v>243</v>
      </c>
      <c r="C19" s="153"/>
      <c r="D19" s="168"/>
      <c r="E19" s="168">
        <v>24780</v>
      </c>
      <c r="F19" s="168">
        <v>4307.03</v>
      </c>
      <c r="G19" s="168"/>
      <c r="H19" s="168"/>
      <c r="I19" s="170">
        <f>SUM(C19:H19)</f>
        <v>29087.03</v>
      </c>
    </row>
    <row r="20" spans="1:9" ht="15.75">
      <c r="A20" s="12">
        <v>14</v>
      </c>
      <c r="B20" s="203" t="s">
        <v>380</v>
      </c>
      <c r="C20" s="153"/>
      <c r="D20" s="168">
        <v>1018888.65</v>
      </c>
      <c r="E20" s="168"/>
      <c r="F20" s="168"/>
      <c r="G20" s="168"/>
      <c r="H20" s="168"/>
      <c r="I20" s="170">
        <f>SUM(C20:H20)</f>
        <v>1018888.65</v>
      </c>
    </row>
    <row r="21" spans="1:9" ht="48" thickBot="1">
      <c r="A21" s="193">
        <v>15</v>
      </c>
      <c r="B21" s="347" t="s">
        <v>79</v>
      </c>
      <c r="C21" s="332">
        <f aca="true" t="shared" si="2" ref="C21:H21">+C6+C9+C10+C16+C17+C18+C19+C20</f>
        <v>971944.7699999999</v>
      </c>
      <c r="D21" s="209">
        <f t="shared" si="2"/>
        <v>7952935.04</v>
      </c>
      <c r="E21" s="209">
        <f t="shared" si="2"/>
        <v>61854.88</v>
      </c>
      <c r="F21" s="209">
        <f t="shared" si="2"/>
        <v>1578872.45</v>
      </c>
      <c r="G21" s="209">
        <f t="shared" si="2"/>
        <v>0</v>
      </c>
      <c r="H21" s="209">
        <f t="shared" si="2"/>
        <v>0</v>
      </c>
      <c r="I21" s="195">
        <f>SUM(C21:H21)</f>
        <v>10565607.14</v>
      </c>
    </row>
    <row r="22" spans="3:8" ht="15.75">
      <c r="C22" s="344"/>
      <c r="D22" s="344"/>
      <c r="E22" s="344"/>
      <c r="F22" s="344"/>
      <c r="G22" s="344"/>
      <c r="H22" s="344"/>
    </row>
    <row r="23" spans="1:9" ht="15.75">
      <c r="A23" s="680" t="s">
        <v>1307</v>
      </c>
      <c r="B23" s="680"/>
      <c r="C23" s="680"/>
      <c r="D23" s="680"/>
      <c r="E23" s="680"/>
      <c r="F23" s="344"/>
      <c r="G23" s="344"/>
      <c r="H23" s="344"/>
      <c r="I23" s="178"/>
    </row>
    <row r="24" spans="3:8" ht="15.75">
      <c r="C24" s="344"/>
      <c r="D24" s="344"/>
      <c r="E24" s="344"/>
      <c r="F24" s="344"/>
      <c r="G24" s="344"/>
      <c r="H24" s="344"/>
    </row>
    <row r="25" spans="3:8" ht="15.75">
      <c r="C25" s="344"/>
      <c r="D25" s="344"/>
      <c r="E25" s="344"/>
      <c r="F25" s="344"/>
      <c r="G25" s="344"/>
      <c r="H25" s="344"/>
    </row>
    <row r="26" spans="3:8" ht="15.75">
      <c r="C26" s="344"/>
      <c r="D26" s="344"/>
      <c r="E26" s="344"/>
      <c r="F26" s="344"/>
      <c r="G26" s="344"/>
      <c r="H26" s="344"/>
    </row>
    <row r="27" spans="3:8" ht="15.75">
      <c r="C27" s="344"/>
      <c r="D27" s="344"/>
      <c r="E27" s="344"/>
      <c r="F27" s="344"/>
      <c r="G27" s="344"/>
      <c r="H27" s="344"/>
    </row>
    <row r="28" spans="3:8" ht="15.75">
      <c r="C28" s="344"/>
      <c r="D28" s="344"/>
      <c r="E28" s="344"/>
      <c r="F28" s="344"/>
      <c r="G28" s="344"/>
      <c r="H28" s="344"/>
    </row>
    <row r="29" spans="3:8" ht="15.75">
      <c r="C29" s="344"/>
      <c r="D29" s="344"/>
      <c r="E29" s="344"/>
      <c r="F29" s="344"/>
      <c r="G29" s="344"/>
      <c r="H29" s="344"/>
    </row>
    <row r="30" spans="3:8" ht="15.75">
      <c r="C30" s="344"/>
      <c r="D30" s="344"/>
      <c r="E30" s="344"/>
      <c r="F30" s="344"/>
      <c r="G30" s="344"/>
      <c r="H30" s="344"/>
    </row>
    <row r="31" spans="3:8" ht="15.75">
      <c r="C31" s="344"/>
      <c r="D31" s="344"/>
      <c r="E31" s="344"/>
      <c r="F31" s="344"/>
      <c r="G31" s="344"/>
      <c r="H31" s="344"/>
    </row>
    <row r="32" spans="3:8" ht="15.75">
      <c r="C32" s="344"/>
      <c r="D32" s="344"/>
      <c r="E32" s="344"/>
      <c r="F32" s="344"/>
      <c r="G32" s="344"/>
      <c r="H32" s="344"/>
    </row>
    <row r="33" spans="3:8" ht="15.75">
      <c r="C33" s="344"/>
      <c r="D33" s="344"/>
      <c r="E33" s="344"/>
      <c r="F33" s="344"/>
      <c r="G33" s="344"/>
      <c r="H33" s="344"/>
    </row>
    <row r="34" spans="3:8" ht="15.75">
      <c r="C34" s="344"/>
      <c r="D34" s="344"/>
      <c r="E34" s="344"/>
      <c r="F34" s="344"/>
      <c r="G34" s="344"/>
      <c r="H34" s="344"/>
    </row>
    <row r="35" spans="3:8" ht="15.75">
      <c r="C35" s="344"/>
      <c r="D35" s="344"/>
      <c r="E35" s="344"/>
      <c r="F35" s="344"/>
      <c r="G35" s="344"/>
      <c r="H35" s="344"/>
    </row>
    <row r="36" spans="3:8" ht="15.75">
      <c r="C36" s="344"/>
      <c r="D36" s="344"/>
      <c r="E36" s="344"/>
      <c r="F36" s="344"/>
      <c r="G36" s="344"/>
      <c r="H36" s="344"/>
    </row>
    <row r="37" spans="3:8" ht="15.75">
      <c r="C37" s="344"/>
      <c r="D37" s="344"/>
      <c r="E37" s="344"/>
      <c r="F37" s="344"/>
      <c r="G37" s="344"/>
      <c r="H37" s="344"/>
    </row>
    <row r="38" spans="3:8" ht="15.75">
      <c r="C38" s="344"/>
      <c r="D38" s="344"/>
      <c r="E38" s="344"/>
      <c r="F38" s="344"/>
      <c r="G38" s="344"/>
      <c r="H38" s="344"/>
    </row>
    <row r="39" spans="3:8" ht="15.75">
      <c r="C39" s="344"/>
      <c r="D39" s="344"/>
      <c r="E39" s="344"/>
      <c r="F39" s="344"/>
      <c r="G39" s="344"/>
      <c r="H39" s="344"/>
    </row>
    <row r="40" spans="3:8" ht="15.75">
      <c r="C40" s="344"/>
      <c r="D40" s="344"/>
      <c r="E40" s="344"/>
      <c r="F40" s="344"/>
      <c r="G40" s="344"/>
      <c r="H40" s="344"/>
    </row>
    <row r="41" spans="3:8" ht="15.75">
      <c r="C41" s="344"/>
      <c r="D41" s="344"/>
      <c r="E41" s="344"/>
      <c r="F41" s="344"/>
      <c r="G41" s="344"/>
      <c r="H41" s="344"/>
    </row>
    <row r="42" spans="3:8" ht="15.75">
      <c r="C42" s="344"/>
      <c r="D42" s="344"/>
      <c r="E42" s="344"/>
      <c r="F42" s="344"/>
      <c r="G42" s="344"/>
      <c r="H42" s="344"/>
    </row>
    <row r="43" spans="3:8" ht="15.75">
      <c r="C43" s="344"/>
      <c r="D43" s="344"/>
      <c r="E43" s="344"/>
      <c r="F43" s="344"/>
      <c r="G43" s="344"/>
      <c r="H43" s="344"/>
    </row>
    <row r="44" spans="3:8" ht="15.75">
      <c r="C44" s="344"/>
      <c r="D44" s="344"/>
      <c r="E44" s="344"/>
      <c r="F44" s="344"/>
      <c r="G44" s="344"/>
      <c r="H44" s="344"/>
    </row>
    <row r="45" spans="3:8" ht="15.75">
      <c r="C45" s="344"/>
      <c r="D45" s="344"/>
      <c r="E45" s="344"/>
      <c r="F45" s="344"/>
      <c r="G45" s="344"/>
      <c r="H45" s="344"/>
    </row>
    <row r="46" spans="3:8" ht="15.75">
      <c r="C46" s="344"/>
      <c r="D46" s="344"/>
      <c r="E46" s="344"/>
      <c r="F46" s="344"/>
      <c r="G46" s="344"/>
      <c r="H46" s="344"/>
    </row>
    <row r="47" spans="3:8" ht="15.75">
      <c r="C47" s="344"/>
      <c r="D47" s="344"/>
      <c r="E47" s="344"/>
      <c r="F47" s="344"/>
      <c r="G47" s="344"/>
      <c r="H47" s="344"/>
    </row>
    <row r="48" spans="3:8" ht="15.75">
      <c r="C48" s="344"/>
      <c r="D48" s="344"/>
      <c r="E48" s="344"/>
      <c r="F48" s="344"/>
      <c r="G48" s="344"/>
      <c r="H48" s="344"/>
    </row>
    <row r="49" spans="3:8" ht="15.75">
      <c r="C49" s="344"/>
      <c r="D49" s="344"/>
      <c r="E49" s="344"/>
      <c r="F49" s="344"/>
      <c r="G49" s="344"/>
      <c r="H49" s="344"/>
    </row>
    <row r="50" spans="3:8" ht="15.75">
      <c r="C50" s="344"/>
      <c r="D50" s="344"/>
      <c r="E50" s="344"/>
      <c r="F50" s="344"/>
      <c r="G50" s="344"/>
      <c r="H50" s="344"/>
    </row>
    <row r="51" spans="3:8" ht="15.75">
      <c r="C51" s="344"/>
      <c r="D51" s="344"/>
      <c r="E51" s="344"/>
      <c r="F51" s="344"/>
      <c r="G51" s="344"/>
      <c r="H51" s="344"/>
    </row>
    <row r="52" spans="3:8" ht="15.75">
      <c r="C52" s="344"/>
      <c r="D52" s="344"/>
      <c r="E52" s="344"/>
      <c r="F52" s="344"/>
      <c r="G52" s="344"/>
      <c r="H52" s="344"/>
    </row>
    <row r="53" spans="3:8" ht="15.75">
      <c r="C53" s="344"/>
      <c r="D53" s="344"/>
      <c r="E53" s="344"/>
      <c r="F53" s="344"/>
      <c r="G53" s="344"/>
      <c r="H53" s="344"/>
    </row>
    <row r="54" spans="3:8" ht="15.75">
      <c r="C54" s="344"/>
      <c r="D54" s="344"/>
      <c r="E54" s="344"/>
      <c r="F54" s="344"/>
      <c r="G54" s="344"/>
      <c r="H54" s="344"/>
    </row>
    <row r="55" spans="3:8" ht="15.75">
      <c r="C55" s="344"/>
      <c r="D55" s="344"/>
      <c r="E55" s="344"/>
      <c r="F55" s="344"/>
      <c r="G55" s="344"/>
      <c r="H55" s="344"/>
    </row>
    <row r="56" spans="3:8" ht="15.75">
      <c r="C56" s="344"/>
      <c r="D56" s="344"/>
      <c r="E56" s="344"/>
      <c r="F56" s="344"/>
      <c r="G56" s="344"/>
      <c r="H56" s="344"/>
    </row>
    <row r="57" spans="3:8" ht="15.75">
      <c r="C57" s="344"/>
      <c r="D57" s="344"/>
      <c r="E57" s="344"/>
      <c r="F57" s="344"/>
      <c r="G57" s="344"/>
      <c r="H57" s="344"/>
    </row>
    <row r="58" spans="3:8" ht="15.75">
      <c r="C58" s="344"/>
      <c r="D58" s="344"/>
      <c r="E58" s="344"/>
      <c r="F58" s="344"/>
      <c r="G58" s="344"/>
      <c r="H58" s="344"/>
    </row>
    <row r="59" spans="3:8" ht="15.75">
      <c r="C59" s="344"/>
      <c r="D59" s="344"/>
      <c r="E59" s="344"/>
      <c r="F59" s="344"/>
      <c r="G59" s="344"/>
      <c r="H59" s="344"/>
    </row>
    <row r="60" spans="3:8" ht="15.75">
      <c r="C60" s="344"/>
      <c r="D60" s="344"/>
      <c r="E60" s="344"/>
      <c r="F60" s="344"/>
      <c r="G60" s="344"/>
      <c r="H60" s="344"/>
    </row>
    <row r="61" spans="3:8" ht="15.75">
      <c r="C61" s="344"/>
      <c r="D61" s="344"/>
      <c r="E61" s="344"/>
      <c r="F61" s="344"/>
      <c r="G61" s="344"/>
      <c r="H61" s="344"/>
    </row>
    <row r="62" spans="3:8" ht="15.75">
      <c r="C62" s="344"/>
      <c r="D62" s="344"/>
      <c r="E62" s="344"/>
      <c r="F62" s="344"/>
      <c r="G62" s="344"/>
      <c r="H62" s="344"/>
    </row>
    <row r="63" spans="3:8" ht="15.75">
      <c r="C63" s="344"/>
      <c r="D63" s="344"/>
      <c r="E63" s="344"/>
      <c r="F63" s="344"/>
      <c r="G63" s="344"/>
      <c r="H63" s="344"/>
    </row>
    <row r="64" spans="3:8" ht="15.75">
      <c r="C64" s="344"/>
      <c r="D64" s="344"/>
      <c r="E64" s="344"/>
      <c r="F64" s="344"/>
      <c r="G64" s="344"/>
      <c r="H64" s="344"/>
    </row>
    <row r="65" spans="3:8" ht="15.75">
      <c r="C65" s="344"/>
      <c r="D65" s="344"/>
      <c r="E65" s="344"/>
      <c r="F65" s="344"/>
      <c r="G65" s="344"/>
      <c r="H65" s="344"/>
    </row>
    <row r="66" spans="3:8" ht="15.75">
      <c r="C66" s="344"/>
      <c r="D66" s="344"/>
      <c r="E66" s="344"/>
      <c r="F66" s="344"/>
      <c r="G66" s="344"/>
      <c r="H66" s="344"/>
    </row>
    <row r="67" spans="3:8" ht="15.75">
      <c r="C67" s="344"/>
      <c r="D67" s="344"/>
      <c r="E67" s="344"/>
      <c r="F67" s="344"/>
      <c r="G67" s="344"/>
      <c r="H67" s="344"/>
    </row>
    <row r="68" spans="3:8" ht="15.75">
      <c r="C68" s="344"/>
      <c r="D68" s="344"/>
      <c r="E68" s="344"/>
      <c r="F68" s="344"/>
      <c r="G68" s="344"/>
      <c r="H68" s="344"/>
    </row>
    <row r="69" spans="3:8" ht="15.75">
      <c r="C69" s="344"/>
      <c r="D69" s="344"/>
      <c r="E69" s="344"/>
      <c r="F69" s="344"/>
      <c r="G69" s="344"/>
      <c r="H69" s="344"/>
    </row>
    <row r="70" spans="3:8" ht="15.75">
      <c r="C70" s="344"/>
      <c r="D70" s="344"/>
      <c r="E70" s="344"/>
      <c r="F70" s="344"/>
      <c r="G70" s="344"/>
      <c r="H70" s="344"/>
    </row>
    <row r="71" spans="3:8" ht="15.75">
      <c r="C71" s="344"/>
      <c r="D71" s="344"/>
      <c r="E71" s="344"/>
      <c r="F71" s="344"/>
      <c r="G71" s="344"/>
      <c r="H71" s="344"/>
    </row>
    <row r="72" spans="3:8" ht="15.75">
      <c r="C72" s="344"/>
      <c r="D72" s="344"/>
      <c r="E72" s="344"/>
      <c r="F72" s="344"/>
      <c r="G72" s="344"/>
      <c r="H72" s="344"/>
    </row>
    <row r="73" spans="3:8" ht="15.75">
      <c r="C73" s="344"/>
      <c r="D73" s="344"/>
      <c r="E73" s="344"/>
      <c r="F73" s="344"/>
      <c r="G73" s="344"/>
      <c r="H73" s="344"/>
    </row>
    <row r="74" spans="3:8" ht="15.75">
      <c r="C74" s="344"/>
      <c r="D74" s="344"/>
      <c r="E74" s="344"/>
      <c r="F74" s="344"/>
      <c r="G74" s="344"/>
      <c r="H74" s="344"/>
    </row>
    <row r="75" spans="3:8" ht="15.75">
      <c r="C75" s="344"/>
      <c r="D75" s="344"/>
      <c r="E75" s="344"/>
      <c r="F75" s="344"/>
      <c r="G75" s="344"/>
      <c r="H75" s="344"/>
    </row>
    <row r="76" spans="3:8" ht="15.75">
      <c r="C76" s="344"/>
      <c r="D76" s="344"/>
      <c r="E76" s="344"/>
      <c r="F76" s="344"/>
      <c r="G76" s="344"/>
      <c r="H76" s="344"/>
    </row>
    <row r="77" spans="3:8" ht="15.75">
      <c r="C77" s="344"/>
      <c r="D77" s="344"/>
      <c r="E77" s="344"/>
      <c r="F77" s="344"/>
      <c r="G77" s="344"/>
      <c r="H77" s="344"/>
    </row>
    <row r="78" spans="3:8" ht="15.75">
      <c r="C78" s="344"/>
      <c r="D78" s="344"/>
      <c r="E78" s="344"/>
      <c r="F78" s="344"/>
      <c r="G78" s="344"/>
      <c r="H78" s="344"/>
    </row>
    <row r="79" spans="3:8" ht="15.75">
      <c r="C79" s="344"/>
      <c r="D79" s="344"/>
      <c r="E79" s="344"/>
      <c r="F79" s="344"/>
      <c r="G79" s="344"/>
      <c r="H79" s="344"/>
    </row>
    <row r="80" spans="3:8" ht="15.75">
      <c r="C80" s="344"/>
      <c r="D80" s="344"/>
      <c r="E80" s="344"/>
      <c r="F80" s="344"/>
      <c r="G80" s="344"/>
      <c r="H80" s="344"/>
    </row>
    <row r="81" spans="3:8" ht="15.75">
      <c r="C81" s="344"/>
      <c r="D81" s="344"/>
      <c r="E81" s="344"/>
      <c r="F81" s="344"/>
      <c r="G81" s="344"/>
      <c r="H81" s="344"/>
    </row>
  </sheetData>
  <sheetProtection/>
  <mergeCells count="12">
    <mergeCell ref="G3:G4"/>
    <mergeCell ref="H3:H4"/>
    <mergeCell ref="I3:I4"/>
    <mergeCell ref="A23:E23"/>
    <mergeCell ref="A1:I1"/>
    <mergeCell ref="A2:I2"/>
    <mergeCell ref="A3:A4"/>
    <mergeCell ref="B3:B4"/>
    <mergeCell ref="C3:C4"/>
    <mergeCell ref="D3:D4"/>
    <mergeCell ref="E3:E4"/>
    <mergeCell ref="F3:F4"/>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sheetPr>
    <tabColor indexed="42"/>
    <pageSetUpPr fitToPage="1"/>
  </sheetPr>
  <dimension ref="A1:L26"/>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G20" sqref="G20"/>
    </sheetView>
  </sheetViews>
  <sheetFormatPr defaultColWidth="9.140625" defaultRowHeight="12.75"/>
  <cols>
    <col min="1" max="1" width="7.8515625" style="177" customWidth="1"/>
    <col min="2" max="2" width="46.8515625" style="186" customWidth="1"/>
    <col min="3" max="3" width="13.8515625" style="177" bestFit="1" customWidth="1"/>
    <col min="4" max="4" width="14.00390625" style="177" customWidth="1"/>
    <col min="5" max="5" width="18.00390625" style="177" customWidth="1"/>
    <col min="6" max="6" width="21.00390625" style="177" customWidth="1"/>
    <col min="7" max="7" width="15.140625" style="177" bestFit="1" customWidth="1"/>
    <col min="8" max="8" width="15.421875" style="177" bestFit="1" customWidth="1"/>
    <col min="9" max="9" width="14.57421875" style="177" customWidth="1"/>
    <col min="10" max="10" width="14.57421875" style="177" bestFit="1" customWidth="1"/>
    <col min="11" max="11" width="15.7109375" style="177" customWidth="1"/>
    <col min="12" max="12" width="17.140625" style="177" customWidth="1"/>
    <col min="13" max="16384" width="9.140625" style="177" customWidth="1"/>
  </cols>
  <sheetData>
    <row r="1" spans="1:12" ht="34.5" customHeight="1">
      <c r="A1" s="689" t="s">
        <v>1190</v>
      </c>
      <c r="B1" s="690"/>
      <c r="C1" s="690"/>
      <c r="D1" s="690"/>
      <c r="E1" s="690"/>
      <c r="F1" s="690"/>
      <c r="G1" s="690"/>
      <c r="H1" s="690"/>
      <c r="I1" s="690"/>
      <c r="J1" s="690"/>
      <c r="K1" s="690"/>
      <c r="L1" s="691"/>
    </row>
    <row r="2" spans="1:12" ht="34.5" customHeight="1">
      <c r="A2" s="692" t="s">
        <v>1327</v>
      </c>
      <c r="B2" s="693"/>
      <c r="C2" s="693"/>
      <c r="D2" s="693"/>
      <c r="E2" s="693"/>
      <c r="F2" s="693"/>
      <c r="G2" s="693"/>
      <c r="H2" s="693"/>
      <c r="I2" s="693"/>
      <c r="J2" s="693"/>
      <c r="K2" s="693"/>
      <c r="L2" s="694"/>
    </row>
    <row r="3" spans="1:12" s="335" customFormat="1" ht="32.25" customHeight="1">
      <c r="A3" s="675" t="s">
        <v>271</v>
      </c>
      <c r="B3" s="695"/>
      <c r="C3" s="653" t="s">
        <v>410</v>
      </c>
      <c r="D3" s="653"/>
      <c r="E3" s="653" t="s">
        <v>411</v>
      </c>
      <c r="F3" s="653"/>
      <c r="G3" s="653" t="s">
        <v>412</v>
      </c>
      <c r="H3" s="653"/>
      <c r="I3" s="653" t="s">
        <v>381</v>
      </c>
      <c r="J3" s="653"/>
      <c r="K3" s="653" t="s">
        <v>404</v>
      </c>
      <c r="L3" s="654"/>
    </row>
    <row r="4" spans="1:12" s="335" customFormat="1" ht="24.75" customHeight="1">
      <c r="A4" s="675"/>
      <c r="B4" s="695"/>
      <c r="C4" s="3">
        <v>2010</v>
      </c>
      <c r="D4" s="3">
        <v>2011</v>
      </c>
      <c r="E4" s="3">
        <v>2010</v>
      </c>
      <c r="F4" s="3">
        <v>2011</v>
      </c>
      <c r="G4" s="3">
        <v>2010</v>
      </c>
      <c r="H4" s="3">
        <v>2011</v>
      </c>
      <c r="I4" s="3">
        <v>2010</v>
      </c>
      <c r="J4" s="3">
        <v>2011</v>
      </c>
      <c r="K4" s="3">
        <v>2010</v>
      </c>
      <c r="L4" s="2">
        <v>2011</v>
      </c>
    </row>
    <row r="5" spans="1:12" s="348" customFormat="1" ht="33" customHeight="1">
      <c r="A5" s="12"/>
      <c r="B5" s="324"/>
      <c r="C5" s="5" t="s">
        <v>359</v>
      </c>
      <c r="D5" s="5" t="s">
        <v>360</v>
      </c>
      <c r="E5" s="5" t="s">
        <v>361</v>
      </c>
      <c r="F5" s="5" t="s">
        <v>368</v>
      </c>
      <c r="G5" s="5" t="s">
        <v>362</v>
      </c>
      <c r="H5" s="5" t="s">
        <v>363</v>
      </c>
      <c r="I5" s="5" t="s">
        <v>364</v>
      </c>
      <c r="J5" s="5" t="s">
        <v>365</v>
      </c>
      <c r="K5" s="5" t="s">
        <v>259</v>
      </c>
      <c r="L5" s="24" t="s">
        <v>260</v>
      </c>
    </row>
    <row r="6" spans="1:12" ht="31.5">
      <c r="A6" s="12">
        <v>1</v>
      </c>
      <c r="B6" s="20" t="s">
        <v>1397</v>
      </c>
      <c r="C6" s="184">
        <v>0</v>
      </c>
      <c r="D6" s="184">
        <f>C17</f>
        <v>375695.71</v>
      </c>
      <c r="E6" s="184">
        <v>579579.91</v>
      </c>
      <c r="F6" s="184">
        <f>E17</f>
        <v>3538110.7300000004</v>
      </c>
      <c r="G6" s="184">
        <v>271007.87</v>
      </c>
      <c r="H6" s="184">
        <f>G17</f>
        <v>370028.1900000002</v>
      </c>
      <c r="I6" s="184">
        <v>208545.16</v>
      </c>
      <c r="J6" s="184">
        <f>SUM(I17)</f>
        <v>165329.22000000003</v>
      </c>
      <c r="K6" s="184">
        <f aca="true" t="shared" si="0" ref="K6:L8">C6+E6+G6+I6</f>
        <v>1059132.94</v>
      </c>
      <c r="L6" s="170">
        <f t="shared" si="0"/>
        <v>4449163.850000001</v>
      </c>
    </row>
    <row r="7" spans="1:12" ht="36.75" customHeight="1">
      <c r="A7" s="12">
        <v>2</v>
      </c>
      <c r="B7" s="20" t="s">
        <v>111</v>
      </c>
      <c r="C7" s="184">
        <f aca="true" t="shared" si="1" ref="C7:J7">SUM(C8:C15)</f>
        <v>375695.71</v>
      </c>
      <c r="D7" s="184">
        <f t="shared" si="1"/>
        <v>365448.87</v>
      </c>
      <c r="E7" s="184">
        <f t="shared" si="1"/>
        <v>2817014.35</v>
      </c>
      <c r="F7" s="184">
        <f t="shared" si="1"/>
        <v>1255396.66</v>
      </c>
      <c r="G7" s="184">
        <f t="shared" si="1"/>
        <v>2088949</v>
      </c>
      <c r="H7" s="184">
        <f t="shared" si="1"/>
        <v>2090864.1</v>
      </c>
      <c r="I7" s="184">
        <f t="shared" si="1"/>
        <v>129045.13</v>
      </c>
      <c r="J7" s="184">
        <f t="shared" si="1"/>
        <v>-165329.22</v>
      </c>
      <c r="K7" s="184">
        <f t="shared" si="0"/>
        <v>5410704.19</v>
      </c>
      <c r="L7" s="170">
        <f t="shared" si="0"/>
        <v>3546380.4099999997</v>
      </c>
    </row>
    <row r="8" spans="1:12" ht="37.5">
      <c r="A8" s="12">
        <v>3</v>
      </c>
      <c r="B8" s="16" t="s">
        <v>1398</v>
      </c>
      <c r="C8" s="184">
        <v>375695.71</v>
      </c>
      <c r="D8" s="168">
        <f>373682.13-8233.26</f>
        <v>365448.87</v>
      </c>
      <c r="E8" s="168"/>
      <c r="F8" s="168"/>
      <c r="G8" s="168"/>
      <c r="H8" s="168"/>
      <c r="I8" s="168"/>
      <c r="J8" s="168">
        <v>0</v>
      </c>
      <c r="K8" s="184">
        <f t="shared" si="0"/>
        <v>375695.71</v>
      </c>
      <c r="L8" s="170">
        <f t="shared" si="0"/>
        <v>365448.87</v>
      </c>
    </row>
    <row r="9" spans="1:12" ht="15.75">
      <c r="A9" s="12">
        <v>4</v>
      </c>
      <c r="B9" s="16" t="s">
        <v>392</v>
      </c>
      <c r="C9" s="184" t="s">
        <v>391</v>
      </c>
      <c r="D9" s="184" t="s">
        <v>391</v>
      </c>
      <c r="E9" s="168">
        <v>854565.35</v>
      </c>
      <c r="F9" s="349">
        <f>1154172.02+29573.18</f>
        <v>1183745.2</v>
      </c>
      <c r="G9" s="184" t="s">
        <v>391</v>
      </c>
      <c r="H9" s="184" t="s">
        <v>391</v>
      </c>
      <c r="I9" s="184" t="s">
        <v>391</v>
      </c>
      <c r="J9" s="184" t="s">
        <v>391</v>
      </c>
      <c r="K9" s="184">
        <f>E9</f>
        <v>854565.35</v>
      </c>
      <c r="L9" s="170">
        <f>F9</f>
        <v>1183745.2</v>
      </c>
    </row>
    <row r="10" spans="1:12" s="348" customFormat="1" ht="31.5">
      <c r="A10" s="12">
        <v>5</v>
      </c>
      <c r="B10" s="61" t="s">
        <v>10</v>
      </c>
      <c r="C10" s="184" t="s">
        <v>391</v>
      </c>
      <c r="D10" s="184" t="s">
        <v>391</v>
      </c>
      <c r="E10" s="168">
        <v>1962449</v>
      </c>
      <c r="F10" s="350">
        <f>14242.58+35802.96+21605.92</f>
        <v>71651.45999999999</v>
      </c>
      <c r="G10" s="184" t="s">
        <v>391</v>
      </c>
      <c r="H10" s="184" t="s">
        <v>391</v>
      </c>
      <c r="I10" s="184" t="s">
        <v>391</v>
      </c>
      <c r="J10" s="184" t="s">
        <v>391</v>
      </c>
      <c r="K10" s="184">
        <f>E10</f>
        <v>1962449</v>
      </c>
      <c r="L10" s="170">
        <f>F10</f>
        <v>71651.45999999999</v>
      </c>
    </row>
    <row r="11" spans="1:12" ht="31.5">
      <c r="A11" s="12">
        <v>6</v>
      </c>
      <c r="B11" s="16" t="s">
        <v>393</v>
      </c>
      <c r="C11" s="184" t="s">
        <v>391</v>
      </c>
      <c r="D11" s="184" t="s">
        <v>391</v>
      </c>
      <c r="E11" s="168"/>
      <c r="F11" s="351"/>
      <c r="G11" s="168"/>
      <c r="H11" s="168"/>
      <c r="I11" s="184"/>
      <c r="J11" s="184"/>
      <c r="K11" s="184">
        <f>E11+G11+I11</f>
        <v>0</v>
      </c>
      <c r="L11" s="170">
        <f>F11+H11+J11</f>
        <v>0</v>
      </c>
    </row>
    <row r="12" spans="1:12" ht="15.75">
      <c r="A12" s="12">
        <v>7</v>
      </c>
      <c r="B12" s="16" t="s">
        <v>394</v>
      </c>
      <c r="C12" s="168"/>
      <c r="D12" s="168"/>
      <c r="E12" s="168"/>
      <c r="F12" s="351"/>
      <c r="G12" s="168"/>
      <c r="H12" s="168">
        <v>100</v>
      </c>
      <c r="I12" s="168">
        <v>129045.13</v>
      </c>
      <c r="J12" s="184">
        <v>-165329.22</v>
      </c>
      <c r="K12" s="184">
        <f>C12+E12+G12+I12</f>
        <v>129045.13</v>
      </c>
      <c r="L12" s="170">
        <f>D12+F12+H12+J12</f>
        <v>-165229.22</v>
      </c>
    </row>
    <row r="13" spans="1:12" ht="18.75">
      <c r="A13" s="12">
        <v>8</v>
      </c>
      <c r="B13" s="16" t="s">
        <v>1399</v>
      </c>
      <c r="C13" s="184" t="s">
        <v>391</v>
      </c>
      <c r="D13" s="184" t="s">
        <v>391</v>
      </c>
      <c r="E13" s="184" t="s">
        <v>391</v>
      </c>
      <c r="F13" s="352" t="s">
        <v>391</v>
      </c>
      <c r="G13" s="168">
        <v>2037472</v>
      </c>
      <c r="H13" s="168">
        <f>1669282+431328-1874-76628</f>
        <v>2022108</v>
      </c>
      <c r="I13" s="168" t="s">
        <v>391</v>
      </c>
      <c r="J13" s="168" t="s">
        <v>391</v>
      </c>
      <c r="K13" s="184">
        <f>G13</f>
        <v>2037472</v>
      </c>
      <c r="L13" s="170">
        <f>H13</f>
        <v>2022108</v>
      </c>
    </row>
    <row r="14" spans="1:12" ht="15.75">
      <c r="A14" s="12">
        <v>9</v>
      </c>
      <c r="B14" s="16" t="s">
        <v>34</v>
      </c>
      <c r="C14" s="184" t="s">
        <v>391</v>
      </c>
      <c r="D14" s="184" t="s">
        <v>391</v>
      </c>
      <c r="E14" s="184" t="s">
        <v>391</v>
      </c>
      <c r="F14" s="352" t="s">
        <v>391</v>
      </c>
      <c r="G14" s="168">
        <v>51477</v>
      </c>
      <c r="H14" s="168">
        <v>68656.1</v>
      </c>
      <c r="I14" s="168" t="s">
        <v>391</v>
      </c>
      <c r="J14" s="168" t="s">
        <v>391</v>
      </c>
      <c r="K14" s="184">
        <f>G14</f>
        <v>51477</v>
      </c>
      <c r="L14" s="170">
        <f>H14</f>
        <v>68656.1</v>
      </c>
    </row>
    <row r="15" spans="1:12" ht="18.75">
      <c r="A15" s="12">
        <v>10</v>
      </c>
      <c r="B15" s="16" t="s">
        <v>1400</v>
      </c>
      <c r="C15" s="168"/>
      <c r="D15" s="168"/>
      <c r="E15" s="168"/>
      <c r="F15" s="351"/>
      <c r="G15" s="168"/>
      <c r="H15" s="168"/>
      <c r="I15" s="168"/>
      <c r="J15" s="168"/>
      <c r="K15" s="184">
        <f>C15+G15+I15</f>
        <v>0</v>
      </c>
      <c r="L15" s="170">
        <f>D15+H15+J15</f>
        <v>0</v>
      </c>
    </row>
    <row r="16" spans="1:12" ht="15.75">
      <c r="A16" s="12">
        <v>11</v>
      </c>
      <c r="B16" s="20" t="s">
        <v>268</v>
      </c>
      <c r="C16" s="184"/>
      <c r="D16" s="184">
        <v>21989.28</v>
      </c>
      <c r="E16" s="184">
        <v>-141516.47</v>
      </c>
      <c r="F16" s="352">
        <f>6130197.93-21748354.06+35802.96+21605.92</f>
        <v>-15560747.249999998</v>
      </c>
      <c r="G16" s="168">
        <v>1989928.68</v>
      </c>
      <c r="H16" s="168">
        <f>40906.2+1962949+404292.72-2650-88685-4675</f>
        <v>2312137.92</v>
      </c>
      <c r="I16" s="184">
        <v>172261.07</v>
      </c>
      <c r="J16" s="168"/>
      <c r="K16" s="184">
        <f aca="true" t="shared" si="2" ref="K16:L18">C16+E16+G16+I16</f>
        <v>2020673.28</v>
      </c>
      <c r="L16" s="170">
        <f t="shared" si="2"/>
        <v>-13226620.049999999</v>
      </c>
    </row>
    <row r="17" spans="1:12" ht="31.5">
      <c r="A17" s="12">
        <v>12</v>
      </c>
      <c r="B17" s="20" t="s">
        <v>35</v>
      </c>
      <c r="C17" s="184">
        <f aca="true" t="shared" si="3" ref="C17:J17">C6+C7-C16</f>
        <v>375695.71</v>
      </c>
      <c r="D17" s="184">
        <f t="shared" si="3"/>
        <v>719155.3</v>
      </c>
      <c r="E17" s="184">
        <f t="shared" si="3"/>
        <v>3538110.7300000004</v>
      </c>
      <c r="F17" s="184">
        <f t="shared" si="3"/>
        <v>20354254.64</v>
      </c>
      <c r="G17" s="184">
        <f t="shared" si="3"/>
        <v>370028.1900000002</v>
      </c>
      <c r="H17" s="184">
        <f t="shared" si="3"/>
        <v>148754.3700000001</v>
      </c>
      <c r="I17" s="184">
        <f t="shared" si="3"/>
        <v>165329.22000000003</v>
      </c>
      <c r="J17" s="184">
        <f t="shared" si="3"/>
        <v>2.9103830456733704E-11</v>
      </c>
      <c r="K17" s="184">
        <f t="shared" si="2"/>
        <v>4449163.850000001</v>
      </c>
      <c r="L17" s="170">
        <f t="shared" si="2"/>
        <v>21222164.310000002</v>
      </c>
    </row>
    <row r="18" spans="1:12" ht="35.25" thickBot="1">
      <c r="A18" s="193">
        <v>13</v>
      </c>
      <c r="B18" s="18" t="s">
        <v>1401</v>
      </c>
      <c r="C18" s="353">
        <v>0</v>
      </c>
      <c r="D18" s="353">
        <v>0</v>
      </c>
      <c r="E18" s="353">
        <v>2821.48</v>
      </c>
      <c r="F18" s="353">
        <v>2821.48</v>
      </c>
      <c r="G18" s="173">
        <v>71553.96</v>
      </c>
      <c r="H18" s="353">
        <v>80342.36</v>
      </c>
      <c r="I18" s="353">
        <v>127255.55</v>
      </c>
      <c r="J18" s="173">
        <v>0</v>
      </c>
      <c r="K18" s="209">
        <f t="shared" si="2"/>
        <v>201630.99</v>
      </c>
      <c r="L18" s="195">
        <f t="shared" si="2"/>
        <v>83163.84</v>
      </c>
    </row>
    <row r="19" spans="6:8" ht="15.75">
      <c r="F19" s="178"/>
      <c r="H19" s="178"/>
    </row>
    <row r="20" spans="1:12" ht="15.75">
      <c r="A20" s="341" t="s">
        <v>112</v>
      </c>
      <c r="B20" s="341"/>
      <c r="C20" s="341"/>
      <c r="D20" s="341"/>
      <c r="E20" s="341"/>
      <c r="F20" s="354"/>
      <c r="G20" s="341"/>
      <c r="H20" s="354"/>
      <c r="I20" s="341"/>
      <c r="J20" s="341"/>
      <c r="K20" s="341"/>
      <c r="L20" s="341"/>
    </row>
    <row r="21" spans="1:12" ht="15.75">
      <c r="A21" s="341" t="s">
        <v>113</v>
      </c>
      <c r="B21" s="341"/>
      <c r="C21" s="341"/>
      <c r="D21" s="341"/>
      <c r="E21" s="341"/>
      <c r="F21" s="341"/>
      <c r="G21" s="341"/>
      <c r="H21" s="341"/>
      <c r="I21" s="341"/>
      <c r="J21" s="341"/>
      <c r="K21" s="341"/>
      <c r="L21" s="341"/>
    </row>
    <row r="22" spans="1:12" ht="15.75">
      <c r="A22" s="341" t="s">
        <v>114</v>
      </c>
      <c r="B22" s="341"/>
      <c r="C22" s="341"/>
      <c r="D22" s="341"/>
      <c r="E22" s="341"/>
      <c r="F22" s="341"/>
      <c r="G22" s="341"/>
      <c r="H22" s="341"/>
      <c r="I22" s="341"/>
      <c r="J22" s="341"/>
      <c r="K22" s="341"/>
      <c r="L22" s="341"/>
    </row>
    <row r="24" spans="1:12" ht="15.75">
      <c r="A24" s="185" t="s">
        <v>1336</v>
      </c>
      <c r="B24" s="185"/>
      <c r="C24" s="185"/>
      <c r="D24" s="185"/>
      <c r="E24" s="185"/>
      <c r="F24" s="185"/>
      <c r="G24" s="185"/>
      <c r="H24" s="185"/>
      <c r="I24" s="185"/>
      <c r="J24" s="185"/>
      <c r="K24" s="185"/>
      <c r="L24" s="185"/>
    </row>
    <row r="25" spans="1:12" ht="15.75">
      <c r="A25" s="177" t="s">
        <v>1338</v>
      </c>
      <c r="G25" s="185"/>
      <c r="H25" s="185"/>
      <c r="I25" s="185"/>
      <c r="J25" s="185"/>
      <c r="K25" s="185"/>
      <c r="L25" s="185"/>
    </row>
    <row r="26" spans="1:12" ht="15.75">
      <c r="A26" s="680" t="s">
        <v>1333</v>
      </c>
      <c r="B26" s="680"/>
      <c r="C26" s="680"/>
      <c r="D26" s="680"/>
      <c r="E26" s="680"/>
      <c r="F26" s="680"/>
      <c r="G26" s="680"/>
      <c r="H26" s="680"/>
      <c r="I26" s="680"/>
      <c r="J26" s="680"/>
      <c r="K26" s="680"/>
      <c r="L26" s="680"/>
    </row>
  </sheetData>
  <sheetProtection/>
  <mergeCells count="10">
    <mergeCell ref="A26:L26"/>
    <mergeCell ref="A1:L1"/>
    <mergeCell ref="A2:L2"/>
    <mergeCell ref="A3:A4"/>
    <mergeCell ref="B3:B4"/>
    <mergeCell ref="C3:D3"/>
    <mergeCell ref="E3:F3"/>
    <mergeCell ref="G3:H3"/>
    <mergeCell ref="I3:J3"/>
    <mergeCell ref="K3:L3"/>
  </mergeCells>
  <printOptions/>
  <pageMargins left="0.57" right="0.49" top="0.96" bottom="0.984251968503937" header="0.5118110236220472" footer="0.5118110236220472"/>
  <pageSetup fitToHeight="1" fitToWidth="1" horizontalDpi="600" verticalDpi="600" orientation="landscape" paperSize="9" scale="64" r:id="rId3"/>
  <legacyDrawing r:id="rId2"/>
</worksheet>
</file>

<file path=xl/worksheets/sheet18.xml><?xml version="1.0" encoding="utf-8"?>
<worksheet xmlns="http://schemas.openxmlformats.org/spreadsheetml/2006/main" xmlns:r="http://schemas.openxmlformats.org/officeDocument/2006/relationships">
  <sheetPr>
    <tabColor indexed="42"/>
    <pageSetUpPr fitToPage="1"/>
  </sheetPr>
  <dimension ref="A1:D22"/>
  <sheetViews>
    <sheetView zoomScalePageLayoutView="0" workbookViewId="0" topLeftCell="A1">
      <pane xSplit="2" ySplit="5" topLeftCell="C21" activePane="bottomRight" state="frozen"/>
      <selection pane="topLeft" activeCell="A1" sqref="A1"/>
      <selection pane="topRight" activeCell="C1" sqref="C1"/>
      <selection pane="bottomLeft" activeCell="A6" sqref="A6"/>
      <selection pane="bottomRight" activeCell="C29" sqref="C29"/>
    </sheetView>
  </sheetViews>
  <sheetFormatPr defaultColWidth="9.140625" defaultRowHeight="12.75"/>
  <cols>
    <col min="1" max="1" width="10.57421875" style="319" customWidth="1"/>
    <col min="2" max="2" width="43.140625" style="36" customWidth="1"/>
    <col min="3" max="3" width="28.421875" style="34" customWidth="1"/>
    <col min="4" max="4" width="52.7109375" style="34" customWidth="1"/>
    <col min="5" max="16384" width="9.140625" style="34" customWidth="1"/>
  </cols>
  <sheetData>
    <row r="1" spans="1:4" ht="49.5" customHeight="1">
      <c r="A1" s="565" t="s">
        <v>1191</v>
      </c>
      <c r="B1" s="566"/>
      <c r="C1" s="566"/>
      <c r="D1" s="567"/>
    </row>
    <row r="2" spans="1:4" ht="34.5" customHeight="1">
      <c r="A2" s="561" t="s">
        <v>1246</v>
      </c>
      <c r="B2" s="562"/>
      <c r="C2" s="562"/>
      <c r="D2" s="563"/>
    </row>
    <row r="3" spans="1:4" ht="31.5">
      <c r="A3" s="355" t="s">
        <v>271</v>
      </c>
      <c r="B3" s="28" t="s">
        <v>369</v>
      </c>
      <c r="C3" s="9" t="s">
        <v>977</v>
      </c>
      <c r="D3" s="10" t="s">
        <v>358</v>
      </c>
    </row>
    <row r="4" spans="1:4" s="51" customFormat="1" ht="18" customHeight="1">
      <c r="A4" s="56"/>
      <c r="B4" s="25" t="s">
        <v>359</v>
      </c>
      <c r="C4" s="25" t="s">
        <v>360</v>
      </c>
      <c r="D4" s="26" t="s">
        <v>361</v>
      </c>
    </row>
    <row r="5" spans="1:4" s="51" customFormat="1" ht="31.5">
      <c r="A5" s="56">
        <v>1</v>
      </c>
      <c r="B5" s="28" t="s">
        <v>36</v>
      </c>
      <c r="C5" s="342">
        <f>SUM(C6:C19)</f>
        <v>6375340.850000001</v>
      </c>
      <c r="D5" s="356"/>
    </row>
    <row r="6" spans="1:4" ht="78.75">
      <c r="A6" s="56">
        <v>2</v>
      </c>
      <c r="B6" s="232" t="s">
        <v>256</v>
      </c>
      <c r="C6" s="357">
        <v>0</v>
      </c>
      <c r="D6" s="358" t="s">
        <v>1247</v>
      </c>
    </row>
    <row r="7" spans="1:4" ht="78.75">
      <c r="A7" s="56">
        <v>3</v>
      </c>
      <c r="B7" s="232" t="s">
        <v>257</v>
      </c>
      <c r="C7" s="357">
        <f>'[5]T16 - Štruktúra hotovosti'!C7+'[6]T16 - Štruktúra hotovosti'!C7+'[7]T16 - Štruktúra hotovosti'!C7+'[8]T16 - Štruktúra hotovosti'!C7+'[10]T16 - Štruktúra hotovosti'!C7</f>
        <v>3649634.16</v>
      </c>
      <c r="D7" s="358" t="s">
        <v>1248</v>
      </c>
    </row>
    <row r="8" spans="1:4" ht="15.75">
      <c r="A8" s="56">
        <v>4</v>
      </c>
      <c r="B8" s="53" t="s">
        <v>258</v>
      </c>
      <c r="C8" s="357">
        <f>'[5]T16 - Štruktúra hotovosti'!C8+'[6]T16 - Štruktúra hotovosti'!C8+'[7]T16 - Štruktúra hotovosti'!C8+'[8]T16 - Štruktúra hotovosti'!C8+'[10]T16 - Štruktúra hotovosti'!C8</f>
        <v>0</v>
      </c>
      <c r="D8" s="358" t="s">
        <v>1249</v>
      </c>
    </row>
    <row r="9" spans="1:4" ht="78.75">
      <c r="A9" s="56">
        <v>5</v>
      </c>
      <c r="B9" s="53" t="s">
        <v>224</v>
      </c>
      <c r="C9" s="357">
        <f>'[5]T16 - Štruktúra hotovosti'!C9+'[6]T16 - Štruktúra hotovosti'!C9+'[7]T16 - Štruktúra hotovosti'!C9+'[8]T16 - Štruktúra hotovosti'!C9+'[10]T16 - Štruktúra hotovosti'!C9</f>
        <v>1363118.67</v>
      </c>
      <c r="D9" s="359" t="s">
        <v>1250</v>
      </c>
    </row>
    <row r="10" spans="1:4" ht="15.75">
      <c r="A10" s="56">
        <v>6</v>
      </c>
      <c r="B10" s="53" t="s">
        <v>346</v>
      </c>
      <c r="C10" s="357">
        <f>'[5]T16 - Štruktúra hotovosti'!C10+'[6]T16 - Štruktúra hotovosti'!C10+'[7]T16 - Štruktúra hotovosti'!C10+'[8]T16 - Štruktúra hotovosti'!C10+'[10]T16 - Štruktúra hotovosti'!C10</f>
        <v>0</v>
      </c>
      <c r="D10" s="21"/>
    </row>
    <row r="11" spans="1:4" ht="15.75">
      <c r="A11" s="56">
        <v>7</v>
      </c>
      <c r="B11" s="53" t="s">
        <v>347</v>
      </c>
      <c r="C11" s="357">
        <f>'[5]T16 - Štruktúra hotovosti'!C11+'[6]T16 - Štruktúra hotovosti'!C11+'[7]T16 - Štruktúra hotovosti'!C11+'[8]T16 - Štruktúra hotovosti'!C11+'[10]T16 - Štruktúra hotovosti'!C11</f>
        <v>0</v>
      </c>
      <c r="D11" s="21"/>
    </row>
    <row r="12" spans="1:4" ht="94.5">
      <c r="A12" s="56">
        <v>8</v>
      </c>
      <c r="B12" s="53" t="s">
        <v>480</v>
      </c>
      <c r="C12" s="357">
        <f>'[5]T16 - Štruktúra hotovosti'!C12+'[6]T16 - Štruktúra hotovosti'!C12+'[7]T16 - Štruktúra hotovosti'!C12+'[8]T16 - Štruktúra hotovosti'!C12+'[10]T16 - Štruktúra hotovosti'!C12</f>
        <v>77331.26999999999</v>
      </c>
      <c r="D12" s="359" t="s">
        <v>1256</v>
      </c>
    </row>
    <row r="13" spans="1:4" ht="31.5">
      <c r="A13" s="56">
        <v>9</v>
      </c>
      <c r="B13" s="53" t="s">
        <v>225</v>
      </c>
      <c r="C13" s="357">
        <f>'[5]T16 - Štruktúra hotovosti'!C13+'[6]T16 - Štruktúra hotovosti'!C13+'[7]T16 - Štruktúra hotovosti'!C13+'[8]T16 - Štruktúra hotovosti'!C13+'[10]T16 - Štruktúra hotovosti'!C13</f>
        <v>264443.76</v>
      </c>
      <c r="D13" s="360" t="s">
        <v>1255</v>
      </c>
    </row>
    <row r="14" spans="1:4" ht="78.75">
      <c r="A14" s="56">
        <v>10</v>
      </c>
      <c r="B14" s="53" t="s">
        <v>226</v>
      </c>
      <c r="C14" s="357">
        <f>'[5]T16 - Štruktúra hotovosti'!C14+'[6]T16 - Štruktúra hotovosti'!C14+'[7]T16 - Štruktúra hotovosti'!C14+'[8]T16 - Štruktúra hotovosti'!C14+'[10]T16 - Štruktúra hotovosti'!C14</f>
        <v>80342.36</v>
      </c>
      <c r="D14" s="358" t="s">
        <v>1251</v>
      </c>
    </row>
    <row r="15" spans="1:4" ht="78.75">
      <c r="A15" s="56">
        <v>11</v>
      </c>
      <c r="B15" s="53" t="s">
        <v>227</v>
      </c>
      <c r="C15" s="357">
        <f>'[5]T16 - Štruktúra hotovosti'!C15+'[6]T16 - Štruktúra hotovosti'!C15+'[7]T16 - Štruktúra hotovosti'!C15+'[8]T16 - Štruktúra hotovosti'!C15+'[10]T16 - Štruktúra hotovosti'!C15</f>
        <v>314254.9</v>
      </c>
      <c r="D15" s="358" t="s">
        <v>1252</v>
      </c>
    </row>
    <row r="16" spans="1:4" ht="78.75">
      <c r="A16" s="56">
        <v>12</v>
      </c>
      <c r="B16" s="53" t="s">
        <v>228</v>
      </c>
      <c r="C16" s="357">
        <f>'[5]T16 - Štruktúra hotovosti'!C16+'[6]T16 - Štruktúra hotovosti'!C16+'[7]T16 - Štruktúra hotovosti'!C16+'[8]T16 - Štruktúra hotovosti'!C16+'[10]T16 - Štruktúra hotovosti'!C16</f>
        <v>75655.81</v>
      </c>
      <c r="D16" s="358" t="s">
        <v>1253</v>
      </c>
    </row>
    <row r="17" spans="1:4" ht="15.75">
      <c r="A17" s="56">
        <v>13</v>
      </c>
      <c r="B17" s="53" t="s">
        <v>229</v>
      </c>
      <c r="C17" s="357">
        <f>'[5]T16 - Štruktúra hotovosti'!C17+'[6]T16 - Štruktúra hotovosti'!C17+'[7]T16 - Štruktúra hotovosti'!C17+'[8]T16 - Štruktúra hotovosti'!C17+'[10]T16 - Štruktúra hotovosti'!C17</f>
        <v>2821.48</v>
      </c>
      <c r="D17" s="358" t="s">
        <v>1254</v>
      </c>
    </row>
    <row r="18" spans="1:4" ht="15.75">
      <c r="A18" s="56">
        <v>14</v>
      </c>
      <c r="B18" s="53" t="s">
        <v>230</v>
      </c>
      <c r="C18" s="357">
        <f>'[5]T16 - Štruktúra hotovosti'!C18+'[6]T16 - Štruktúra hotovosti'!C18+'[7]T16 - Štruktúra hotovosti'!C18+'[8]T16 - Štruktúra hotovosti'!C18+'[10]T16 - Štruktúra hotovosti'!C18</f>
        <v>0</v>
      </c>
      <c r="D18" s="21"/>
    </row>
    <row r="19" spans="1:4" ht="267.75">
      <c r="A19" s="56">
        <v>15</v>
      </c>
      <c r="B19" s="53" t="s">
        <v>236</v>
      </c>
      <c r="C19" s="357">
        <f>'[5]T16 - Štruktúra hotovosti'!C19+'[6]T16 - Štruktúra hotovosti'!C19+'[7]T16 - Štruktúra hotovosti'!C19+'[8]T16 - Štruktúra hotovosti'!C19+'[10]T16 - Štruktúra hotovosti'!C19</f>
        <v>547738.4400000001</v>
      </c>
      <c r="D19" s="21" t="s">
        <v>1257</v>
      </c>
    </row>
    <row r="20" spans="1:4" ht="15.75">
      <c r="A20" s="56">
        <v>16</v>
      </c>
      <c r="B20" s="28" t="s">
        <v>382</v>
      </c>
      <c r="C20" s="357"/>
      <c r="D20" s="21"/>
    </row>
    <row r="21" spans="1:4" ht="15.75">
      <c r="A21" s="56">
        <v>17</v>
      </c>
      <c r="B21" s="361" t="s">
        <v>1086</v>
      </c>
      <c r="C21" s="362"/>
      <c r="D21" s="363"/>
    </row>
    <row r="22" spans="1:4" ht="32.25" thickBot="1">
      <c r="A22" s="321">
        <v>18</v>
      </c>
      <c r="B22" s="43" t="s">
        <v>75</v>
      </c>
      <c r="C22" s="330">
        <f>+C5+C20+C21</f>
        <v>6375340.850000001</v>
      </c>
      <c r="D22" s="364"/>
    </row>
  </sheetData>
  <sheetProtection/>
  <mergeCells count="2">
    <mergeCell ref="A1:D1"/>
    <mergeCell ref="A2:D2"/>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39" r:id="rId1"/>
</worksheet>
</file>

<file path=xl/worksheets/sheet19.xml><?xml version="1.0" encoding="utf-8"?>
<worksheet xmlns="http://schemas.openxmlformats.org/spreadsheetml/2006/main" xmlns:r="http://schemas.openxmlformats.org/officeDocument/2006/relationships">
  <sheetPr>
    <tabColor indexed="42"/>
    <pageSetUpPr fitToPage="1"/>
  </sheetPr>
  <dimension ref="A1:H32"/>
  <sheetViews>
    <sheetView zoomScalePageLayoutView="0" workbookViewId="0" topLeftCell="A1">
      <pane xSplit="2" ySplit="5" topLeftCell="C21" activePane="bottomRight" state="frozen"/>
      <selection pane="topLeft" activeCell="A1" sqref="A1"/>
      <selection pane="topRight" activeCell="C1" sqref="C1"/>
      <selection pane="bottomLeft" activeCell="A6" sqref="A6"/>
      <selection pane="bottomRight" activeCell="D26" sqref="D26"/>
    </sheetView>
  </sheetViews>
  <sheetFormatPr defaultColWidth="9.140625" defaultRowHeight="12.75"/>
  <cols>
    <col min="1" max="1" width="7.7109375" style="40" customWidth="1"/>
    <col min="2" max="2" width="47.57421875" style="316" customWidth="1"/>
    <col min="3" max="3" width="17.8515625" style="123" customWidth="1"/>
    <col min="4" max="4" width="16.8515625" style="123" customWidth="1"/>
    <col min="5" max="5" width="17.140625" style="123" customWidth="1"/>
    <col min="6" max="6" width="18.140625" style="123" customWidth="1"/>
    <col min="7" max="7" width="17.421875" style="123" customWidth="1"/>
    <col min="8" max="8" width="17.00390625" style="123" customWidth="1"/>
    <col min="9" max="16384" width="9.140625" style="123" customWidth="1"/>
  </cols>
  <sheetData>
    <row r="1" spans="1:8" s="365" customFormat="1" ht="60" customHeight="1">
      <c r="A1" s="696" t="s">
        <v>1233</v>
      </c>
      <c r="B1" s="697"/>
      <c r="C1" s="697"/>
      <c r="D1" s="697"/>
      <c r="E1" s="697"/>
      <c r="F1" s="697"/>
      <c r="G1" s="697"/>
      <c r="H1" s="698"/>
    </row>
    <row r="2" spans="1:8" s="365" customFormat="1" ht="34.5" customHeight="1">
      <c r="A2" s="672" t="s">
        <v>1244</v>
      </c>
      <c r="B2" s="673"/>
      <c r="C2" s="673"/>
      <c r="D2" s="673"/>
      <c r="E2" s="673"/>
      <c r="F2" s="673"/>
      <c r="G2" s="673"/>
      <c r="H2" s="674"/>
    </row>
    <row r="3" spans="1:8" ht="27" customHeight="1">
      <c r="A3" s="653" t="s">
        <v>271</v>
      </c>
      <c r="B3" s="652"/>
      <c r="C3" s="653" t="s">
        <v>377</v>
      </c>
      <c r="D3" s="653"/>
      <c r="E3" s="653" t="s">
        <v>378</v>
      </c>
      <c r="F3" s="653"/>
      <c r="G3" s="653" t="s">
        <v>294</v>
      </c>
      <c r="H3" s="653"/>
    </row>
    <row r="4" spans="1:8" ht="33" customHeight="1">
      <c r="A4" s="653"/>
      <c r="B4" s="652"/>
      <c r="C4" s="3" t="s">
        <v>96</v>
      </c>
      <c r="D4" s="3" t="s">
        <v>261</v>
      </c>
      <c r="E4" s="3" t="s">
        <v>96</v>
      </c>
      <c r="F4" s="3" t="s">
        <v>261</v>
      </c>
      <c r="G4" s="3" t="s">
        <v>96</v>
      </c>
      <c r="H4" s="3" t="s">
        <v>261</v>
      </c>
    </row>
    <row r="5" spans="1:8" ht="21" customHeight="1">
      <c r="A5" s="3"/>
      <c r="B5" s="189"/>
      <c r="C5" s="13" t="s">
        <v>359</v>
      </c>
      <c r="D5" s="13" t="s">
        <v>360</v>
      </c>
      <c r="E5" s="13" t="s">
        <v>361</v>
      </c>
      <c r="F5" s="13" t="s">
        <v>368</v>
      </c>
      <c r="G5" s="13" t="s">
        <v>48</v>
      </c>
      <c r="H5" s="13" t="s">
        <v>49</v>
      </c>
    </row>
    <row r="6" spans="1:8" ht="18" customHeight="1">
      <c r="A6" s="366">
        <v>1</v>
      </c>
      <c r="B6" s="372" t="s">
        <v>1402</v>
      </c>
      <c r="C6" s="373">
        <f>C7+C8+C9+C10</f>
        <v>0</v>
      </c>
      <c r="D6" s="373">
        <f>D7+D8+D9+D10</f>
        <v>0</v>
      </c>
      <c r="E6" s="373">
        <f>E7+E8+E9+E10</f>
        <v>0</v>
      </c>
      <c r="F6" s="373">
        <f>F7+F8+F9+F10</f>
        <v>0</v>
      </c>
      <c r="G6" s="373">
        <f aca="true" t="shared" si="0" ref="G6:H29">C6+E6</f>
        <v>0</v>
      </c>
      <c r="H6" s="373">
        <f t="shared" si="0"/>
        <v>0</v>
      </c>
    </row>
    <row r="7" spans="1:8" ht="18" customHeight="1">
      <c r="A7" s="366">
        <f aca="true" t="shared" si="1" ref="A7:A26">A6+1</f>
        <v>2</v>
      </c>
      <c r="B7" s="367" t="s">
        <v>40</v>
      </c>
      <c r="C7" s="368"/>
      <c r="D7" s="368"/>
      <c r="E7" s="368"/>
      <c r="F7" s="368"/>
      <c r="G7" s="373">
        <f t="shared" si="0"/>
        <v>0</v>
      </c>
      <c r="H7" s="373">
        <f t="shared" si="0"/>
        <v>0</v>
      </c>
    </row>
    <row r="8" spans="1:8" ht="18" customHeight="1">
      <c r="A8" s="366">
        <f t="shared" si="1"/>
        <v>3</v>
      </c>
      <c r="B8" s="367" t="s">
        <v>41</v>
      </c>
      <c r="C8" s="368"/>
      <c r="D8" s="368"/>
      <c r="E8" s="368"/>
      <c r="F8" s="368"/>
      <c r="G8" s="373">
        <f t="shared" si="0"/>
        <v>0</v>
      </c>
      <c r="H8" s="373">
        <f t="shared" si="0"/>
        <v>0</v>
      </c>
    </row>
    <row r="9" spans="1:8" ht="18" customHeight="1">
      <c r="A9" s="366">
        <f t="shared" si="1"/>
        <v>4</v>
      </c>
      <c r="B9" s="367" t="s">
        <v>1403</v>
      </c>
      <c r="C9" s="368"/>
      <c r="D9" s="368"/>
      <c r="E9" s="368"/>
      <c r="F9" s="368"/>
      <c r="G9" s="373">
        <f t="shared" si="0"/>
        <v>0</v>
      </c>
      <c r="H9" s="373">
        <f t="shared" si="0"/>
        <v>0</v>
      </c>
    </row>
    <row r="10" spans="1:8" ht="18" customHeight="1">
      <c r="A10" s="366">
        <f t="shared" si="1"/>
        <v>5</v>
      </c>
      <c r="B10" s="367" t="s">
        <v>42</v>
      </c>
      <c r="C10" s="368"/>
      <c r="D10" s="368"/>
      <c r="E10" s="368"/>
      <c r="F10" s="368"/>
      <c r="G10" s="373">
        <f t="shared" si="0"/>
        <v>0</v>
      </c>
      <c r="H10" s="373">
        <f t="shared" si="0"/>
        <v>0</v>
      </c>
    </row>
    <row r="11" spans="1:8" ht="18" customHeight="1">
      <c r="A11" s="366">
        <f t="shared" si="1"/>
        <v>6</v>
      </c>
      <c r="B11" s="372" t="s">
        <v>1404</v>
      </c>
      <c r="C11" s="373">
        <f>C12+C13</f>
        <v>0</v>
      </c>
      <c r="D11" s="373">
        <f>D12+D13</f>
        <v>0</v>
      </c>
      <c r="E11" s="373">
        <f>E12+E13</f>
        <v>0</v>
      </c>
      <c r="F11" s="373">
        <f>F12+F13</f>
        <v>0</v>
      </c>
      <c r="G11" s="373">
        <f t="shared" si="0"/>
        <v>0</v>
      </c>
      <c r="H11" s="373">
        <f t="shared" si="0"/>
        <v>0</v>
      </c>
    </row>
    <row r="12" spans="1:8" ht="15.75">
      <c r="A12" s="366">
        <f t="shared" si="1"/>
        <v>7</v>
      </c>
      <c r="B12" s="367" t="s">
        <v>43</v>
      </c>
      <c r="C12" s="368"/>
      <c r="D12" s="368"/>
      <c r="E12" s="368"/>
      <c r="F12" s="368"/>
      <c r="G12" s="373">
        <f t="shared" si="0"/>
        <v>0</v>
      </c>
      <c r="H12" s="373">
        <f t="shared" si="0"/>
        <v>0</v>
      </c>
    </row>
    <row r="13" spans="1:8" ht="15.75">
      <c r="A13" s="366">
        <f t="shared" si="1"/>
        <v>8</v>
      </c>
      <c r="B13" s="367" t="s">
        <v>1405</v>
      </c>
      <c r="C13" s="368"/>
      <c r="D13" s="368"/>
      <c r="E13" s="368"/>
      <c r="F13" s="368"/>
      <c r="G13" s="373">
        <f t="shared" si="0"/>
        <v>0</v>
      </c>
      <c r="H13" s="373">
        <f t="shared" si="0"/>
        <v>0</v>
      </c>
    </row>
    <row r="14" spans="1:8" ht="15.75">
      <c r="A14" s="366">
        <f t="shared" si="1"/>
        <v>9</v>
      </c>
      <c r="B14" s="372" t="s">
        <v>1406</v>
      </c>
      <c r="C14" s="373">
        <f>C15</f>
        <v>0</v>
      </c>
      <c r="D14" s="373">
        <f>D15</f>
        <v>0</v>
      </c>
      <c r="E14" s="373">
        <f>E15</f>
        <v>0</v>
      </c>
      <c r="F14" s="373">
        <f>F15</f>
        <v>0</v>
      </c>
      <c r="G14" s="373">
        <f aca="true" t="shared" si="2" ref="G14:H18">C14+E14</f>
        <v>0</v>
      </c>
      <c r="H14" s="373">
        <f t="shared" si="2"/>
        <v>0</v>
      </c>
    </row>
    <row r="15" spans="1:8" ht="15.75">
      <c r="A15" s="366">
        <f t="shared" si="1"/>
        <v>10</v>
      </c>
      <c r="B15" s="367" t="s">
        <v>1090</v>
      </c>
      <c r="C15" s="368"/>
      <c r="D15" s="368"/>
      <c r="E15" s="368"/>
      <c r="F15" s="368"/>
      <c r="G15" s="373">
        <f t="shared" si="2"/>
        <v>0</v>
      </c>
      <c r="H15" s="373">
        <f t="shared" si="2"/>
        <v>0</v>
      </c>
    </row>
    <row r="16" spans="1:8" ht="15.75">
      <c r="A16" s="366">
        <f t="shared" si="1"/>
        <v>11</v>
      </c>
      <c r="B16" s="372" t="s">
        <v>1407</v>
      </c>
      <c r="C16" s="373">
        <f>SUM(C17:C20)</f>
        <v>408416.98</v>
      </c>
      <c r="D16" s="373">
        <f>SUM(D17:D20)</f>
        <v>50112.73</v>
      </c>
      <c r="E16" s="373">
        <f>SUM(E17:E20)</f>
        <v>4651289.47</v>
      </c>
      <c r="F16" s="373">
        <f>SUM(F17:F20)</f>
        <v>557215.19</v>
      </c>
      <c r="G16" s="373">
        <f t="shared" si="2"/>
        <v>5059706.449999999</v>
      </c>
      <c r="H16" s="373">
        <f t="shared" si="2"/>
        <v>607327.9199999999</v>
      </c>
    </row>
    <row r="17" spans="1:8" ht="15.75">
      <c r="A17" s="366">
        <f t="shared" si="1"/>
        <v>12</v>
      </c>
      <c r="B17" s="367" t="s">
        <v>485</v>
      </c>
      <c r="C17" s="368">
        <f>'[5]T17-Dotácie zo ŠF EU'!C17+'[6]T17-Dotácie zo ŠF EU'!C17+'[10]T17-Dotácie zo ŠF EU'!C17</f>
        <v>394308.68</v>
      </c>
      <c r="D17" s="368">
        <f>'[5]T17-Dotácie zo ŠF EU'!D17+'[6]T17-Dotácie zo ŠF EU'!D17+'[10]T17-Dotácie zo ŠF EU'!D17</f>
        <v>48071.04</v>
      </c>
      <c r="E17" s="368">
        <v>4608257.83</v>
      </c>
      <c r="F17" s="368">
        <v>549621.37</v>
      </c>
      <c r="G17" s="373">
        <f t="shared" si="2"/>
        <v>5002566.51</v>
      </c>
      <c r="H17" s="373">
        <f t="shared" si="2"/>
        <v>597692.41</v>
      </c>
    </row>
    <row r="18" spans="1:8" ht="15.75">
      <c r="A18" s="366">
        <f t="shared" si="1"/>
        <v>13</v>
      </c>
      <c r="B18" s="367" t="s">
        <v>1091</v>
      </c>
      <c r="C18" s="368">
        <f>'[5]T17-Dotácie zo ŠF EU'!C18+'[6]T17-Dotácie zo ŠF EU'!C18+'[10]T17-Dotácie zo ŠF EU'!C18</f>
        <v>14108.3</v>
      </c>
      <c r="D18" s="368">
        <f>'[5]T17-Dotácie zo ŠF EU'!D18+'[6]T17-Dotácie zo ŠF EU'!D18+'[10]T17-Dotácie zo ŠF EU'!D18</f>
        <v>2041.69</v>
      </c>
      <c r="E18" s="368">
        <f>'[5]T17-Dotácie zo ŠF EU'!E18+'[6]T17-Dotácie zo ŠF EU'!E18+'[10]T17-Dotácie zo ŠF EU'!E18</f>
        <v>43031.64</v>
      </c>
      <c r="F18" s="368">
        <f>'[5]T17-Dotácie zo ŠF EU'!F18+'[6]T17-Dotácie zo ŠF EU'!F18+'[10]T17-Dotácie zo ŠF EU'!F18</f>
        <v>7593.82</v>
      </c>
      <c r="G18" s="373">
        <f t="shared" si="2"/>
        <v>57139.94</v>
      </c>
      <c r="H18" s="373">
        <f t="shared" si="2"/>
        <v>9635.51</v>
      </c>
    </row>
    <row r="19" spans="1:8" ht="15.75">
      <c r="A19" s="366">
        <f t="shared" si="1"/>
        <v>14</v>
      </c>
      <c r="B19" s="367" t="s">
        <v>486</v>
      </c>
      <c r="C19" s="368">
        <f>'[5]T17-Dotácie zo ŠF EU'!C19+'[6]T17-Dotácie zo ŠF EU'!C19+'[10]T17-Dotácie zo ŠF EU'!C19</f>
        <v>0</v>
      </c>
      <c r="D19" s="368">
        <f>'[5]T17-Dotácie zo ŠF EU'!D19+'[6]T17-Dotácie zo ŠF EU'!D19+'[10]T17-Dotácie zo ŠF EU'!D19</f>
        <v>0</v>
      </c>
      <c r="E19" s="368"/>
      <c r="F19" s="368"/>
      <c r="G19" s="373">
        <f t="shared" si="0"/>
        <v>0</v>
      </c>
      <c r="H19" s="373">
        <f t="shared" si="0"/>
        <v>0</v>
      </c>
    </row>
    <row r="20" spans="1:8" ht="15.75">
      <c r="A20" s="366">
        <f t="shared" si="1"/>
        <v>15</v>
      </c>
      <c r="B20" s="367" t="s">
        <v>1092</v>
      </c>
      <c r="C20" s="368">
        <f>'[5]T17-Dotácie zo ŠF EU'!C20+'[6]T17-Dotácie zo ŠF EU'!C20+'[10]T17-Dotácie zo ŠF EU'!C20</f>
        <v>0</v>
      </c>
      <c r="D20" s="368">
        <f>'[5]T17-Dotácie zo ŠF EU'!D20+'[6]T17-Dotácie zo ŠF EU'!D20+'[10]T17-Dotácie zo ŠF EU'!D20</f>
        <v>0</v>
      </c>
      <c r="E20" s="368"/>
      <c r="F20" s="368"/>
      <c r="G20" s="373">
        <f t="shared" si="0"/>
        <v>0</v>
      </c>
      <c r="H20" s="373">
        <f t="shared" si="0"/>
        <v>0</v>
      </c>
    </row>
    <row r="21" spans="1:8" ht="15.75">
      <c r="A21" s="366">
        <f t="shared" si="1"/>
        <v>16</v>
      </c>
      <c r="B21" s="372" t="s">
        <v>1408</v>
      </c>
      <c r="C21" s="373">
        <f>C22</f>
        <v>230681.34</v>
      </c>
      <c r="D21" s="373">
        <f>D22</f>
        <v>27139.23</v>
      </c>
      <c r="E21" s="373">
        <f>E22</f>
        <v>2104716.79</v>
      </c>
      <c r="F21" s="373">
        <f>F22</f>
        <v>247613.92</v>
      </c>
      <c r="G21" s="373">
        <f t="shared" si="0"/>
        <v>2335398.13</v>
      </c>
      <c r="H21" s="373">
        <f t="shared" si="0"/>
        <v>274753.15</v>
      </c>
    </row>
    <row r="22" spans="1:8" ht="15.75">
      <c r="A22" s="366">
        <f t="shared" si="1"/>
        <v>17</v>
      </c>
      <c r="B22" s="367" t="s">
        <v>487</v>
      </c>
      <c r="C22" s="368">
        <f>'[5]T17-Dotácie zo ŠF EU'!C22+'[6]T17-Dotácie zo ŠF EU'!C22+'[10]T17-Dotácie zo ŠF EU'!C22</f>
        <v>230681.34</v>
      </c>
      <c r="D22" s="368">
        <f>'[5]T17-Dotácie zo ŠF EU'!D22+'[6]T17-Dotácie zo ŠF EU'!D22+'[10]T17-Dotácie zo ŠF EU'!D22</f>
        <v>27139.23</v>
      </c>
      <c r="E22" s="368">
        <v>2104716.79</v>
      </c>
      <c r="F22" s="368">
        <v>247613.92</v>
      </c>
      <c r="G22" s="373">
        <f t="shared" si="0"/>
        <v>2335398.13</v>
      </c>
      <c r="H22" s="373">
        <f t="shared" si="0"/>
        <v>274753.15</v>
      </c>
    </row>
    <row r="23" spans="1:8" ht="15.75">
      <c r="A23" s="366">
        <f t="shared" si="1"/>
        <v>18</v>
      </c>
      <c r="B23" s="372" t="s">
        <v>1409</v>
      </c>
      <c r="C23" s="373">
        <f>C24</f>
        <v>378137.75</v>
      </c>
      <c r="D23" s="373">
        <f>D24</f>
        <v>44487.06</v>
      </c>
      <c r="E23" s="373">
        <f>E24</f>
        <v>0</v>
      </c>
      <c r="F23" s="373">
        <f>F24</f>
        <v>0</v>
      </c>
      <c r="G23" s="373">
        <f t="shared" si="0"/>
        <v>378137.75</v>
      </c>
      <c r="H23" s="373">
        <f t="shared" si="0"/>
        <v>44487.06</v>
      </c>
    </row>
    <row r="24" spans="1:8" ht="15.75">
      <c r="A24" s="366">
        <f t="shared" si="1"/>
        <v>19</v>
      </c>
      <c r="B24" s="367" t="s">
        <v>1067</v>
      </c>
      <c r="C24" s="368">
        <f>'[5]T17-Dotácie zo ŠF EU'!C24+'[6]T17-Dotácie zo ŠF EU'!C24+'[10]T17-Dotácie zo ŠF EU'!C24</f>
        <v>378137.75</v>
      </c>
      <c r="D24" s="368">
        <f>'[5]T17-Dotácie zo ŠF EU'!D24+'[6]T17-Dotácie zo ŠF EU'!D24+'[10]T17-Dotácie zo ŠF EU'!D24</f>
        <v>44487.06</v>
      </c>
      <c r="E24" s="368">
        <f>'[5]T17-Dotácie zo ŠF EU'!E24+'[6]T17-Dotácie zo ŠF EU'!E24+'[10]T17-Dotácie zo ŠF EU'!E24</f>
        <v>0</v>
      </c>
      <c r="F24" s="368">
        <f>'[5]T17-Dotácie zo ŠF EU'!F24+'[6]T17-Dotácie zo ŠF EU'!F24+'[10]T17-Dotácie zo ŠF EU'!F24</f>
        <v>0</v>
      </c>
      <c r="G24" s="373">
        <f t="shared" si="0"/>
        <v>378137.75</v>
      </c>
      <c r="H24" s="373">
        <f t="shared" si="0"/>
        <v>44487.06</v>
      </c>
    </row>
    <row r="25" spans="1:8" ht="31.5">
      <c r="A25" s="366">
        <f t="shared" si="1"/>
        <v>20</v>
      </c>
      <c r="B25" s="372" t="s">
        <v>1410</v>
      </c>
      <c r="C25" s="373">
        <f>C6+C9+C11+C16+C21+C23</f>
        <v>1017236.07</v>
      </c>
      <c r="D25" s="373">
        <f>D6+D9+D11+D16+D21+D23</f>
        <v>121739.02</v>
      </c>
      <c r="E25" s="373">
        <f>E6+E9+E11+E16+E21+E23</f>
        <v>6756006.26</v>
      </c>
      <c r="F25" s="373">
        <f>F6+F9+F11+F16+F21+F23</f>
        <v>804829.11</v>
      </c>
      <c r="G25" s="373">
        <f t="shared" si="0"/>
        <v>7773242.33</v>
      </c>
      <c r="H25" s="373">
        <f t="shared" si="0"/>
        <v>926568.13</v>
      </c>
    </row>
    <row r="26" spans="1:8" ht="31.5">
      <c r="A26" s="366">
        <f t="shared" si="1"/>
        <v>21</v>
      </c>
      <c r="B26" s="372" t="s">
        <v>1411</v>
      </c>
      <c r="C26" s="373">
        <f>SUM(C27:C28)</f>
        <v>0</v>
      </c>
      <c r="D26" s="373">
        <f>SUM(D27:D28)</f>
        <v>0</v>
      </c>
      <c r="E26" s="373">
        <f>SUM(E27:E28)</f>
        <v>0</v>
      </c>
      <c r="F26" s="373">
        <f>SUM(F27:F28)</f>
        <v>0</v>
      </c>
      <c r="G26" s="373">
        <f t="shared" si="0"/>
        <v>0</v>
      </c>
      <c r="H26" s="373">
        <f t="shared" si="0"/>
        <v>0</v>
      </c>
    </row>
    <row r="27" spans="1:8" ht="51" customHeight="1">
      <c r="A27" s="366" t="s">
        <v>1094</v>
      </c>
      <c r="B27" s="369" t="s">
        <v>187</v>
      </c>
      <c r="C27" s="370">
        <v>0</v>
      </c>
      <c r="D27" s="370">
        <v>0</v>
      </c>
      <c r="E27" s="370">
        <v>0</v>
      </c>
      <c r="F27" s="370">
        <v>0</v>
      </c>
      <c r="G27" s="373">
        <f t="shared" si="0"/>
        <v>0</v>
      </c>
      <c r="H27" s="373">
        <f t="shared" si="0"/>
        <v>0</v>
      </c>
    </row>
    <row r="28" spans="1:8" ht="15.75">
      <c r="A28" s="366"/>
      <c r="B28" s="371"/>
      <c r="C28" s="370"/>
      <c r="D28" s="370"/>
      <c r="E28" s="370"/>
      <c r="F28" s="370"/>
      <c r="G28" s="373">
        <f t="shared" si="0"/>
        <v>0</v>
      </c>
      <c r="H28" s="373">
        <f t="shared" si="0"/>
        <v>0</v>
      </c>
    </row>
    <row r="29" spans="1:8" ht="15.75">
      <c r="A29" s="366">
        <v>22</v>
      </c>
      <c r="B29" s="372" t="s">
        <v>1412</v>
      </c>
      <c r="C29" s="373">
        <f>C25+C26</f>
        <v>1017236.07</v>
      </c>
      <c r="D29" s="373">
        <f>D25+D26</f>
        <v>121739.02</v>
      </c>
      <c r="E29" s="373">
        <f>E25+E26</f>
        <v>6756006.26</v>
      </c>
      <c r="F29" s="373">
        <f>F25+F26</f>
        <v>804829.11</v>
      </c>
      <c r="G29" s="373">
        <f t="shared" si="0"/>
        <v>7773242.33</v>
      </c>
      <c r="H29" s="373">
        <f t="shared" si="0"/>
        <v>926568.13</v>
      </c>
    </row>
    <row r="32" spans="5:6" ht="15.75">
      <c r="E32" s="187"/>
      <c r="F32" s="187"/>
    </row>
  </sheetData>
  <sheetProtection selectLockedCells="1"/>
  <protectedRanges>
    <protectedRange sqref="C6:F6" name="Rozsah2_1"/>
  </protectedRanges>
  <mergeCells count="7">
    <mergeCell ref="A1:H1"/>
    <mergeCell ref="G3:H3"/>
    <mergeCell ref="C3:D3"/>
    <mergeCell ref="E3:F3"/>
    <mergeCell ref="A3:A4"/>
    <mergeCell ref="B3:B4"/>
    <mergeCell ref="A2:H2"/>
  </mergeCells>
  <printOptions gridLines="1"/>
  <pageMargins left="0.7480314960629921" right="0.7480314960629921" top="0.984251968503937" bottom="0.88" header="0.5118110236220472" footer="0.5118110236220472"/>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tabColor indexed="33"/>
    <pageSetUpPr fitToPage="1"/>
  </sheetPr>
  <dimension ref="A1:D29"/>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8" sqref="C8"/>
    </sheetView>
  </sheetViews>
  <sheetFormatPr defaultColWidth="62.140625" defaultRowHeight="12.75"/>
  <cols>
    <col min="1" max="1" width="17.421875" style="0" customWidth="1"/>
    <col min="2" max="2" width="40.140625" style="54" customWidth="1"/>
    <col min="3" max="3" width="62.57421875" style="0" customWidth="1"/>
    <col min="4" max="4" width="48.28125" style="0" customWidth="1"/>
  </cols>
  <sheetData>
    <row r="1" spans="1:3" s="60" customFormat="1" ht="48" customHeight="1" thickBot="1">
      <c r="A1" s="552" t="s">
        <v>1211</v>
      </c>
      <c r="B1" s="553"/>
      <c r="C1" s="554"/>
    </row>
    <row r="2" spans="1:3" ht="47.25">
      <c r="A2" s="548" t="s">
        <v>1007</v>
      </c>
      <c r="B2" s="549"/>
      <c r="C2" s="117" t="s">
        <v>1013</v>
      </c>
    </row>
    <row r="3" spans="1:3" ht="63">
      <c r="A3" s="550" t="s">
        <v>1005</v>
      </c>
      <c r="B3" s="551"/>
      <c r="C3" s="118" t="s">
        <v>1006</v>
      </c>
    </row>
    <row r="4" spans="1:3" ht="15.75">
      <c r="A4" s="124" t="s">
        <v>11</v>
      </c>
      <c r="B4" s="110"/>
      <c r="C4" s="118" t="s">
        <v>1200</v>
      </c>
    </row>
    <row r="5" spans="1:3" ht="15.75">
      <c r="A5" s="125" t="s">
        <v>384</v>
      </c>
      <c r="B5" s="19"/>
      <c r="C5" s="115" t="s">
        <v>1069</v>
      </c>
    </row>
    <row r="6" spans="1:3" ht="47.25">
      <c r="A6" s="125" t="s">
        <v>272</v>
      </c>
      <c r="B6" s="19"/>
      <c r="C6" s="115" t="s">
        <v>1168</v>
      </c>
    </row>
    <row r="7" spans="1:3" ht="31.5">
      <c r="A7" s="125" t="s">
        <v>273</v>
      </c>
      <c r="B7" s="19"/>
      <c r="C7" s="115" t="s">
        <v>1106</v>
      </c>
    </row>
    <row r="8" spans="1:3" ht="15.75">
      <c r="A8" s="125" t="s">
        <v>274</v>
      </c>
      <c r="B8" s="19"/>
      <c r="C8" s="115" t="s">
        <v>1105</v>
      </c>
    </row>
    <row r="9" spans="1:3" ht="15.75">
      <c r="A9" s="131" t="s">
        <v>275</v>
      </c>
      <c r="B9" s="122"/>
      <c r="C9" s="115" t="s">
        <v>1080</v>
      </c>
    </row>
    <row r="10" spans="1:3" ht="15.75">
      <c r="A10" s="125" t="s">
        <v>276</v>
      </c>
      <c r="B10" s="19"/>
      <c r="C10" s="119" t="s">
        <v>1197</v>
      </c>
    </row>
    <row r="11" spans="1:3" ht="47.25">
      <c r="A11" s="543" t="s">
        <v>277</v>
      </c>
      <c r="B11" s="546" t="s">
        <v>1008</v>
      </c>
      <c r="C11" s="21" t="s">
        <v>1087</v>
      </c>
    </row>
    <row r="12" spans="1:3" ht="63">
      <c r="A12" s="544"/>
      <c r="B12" s="546"/>
      <c r="C12" s="119" t="s">
        <v>1097</v>
      </c>
    </row>
    <row r="13" spans="1:3" ht="31.5">
      <c r="A13" s="545"/>
      <c r="B13" s="547"/>
      <c r="C13" s="119" t="s">
        <v>1098</v>
      </c>
    </row>
    <row r="14" spans="1:3" ht="15.75">
      <c r="A14" s="125" t="s">
        <v>252</v>
      </c>
      <c r="B14" s="19" t="s">
        <v>449</v>
      </c>
      <c r="C14" s="119" t="s">
        <v>1197</v>
      </c>
    </row>
    <row r="15" spans="1:3" ht="36" customHeight="1">
      <c r="A15" s="125" t="s">
        <v>0</v>
      </c>
      <c r="B15" s="19" t="s">
        <v>450</v>
      </c>
      <c r="C15" s="116" t="s">
        <v>1039</v>
      </c>
    </row>
    <row r="16" spans="1:3" ht="85.5" customHeight="1">
      <c r="A16" s="132" t="s">
        <v>1</v>
      </c>
      <c r="B16" s="19" t="s">
        <v>451</v>
      </c>
      <c r="C16" s="149" t="s">
        <v>1096</v>
      </c>
    </row>
    <row r="17" spans="1:3" ht="31.5">
      <c r="A17" s="125" t="s">
        <v>2</v>
      </c>
      <c r="B17" s="19" t="s">
        <v>452</v>
      </c>
      <c r="C17" s="120" t="s">
        <v>1009</v>
      </c>
    </row>
    <row r="18" spans="1:3" ht="31.5">
      <c r="A18" s="125" t="s">
        <v>3</v>
      </c>
      <c r="B18" s="19" t="s">
        <v>935</v>
      </c>
      <c r="C18" s="120" t="s">
        <v>1169</v>
      </c>
    </row>
    <row r="19" spans="1:3" ht="30.75" customHeight="1">
      <c r="A19" s="125" t="s">
        <v>4</v>
      </c>
      <c r="B19" s="19" t="s">
        <v>103</v>
      </c>
      <c r="C19" s="116" t="s">
        <v>482</v>
      </c>
    </row>
    <row r="20" spans="1:3" ht="15.75">
      <c r="A20" s="125" t="s">
        <v>5</v>
      </c>
      <c r="B20" s="19" t="s">
        <v>104</v>
      </c>
      <c r="C20" s="116" t="s">
        <v>482</v>
      </c>
    </row>
    <row r="21" spans="1:3" ht="15.75">
      <c r="A21" s="125" t="s">
        <v>91</v>
      </c>
      <c r="B21" s="19" t="s">
        <v>105</v>
      </c>
      <c r="C21" s="115" t="s">
        <v>1201</v>
      </c>
    </row>
    <row r="22" spans="1:3" ht="31.5">
      <c r="A22" s="125" t="s">
        <v>6</v>
      </c>
      <c r="B22" s="19" t="s">
        <v>106</v>
      </c>
      <c r="C22" s="115" t="s">
        <v>1070</v>
      </c>
    </row>
    <row r="23" spans="1:3" ht="15.75">
      <c r="A23" s="125" t="s">
        <v>7</v>
      </c>
      <c r="B23" s="19" t="s">
        <v>936</v>
      </c>
      <c r="C23" s="116" t="s">
        <v>482</v>
      </c>
    </row>
    <row r="24" spans="1:3" ht="15.75">
      <c r="A24" s="125" t="s">
        <v>8</v>
      </c>
      <c r="B24" s="19" t="s">
        <v>937</v>
      </c>
      <c r="C24" s="21" t="s">
        <v>482</v>
      </c>
    </row>
    <row r="25" spans="1:4" ht="31.5">
      <c r="A25" s="125" t="s">
        <v>9</v>
      </c>
      <c r="B25" s="19" t="s">
        <v>938</v>
      </c>
      <c r="C25" s="120" t="s">
        <v>1099</v>
      </c>
      <c r="D25" s="108"/>
    </row>
    <row r="26" spans="1:3" ht="47.25">
      <c r="A26" s="125" t="s">
        <v>735</v>
      </c>
      <c r="B26" s="19" t="s">
        <v>1033</v>
      </c>
      <c r="C26" s="21" t="s">
        <v>482</v>
      </c>
    </row>
    <row r="27" spans="1:3" ht="47.25">
      <c r="A27" s="125" t="s">
        <v>736</v>
      </c>
      <c r="B27" s="19" t="s">
        <v>1034</v>
      </c>
      <c r="C27" s="119" t="s">
        <v>1075</v>
      </c>
    </row>
    <row r="28" spans="1:3" ht="31.5">
      <c r="A28" s="125" t="s">
        <v>1167</v>
      </c>
      <c r="B28" s="19" t="s">
        <v>1198</v>
      </c>
      <c r="C28" s="119" t="s">
        <v>1197</v>
      </c>
    </row>
    <row r="29" spans="1:3" ht="23.25" customHeight="1" thickBot="1">
      <c r="A29" s="133" t="s">
        <v>737</v>
      </c>
      <c r="B29" s="88" t="s">
        <v>1199</v>
      </c>
      <c r="C29" s="134" t="s">
        <v>1197</v>
      </c>
    </row>
  </sheetData>
  <sheetProtection/>
  <mergeCells count="5">
    <mergeCell ref="A11:A13"/>
    <mergeCell ref="B11:B13"/>
    <mergeCell ref="A2:B2"/>
    <mergeCell ref="A3:B3"/>
    <mergeCell ref="A1:C1"/>
  </mergeCells>
  <printOptions/>
  <pageMargins left="0.49" right="0.41" top="1" bottom="1" header="0.51" footer="0.4921259845"/>
  <pageSetup fitToHeight="1" fitToWidth="1" horizontalDpi="600" verticalDpi="600" orientation="portrait" paperSize="9" scale="74" r:id="rId1"/>
</worksheet>
</file>

<file path=xl/worksheets/sheet20.xml><?xml version="1.0" encoding="utf-8"?>
<worksheet xmlns="http://schemas.openxmlformats.org/spreadsheetml/2006/main" xmlns:r="http://schemas.openxmlformats.org/officeDocument/2006/relationships">
  <sheetPr>
    <tabColor indexed="42"/>
    <pageSetUpPr fitToPage="1"/>
  </sheetPr>
  <dimension ref="A1:G23"/>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E23" sqref="E23"/>
    </sheetView>
  </sheetViews>
  <sheetFormatPr defaultColWidth="9.140625" defaultRowHeight="12.75"/>
  <cols>
    <col min="1" max="1" width="9.57421875" style="214" customWidth="1"/>
    <col min="2" max="2" width="58.421875" style="14" customWidth="1"/>
    <col min="3" max="3" width="22.140625" style="45" customWidth="1"/>
    <col min="4" max="4" width="21.140625" style="45" customWidth="1"/>
    <col min="5" max="5" width="24.140625" style="45" customWidth="1"/>
    <col min="6" max="16384" width="9.140625" style="14" customWidth="1"/>
  </cols>
  <sheetData>
    <row r="1" spans="1:7" ht="65.25" customHeight="1">
      <c r="A1" s="681" t="s">
        <v>1234</v>
      </c>
      <c r="B1" s="682"/>
      <c r="C1" s="682"/>
      <c r="D1" s="682"/>
      <c r="E1" s="683"/>
      <c r="F1" s="201"/>
      <c r="G1" s="201"/>
    </row>
    <row r="2" spans="1:7" ht="34.5" customHeight="1">
      <c r="A2" s="672" t="s">
        <v>1244</v>
      </c>
      <c r="B2" s="673"/>
      <c r="C2" s="673"/>
      <c r="D2" s="673"/>
      <c r="E2" s="674"/>
      <c r="F2" s="201"/>
      <c r="G2" s="201"/>
    </row>
    <row r="3" spans="1:5" s="204" customFormat="1" ht="46.5" customHeight="1">
      <c r="A3" s="192" t="s">
        <v>271</v>
      </c>
      <c r="B3" s="3" t="s">
        <v>407</v>
      </c>
      <c r="C3" s="3" t="s">
        <v>377</v>
      </c>
      <c r="D3" s="3" t="s">
        <v>378</v>
      </c>
      <c r="E3" s="2" t="s">
        <v>279</v>
      </c>
    </row>
    <row r="4" spans="1:5" s="204" customFormat="1" ht="16.5" customHeight="1">
      <c r="A4" s="192"/>
      <c r="B4" s="3"/>
      <c r="C4" s="3" t="s">
        <v>359</v>
      </c>
      <c r="D4" s="3" t="s">
        <v>360</v>
      </c>
      <c r="E4" s="2" t="s">
        <v>45</v>
      </c>
    </row>
    <row r="5" spans="1:5" s="204" customFormat="1" ht="17.25" customHeight="1">
      <c r="A5" s="192"/>
      <c r="B5" s="374" t="s">
        <v>456</v>
      </c>
      <c r="C5" s="153"/>
      <c r="D5" s="153"/>
      <c r="E5" s="154"/>
    </row>
    <row r="6" spans="1:5" s="204" customFormat="1" ht="17.25" customHeight="1">
      <c r="A6" s="12">
        <v>1</v>
      </c>
      <c r="B6" s="203" t="s">
        <v>1413</v>
      </c>
      <c r="C6" s="184">
        <f>SUM(C7:C10)</f>
        <v>703223.81</v>
      </c>
      <c r="D6" s="184">
        <f>SUM(D7:D10)</f>
        <v>0</v>
      </c>
      <c r="E6" s="170">
        <f>C6+D6</f>
        <v>703223.81</v>
      </c>
    </row>
    <row r="7" spans="1:5" s="45" customFormat="1" ht="15.75">
      <c r="A7" s="12">
        <f>A6+1</f>
        <v>2</v>
      </c>
      <c r="B7" s="15" t="s">
        <v>184</v>
      </c>
      <c r="C7" s="168">
        <f>'[5]T18-Ostatné dotacie z kap MŠ SR'!C7+'[6]T18-Ostatné dotacie z kap MŠ SR'!C7+'[7]T18-Ostatné dotacie z kap MŠ SR'!C7+'[9]T18-Ostatné dotacie z kap MŠ SR'!C7+'[10]T18-Ostatné dotacie z kap MŠ SR'!C7</f>
        <v>688223.81</v>
      </c>
      <c r="D7" s="168"/>
      <c r="E7" s="170">
        <f>C7+D7</f>
        <v>688223.81</v>
      </c>
    </row>
    <row r="8" spans="1:5" s="45" customFormat="1" ht="15.75">
      <c r="A8" s="12">
        <f>A7+1</f>
        <v>3</v>
      </c>
      <c r="B8" s="15" t="s">
        <v>488</v>
      </c>
      <c r="C8" s="168">
        <f>'[5]T18-Ostatné dotacie z kap MŠ SR'!C8+'[6]T18-Ostatné dotacie z kap MŠ SR'!C8+'[7]T18-Ostatné dotacie z kap MŠ SR'!C8+'[9]T18-Ostatné dotacie z kap MŠ SR'!C8+'[10]T18-Ostatné dotacie z kap MŠ SR'!C8</f>
        <v>15000</v>
      </c>
      <c r="D8" s="168"/>
      <c r="E8" s="170">
        <f aca="true" t="shared" si="0" ref="E8:E16">C8+D8</f>
        <v>15000</v>
      </c>
    </row>
    <row r="9" spans="1:5" s="45" customFormat="1" ht="15.75">
      <c r="A9" s="12">
        <f>A8+1</f>
        <v>4</v>
      </c>
      <c r="B9" s="15" t="s">
        <v>490</v>
      </c>
      <c r="C9" s="168"/>
      <c r="D9" s="168"/>
      <c r="E9" s="170"/>
    </row>
    <row r="10" spans="1:5" s="45" customFormat="1" ht="15.75">
      <c r="A10" s="12">
        <f>A9+1</f>
        <v>5</v>
      </c>
      <c r="B10" s="15" t="s">
        <v>491</v>
      </c>
      <c r="C10" s="168"/>
      <c r="D10" s="168"/>
      <c r="E10" s="170">
        <f t="shared" si="0"/>
        <v>0</v>
      </c>
    </row>
    <row r="11" spans="1:5" s="45" customFormat="1" ht="15.75">
      <c r="A11" s="12"/>
      <c r="B11" s="374" t="s">
        <v>1081</v>
      </c>
      <c r="C11" s="168"/>
      <c r="D11" s="168"/>
      <c r="E11" s="170"/>
    </row>
    <row r="12" spans="1:5" ht="15.75">
      <c r="A12" s="12">
        <v>6</v>
      </c>
      <c r="B12" s="15" t="s">
        <v>26</v>
      </c>
      <c r="C12" s="168">
        <f>'[5]T18-Ostatné dotacie z kap MŠ SR'!C12+'[6]T18-Ostatné dotacie z kap MŠ SR'!C12+'[7]T18-Ostatné dotacie z kap MŠ SR'!C12+'[9]T18-Ostatné dotacie z kap MŠ SR'!C12+'[10]T18-Ostatné dotacie z kap MŠ SR'!C12</f>
        <v>3690</v>
      </c>
      <c r="D12" s="171"/>
      <c r="E12" s="170">
        <f t="shared" si="0"/>
        <v>3690</v>
      </c>
    </row>
    <row r="13" spans="1:5" ht="15.75">
      <c r="A13" s="12">
        <v>7</v>
      </c>
      <c r="B13" s="15" t="s">
        <v>27</v>
      </c>
      <c r="C13" s="168">
        <f>'[5]T18-Ostatné dotacie z kap MŠ SR'!C13+'[6]T18-Ostatné dotacie z kap MŠ SR'!C13+'[7]T18-Ostatné dotacie z kap MŠ SR'!C13+'[9]T18-Ostatné dotacie z kap MŠ SR'!C13+'[10]T18-Ostatné dotacie z kap MŠ SR'!C13</f>
        <v>14630</v>
      </c>
      <c r="D13" s="168"/>
      <c r="E13" s="170">
        <f t="shared" si="0"/>
        <v>14630</v>
      </c>
    </row>
    <row r="14" spans="1:5" ht="15.75">
      <c r="A14" s="12"/>
      <c r="B14" s="17"/>
      <c r="C14" s="171"/>
      <c r="D14" s="171"/>
      <c r="E14" s="170"/>
    </row>
    <row r="15" spans="1:5" ht="15.75">
      <c r="A15" s="12">
        <v>8</v>
      </c>
      <c r="B15" s="17" t="s">
        <v>493</v>
      </c>
      <c r="C15" s="375">
        <f>SUM(C16:C17)</f>
        <v>0</v>
      </c>
      <c r="D15" s="375">
        <f>SUM(D16:D17)</f>
        <v>0</v>
      </c>
      <c r="E15" s="170">
        <f t="shared" si="0"/>
        <v>0</v>
      </c>
    </row>
    <row r="16" spans="1:5" ht="15.75">
      <c r="A16" s="12" t="s">
        <v>492</v>
      </c>
      <c r="B16" s="15" t="s">
        <v>397</v>
      </c>
      <c r="C16" s="171"/>
      <c r="D16" s="171"/>
      <c r="E16" s="170">
        <f t="shared" si="0"/>
        <v>0</v>
      </c>
    </row>
    <row r="17" spans="1:5" ht="15.75">
      <c r="A17" s="12"/>
      <c r="B17" s="17"/>
      <c r="C17" s="171"/>
      <c r="D17" s="171"/>
      <c r="E17" s="170"/>
    </row>
    <row r="18" spans="1:5" ht="16.5" thickBot="1">
      <c r="A18" s="58">
        <v>9</v>
      </c>
      <c r="B18" s="59" t="s">
        <v>939</v>
      </c>
      <c r="C18" s="209">
        <f>C6+C12+C13+C15</f>
        <v>721543.81</v>
      </c>
      <c r="D18" s="209">
        <f>D6+D15</f>
        <v>0</v>
      </c>
      <c r="E18" s="195">
        <f>E6+E12+E13+E15</f>
        <v>721543.81</v>
      </c>
    </row>
    <row r="19" ht="15.75">
      <c r="E19" s="123"/>
    </row>
    <row r="21" spans="2:3" ht="15.75">
      <c r="B21" s="111"/>
      <c r="C21" s="214"/>
    </row>
    <row r="22" spans="2:3" ht="15.75">
      <c r="B22" s="214"/>
      <c r="C22" s="214"/>
    </row>
    <row r="23" spans="2:3" ht="15.75">
      <c r="B23" s="214"/>
      <c r="C23" s="214"/>
    </row>
  </sheetData>
  <sheetProtection/>
  <protectedRanges>
    <protectedRange sqref="C9:D10 D8" name="Rozsah2_1"/>
    <protectedRange sqref="C11:D11" name="Rozsah2_2"/>
  </protectedRanges>
  <mergeCells count="2">
    <mergeCell ref="A1:E1"/>
    <mergeCell ref="A2:E2"/>
  </mergeCells>
  <printOptions/>
  <pageMargins left="0.79" right="0.7480314960629921" top="0.984251968503937" bottom="0.77" header="0.5118110236220472" footer="0.5118110236220472"/>
  <pageSetup fitToHeight="1" fitToWidth="1" horizontalDpi="600" verticalDpi="600" orientation="landscape" paperSize="9" scale="97" r:id="rId1"/>
</worksheet>
</file>

<file path=xl/worksheets/sheet21.xml><?xml version="1.0" encoding="utf-8"?>
<worksheet xmlns="http://schemas.openxmlformats.org/spreadsheetml/2006/main" xmlns:r="http://schemas.openxmlformats.org/officeDocument/2006/relationships">
  <sheetPr>
    <tabColor indexed="42"/>
    <pageSetUpPr fitToPage="1"/>
  </sheetPr>
  <dimension ref="A1:G22"/>
  <sheetViews>
    <sheetView zoomScale="80" zoomScaleNormal="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5" sqref="B5"/>
    </sheetView>
  </sheetViews>
  <sheetFormatPr defaultColWidth="9.140625" defaultRowHeight="12.75"/>
  <cols>
    <col min="1" max="1" width="9.140625" style="45" customWidth="1"/>
    <col min="2" max="2" width="75.421875" style="317" customWidth="1"/>
    <col min="3" max="6" width="17.28125" style="45" customWidth="1"/>
    <col min="7" max="7" width="16.00390625" style="45" customWidth="1"/>
    <col min="8" max="16384" width="9.140625" style="45" customWidth="1"/>
  </cols>
  <sheetData>
    <row r="1" spans="1:6" ht="34.5" customHeight="1">
      <c r="A1" s="558" t="s">
        <v>1192</v>
      </c>
      <c r="B1" s="648"/>
      <c r="C1" s="648"/>
      <c r="D1" s="648"/>
      <c r="E1" s="648"/>
      <c r="F1" s="649"/>
    </row>
    <row r="2" spans="1:6" ht="34.5" customHeight="1">
      <c r="A2" s="672" t="s">
        <v>1244</v>
      </c>
      <c r="B2" s="673"/>
      <c r="C2" s="673"/>
      <c r="D2" s="673"/>
      <c r="E2" s="673"/>
      <c r="F2" s="674"/>
    </row>
    <row r="3" spans="1:6" ht="22.5" customHeight="1">
      <c r="A3" s="675" t="s">
        <v>271</v>
      </c>
      <c r="B3" s="652" t="s">
        <v>407</v>
      </c>
      <c r="C3" s="653">
        <v>2010</v>
      </c>
      <c r="D3" s="653"/>
      <c r="E3" s="653">
        <v>2011</v>
      </c>
      <c r="F3" s="654"/>
    </row>
    <row r="4" spans="1:6" ht="75" customHeight="1">
      <c r="A4" s="675"/>
      <c r="B4" s="652"/>
      <c r="C4" s="3" t="s">
        <v>53</v>
      </c>
      <c r="D4" s="3" t="s">
        <v>262</v>
      </c>
      <c r="E4" s="3" t="s">
        <v>53</v>
      </c>
      <c r="F4" s="2" t="s">
        <v>263</v>
      </c>
    </row>
    <row r="5" spans="1:6" ht="15.75">
      <c r="A5" s="12"/>
      <c r="B5" s="379"/>
      <c r="C5" s="3" t="s">
        <v>359</v>
      </c>
      <c r="D5" s="3" t="s">
        <v>360</v>
      </c>
      <c r="E5" s="3" t="s">
        <v>361</v>
      </c>
      <c r="F5" s="2" t="s">
        <v>368</v>
      </c>
    </row>
    <row r="6" spans="1:6" ht="31.5">
      <c r="A6" s="12">
        <v>1</v>
      </c>
      <c r="B6" s="17" t="s">
        <v>1414</v>
      </c>
      <c r="C6" s="184">
        <f>C7+C10+C13</f>
        <v>21490</v>
      </c>
      <c r="D6" s="184">
        <f>D7+D10+D13</f>
        <v>180</v>
      </c>
      <c r="E6" s="184">
        <f>E7+E10+E13+E16</f>
        <v>29496.8</v>
      </c>
      <c r="F6" s="170">
        <f>F7+F10+F13+F16</f>
        <v>250</v>
      </c>
    </row>
    <row r="7" spans="1:6" ht="15.75">
      <c r="A7" s="12">
        <v>2</v>
      </c>
      <c r="B7" s="17" t="s">
        <v>1415</v>
      </c>
      <c r="C7" s="184">
        <f>SUM(C8:C9)</f>
        <v>6410</v>
      </c>
      <c r="D7" s="184">
        <f>SUM(D8:D9)</f>
        <v>14</v>
      </c>
      <c r="E7" s="184">
        <f>SUM(E8:E9)</f>
        <v>1006.8</v>
      </c>
      <c r="F7" s="170">
        <f>F9+F8</f>
        <v>3</v>
      </c>
    </row>
    <row r="8" spans="1:7" ht="15.75">
      <c r="A8" s="12">
        <v>3</v>
      </c>
      <c r="B8" s="15" t="s">
        <v>76</v>
      </c>
      <c r="C8" s="168">
        <f>'[5]T19-Štip_ z vlastných '!C8+'[6]T19-Štip_ z vlastných '!C8+'[7]T19-Štip_ z vlastných '!C8+'[8]T19-Štip_ z vlastných '!C8+'[9]T19-Štip_ z vlastných '!C8+'[10]T19-Štip_ z vlastných '!C8</f>
        <v>6410</v>
      </c>
      <c r="D8" s="168">
        <f>'[5]T19-Štip_ z vlastných '!D8+'[6]T19-Štip_ z vlastných '!D8+'[7]T19-Štip_ z vlastných '!D8+'[8]T19-Štip_ z vlastných '!D8+'[9]T19-Štip_ z vlastných '!D8+'[10]T19-Štip_ z vlastných '!D8</f>
        <v>14</v>
      </c>
      <c r="E8" s="168">
        <f>'[5]T19-Štip_ z vlastných '!E8+'[6]T19-Štip_ z vlastných '!E8+'[7]T19-Štip_ z vlastných '!E8+'[8]T19-Štip_ z vlastných '!E8+'[9]T19-Štip_ z vlastných '!E8+'[10]T19-Štip_ z vlastných '!E8</f>
        <v>1006.8</v>
      </c>
      <c r="F8" s="169">
        <f>'[5]T19-Štip_ z vlastných '!F8+'[6]T19-Štip_ z vlastných '!F8+'[7]T19-Štip_ z vlastných '!F8+'[8]T19-Štip_ z vlastných '!F8+'[9]T19-Štip_ z vlastných '!F8+'[10]T19-Štip_ z vlastných '!F8</f>
        <v>3</v>
      </c>
      <c r="G8" s="376"/>
    </row>
    <row r="9" spans="1:6" ht="18.75">
      <c r="A9" s="12">
        <v>4</v>
      </c>
      <c r="B9" s="15" t="s">
        <v>1416</v>
      </c>
      <c r="C9" s="168">
        <f>'[5]T19-Štip_ z vlastných '!C9+'[6]T19-Štip_ z vlastných '!C9+'[7]T19-Štip_ z vlastných '!C9+'[8]T19-Štip_ z vlastných '!C9+'[9]T19-Štip_ z vlastných '!C9+'[10]T19-Štip_ z vlastných '!C9</f>
        <v>0</v>
      </c>
      <c r="D9" s="168">
        <f>'[5]T19-Štip_ z vlastných '!D9+'[6]T19-Štip_ z vlastných '!D9+'[7]T19-Štip_ z vlastných '!D9+'[8]T19-Štip_ z vlastných '!D9+'[9]T19-Štip_ z vlastných '!D9+'[10]T19-Štip_ z vlastných '!D9</f>
        <v>0</v>
      </c>
      <c r="E9" s="168">
        <f>'[5]T19-Štip_ z vlastných '!E9+'[6]T19-Štip_ z vlastných '!E9+'[7]T19-Štip_ z vlastných '!E9+'[8]T19-Štip_ z vlastných '!E9+'[9]T19-Štip_ z vlastných '!E9+'[10]T19-Štip_ z vlastných '!E9</f>
        <v>0</v>
      </c>
      <c r="F9" s="169">
        <f>'[5]T19-Štip_ z vlastných '!F9+'[6]T19-Štip_ z vlastných '!F9+'[7]T19-Štip_ z vlastných '!F9+'[8]T19-Štip_ z vlastných '!F9+'[9]T19-Štip_ z vlastných '!F9+'[10]T19-Štip_ z vlastných '!F9</f>
        <v>0</v>
      </c>
    </row>
    <row r="10" spans="1:6" ht="15.75">
      <c r="A10" s="12">
        <v>5</v>
      </c>
      <c r="B10" s="17" t="s">
        <v>1417</v>
      </c>
      <c r="C10" s="184">
        <f>SUM(C11:C12)</f>
        <v>13610</v>
      </c>
      <c r="D10" s="184">
        <f>SUM(D11:D12)</f>
        <v>123</v>
      </c>
      <c r="E10" s="184">
        <f>SUM(E11:E12)</f>
        <v>24800</v>
      </c>
      <c r="F10" s="170">
        <f>SUM(F11:F12)</f>
        <v>200</v>
      </c>
    </row>
    <row r="11" spans="1:6" ht="15.75">
      <c r="A11" s="12">
        <v>6</v>
      </c>
      <c r="B11" s="15" t="s">
        <v>76</v>
      </c>
      <c r="C11" s="168">
        <f>'[5]T19-Štip_ z vlastných '!C11+'[6]T19-Štip_ z vlastných '!C11+'[7]T19-Štip_ z vlastných '!C11+'[8]T19-Štip_ z vlastných '!C11+'[9]T19-Štip_ z vlastných '!C11+'[10]T19-Štip_ z vlastných '!C11</f>
        <v>13610</v>
      </c>
      <c r="D11" s="168">
        <f>'[5]T19-Štip_ z vlastných '!D11+'[6]T19-Štip_ z vlastných '!D11+'[7]T19-Štip_ z vlastných '!D11+'[8]T19-Štip_ z vlastných '!D11+'[9]T19-Štip_ z vlastných '!D11+'[10]T19-Štip_ z vlastných '!D11</f>
        <v>123</v>
      </c>
      <c r="E11" s="168">
        <f>'[5]T19-Štip_ z vlastných '!E11+'[6]T19-Štip_ z vlastných '!E11+'[7]T19-Štip_ z vlastných '!E11+'[8]T19-Štip_ z vlastných '!E11+'[9]T19-Štip_ z vlastných '!E11+'[10]T19-Štip_ z vlastných '!E11</f>
        <v>24800</v>
      </c>
      <c r="F11" s="169">
        <f>'[5]T19-Štip_ z vlastných '!F11+'[6]T19-Štip_ z vlastných '!F11+'[7]T19-Štip_ z vlastných '!F11+'[8]T19-Štip_ z vlastných '!F11+'[9]T19-Štip_ z vlastných '!F11+'[10]T19-Štip_ z vlastných '!F11</f>
        <v>200</v>
      </c>
    </row>
    <row r="12" spans="1:6" ht="18.75">
      <c r="A12" s="12">
        <v>7</v>
      </c>
      <c r="B12" s="15" t="s">
        <v>1416</v>
      </c>
      <c r="C12" s="168">
        <f>'[5]T19-Štip_ z vlastných '!C12+'[6]T19-Štip_ z vlastných '!C12+'[7]T19-Štip_ z vlastných '!C12+'[8]T19-Štip_ z vlastných '!C12+'[9]T19-Štip_ z vlastných '!C12+'[10]T19-Štip_ z vlastných '!C12</f>
        <v>0</v>
      </c>
      <c r="D12" s="168">
        <f>'[5]T19-Štip_ z vlastných '!D12+'[6]T19-Štip_ z vlastných '!D12+'[7]T19-Štip_ z vlastných '!D12+'[8]T19-Štip_ z vlastných '!D12+'[9]T19-Štip_ z vlastných '!D12+'[10]T19-Štip_ z vlastných '!D12</f>
        <v>0</v>
      </c>
      <c r="E12" s="168">
        <f>'[5]T19-Štip_ z vlastných '!E12+'[6]T19-Štip_ z vlastných '!E12+'[7]T19-Štip_ z vlastných '!E12+'[8]T19-Štip_ z vlastných '!E12+'[9]T19-Štip_ z vlastných '!E12+'[10]T19-Štip_ z vlastných '!E12</f>
        <v>0</v>
      </c>
      <c r="F12" s="169">
        <f>'[5]T19-Štip_ z vlastných '!F12+'[6]T19-Štip_ z vlastných '!F12+'[7]T19-Štip_ z vlastných '!F12+'[8]T19-Štip_ z vlastných '!F12+'[9]T19-Štip_ z vlastných '!F12+'[10]T19-Štip_ z vlastných '!F12</f>
        <v>0</v>
      </c>
    </row>
    <row r="13" spans="1:6" ht="15.75">
      <c r="A13" s="12">
        <v>8</v>
      </c>
      <c r="B13" s="17" t="s">
        <v>1418</v>
      </c>
      <c r="C13" s="184">
        <f>SUM(C14:C15)</f>
        <v>1470</v>
      </c>
      <c r="D13" s="184">
        <f>D15+D14</f>
        <v>43</v>
      </c>
      <c r="E13" s="184">
        <f>SUM(E14:E15)</f>
        <v>1810</v>
      </c>
      <c r="F13" s="170">
        <f>SUM(F14:F15)</f>
        <v>42</v>
      </c>
    </row>
    <row r="14" spans="1:6" ht="15.75">
      <c r="A14" s="12">
        <v>9</v>
      </c>
      <c r="B14" s="15" t="s">
        <v>76</v>
      </c>
      <c r="C14" s="168">
        <f>'[5]T19-Štip_ z vlastných '!C14+'[6]T19-Štip_ z vlastných '!C14+'[7]T19-Štip_ z vlastných '!C14+'[8]T19-Štip_ z vlastných '!C14+'[9]T19-Štip_ z vlastných '!C14+'[10]T19-Štip_ z vlastných '!C14</f>
        <v>1470</v>
      </c>
      <c r="D14" s="168">
        <f>'[5]T19-Štip_ z vlastných '!D14+'[6]T19-Štip_ z vlastných '!D14+'[7]T19-Štip_ z vlastných '!D14+'[8]T19-Štip_ z vlastných '!D14+'[9]T19-Štip_ z vlastných '!D14+'[10]T19-Štip_ z vlastných '!D14</f>
        <v>43</v>
      </c>
      <c r="E14" s="168">
        <f>'[5]T19-Štip_ z vlastných '!E14+'[6]T19-Štip_ z vlastných '!E14+'[7]T19-Štip_ z vlastných '!E14+'[8]T19-Štip_ z vlastných '!E14+'[9]T19-Štip_ z vlastných '!E14+'[10]T19-Štip_ z vlastných '!E14</f>
        <v>1810</v>
      </c>
      <c r="F14" s="169">
        <f>'[5]T19-Štip_ z vlastných '!F14+'[6]T19-Štip_ z vlastných '!F14+'[7]T19-Štip_ z vlastných '!F14+'[8]T19-Štip_ z vlastných '!F14+'[9]T19-Štip_ z vlastných '!F14+'[10]T19-Štip_ z vlastných '!F14</f>
        <v>42</v>
      </c>
    </row>
    <row r="15" spans="1:6" ht="18.75">
      <c r="A15" s="12">
        <v>10</v>
      </c>
      <c r="B15" s="15" t="s">
        <v>1416</v>
      </c>
      <c r="C15" s="168">
        <f>'[5]T19-Štip_ z vlastných '!C15+'[6]T19-Štip_ z vlastných '!C15+'[7]T19-Štip_ z vlastných '!C15+'[8]T19-Štip_ z vlastných '!C15+'[9]T19-Štip_ z vlastných '!C15+'[10]T19-Štip_ z vlastných '!C15</f>
        <v>0</v>
      </c>
      <c r="D15" s="168">
        <f>'[5]T19-Štip_ z vlastných '!D15+'[6]T19-Štip_ z vlastných '!D15+'[7]T19-Štip_ z vlastných '!D15+'[8]T19-Štip_ z vlastných '!D15+'[9]T19-Štip_ z vlastných '!D15+'[10]T19-Štip_ z vlastných '!D15</f>
        <v>0</v>
      </c>
      <c r="E15" s="168">
        <f>'[5]T19-Štip_ z vlastných '!E15+'[6]T19-Štip_ z vlastných '!E15+'[7]T19-Štip_ z vlastných '!E15+'[8]T19-Štip_ z vlastných '!E15+'[9]T19-Štip_ z vlastných '!E15+'[10]T19-Štip_ z vlastných '!E15</f>
        <v>0</v>
      </c>
      <c r="F15" s="169">
        <f>'[5]T19-Štip_ z vlastných '!F15+'[6]T19-Štip_ z vlastných '!F15+'[7]T19-Štip_ z vlastných '!F15+'[8]T19-Štip_ z vlastných '!F15+'[9]T19-Štip_ z vlastných '!F15+'[10]T19-Štip_ z vlastných '!F15</f>
        <v>0</v>
      </c>
    </row>
    <row r="16" spans="1:6" ht="15.75">
      <c r="A16" s="12">
        <v>11</v>
      </c>
      <c r="B16" s="17" t="s">
        <v>1419</v>
      </c>
      <c r="C16" s="184">
        <f>SUM(C17:C18)</f>
        <v>0</v>
      </c>
      <c r="D16" s="184">
        <f>SUM(D17:D18)</f>
        <v>0</v>
      </c>
      <c r="E16" s="184">
        <f>SUM(E17:E18)</f>
        <v>1880</v>
      </c>
      <c r="F16" s="170">
        <f>SUM(F17:F18)</f>
        <v>5</v>
      </c>
    </row>
    <row r="17" spans="1:6" ht="15.75">
      <c r="A17" s="12">
        <v>12</v>
      </c>
      <c r="B17" s="15" t="s">
        <v>76</v>
      </c>
      <c r="C17" s="168">
        <f>'[5]T19-Štip_ z vlastných '!C17+'[6]T19-Štip_ z vlastných '!C17+'[7]T19-Štip_ z vlastných '!C17+'[8]T19-Štip_ z vlastných '!C17+'[9]T19-Štip_ z vlastných '!C17+'[10]T19-Štip_ z vlastných '!C17</f>
        <v>0</v>
      </c>
      <c r="D17" s="168">
        <f>'[5]T19-Štip_ z vlastných '!D17+'[6]T19-Štip_ z vlastných '!D17+'[7]T19-Štip_ z vlastných '!D17+'[8]T19-Štip_ z vlastných '!D17+'[9]T19-Štip_ z vlastných '!D17+'[10]T19-Štip_ z vlastných '!D17</f>
        <v>0</v>
      </c>
      <c r="E17" s="168">
        <f>'[5]T19-Štip_ z vlastných '!E17+'[6]T19-Štip_ z vlastných '!E17+'[7]T19-Štip_ z vlastných '!E17+'[8]T19-Štip_ z vlastných '!E17+'[9]T19-Štip_ z vlastných '!E17+'[10]T19-Štip_ z vlastných '!E17</f>
        <v>1880</v>
      </c>
      <c r="F17" s="169">
        <f>'[5]T19-Štip_ z vlastných '!F17+'[6]T19-Štip_ z vlastných '!F17+'[7]T19-Štip_ z vlastných '!F17+'[8]T19-Štip_ z vlastných '!F17+'[9]T19-Štip_ z vlastných '!F17+'[10]T19-Štip_ z vlastných '!F17</f>
        <v>5</v>
      </c>
    </row>
    <row r="18" spans="1:6" ht="18.75">
      <c r="A18" s="377">
        <v>13</v>
      </c>
      <c r="B18" s="378" t="s">
        <v>1416</v>
      </c>
      <c r="C18" s="168">
        <f>'[5]T19-Štip_ z vlastných '!C18+'[6]T19-Štip_ z vlastných '!C18+'[7]T19-Štip_ z vlastných '!C18+'[8]T19-Štip_ z vlastných '!C18+'[9]T19-Štip_ z vlastných '!C18+'[10]T19-Štip_ z vlastných '!C18</f>
        <v>0</v>
      </c>
      <c r="D18" s="168">
        <f>'[5]T19-Štip_ z vlastných '!D18+'[6]T19-Štip_ z vlastných '!D18+'[7]T19-Štip_ z vlastných '!D18+'[8]T19-Štip_ z vlastných '!D18+'[9]T19-Štip_ z vlastných '!D18+'[10]T19-Štip_ z vlastných '!D18</f>
        <v>0</v>
      </c>
      <c r="E18" s="168">
        <f>'[5]T19-Štip_ z vlastných '!E18+'[6]T19-Štip_ z vlastných '!E18+'[7]T19-Štip_ z vlastných '!E18+'[8]T19-Štip_ z vlastných '!E18+'[9]T19-Štip_ z vlastných '!E18+'[10]T19-Štip_ z vlastných '!E18</f>
        <v>0</v>
      </c>
      <c r="F18" s="169">
        <f>'[5]T19-Štip_ z vlastných '!F18+'[6]T19-Štip_ z vlastných '!F18+'[7]T19-Štip_ z vlastných '!F18+'[8]T19-Štip_ z vlastných '!F18+'[9]T19-Štip_ z vlastných '!F18+'[10]T19-Štip_ z vlastných '!F18</f>
        <v>0</v>
      </c>
    </row>
    <row r="19" spans="1:6" ht="19.5" thickBot="1">
      <c r="A19" s="193">
        <v>14</v>
      </c>
      <c r="B19" s="347" t="s">
        <v>1420</v>
      </c>
      <c r="C19" s="209" t="s">
        <v>391</v>
      </c>
      <c r="D19" s="173">
        <f>'[5]T19-Štip_ z vlastných '!D19+'[6]T19-Štip_ z vlastných '!D19+'[7]T19-Štip_ z vlastných '!D19+'[8]T19-Štip_ z vlastných '!D19+'[9]T19-Štip_ z vlastných '!D19+'[10]T19-Štip_ z vlastných '!D19</f>
        <v>180</v>
      </c>
      <c r="E19" s="209" t="s">
        <v>391</v>
      </c>
      <c r="F19" s="249">
        <f>'[5]T19-Štip_ z vlastných '!F19+'[6]T19-Štip_ z vlastných '!F19+'[7]T19-Štip_ z vlastných '!F19+'[8]T19-Štip_ z vlastných '!F19+'[9]T19-Štip_ z vlastných '!F19+'[10]T19-Štip_ z vlastných '!F19</f>
        <v>139</v>
      </c>
    </row>
    <row r="20" spans="1:6" ht="15.75">
      <c r="A20" s="40"/>
      <c r="B20" s="380"/>
      <c r="C20" s="381"/>
      <c r="D20" s="41"/>
      <c r="E20" s="381"/>
      <c r="F20" s="41"/>
    </row>
    <row r="21" spans="1:6" ht="15.75">
      <c r="A21" s="699" t="s">
        <v>1025</v>
      </c>
      <c r="B21" s="700"/>
      <c r="C21" s="700"/>
      <c r="D21" s="700"/>
      <c r="E21" s="700"/>
      <c r="F21" s="701"/>
    </row>
    <row r="22" spans="1:6" ht="15.75">
      <c r="A22" s="702" t="s">
        <v>1026</v>
      </c>
      <c r="B22" s="703"/>
      <c r="C22" s="703"/>
      <c r="D22" s="703"/>
      <c r="E22" s="703"/>
      <c r="F22" s="704"/>
    </row>
  </sheetData>
  <sheetProtection/>
  <mergeCells count="8">
    <mergeCell ref="A21:F21"/>
    <mergeCell ref="A22:F22"/>
    <mergeCell ref="A1:F1"/>
    <mergeCell ref="A2:F2"/>
    <mergeCell ref="A3:A4"/>
    <mergeCell ref="B3:B4"/>
    <mergeCell ref="C3:D3"/>
    <mergeCell ref="E3:F3"/>
  </mergeCells>
  <printOptions/>
  <pageMargins left="0.7480314960629921" right="0.56" top="0.984251968503937" bottom="0.984251968503937" header="0.5118110236220472" footer="0.5118110236220472"/>
  <pageSetup fitToHeight="1" fitToWidth="1" horizontalDpi="600" verticalDpi="600" orientation="landscape" paperSize="9" scale="87" r:id="rId1"/>
</worksheet>
</file>

<file path=xl/worksheets/sheet22.xml><?xml version="1.0" encoding="utf-8"?>
<worksheet xmlns="http://schemas.openxmlformats.org/spreadsheetml/2006/main" xmlns:r="http://schemas.openxmlformats.org/officeDocument/2006/relationships">
  <sheetPr>
    <tabColor indexed="42"/>
  </sheetPr>
  <dimension ref="A1:E16"/>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9" sqref="B9"/>
    </sheetView>
  </sheetViews>
  <sheetFormatPr defaultColWidth="9.140625" defaultRowHeight="12.75"/>
  <cols>
    <col min="1" max="1" width="9.140625" style="14" customWidth="1"/>
    <col min="2" max="2" width="67.28125" style="250" customWidth="1"/>
    <col min="3" max="3" width="21.28125" style="388" customWidth="1"/>
    <col min="4" max="4" width="22.421875" style="14" customWidth="1"/>
    <col min="5" max="5" width="16.140625" style="14" customWidth="1"/>
    <col min="6" max="16384" width="9.140625" style="14" customWidth="1"/>
  </cols>
  <sheetData>
    <row r="1" spans="1:4" ht="49.5" customHeight="1">
      <c r="A1" s="558" t="s">
        <v>1193</v>
      </c>
      <c r="B1" s="648"/>
      <c r="C1" s="648"/>
      <c r="D1" s="649"/>
    </row>
    <row r="2" spans="1:4" ht="34.5" customHeight="1">
      <c r="A2" s="568" t="s">
        <v>1244</v>
      </c>
      <c r="B2" s="569"/>
      <c r="C2" s="569"/>
      <c r="D2" s="570"/>
    </row>
    <row r="3" spans="1:4" ht="33" customHeight="1">
      <c r="A3" s="192" t="s">
        <v>271</v>
      </c>
      <c r="B3" s="189" t="s">
        <v>407</v>
      </c>
      <c r="C3" s="9">
        <v>2010</v>
      </c>
      <c r="D3" s="311">
        <v>2011</v>
      </c>
    </row>
    <row r="4" spans="1:4" ht="22.5" customHeight="1">
      <c r="A4" s="192"/>
      <c r="B4" s="189"/>
      <c r="C4" s="3" t="s">
        <v>359</v>
      </c>
      <c r="D4" s="190" t="s">
        <v>360</v>
      </c>
    </row>
    <row r="5" spans="1:4" s="45" customFormat="1" ht="34.5">
      <c r="A5" s="12">
        <v>1</v>
      </c>
      <c r="B5" s="28" t="s">
        <v>250</v>
      </c>
      <c r="C5" s="382">
        <v>57510.81</v>
      </c>
      <c r="D5" s="383">
        <v>54161.02000000002</v>
      </c>
    </row>
    <row r="6" spans="1:4" ht="36" customHeight="1">
      <c r="A6" s="12">
        <v>2</v>
      </c>
      <c r="B6" s="28" t="s">
        <v>951</v>
      </c>
      <c r="C6" s="382">
        <v>350200</v>
      </c>
      <c r="D6" s="384">
        <v>354700</v>
      </c>
    </row>
    <row r="7" spans="1:4" ht="35.25" customHeight="1">
      <c r="A7" s="12">
        <v>3</v>
      </c>
      <c r="B7" s="28" t="s">
        <v>251</v>
      </c>
      <c r="C7" s="382">
        <v>353549.79</v>
      </c>
      <c r="D7" s="384">
        <v>401642.72</v>
      </c>
    </row>
    <row r="8" spans="1:4" ht="39.75" customHeight="1">
      <c r="A8" s="12">
        <v>4</v>
      </c>
      <c r="B8" s="28" t="s">
        <v>253</v>
      </c>
      <c r="C8" s="205">
        <v>54161.02000000002</v>
      </c>
      <c r="D8" s="383">
        <v>7218.300000000047</v>
      </c>
    </row>
    <row r="9" spans="1:4" ht="21" customHeight="1" thickBot="1">
      <c r="A9" s="385">
        <v>5</v>
      </c>
      <c r="B9" s="386" t="s">
        <v>254</v>
      </c>
      <c r="C9" s="173">
        <v>1201</v>
      </c>
      <c r="D9" s="387">
        <v>1213</v>
      </c>
    </row>
    <row r="10" spans="1:5" ht="21" customHeight="1">
      <c r="A10" s="40"/>
      <c r="B10" s="44"/>
      <c r="C10" s="14"/>
      <c r="E10" s="45"/>
    </row>
    <row r="11" spans="1:4" ht="18.75" customHeight="1">
      <c r="A11" s="708" t="s">
        <v>319</v>
      </c>
      <c r="B11" s="709"/>
      <c r="C11" s="709"/>
      <c r="D11" s="710"/>
    </row>
    <row r="12" spans="1:4" ht="21" customHeight="1">
      <c r="A12" s="705" t="s">
        <v>153</v>
      </c>
      <c r="B12" s="706"/>
      <c r="C12" s="706"/>
      <c r="D12" s="707"/>
    </row>
    <row r="16" ht="18.75">
      <c r="C16" s="388" t="s">
        <v>208</v>
      </c>
    </row>
  </sheetData>
  <sheetProtection/>
  <mergeCells count="4">
    <mergeCell ref="A1:D1"/>
    <mergeCell ref="A2:D2"/>
    <mergeCell ref="A12:D12"/>
    <mergeCell ref="A11:D1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indexed="42"/>
    <pageSetUpPr fitToPage="1"/>
  </sheetPr>
  <dimension ref="A1:M1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D4" sqref="D4"/>
    </sheetView>
  </sheetViews>
  <sheetFormatPr defaultColWidth="9.140625" defaultRowHeight="12.75"/>
  <cols>
    <col min="1" max="1" width="8.8515625" style="397" customWidth="1"/>
    <col min="2" max="2" width="20.57421875" style="397" customWidth="1"/>
    <col min="3" max="3" width="18.28125" style="397" customWidth="1"/>
    <col min="4" max="4" width="15.8515625" style="397" customWidth="1"/>
    <col min="5" max="5" width="15.7109375" style="397" customWidth="1"/>
    <col min="6" max="6" width="14.57421875" style="397" customWidth="1"/>
    <col min="7" max="7" width="18.57421875" style="397" customWidth="1"/>
    <col min="8" max="8" width="20.28125" style="397" customWidth="1"/>
    <col min="9" max="9" width="18.00390625" style="397" customWidth="1"/>
    <col min="10" max="10" width="14.28125" style="397" customWidth="1"/>
    <col min="11" max="11" width="18.140625" style="397" customWidth="1"/>
    <col min="12" max="12" width="17.28125" style="397" customWidth="1"/>
    <col min="13" max="13" width="17.140625" style="397" customWidth="1"/>
    <col min="14" max="16384" width="9.140625" style="397" customWidth="1"/>
  </cols>
  <sheetData>
    <row r="1" spans="1:13" s="389" customFormat="1" ht="34.5" customHeight="1">
      <c r="A1" s="713" t="s">
        <v>1239</v>
      </c>
      <c r="B1" s="714"/>
      <c r="C1" s="714"/>
      <c r="D1" s="714"/>
      <c r="E1" s="714"/>
      <c r="F1" s="714"/>
      <c r="G1" s="714"/>
      <c r="H1" s="714"/>
      <c r="I1" s="714"/>
      <c r="J1" s="714"/>
      <c r="K1" s="714"/>
      <c r="L1" s="714"/>
      <c r="M1" s="715"/>
    </row>
    <row r="2" spans="1:13" s="389" customFormat="1" ht="34.5" customHeight="1">
      <c r="A2" s="716" t="s">
        <v>1327</v>
      </c>
      <c r="B2" s="717"/>
      <c r="C2" s="717"/>
      <c r="D2" s="717"/>
      <c r="E2" s="717"/>
      <c r="F2" s="717"/>
      <c r="G2" s="717"/>
      <c r="H2" s="717"/>
      <c r="I2" s="717"/>
      <c r="J2" s="717"/>
      <c r="K2" s="717"/>
      <c r="L2" s="717"/>
      <c r="M2" s="718"/>
    </row>
    <row r="3" spans="1:13" s="389" customFormat="1" ht="29.25" customHeight="1">
      <c r="A3" s="719" t="s">
        <v>271</v>
      </c>
      <c r="B3" s="720" t="s">
        <v>1082</v>
      </c>
      <c r="C3" s="720"/>
      <c r="D3" s="720"/>
      <c r="E3" s="720"/>
      <c r="F3" s="720"/>
      <c r="G3" s="720"/>
      <c r="H3" s="720" t="s">
        <v>1083</v>
      </c>
      <c r="I3" s="720"/>
      <c r="J3" s="720"/>
      <c r="K3" s="720"/>
      <c r="L3" s="720"/>
      <c r="M3" s="721"/>
    </row>
    <row r="4" spans="1:13" s="392" customFormat="1" ht="171.75" customHeight="1">
      <c r="A4" s="719"/>
      <c r="B4" s="390" t="s">
        <v>1421</v>
      </c>
      <c r="C4" s="390" t="s">
        <v>1422</v>
      </c>
      <c r="D4" s="390" t="s">
        <v>295</v>
      </c>
      <c r="E4" s="390" t="s">
        <v>100</v>
      </c>
      <c r="F4" s="390" t="s">
        <v>101</v>
      </c>
      <c r="G4" s="390" t="s">
        <v>269</v>
      </c>
      <c r="H4" s="390" t="s">
        <v>1421</v>
      </c>
      <c r="I4" s="390" t="s">
        <v>1422</v>
      </c>
      <c r="J4" s="390" t="s">
        <v>295</v>
      </c>
      <c r="K4" s="390" t="s">
        <v>100</v>
      </c>
      <c r="L4" s="390" t="s">
        <v>101</v>
      </c>
      <c r="M4" s="391" t="s">
        <v>269</v>
      </c>
    </row>
    <row r="5" spans="1:13" ht="31.5">
      <c r="A5" s="393"/>
      <c r="B5" s="394" t="s">
        <v>359</v>
      </c>
      <c r="C5" s="394" t="s">
        <v>360</v>
      </c>
      <c r="D5" s="394" t="s">
        <v>361</v>
      </c>
      <c r="E5" s="394" t="s">
        <v>368</v>
      </c>
      <c r="F5" s="394" t="s">
        <v>362</v>
      </c>
      <c r="G5" s="394" t="s">
        <v>1053</v>
      </c>
      <c r="H5" s="394" t="s">
        <v>364</v>
      </c>
      <c r="I5" s="394" t="s">
        <v>365</v>
      </c>
      <c r="J5" s="394" t="s">
        <v>366</v>
      </c>
      <c r="K5" s="394" t="s">
        <v>1054</v>
      </c>
      <c r="L5" s="395" t="s">
        <v>1055</v>
      </c>
      <c r="M5" s="396" t="s">
        <v>1056</v>
      </c>
    </row>
    <row r="6" spans="1:13" ht="36" customHeight="1" thickBot="1">
      <c r="A6" s="398">
        <v>1</v>
      </c>
      <c r="B6" s="254">
        <f>13223141.12+1613415.98+2500-960323.34</f>
        <v>13878733.76</v>
      </c>
      <c r="C6" s="254">
        <v>6819987.99</v>
      </c>
      <c r="D6" s="254">
        <v>869754.08</v>
      </c>
      <c r="E6" s="254">
        <v>311245.26</v>
      </c>
      <c r="F6" s="254">
        <f>595987.82-2500</f>
        <v>593487.82</v>
      </c>
      <c r="G6" s="399">
        <f>SUM(B6:F6)</f>
        <v>22473208.91</v>
      </c>
      <c r="H6" s="254">
        <f>B6+463411-983263.83-1815.14-282.15-110203.5</f>
        <v>13246580.139999999</v>
      </c>
      <c r="I6" s="254">
        <f>C6+7952935.04-1690963.98-1018888.65</f>
        <v>12063070.4</v>
      </c>
      <c r="J6" s="254">
        <v>659952.43</v>
      </c>
      <c r="K6" s="254">
        <v>302354.74</v>
      </c>
      <c r="L6" s="254">
        <v>1618940.22</v>
      </c>
      <c r="M6" s="400">
        <f>SUM(H6:L6)</f>
        <v>27890897.929999996</v>
      </c>
    </row>
    <row r="7" spans="2:12" ht="15.75">
      <c r="B7" s="188"/>
      <c r="H7" s="188"/>
      <c r="I7" s="188"/>
      <c r="J7" s="188"/>
      <c r="K7" s="188"/>
      <c r="L7" s="188"/>
    </row>
    <row r="9" spans="1:9" ht="15.75">
      <c r="A9" s="711" t="s">
        <v>1321</v>
      </c>
      <c r="B9" s="711"/>
      <c r="C9" s="711"/>
      <c r="D9" s="711"/>
      <c r="E9" s="711"/>
      <c r="F9" s="711"/>
      <c r="G9" s="711"/>
      <c r="H9" s="188"/>
      <c r="I9" s="188"/>
    </row>
    <row r="10" spans="1:7" ht="15.75">
      <c r="A10" s="711" t="s">
        <v>1337</v>
      </c>
      <c r="B10" s="711"/>
      <c r="C10" s="711"/>
      <c r="D10" s="711"/>
      <c r="E10" s="711"/>
      <c r="F10" s="711"/>
      <c r="G10" s="711"/>
    </row>
    <row r="11" spans="1:9" ht="15.75">
      <c r="A11" s="712" t="s">
        <v>1322</v>
      </c>
      <c r="B11" s="712"/>
      <c r="C11" s="712"/>
      <c r="D11" s="712"/>
      <c r="E11" s="712"/>
      <c r="F11" s="712"/>
      <c r="G11" s="712"/>
      <c r="I11" s="188"/>
    </row>
    <row r="12" spans="1:7" ht="15.75">
      <c r="A12" s="711" t="s">
        <v>1323</v>
      </c>
      <c r="B12" s="711"/>
      <c r="C12" s="711"/>
      <c r="D12" s="711"/>
      <c r="E12" s="711"/>
      <c r="F12" s="711"/>
      <c r="G12" s="711"/>
    </row>
    <row r="13" spans="3:9" ht="15.75">
      <c r="C13" s="188"/>
      <c r="H13" s="188"/>
      <c r="I13" s="188"/>
    </row>
    <row r="14" spans="3:9" ht="15.75">
      <c r="C14" s="188"/>
      <c r="H14" s="188"/>
      <c r="I14" s="188"/>
    </row>
    <row r="15" ht="15.75">
      <c r="C15" s="188"/>
    </row>
    <row r="16" spans="3:13" ht="15.75">
      <c r="C16" s="188"/>
      <c r="H16" s="188"/>
      <c r="I16" s="188"/>
      <c r="J16" s="188"/>
      <c r="K16" s="188"/>
      <c r="L16" s="188"/>
      <c r="M16" s="188"/>
    </row>
    <row r="18" ht="15.75">
      <c r="B18" s="401"/>
    </row>
    <row r="19" ht="15.75">
      <c r="B19" s="401"/>
    </row>
  </sheetData>
  <sheetProtection/>
  <mergeCells count="9">
    <mergeCell ref="A10:G10"/>
    <mergeCell ref="A11:G11"/>
    <mergeCell ref="A12:G12"/>
    <mergeCell ref="A1:M1"/>
    <mergeCell ref="A2:M2"/>
    <mergeCell ref="A3:A4"/>
    <mergeCell ref="B3:G3"/>
    <mergeCell ref="H3:M3"/>
    <mergeCell ref="A9:G9"/>
  </mergeCells>
  <printOptions/>
  <pageMargins left="0.4" right="0.47" top="0.984251968503937" bottom="0.984251968503937" header="0.5118110236220472" footer="0.5118110236220472"/>
  <pageSetup fitToHeight="1" fitToWidth="1" horizontalDpi="600" verticalDpi="600" orientation="landscape" paperSize="9" scale="64" r:id="rId1"/>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G44"/>
  <sheetViews>
    <sheetView zoomScalePageLayoutView="0" workbookViewId="0" topLeftCell="A1">
      <pane xSplit="3" ySplit="3" topLeftCell="D40" activePane="bottomRight" state="frozen"/>
      <selection pane="topLeft" activeCell="A1" sqref="A1"/>
      <selection pane="topRight" activeCell="D1" sqref="D1"/>
      <selection pane="bottomLeft" activeCell="A4" sqref="A4"/>
      <selection pane="bottomRight" activeCell="C49" sqref="C49"/>
    </sheetView>
  </sheetViews>
  <sheetFormatPr defaultColWidth="9.140625" defaultRowHeight="12.75"/>
  <cols>
    <col min="1" max="1" width="7.28125" style="402" customWidth="1"/>
    <col min="2" max="2" width="39.8515625" style="402" customWidth="1"/>
    <col min="3" max="3" width="9.421875" style="402" customWidth="1"/>
    <col min="4" max="4" width="18.421875" style="402" customWidth="1"/>
    <col min="5" max="5" width="16.7109375" style="402" customWidth="1"/>
    <col min="6" max="6" width="14.00390625" style="402" customWidth="1"/>
    <col min="7" max="16384" width="9.140625" style="402" customWidth="1"/>
  </cols>
  <sheetData>
    <row r="1" spans="1:6" ht="66.75" customHeight="1" thickBot="1">
      <c r="A1" s="722" t="s">
        <v>1194</v>
      </c>
      <c r="B1" s="723"/>
      <c r="C1" s="723"/>
      <c r="D1" s="723"/>
      <c r="E1" s="723"/>
      <c r="F1" s="724"/>
    </row>
    <row r="2" spans="1:6" ht="36.75" customHeight="1" thickBot="1">
      <c r="A2" s="725" t="s">
        <v>1328</v>
      </c>
      <c r="B2" s="726"/>
      <c r="C2" s="726"/>
      <c r="D2" s="726"/>
      <c r="E2" s="726"/>
      <c r="F2" s="727"/>
    </row>
    <row r="3" spans="1:7" s="405" customFormat="1" ht="69" customHeight="1" thickBot="1">
      <c r="A3" s="160" t="s">
        <v>782</v>
      </c>
      <c r="B3" s="160" t="s">
        <v>494</v>
      </c>
      <c r="C3" s="403" t="s">
        <v>271</v>
      </c>
      <c r="D3" s="403" t="s">
        <v>1423</v>
      </c>
      <c r="E3" s="403" t="s">
        <v>1424</v>
      </c>
      <c r="F3" s="404" t="s">
        <v>1425</v>
      </c>
      <c r="G3" s="402"/>
    </row>
    <row r="4" spans="1:7" s="425" customFormat="1" ht="15.75">
      <c r="A4" s="406">
        <v>601</v>
      </c>
      <c r="B4" s="407" t="s">
        <v>858</v>
      </c>
      <c r="C4" s="408" t="s">
        <v>859</v>
      </c>
      <c r="D4" s="161">
        <v>94777.32</v>
      </c>
      <c r="E4" s="409">
        <v>103819.27</v>
      </c>
      <c r="F4" s="410">
        <f>E4-D4</f>
        <v>9041.949999999997</v>
      </c>
      <c r="G4" s="402"/>
    </row>
    <row r="5" spans="1:7" s="425" customFormat="1" ht="15.75">
      <c r="A5" s="91">
        <v>602</v>
      </c>
      <c r="B5" s="411" t="s">
        <v>860</v>
      </c>
      <c r="C5" s="412" t="s">
        <v>861</v>
      </c>
      <c r="D5" s="162">
        <v>699152.04</v>
      </c>
      <c r="E5" s="413">
        <v>747856.21</v>
      </c>
      <c r="F5" s="414">
        <f aca="true" t="shared" si="0" ref="F5:F38">E5-D5</f>
        <v>48704.169999999925</v>
      </c>
      <c r="G5" s="402"/>
    </row>
    <row r="6" spans="1:7" s="425" customFormat="1" ht="15.75">
      <c r="A6" s="91">
        <v>604</v>
      </c>
      <c r="B6" s="415" t="s">
        <v>862</v>
      </c>
      <c r="C6" s="412" t="s">
        <v>863</v>
      </c>
      <c r="D6" s="162">
        <v>0</v>
      </c>
      <c r="E6" s="413"/>
      <c r="F6" s="414">
        <f t="shared" si="0"/>
        <v>0</v>
      </c>
      <c r="G6" s="402"/>
    </row>
    <row r="7" spans="1:7" s="425" customFormat="1" ht="15.75">
      <c r="A7" s="91">
        <v>611</v>
      </c>
      <c r="B7" s="411" t="s">
        <v>1318</v>
      </c>
      <c r="C7" s="412" t="s">
        <v>864</v>
      </c>
      <c r="D7" s="162">
        <v>0</v>
      </c>
      <c r="E7" s="413"/>
      <c r="F7" s="414">
        <f t="shared" si="0"/>
        <v>0</v>
      </c>
      <c r="G7" s="402"/>
    </row>
    <row r="8" spans="1:7" s="425" customFormat="1" ht="15.75">
      <c r="A8" s="91">
        <v>612</v>
      </c>
      <c r="B8" s="411" t="s">
        <v>865</v>
      </c>
      <c r="C8" s="412" t="s">
        <v>866</v>
      </c>
      <c r="D8" s="162">
        <v>0</v>
      </c>
      <c r="E8" s="413"/>
      <c r="F8" s="414">
        <f t="shared" si="0"/>
        <v>0</v>
      </c>
      <c r="G8" s="402"/>
    </row>
    <row r="9" spans="1:7" s="425" customFormat="1" ht="15.75">
      <c r="A9" s="91">
        <v>613</v>
      </c>
      <c r="B9" s="411" t="s">
        <v>867</v>
      </c>
      <c r="C9" s="412" t="s">
        <v>868</v>
      </c>
      <c r="D9" s="162">
        <v>0</v>
      </c>
      <c r="E9" s="413"/>
      <c r="F9" s="414">
        <f t="shared" si="0"/>
        <v>0</v>
      </c>
      <c r="G9" s="402"/>
    </row>
    <row r="10" spans="1:7" s="425" customFormat="1" ht="15.75">
      <c r="A10" s="91">
        <v>614</v>
      </c>
      <c r="B10" s="411" t="s">
        <v>869</v>
      </c>
      <c r="C10" s="412" t="s">
        <v>870</v>
      </c>
      <c r="D10" s="162">
        <v>0</v>
      </c>
      <c r="E10" s="413"/>
      <c r="F10" s="414">
        <f t="shared" si="0"/>
        <v>0</v>
      </c>
      <c r="G10" s="402"/>
    </row>
    <row r="11" spans="1:7" s="425" customFormat="1" ht="15.75">
      <c r="A11" s="91">
        <v>621</v>
      </c>
      <c r="B11" s="411" t="s">
        <v>871</v>
      </c>
      <c r="C11" s="412" t="s">
        <v>872</v>
      </c>
      <c r="D11" s="162">
        <v>0</v>
      </c>
      <c r="E11" s="413"/>
      <c r="F11" s="414">
        <f t="shared" si="0"/>
        <v>0</v>
      </c>
      <c r="G11" s="402"/>
    </row>
    <row r="12" spans="1:7" s="425" customFormat="1" ht="15.75">
      <c r="A12" s="91">
        <v>622</v>
      </c>
      <c r="B12" s="411" t="s">
        <v>873</v>
      </c>
      <c r="C12" s="412" t="s">
        <v>874</v>
      </c>
      <c r="D12" s="162">
        <v>0</v>
      </c>
      <c r="E12" s="413"/>
      <c r="F12" s="414">
        <f t="shared" si="0"/>
        <v>0</v>
      </c>
      <c r="G12" s="402"/>
    </row>
    <row r="13" spans="1:6" s="425" customFormat="1" ht="15.75">
      <c r="A13" s="91">
        <v>623</v>
      </c>
      <c r="B13" s="411" t="s">
        <v>875</v>
      </c>
      <c r="C13" s="412" t="s">
        <v>876</v>
      </c>
      <c r="D13" s="162">
        <v>0</v>
      </c>
      <c r="E13" s="413"/>
      <c r="F13" s="414">
        <f t="shared" si="0"/>
        <v>0</v>
      </c>
    </row>
    <row r="14" spans="1:6" s="425" customFormat="1" ht="15.75">
      <c r="A14" s="91">
        <v>624</v>
      </c>
      <c r="B14" s="411" t="s">
        <v>877</v>
      </c>
      <c r="C14" s="412" t="s">
        <v>878</v>
      </c>
      <c r="D14" s="162">
        <v>0</v>
      </c>
      <c r="E14" s="413"/>
      <c r="F14" s="414">
        <f t="shared" si="0"/>
        <v>0</v>
      </c>
    </row>
    <row r="15" spans="1:6" s="425" customFormat="1" ht="15.75">
      <c r="A15" s="91">
        <v>641</v>
      </c>
      <c r="B15" s="411" t="s">
        <v>813</v>
      </c>
      <c r="C15" s="412" t="s">
        <v>879</v>
      </c>
      <c r="D15" s="162">
        <v>0</v>
      </c>
      <c r="E15" s="413"/>
      <c r="F15" s="414">
        <f t="shared" si="0"/>
        <v>0</v>
      </c>
    </row>
    <row r="16" spans="1:6" s="425" customFormat="1" ht="15.75">
      <c r="A16" s="91">
        <v>642</v>
      </c>
      <c r="B16" s="411" t="s">
        <v>815</v>
      </c>
      <c r="C16" s="412" t="s">
        <v>880</v>
      </c>
      <c r="D16" s="162">
        <v>0</v>
      </c>
      <c r="E16" s="413"/>
      <c r="F16" s="414">
        <f t="shared" si="0"/>
        <v>0</v>
      </c>
    </row>
    <row r="17" spans="1:6" s="425" customFormat="1" ht="15.75">
      <c r="A17" s="91">
        <v>643</v>
      </c>
      <c r="B17" s="411" t="s">
        <v>881</v>
      </c>
      <c r="C17" s="412" t="s">
        <v>882</v>
      </c>
      <c r="D17" s="162">
        <v>0</v>
      </c>
      <c r="E17" s="413"/>
      <c r="F17" s="414">
        <f t="shared" si="0"/>
        <v>0</v>
      </c>
    </row>
    <row r="18" spans="1:6" s="425" customFormat="1" ht="15.75">
      <c r="A18" s="91">
        <v>644</v>
      </c>
      <c r="B18" s="411" t="s">
        <v>819</v>
      </c>
      <c r="C18" s="412" t="s">
        <v>883</v>
      </c>
      <c r="D18" s="162">
        <v>0</v>
      </c>
      <c r="E18" s="413"/>
      <c r="F18" s="414">
        <f t="shared" si="0"/>
        <v>0</v>
      </c>
    </row>
    <row r="19" spans="1:6" s="425" customFormat="1" ht="15.75">
      <c r="A19" s="91">
        <v>645</v>
      </c>
      <c r="B19" s="411" t="s">
        <v>884</v>
      </c>
      <c r="C19" s="412" t="s">
        <v>885</v>
      </c>
      <c r="D19" s="162">
        <v>0</v>
      </c>
      <c r="E19" s="413">
        <v>0.02</v>
      </c>
      <c r="F19" s="414">
        <f t="shared" si="0"/>
        <v>0.02</v>
      </c>
    </row>
    <row r="20" spans="1:6" s="425" customFormat="1" ht="15.75">
      <c r="A20" s="91">
        <v>646</v>
      </c>
      <c r="B20" s="411" t="s">
        <v>886</v>
      </c>
      <c r="C20" s="412" t="s">
        <v>887</v>
      </c>
      <c r="D20" s="162">
        <v>0</v>
      </c>
      <c r="E20" s="413"/>
      <c r="F20" s="414">
        <f t="shared" si="0"/>
        <v>0</v>
      </c>
    </row>
    <row r="21" spans="1:6" s="425" customFormat="1" ht="15.75">
      <c r="A21" s="91">
        <v>647</v>
      </c>
      <c r="B21" s="411" t="s">
        <v>888</v>
      </c>
      <c r="C21" s="412" t="s">
        <v>889</v>
      </c>
      <c r="D21" s="162">
        <v>0</v>
      </c>
      <c r="E21" s="413"/>
      <c r="F21" s="414">
        <f t="shared" si="0"/>
        <v>0</v>
      </c>
    </row>
    <row r="22" spans="1:6" s="425" customFormat="1" ht="15.75">
      <c r="A22" s="91">
        <v>648</v>
      </c>
      <c r="B22" s="411" t="s">
        <v>890</v>
      </c>
      <c r="C22" s="412" t="s">
        <v>891</v>
      </c>
      <c r="D22" s="162">
        <v>0</v>
      </c>
      <c r="E22" s="413"/>
      <c r="F22" s="414">
        <f t="shared" si="0"/>
        <v>0</v>
      </c>
    </row>
    <row r="23" spans="1:6" s="425" customFormat="1" ht="15.75">
      <c r="A23" s="91">
        <v>649</v>
      </c>
      <c r="B23" s="411" t="s">
        <v>1319</v>
      </c>
      <c r="C23" s="412" t="s">
        <v>892</v>
      </c>
      <c r="D23" s="162">
        <f>25010.28+6717.6</f>
        <v>31727.879999999997</v>
      </c>
      <c r="E23" s="413">
        <f>233.25+2188.53</f>
        <v>2421.78</v>
      </c>
      <c r="F23" s="414">
        <f t="shared" si="0"/>
        <v>-29306.1</v>
      </c>
    </row>
    <row r="24" spans="1:6" s="425" customFormat="1" ht="15.75">
      <c r="A24" s="91">
        <v>651</v>
      </c>
      <c r="B24" s="411" t="s">
        <v>893</v>
      </c>
      <c r="C24" s="412" t="s">
        <v>894</v>
      </c>
      <c r="D24" s="162">
        <v>0</v>
      </c>
      <c r="E24" s="413"/>
      <c r="F24" s="414">
        <f t="shared" si="0"/>
        <v>0</v>
      </c>
    </row>
    <row r="25" spans="1:6" s="425" customFormat="1" ht="15.75">
      <c r="A25" s="91">
        <v>652</v>
      </c>
      <c r="B25" s="411" t="s">
        <v>895</v>
      </c>
      <c r="C25" s="412" t="s">
        <v>896</v>
      </c>
      <c r="D25" s="162">
        <v>0</v>
      </c>
      <c r="E25" s="413"/>
      <c r="F25" s="414">
        <f t="shared" si="0"/>
        <v>0</v>
      </c>
    </row>
    <row r="26" spans="1:6" s="425" customFormat="1" ht="15.75">
      <c r="A26" s="91">
        <v>653</v>
      </c>
      <c r="B26" s="411" t="s">
        <v>897</v>
      </c>
      <c r="C26" s="412" t="s">
        <v>898</v>
      </c>
      <c r="D26" s="162">
        <v>0</v>
      </c>
      <c r="E26" s="413"/>
      <c r="F26" s="414">
        <f t="shared" si="0"/>
        <v>0</v>
      </c>
    </row>
    <row r="27" spans="1:6" s="425" customFormat="1" ht="15.75">
      <c r="A27" s="91">
        <v>654</v>
      </c>
      <c r="B27" s="411" t="s">
        <v>899</v>
      </c>
      <c r="C27" s="412" t="s">
        <v>900</v>
      </c>
      <c r="D27" s="162">
        <v>0</v>
      </c>
      <c r="E27" s="413"/>
      <c r="F27" s="414">
        <f t="shared" si="0"/>
        <v>0</v>
      </c>
    </row>
    <row r="28" spans="1:6" s="425" customFormat="1" ht="15.75">
      <c r="A28" s="91">
        <v>655</v>
      </c>
      <c r="B28" s="411" t="s">
        <v>901</v>
      </c>
      <c r="C28" s="412" t="s">
        <v>902</v>
      </c>
      <c r="D28" s="162">
        <v>0</v>
      </c>
      <c r="E28" s="413"/>
      <c r="F28" s="414">
        <f t="shared" si="0"/>
        <v>0</v>
      </c>
    </row>
    <row r="29" spans="1:6" s="425" customFormat="1" ht="15.75">
      <c r="A29" s="91">
        <v>656</v>
      </c>
      <c r="B29" s="411" t="s">
        <v>903</v>
      </c>
      <c r="C29" s="412" t="s">
        <v>904</v>
      </c>
      <c r="D29" s="162">
        <v>0</v>
      </c>
      <c r="E29" s="413"/>
      <c r="F29" s="414">
        <f t="shared" si="0"/>
        <v>0</v>
      </c>
    </row>
    <row r="30" spans="1:6" s="425" customFormat="1" ht="15.75">
      <c r="A30" s="91">
        <v>657</v>
      </c>
      <c r="B30" s="411" t="s">
        <v>905</v>
      </c>
      <c r="C30" s="412" t="s">
        <v>906</v>
      </c>
      <c r="D30" s="162">
        <v>0</v>
      </c>
      <c r="E30" s="413"/>
      <c r="F30" s="414">
        <f t="shared" si="0"/>
        <v>0</v>
      </c>
    </row>
    <row r="31" spans="1:6" s="425" customFormat="1" ht="15.75">
      <c r="A31" s="91">
        <v>658</v>
      </c>
      <c r="B31" s="411" t="s">
        <v>907</v>
      </c>
      <c r="C31" s="412" t="s">
        <v>908</v>
      </c>
      <c r="D31" s="162">
        <v>0</v>
      </c>
      <c r="E31" s="413"/>
      <c r="F31" s="414">
        <f t="shared" si="0"/>
        <v>0</v>
      </c>
    </row>
    <row r="32" spans="1:6" s="425" customFormat="1" ht="15.75">
      <c r="A32" s="91">
        <v>661</v>
      </c>
      <c r="B32" s="411" t="s">
        <v>909</v>
      </c>
      <c r="C32" s="412" t="s">
        <v>910</v>
      </c>
      <c r="D32" s="162">
        <v>0</v>
      </c>
      <c r="E32" s="413"/>
      <c r="F32" s="414">
        <f t="shared" si="0"/>
        <v>0</v>
      </c>
    </row>
    <row r="33" spans="1:6" s="425" customFormat="1" ht="15.75">
      <c r="A33" s="91">
        <v>662</v>
      </c>
      <c r="B33" s="411" t="s">
        <v>911</v>
      </c>
      <c r="C33" s="412" t="s">
        <v>912</v>
      </c>
      <c r="D33" s="162">
        <v>0</v>
      </c>
      <c r="E33" s="413"/>
      <c r="F33" s="414">
        <f t="shared" si="0"/>
        <v>0</v>
      </c>
    </row>
    <row r="34" spans="1:6" s="425" customFormat="1" ht="15.75">
      <c r="A34" s="91">
        <v>663</v>
      </c>
      <c r="B34" s="411" t="s">
        <v>913</v>
      </c>
      <c r="C34" s="412" t="s">
        <v>914</v>
      </c>
      <c r="D34" s="162">
        <v>0</v>
      </c>
      <c r="E34" s="413"/>
      <c r="F34" s="414">
        <f t="shared" si="0"/>
        <v>0</v>
      </c>
    </row>
    <row r="35" spans="1:6" s="425" customFormat="1" ht="15.75">
      <c r="A35" s="91">
        <v>664</v>
      </c>
      <c r="B35" s="411" t="s">
        <v>915</v>
      </c>
      <c r="C35" s="412" t="s">
        <v>916</v>
      </c>
      <c r="D35" s="163">
        <v>0</v>
      </c>
      <c r="E35" s="416"/>
      <c r="F35" s="414">
        <f t="shared" si="0"/>
        <v>0</v>
      </c>
    </row>
    <row r="36" spans="1:6" s="425" customFormat="1" ht="15.75">
      <c r="A36" s="91">
        <v>665</v>
      </c>
      <c r="B36" s="411" t="s">
        <v>917</v>
      </c>
      <c r="C36" s="412" t="s">
        <v>918</v>
      </c>
      <c r="D36" s="163">
        <v>0</v>
      </c>
      <c r="E36" s="416"/>
      <c r="F36" s="414">
        <f t="shared" si="0"/>
        <v>0</v>
      </c>
    </row>
    <row r="37" spans="1:6" ht="15.75">
      <c r="A37" s="91">
        <v>667</v>
      </c>
      <c r="B37" s="411" t="s">
        <v>919</v>
      </c>
      <c r="C37" s="412" t="s">
        <v>920</v>
      </c>
      <c r="D37" s="163">
        <v>0</v>
      </c>
      <c r="E37" s="416"/>
      <c r="F37" s="414">
        <f t="shared" si="0"/>
        <v>0</v>
      </c>
    </row>
    <row r="38" spans="1:7" ht="15.75">
      <c r="A38" s="91">
        <v>691</v>
      </c>
      <c r="B38" s="411" t="s">
        <v>921</v>
      </c>
      <c r="C38" s="412" t="s">
        <v>922</v>
      </c>
      <c r="D38" s="163">
        <v>795051.09</v>
      </c>
      <c r="E38" s="416">
        <v>760636.43</v>
      </c>
      <c r="F38" s="414">
        <f t="shared" si="0"/>
        <v>-34414.659999999916</v>
      </c>
      <c r="G38" s="402" t="s">
        <v>1331</v>
      </c>
    </row>
    <row r="39" spans="1:6" ht="15.75">
      <c r="A39" s="728" t="s">
        <v>923</v>
      </c>
      <c r="B39" s="729"/>
      <c r="C39" s="417" t="s">
        <v>924</v>
      </c>
      <c r="D39" s="418">
        <f>SUM(D4:D38)</f>
        <v>1620708.33</v>
      </c>
      <c r="E39" s="170">
        <f>SUM(E4:E38)</f>
        <v>1614733.71</v>
      </c>
      <c r="F39" s="414">
        <f>SUM(F4:F38)</f>
        <v>-5974.619999999995</v>
      </c>
    </row>
    <row r="40" spans="1:6" ht="15.75">
      <c r="A40" s="728" t="s">
        <v>925</v>
      </c>
      <c r="B40" s="729"/>
      <c r="C40" s="417" t="s">
        <v>926</v>
      </c>
      <c r="D40" s="184">
        <f>D39-'[13]T23_Náklady_soc_oblasť'!D42</f>
        <v>111275.63000000012</v>
      </c>
      <c r="E40" s="419">
        <f>E39-'[13]T23_Náklady_soc_oblasť'!E42</f>
        <v>294349.5899999996</v>
      </c>
      <c r="F40" s="414">
        <f>F39-'[13]T23_Náklady_soc_oblasť'!F42</f>
        <v>183073.96</v>
      </c>
    </row>
    <row r="41" spans="1:6" ht="15.75">
      <c r="A41" s="91">
        <v>591</v>
      </c>
      <c r="B41" s="411" t="s">
        <v>927</v>
      </c>
      <c r="C41" s="412" t="s">
        <v>928</v>
      </c>
      <c r="D41" s="420"/>
      <c r="E41" s="413"/>
      <c r="F41" s="414">
        <f>F40-'[13]T23_Náklady_soc_oblasť'!F43</f>
        <v>561171.12</v>
      </c>
    </row>
    <row r="42" spans="1:6" ht="15.75">
      <c r="A42" s="91">
        <v>595</v>
      </c>
      <c r="B42" s="411" t="s">
        <v>929</v>
      </c>
      <c r="C42" s="412" t="s">
        <v>930</v>
      </c>
      <c r="D42" s="420"/>
      <c r="E42" s="413"/>
      <c r="F42" s="414">
        <f>F41-'[13]T23_Náklady_soc_oblasť'!F44</f>
        <v>561171.12</v>
      </c>
    </row>
    <row r="43" spans="1:6" ht="15.75">
      <c r="A43" s="728" t="s">
        <v>931</v>
      </c>
      <c r="B43" s="729"/>
      <c r="C43" s="417" t="s">
        <v>932</v>
      </c>
      <c r="D43" s="421">
        <f>D40-D41+D42</f>
        <v>111275.63000000012</v>
      </c>
      <c r="E43" s="421">
        <f>E40-E41+E42</f>
        <v>294349.5899999996</v>
      </c>
      <c r="F43" s="414">
        <f>F40-F41+F42</f>
        <v>183073.95999999996</v>
      </c>
    </row>
    <row r="44" spans="1:6" ht="16.5" thickBot="1">
      <c r="A44" s="730" t="s">
        <v>933</v>
      </c>
      <c r="B44" s="731"/>
      <c r="C44" s="422" t="s">
        <v>934</v>
      </c>
      <c r="D44" s="209">
        <f>SUM(D4:D42)</f>
        <v>3352692.29</v>
      </c>
      <c r="E44" s="423">
        <f>SUM(E4:E42)</f>
        <v>3523817.01</v>
      </c>
      <c r="F44" s="424">
        <f>SUM(F4:F42)</f>
        <v>1293466.96</v>
      </c>
    </row>
  </sheetData>
  <sheetProtection/>
  <mergeCells count="6">
    <mergeCell ref="A1:F1"/>
    <mergeCell ref="A2:F2"/>
    <mergeCell ref="A39:B39"/>
    <mergeCell ref="A40:B40"/>
    <mergeCell ref="A43:B43"/>
    <mergeCell ref="A44:B44"/>
  </mergeCells>
  <printOptions/>
  <pageMargins left="0.5511811023622047" right="0.4724409448818898" top="0.5905511811023623" bottom="0.4724409448818898" header="0.15748031496062992" footer="0.15748031496062992"/>
  <pageSetup fitToHeight="1" fitToWidth="1" horizontalDpi="600" verticalDpi="600" orientation="portrait" paperSize="9" scale="89" r:id="rId1"/>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F44"/>
  <sheetViews>
    <sheetView zoomScalePageLayoutView="0" workbookViewId="0" topLeftCell="A1">
      <pane xSplit="3" ySplit="3" topLeftCell="D34" activePane="bottomRight" state="frozen"/>
      <selection pane="topLeft" activeCell="A1" sqref="A1"/>
      <selection pane="topRight" activeCell="D1" sqref="D1"/>
      <selection pane="bottomLeft" activeCell="A4" sqref="A4"/>
      <selection pane="bottomRight" activeCell="D49" sqref="D49"/>
    </sheetView>
  </sheetViews>
  <sheetFormatPr defaultColWidth="9.140625" defaultRowHeight="12.75"/>
  <cols>
    <col min="1" max="1" width="9.140625" style="425" customWidth="1"/>
    <col min="2" max="2" width="42.140625" style="425" customWidth="1"/>
    <col min="3" max="3" width="10.140625" style="425" customWidth="1"/>
    <col min="4" max="4" width="17.421875" style="425" customWidth="1"/>
    <col min="5" max="5" width="17.140625" style="425" customWidth="1"/>
    <col min="6" max="6" width="16.57421875" style="425" customWidth="1"/>
    <col min="7" max="16384" width="9.140625" style="425" customWidth="1"/>
  </cols>
  <sheetData>
    <row r="1" spans="1:6" ht="61.5" customHeight="1" thickBot="1">
      <c r="A1" s="732" t="s">
        <v>1195</v>
      </c>
      <c r="B1" s="733"/>
      <c r="C1" s="733"/>
      <c r="D1" s="733"/>
      <c r="E1" s="733"/>
      <c r="F1" s="734"/>
    </row>
    <row r="2" spans="1:6" ht="30.75" customHeight="1" thickBot="1">
      <c r="A2" s="735" t="s">
        <v>1328</v>
      </c>
      <c r="B2" s="736"/>
      <c r="C2" s="736"/>
      <c r="D2" s="736"/>
      <c r="E2" s="736"/>
      <c r="F2" s="737"/>
    </row>
    <row r="3" spans="1:6" ht="64.5" customHeight="1" thickBot="1">
      <c r="A3" s="160" t="s">
        <v>782</v>
      </c>
      <c r="B3" s="164" t="s">
        <v>494</v>
      </c>
      <c r="C3" s="165" t="s">
        <v>271</v>
      </c>
      <c r="D3" s="403" t="s">
        <v>1426</v>
      </c>
      <c r="E3" s="403" t="s">
        <v>1427</v>
      </c>
      <c r="F3" s="404" t="s">
        <v>1425</v>
      </c>
    </row>
    <row r="4" spans="1:6" ht="15.75">
      <c r="A4" s="426">
        <v>501</v>
      </c>
      <c r="B4" s="427" t="s">
        <v>783</v>
      </c>
      <c r="C4" s="428" t="s">
        <v>784</v>
      </c>
      <c r="D4" s="429">
        <v>156660.17</v>
      </c>
      <c r="E4" s="429">
        <v>166296.9</v>
      </c>
      <c r="F4" s="430">
        <f>E4-D4</f>
        <v>9636.729999999981</v>
      </c>
    </row>
    <row r="5" spans="1:6" ht="15.75">
      <c r="A5" s="89">
        <v>502</v>
      </c>
      <c r="B5" s="431" t="s">
        <v>785</v>
      </c>
      <c r="C5" s="432" t="s">
        <v>786</v>
      </c>
      <c r="D5" s="420">
        <v>459266.23</v>
      </c>
      <c r="E5" s="420">
        <v>419633.25</v>
      </c>
      <c r="F5" s="170">
        <f aca="true" t="shared" si="0" ref="F5:F41">E5-D5</f>
        <v>-39632.97999999998</v>
      </c>
    </row>
    <row r="6" spans="1:6" ht="15.75">
      <c r="A6" s="89">
        <v>504</v>
      </c>
      <c r="B6" s="431" t="s">
        <v>787</v>
      </c>
      <c r="C6" s="432" t="s">
        <v>788</v>
      </c>
      <c r="D6" s="420"/>
      <c r="E6" s="420"/>
      <c r="F6" s="170">
        <f t="shared" si="0"/>
        <v>0</v>
      </c>
    </row>
    <row r="7" spans="1:6" ht="15.75">
      <c r="A7" s="89">
        <v>511</v>
      </c>
      <c r="B7" s="431" t="s">
        <v>789</v>
      </c>
      <c r="C7" s="432" t="s">
        <v>790</v>
      </c>
      <c r="D7" s="420">
        <v>46722.1</v>
      </c>
      <c r="E7" s="420">
        <v>27368.19</v>
      </c>
      <c r="F7" s="170">
        <f t="shared" si="0"/>
        <v>-19353.91</v>
      </c>
    </row>
    <row r="8" spans="1:6" ht="15.75">
      <c r="A8" s="89">
        <v>512</v>
      </c>
      <c r="B8" s="431" t="s">
        <v>791</v>
      </c>
      <c r="C8" s="432" t="s">
        <v>792</v>
      </c>
      <c r="D8" s="420">
        <v>1018</v>
      </c>
      <c r="E8" s="420">
        <v>666.37</v>
      </c>
      <c r="F8" s="170">
        <f t="shared" si="0"/>
        <v>-351.63</v>
      </c>
    </row>
    <row r="9" spans="1:6" ht="15.75">
      <c r="A9" s="89">
        <v>513</v>
      </c>
      <c r="B9" s="431" t="s">
        <v>793</v>
      </c>
      <c r="C9" s="432" t="s">
        <v>794</v>
      </c>
      <c r="D9" s="420">
        <v>430.7</v>
      </c>
      <c r="E9" s="420">
        <v>715.2</v>
      </c>
      <c r="F9" s="170">
        <f t="shared" si="0"/>
        <v>284.50000000000006</v>
      </c>
    </row>
    <row r="10" spans="1:6" ht="15.75">
      <c r="A10" s="89">
        <v>518</v>
      </c>
      <c r="B10" s="431" t="s">
        <v>795</v>
      </c>
      <c r="C10" s="432" t="s">
        <v>796</v>
      </c>
      <c r="D10" s="420">
        <v>117827.72</v>
      </c>
      <c r="E10" s="420">
        <v>93191.32</v>
      </c>
      <c r="F10" s="170">
        <f t="shared" si="0"/>
        <v>-24636.399999999994</v>
      </c>
    </row>
    <row r="11" spans="1:6" ht="15.75">
      <c r="A11" s="89">
        <v>521</v>
      </c>
      <c r="B11" s="431" t="s">
        <v>797</v>
      </c>
      <c r="C11" s="432" t="s">
        <v>798</v>
      </c>
      <c r="D11" s="420">
        <v>344947.51</v>
      </c>
      <c r="E11" s="420">
        <v>355728.89</v>
      </c>
      <c r="F11" s="170">
        <f t="shared" si="0"/>
        <v>10781.380000000005</v>
      </c>
    </row>
    <row r="12" spans="1:6" ht="15.75">
      <c r="A12" s="89">
        <v>524</v>
      </c>
      <c r="B12" s="431" t="s">
        <v>799</v>
      </c>
      <c r="C12" s="432" t="s">
        <v>800</v>
      </c>
      <c r="D12" s="420">
        <v>116978.31</v>
      </c>
      <c r="E12" s="420">
        <v>123320.73</v>
      </c>
      <c r="F12" s="170">
        <f t="shared" si="0"/>
        <v>6342.419999999998</v>
      </c>
    </row>
    <row r="13" spans="1:6" ht="15.75">
      <c r="A13" s="89">
        <v>525</v>
      </c>
      <c r="B13" s="431" t="s">
        <v>801</v>
      </c>
      <c r="C13" s="432" t="s">
        <v>802</v>
      </c>
      <c r="D13" s="420">
        <v>5609.66</v>
      </c>
      <c r="E13" s="420">
        <v>5544.51</v>
      </c>
      <c r="F13" s="170">
        <f t="shared" si="0"/>
        <v>-65.14999999999964</v>
      </c>
    </row>
    <row r="14" spans="1:6" ht="15.75">
      <c r="A14" s="89">
        <v>527</v>
      </c>
      <c r="B14" s="431" t="s">
        <v>803</v>
      </c>
      <c r="C14" s="432" t="s">
        <v>804</v>
      </c>
      <c r="D14" s="420">
        <v>29085.07</v>
      </c>
      <c r="E14" s="420">
        <v>22451.76</v>
      </c>
      <c r="F14" s="170">
        <f t="shared" si="0"/>
        <v>-6633.310000000001</v>
      </c>
    </row>
    <row r="15" spans="1:6" ht="15.75">
      <c r="A15" s="89">
        <v>528</v>
      </c>
      <c r="B15" s="431" t="s">
        <v>805</v>
      </c>
      <c r="C15" s="432" t="s">
        <v>806</v>
      </c>
      <c r="D15" s="420">
        <v>0</v>
      </c>
      <c r="E15" s="420"/>
      <c r="F15" s="170">
        <f t="shared" si="0"/>
        <v>0</v>
      </c>
    </row>
    <row r="16" spans="1:6" ht="15.75">
      <c r="A16" s="89">
        <v>531</v>
      </c>
      <c r="B16" s="431" t="s">
        <v>807</v>
      </c>
      <c r="C16" s="432" t="s">
        <v>808</v>
      </c>
      <c r="D16" s="420">
        <v>0</v>
      </c>
      <c r="E16" s="420"/>
      <c r="F16" s="170">
        <f t="shared" si="0"/>
        <v>0</v>
      </c>
    </row>
    <row r="17" spans="1:6" ht="15.75">
      <c r="A17" s="89">
        <v>532</v>
      </c>
      <c r="B17" s="431" t="s">
        <v>809</v>
      </c>
      <c r="C17" s="432" t="s">
        <v>810</v>
      </c>
      <c r="D17" s="420">
        <v>25610.74</v>
      </c>
      <c r="E17" s="420">
        <v>12805.37</v>
      </c>
      <c r="F17" s="170">
        <f t="shared" si="0"/>
        <v>-12805.37</v>
      </c>
    </row>
    <row r="18" spans="1:6" ht="15.75">
      <c r="A18" s="89">
        <v>538</v>
      </c>
      <c r="B18" s="431" t="s">
        <v>811</v>
      </c>
      <c r="C18" s="432" t="s">
        <v>812</v>
      </c>
      <c r="D18" s="420">
        <v>0</v>
      </c>
      <c r="E18" s="420"/>
      <c r="F18" s="170">
        <f t="shared" si="0"/>
        <v>0</v>
      </c>
    </row>
    <row r="19" spans="1:6" ht="15.75">
      <c r="A19" s="89">
        <v>541</v>
      </c>
      <c r="B19" s="431" t="s">
        <v>813</v>
      </c>
      <c r="C19" s="432" t="s">
        <v>814</v>
      </c>
      <c r="D19" s="420">
        <v>0</v>
      </c>
      <c r="E19" s="420"/>
      <c r="F19" s="170">
        <f t="shared" si="0"/>
        <v>0</v>
      </c>
    </row>
    <row r="20" spans="1:6" ht="15.75">
      <c r="A20" s="89">
        <v>542</v>
      </c>
      <c r="B20" s="431" t="s">
        <v>815</v>
      </c>
      <c r="C20" s="432" t="s">
        <v>816</v>
      </c>
      <c r="D20" s="420">
        <v>0</v>
      </c>
      <c r="E20" s="420"/>
      <c r="F20" s="170">
        <f t="shared" si="0"/>
        <v>0</v>
      </c>
    </row>
    <row r="21" spans="1:6" ht="15.75">
      <c r="A21" s="89">
        <v>543</v>
      </c>
      <c r="B21" s="431" t="s">
        <v>817</v>
      </c>
      <c r="C21" s="432" t="s">
        <v>818</v>
      </c>
      <c r="D21" s="420">
        <v>0</v>
      </c>
      <c r="E21" s="420"/>
      <c r="F21" s="170">
        <f t="shared" si="0"/>
        <v>0</v>
      </c>
    </row>
    <row r="22" spans="1:6" ht="15.75">
      <c r="A22" s="89">
        <v>544</v>
      </c>
      <c r="B22" s="431" t="s">
        <v>819</v>
      </c>
      <c r="C22" s="432" t="s">
        <v>820</v>
      </c>
      <c r="D22" s="420">
        <v>0</v>
      </c>
      <c r="E22" s="420"/>
      <c r="F22" s="170">
        <f t="shared" si="0"/>
        <v>0</v>
      </c>
    </row>
    <row r="23" spans="1:6" ht="15.75">
      <c r="A23" s="89">
        <v>545</v>
      </c>
      <c r="B23" s="431" t="s">
        <v>821</v>
      </c>
      <c r="C23" s="432" t="s">
        <v>822</v>
      </c>
      <c r="D23" s="420">
        <v>0</v>
      </c>
      <c r="E23" s="420">
        <v>2.62</v>
      </c>
      <c r="F23" s="170">
        <f t="shared" si="0"/>
        <v>2.62</v>
      </c>
    </row>
    <row r="24" spans="1:6" ht="15.75">
      <c r="A24" s="89">
        <v>546</v>
      </c>
      <c r="B24" s="431" t="s">
        <v>823</v>
      </c>
      <c r="C24" s="432" t="s">
        <v>824</v>
      </c>
      <c r="D24" s="420">
        <v>0</v>
      </c>
      <c r="E24" s="420"/>
      <c r="F24" s="170">
        <f t="shared" si="0"/>
        <v>0</v>
      </c>
    </row>
    <row r="25" spans="1:6" ht="15.75">
      <c r="A25" s="89">
        <v>547</v>
      </c>
      <c r="B25" s="431" t="s">
        <v>825</v>
      </c>
      <c r="C25" s="432" t="s">
        <v>826</v>
      </c>
      <c r="D25" s="420">
        <v>0</v>
      </c>
      <c r="E25" s="420"/>
      <c r="F25" s="170">
        <f t="shared" si="0"/>
        <v>0</v>
      </c>
    </row>
    <row r="26" spans="1:6" ht="15.75">
      <c r="A26" s="89">
        <v>548</v>
      </c>
      <c r="B26" s="431" t="s">
        <v>827</v>
      </c>
      <c r="C26" s="432" t="s">
        <v>828</v>
      </c>
      <c r="D26" s="420">
        <v>0</v>
      </c>
      <c r="E26" s="420"/>
      <c r="F26" s="170">
        <f t="shared" si="0"/>
        <v>0</v>
      </c>
    </row>
    <row r="27" spans="1:6" ht="15.75">
      <c r="A27" s="89">
        <v>549</v>
      </c>
      <c r="B27" s="431" t="s">
        <v>1324</v>
      </c>
      <c r="C27" s="432" t="s">
        <v>829</v>
      </c>
      <c r="D27" s="420">
        <f>618.74+181025.33</f>
        <v>181644.06999999998</v>
      </c>
      <c r="E27" s="420">
        <f>85+70741.23</f>
        <v>70826.23</v>
      </c>
      <c r="F27" s="170">
        <f t="shared" si="0"/>
        <v>-110817.83999999998</v>
      </c>
    </row>
    <row r="28" spans="1:6" ht="15.75">
      <c r="A28" s="89">
        <v>551</v>
      </c>
      <c r="B28" s="431" t="s">
        <v>830</v>
      </c>
      <c r="C28" s="432" t="s">
        <v>831</v>
      </c>
      <c r="D28" s="420">
        <v>17182.42</v>
      </c>
      <c r="E28" s="420">
        <v>16232.78</v>
      </c>
      <c r="F28" s="170">
        <f t="shared" si="0"/>
        <v>-949.6399999999976</v>
      </c>
    </row>
    <row r="29" spans="1:6" ht="15.75">
      <c r="A29" s="89">
        <v>552</v>
      </c>
      <c r="B29" s="431" t="s">
        <v>1073</v>
      </c>
      <c r="C29" s="432" t="s">
        <v>832</v>
      </c>
      <c r="D29" s="420">
        <v>0</v>
      </c>
      <c r="E29" s="420"/>
      <c r="F29" s="170">
        <f t="shared" si="0"/>
        <v>0</v>
      </c>
    </row>
    <row r="30" spans="1:6" ht="15.75">
      <c r="A30" s="89">
        <v>553</v>
      </c>
      <c r="B30" s="431" t="s">
        <v>833</v>
      </c>
      <c r="C30" s="432" t="s">
        <v>834</v>
      </c>
      <c r="D30" s="420">
        <v>0</v>
      </c>
      <c r="E30" s="420"/>
      <c r="F30" s="170">
        <f t="shared" si="0"/>
        <v>0</v>
      </c>
    </row>
    <row r="31" spans="1:6" ht="15.75">
      <c r="A31" s="89">
        <v>554</v>
      </c>
      <c r="B31" s="431" t="s">
        <v>835</v>
      </c>
      <c r="C31" s="432" t="s">
        <v>836</v>
      </c>
      <c r="D31" s="420">
        <v>0</v>
      </c>
      <c r="E31" s="420"/>
      <c r="F31" s="170">
        <f t="shared" si="0"/>
        <v>0</v>
      </c>
    </row>
    <row r="32" spans="1:6" ht="15.75">
      <c r="A32" s="89">
        <v>555</v>
      </c>
      <c r="B32" s="431" t="s">
        <v>837</v>
      </c>
      <c r="C32" s="432" t="s">
        <v>838</v>
      </c>
      <c r="D32" s="420">
        <v>0</v>
      </c>
      <c r="E32" s="420"/>
      <c r="F32" s="170">
        <f t="shared" si="0"/>
        <v>0</v>
      </c>
    </row>
    <row r="33" spans="1:6" ht="15.75">
      <c r="A33" s="89">
        <v>556</v>
      </c>
      <c r="B33" s="431" t="s">
        <v>839</v>
      </c>
      <c r="C33" s="432" t="s">
        <v>840</v>
      </c>
      <c r="D33" s="420">
        <v>0</v>
      </c>
      <c r="E33" s="420"/>
      <c r="F33" s="170">
        <f t="shared" si="0"/>
        <v>0</v>
      </c>
    </row>
    <row r="34" spans="1:6" ht="15.75">
      <c r="A34" s="89">
        <v>557</v>
      </c>
      <c r="B34" s="431" t="s">
        <v>841</v>
      </c>
      <c r="C34" s="432" t="s">
        <v>842</v>
      </c>
      <c r="D34" s="420">
        <v>0</v>
      </c>
      <c r="E34" s="420"/>
      <c r="F34" s="170">
        <f t="shared" si="0"/>
        <v>0</v>
      </c>
    </row>
    <row r="35" spans="1:6" ht="15.75">
      <c r="A35" s="89">
        <v>558</v>
      </c>
      <c r="B35" s="431" t="s">
        <v>843</v>
      </c>
      <c r="C35" s="432" t="s">
        <v>844</v>
      </c>
      <c r="D35" s="420">
        <v>0</v>
      </c>
      <c r="E35" s="420"/>
      <c r="F35" s="170">
        <f t="shared" si="0"/>
        <v>0</v>
      </c>
    </row>
    <row r="36" spans="1:6" ht="15.75">
      <c r="A36" s="89">
        <v>559</v>
      </c>
      <c r="B36" s="431" t="s">
        <v>845</v>
      </c>
      <c r="C36" s="432" t="s">
        <v>846</v>
      </c>
      <c r="D36" s="420">
        <v>0</v>
      </c>
      <c r="E36" s="420"/>
      <c r="F36" s="170">
        <f t="shared" si="0"/>
        <v>0</v>
      </c>
    </row>
    <row r="37" spans="1:6" ht="20.25" customHeight="1">
      <c r="A37" s="89">
        <v>561</v>
      </c>
      <c r="B37" s="431" t="s">
        <v>847</v>
      </c>
      <c r="C37" s="432" t="s">
        <v>848</v>
      </c>
      <c r="D37" s="420">
        <v>0</v>
      </c>
      <c r="E37" s="420"/>
      <c r="F37" s="170">
        <f t="shared" si="0"/>
        <v>0</v>
      </c>
    </row>
    <row r="38" spans="1:6" ht="15.75">
      <c r="A38" s="89">
        <v>562</v>
      </c>
      <c r="B38" s="431" t="s">
        <v>849</v>
      </c>
      <c r="C38" s="432" t="s">
        <v>850</v>
      </c>
      <c r="D38" s="420">
        <v>6450</v>
      </c>
      <c r="E38" s="420">
        <v>5600</v>
      </c>
      <c r="F38" s="170">
        <f t="shared" si="0"/>
        <v>-850</v>
      </c>
    </row>
    <row r="39" spans="1:6" ht="15.75">
      <c r="A39" s="89">
        <v>563</v>
      </c>
      <c r="B39" s="431" t="s">
        <v>851</v>
      </c>
      <c r="C39" s="432" t="s">
        <v>852</v>
      </c>
      <c r="D39" s="420">
        <v>0</v>
      </c>
      <c r="E39" s="420"/>
      <c r="F39" s="170">
        <f t="shared" si="0"/>
        <v>0</v>
      </c>
    </row>
    <row r="40" spans="1:6" ht="15.75">
      <c r="A40" s="90">
        <v>565</v>
      </c>
      <c r="B40" s="435" t="s">
        <v>1072</v>
      </c>
      <c r="C40" s="433" t="s">
        <v>854</v>
      </c>
      <c r="D40" s="434">
        <v>0</v>
      </c>
      <c r="E40" s="434"/>
      <c r="F40" s="170">
        <f t="shared" si="0"/>
        <v>0</v>
      </c>
    </row>
    <row r="41" spans="1:6" ht="16.5" thickBot="1">
      <c r="A41" s="90">
        <v>567</v>
      </c>
      <c r="B41" s="435" t="s">
        <v>853</v>
      </c>
      <c r="C41" s="433" t="s">
        <v>855</v>
      </c>
      <c r="D41" s="434"/>
      <c r="E41" s="434"/>
      <c r="F41" s="436">
        <f t="shared" si="0"/>
        <v>0</v>
      </c>
    </row>
    <row r="42" spans="1:6" ht="24.75" customHeight="1" thickBot="1">
      <c r="A42" s="738" t="s">
        <v>1074</v>
      </c>
      <c r="B42" s="739"/>
      <c r="C42" s="437" t="s">
        <v>859</v>
      </c>
      <c r="D42" s="438">
        <f>SUM(D4:D41)</f>
        <v>1509432.7</v>
      </c>
      <c r="E42" s="438">
        <f>SUM(E4:E41)</f>
        <v>1320384.1200000003</v>
      </c>
      <c r="F42" s="439">
        <f>SUM(F4:F41)</f>
        <v>-189048.58</v>
      </c>
    </row>
    <row r="43" spans="1:6" ht="16.5" thickBot="1">
      <c r="A43" s="740" t="s">
        <v>856</v>
      </c>
      <c r="B43" s="741"/>
      <c r="C43" s="440" t="s">
        <v>857</v>
      </c>
      <c r="D43" s="441">
        <f>SUM(D4:D42)</f>
        <v>3018865.4</v>
      </c>
      <c r="E43" s="441">
        <f>SUM(E4:E42)</f>
        <v>2640768.2400000007</v>
      </c>
      <c r="F43" s="442">
        <f>SUM(F4:F42)</f>
        <v>-378097.16</v>
      </c>
    </row>
    <row r="44" spans="2:5" ht="12.75">
      <c r="B44" s="443"/>
      <c r="C44" s="443"/>
      <c r="D44" s="443"/>
      <c r="E44" s="443"/>
    </row>
  </sheetData>
  <sheetProtection/>
  <mergeCells count="4">
    <mergeCell ref="A1:F1"/>
    <mergeCell ref="A2:F2"/>
    <mergeCell ref="A42:B42"/>
    <mergeCell ref="A43:B43"/>
  </mergeCells>
  <printOptions/>
  <pageMargins left="0.3937007874015748" right="0.2362204724409449" top="0.5905511811023623" bottom="0.7480314960629921" header="0.31496062992125984" footer="0.31496062992125984"/>
  <pageSetup fitToHeight="1" fitToWidth="1" horizontalDpi="600" verticalDpi="600" orientation="portrait" paperSize="9" scale="88" r:id="rId1"/>
</worksheet>
</file>

<file path=xl/worksheets/sheet26.xml><?xml version="1.0" encoding="utf-8"?>
<worksheet xmlns="http://schemas.openxmlformats.org/spreadsheetml/2006/main" xmlns:r="http://schemas.openxmlformats.org/officeDocument/2006/relationships">
  <sheetPr>
    <tabColor rgb="FF92D050"/>
    <pageSetUpPr fitToPage="1"/>
  </sheetPr>
  <dimension ref="A1:G49"/>
  <sheetViews>
    <sheetView zoomScalePageLayoutView="0" workbookViewId="0" topLeftCell="A1">
      <pane xSplit="3" ySplit="5" topLeftCell="D24" activePane="bottomRight" state="frozen"/>
      <selection pane="topLeft" activeCell="A1" sqref="A1"/>
      <selection pane="topRight" activeCell="D1" sqref="D1"/>
      <selection pane="bottomLeft" activeCell="A6" sqref="A6"/>
      <selection pane="bottomRight" activeCell="C26" sqref="C26"/>
    </sheetView>
  </sheetViews>
  <sheetFormatPr defaultColWidth="9.140625" defaultRowHeight="12.75"/>
  <cols>
    <col min="1" max="1" width="3.57421875" style="473" customWidth="1"/>
    <col min="2" max="2" width="50.00390625" style="473" customWidth="1"/>
    <col min="3" max="3" width="7.421875" style="475" customWidth="1"/>
    <col min="4" max="4" width="17.421875" style="472" customWidth="1"/>
    <col min="5" max="5" width="16.140625" style="472" customWidth="1"/>
    <col min="6" max="6" width="17.421875" style="472" customWidth="1"/>
    <col min="7" max="7" width="15.28125" style="472" customWidth="1"/>
    <col min="8" max="16384" width="9.140625" style="473" customWidth="1"/>
  </cols>
  <sheetData>
    <row r="1" spans="1:7" ht="35.25" customHeight="1">
      <c r="A1" s="681" t="s">
        <v>1235</v>
      </c>
      <c r="B1" s="682"/>
      <c r="C1" s="682"/>
      <c r="D1" s="682"/>
      <c r="E1" s="682"/>
      <c r="F1" s="682"/>
      <c r="G1" s="683"/>
    </row>
    <row r="2" spans="1:7" ht="30" customHeight="1" thickBot="1">
      <c r="A2" s="746" t="s">
        <v>1328</v>
      </c>
      <c r="B2" s="747"/>
      <c r="C2" s="747"/>
      <c r="D2" s="747"/>
      <c r="E2" s="747"/>
      <c r="F2" s="747"/>
      <c r="G2" s="748"/>
    </row>
    <row r="3" spans="1:7" ht="57.75" customHeight="1">
      <c r="A3" s="749" t="s">
        <v>618</v>
      </c>
      <c r="B3" s="750"/>
      <c r="C3" s="750" t="s">
        <v>666</v>
      </c>
      <c r="D3" s="753" t="s">
        <v>667</v>
      </c>
      <c r="E3" s="753"/>
      <c r="F3" s="753"/>
      <c r="G3" s="444" t="s">
        <v>668</v>
      </c>
    </row>
    <row r="4" spans="1:7" ht="16.5" thickBot="1">
      <c r="A4" s="751"/>
      <c r="B4" s="752"/>
      <c r="C4" s="752"/>
      <c r="D4" s="445" t="s">
        <v>614</v>
      </c>
      <c r="E4" s="445" t="s">
        <v>615</v>
      </c>
      <c r="F4" s="445" t="s">
        <v>616</v>
      </c>
      <c r="G4" s="446" t="s">
        <v>616</v>
      </c>
    </row>
    <row r="5" spans="1:7" ht="26.25" customHeight="1" thickBot="1">
      <c r="A5" s="754" t="s">
        <v>669</v>
      </c>
      <c r="B5" s="755"/>
      <c r="C5" s="447" t="s">
        <v>670</v>
      </c>
      <c r="D5" s="448">
        <v>1</v>
      </c>
      <c r="E5" s="449">
        <v>2</v>
      </c>
      <c r="F5" s="449">
        <v>3</v>
      </c>
      <c r="G5" s="450">
        <v>4</v>
      </c>
    </row>
    <row r="6" spans="1:7" ht="15.75" customHeight="1">
      <c r="A6" s="742" t="s">
        <v>772</v>
      </c>
      <c r="B6" s="743"/>
      <c r="C6" s="451" t="s">
        <v>498</v>
      </c>
      <c r="D6" s="452">
        <f>D7+D14+D26</f>
        <v>81810692.82000001</v>
      </c>
      <c r="E6" s="452">
        <f>E7+E14+E26</f>
        <v>23354421.660000004</v>
      </c>
      <c r="F6" s="452">
        <f>F7+F14+F26</f>
        <v>58456271.16</v>
      </c>
      <c r="G6" s="453">
        <f>G7+G14+G26</f>
        <v>54553698.440000005</v>
      </c>
    </row>
    <row r="7" spans="1:7" ht="15.75" customHeight="1">
      <c r="A7" s="454" t="s">
        <v>671</v>
      </c>
      <c r="B7" s="455" t="s">
        <v>780</v>
      </c>
      <c r="C7" s="456" t="s">
        <v>500</v>
      </c>
      <c r="D7" s="184">
        <f>D8+D9+D10+D11+D12+D13</f>
        <v>689826.82</v>
      </c>
      <c r="E7" s="184">
        <f>E8+E9+E10+E11+E12+E13</f>
        <v>370057.23</v>
      </c>
      <c r="F7" s="184">
        <f>F8+F9+F10+F11+F12+F13</f>
        <v>319769.59</v>
      </c>
      <c r="G7" s="170">
        <f>G8+G9+G10+G11+G12+G13</f>
        <v>350386.75</v>
      </c>
    </row>
    <row r="8" spans="1:7" ht="31.5">
      <c r="A8" s="744"/>
      <c r="B8" s="457" t="s">
        <v>672</v>
      </c>
      <c r="C8" s="458" t="s">
        <v>502</v>
      </c>
      <c r="D8" s="420"/>
      <c r="E8" s="420"/>
      <c r="F8" s="420"/>
      <c r="G8" s="459"/>
    </row>
    <row r="9" spans="1:7" ht="15.75" customHeight="1">
      <c r="A9" s="745"/>
      <c r="B9" s="457" t="s">
        <v>673</v>
      </c>
      <c r="C9" s="458" t="s">
        <v>504</v>
      </c>
      <c r="D9" s="420">
        <v>689826.82</v>
      </c>
      <c r="E9" s="420">
        <v>370057.23</v>
      </c>
      <c r="F9" s="420">
        <v>319769.59</v>
      </c>
      <c r="G9" s="459">
        <v>171235.11</v>
      </c>
    </row>
    <row r="10" spans="1:7" ht="15.75" customHeight="1">
      <c r="A10" s="745"/>
      <c r="B10" s="457" t="s">
        <v>674</v>
      </c>
      <c r="C10" s="458" t="s">
        <v>505</v>
      </c>
      <c r="D10" s="420"/>
      <c r="E10" s="420"/>
      <c r="F10" s="420"/>
      <c r="G10" s="459"/>
    </row>
    <row r="11" spans="1:7" ht="31.5">
      <c r="A11" s="745"/>
      <c r="B11" s="457" t="s">
        <v>675</v>
      </c>
      <c r="C11" s="458" t="s">
        <v>507</v>
      </c>
      <c r="D11" s="420"/>
      <c r="E11" s="420"/>
      <c r="F11" s="420"/>
      <c r="G11" s="459"/>
    </row>
    <row r="12" spans="1:7" ht="31.5">
      <c r="A12" s="745"/>
      <c r="B12" s="457" t="s">
        <v>769</v>
      </c>
      <c r="C12" s="458" t="s">
        <v>509</v>
      </c>
      <c r="D12" s="420"/>
      <c r="E12" s="420"/>
      <c r="F12" s="420"/>
      <c r="G12" s="459">
        <v>179151.64</v>
      </c>
    </row>
    <row r="13" spans="1:7" ht="31.5">
      <c r="A13" s="745"/>
      <c r="B13" s="457" t="s">
        <v>676</v>
      </c>
      <c r="C13" s="458" t="s">
        <v>511</v>
      </c>
      <c r="D13" s="420"/>
      <c r="E13" s="420"/>
      <c r="F13" s="420"/>
      <c r="G13" s="459"/>
    </row>
    <row r="14" spans="1:7" ht="15.75" customHeight="1">
      <c r="A14" s="454" t="s">
        <v>677</v>
      </c>
      <c r="B14" s="460" t="s">
        <v>768</v>
      </c>
      <c r="C14" s="456" t="s">
        <v>513</v>
      </c>
      <c r="D14" s="184">
        <f>SUM(D15:D25)</f>
        <v>81120866.00000001</v>
      </c>
      <c r="E14" s="184">
        <f>SUM(E15:E25)</f>
        <v>22984364.430000003</v>
      </c>
      <c r="F14" s="184">
        <f>SUM(F15:F25)</f>
        <v>58136501.56999999</v>
      </c>
      <c r="G14" s="170">
        <f>SUM(G15:G25)</f>
        <v>54203311.690000005</v>
      </c>
    </row>
    <row r="15" spans="1:7" ht="15.75" customHeight="1">
      <c r="A15" s="461"/>
      <c r="B15" s="462" t="s">
        <v>678</v>
      </c>
      <c r="C15" s="458" t="s">
        <v>515</v>
      </c>
      <c r="D15" s="420">
        <v>9213130.67</v>
      </c>
      <c r="E15" s="420"/>
      <c r="F15" s="420">
        <v>9213130.67</v>
      </c>
      <c r="G15" s="459">
        <v>9248933.63</v>
      </c>
    </row>
    <row r="16" spans="1:7" ht="15.75" customHeight="1">
      <c r="A16" s="461"/>
      <c r="B16" s="462" t="s">
        <v>679</v>
      </c>
      <c r="C16" s="458" t="s">
        <v>517</v>
      </c>
      <c r="D16" s="420">
        <v>45018.88</v>
      </c>
      <c r="E16" s="420"/>
      <c r="F16" s="420">
        <v>45018.88</v>
      </c>
      <c r="G16" s="459">
        <v>45301.03</v>
      </c>
    </row>
    <row r="17" spans="1:7" ht="15.75" customHeight="1">
      <c r="A17" s="461"/>
      <c r="B17" s="462" t="s">
        <v>680</v>
      </c>
      <c r="C17" s="458" t="s">
        <v>519</v>
      </c>
      <c r="D17" s="420">
        <v>44747089.43</v>
      </c>
      <c r="E17" s="420">
        <v>11109958.88</v>
      </c>
      <c r="F17" s="420">
        <v>33637130.55</v>
      </c>
      <c r="G17" s="459">
        <v>31098544.57</v>
      </c>
    </row>
    <row r="18" spans="1:7" ht="31.5">
      <c r="A18" s="461"/>
      <c r="B18" s="462" t="s">
        <v>950</v>
      </c>
      <c r="C18" s="458" t="s">
        <v>521</v>
      </c>
      <c r="D18" s="420">
        <v>23320289.54</v>
      </c>
      <c r="E18" s="420">
        <v>11552987.13</v>
      </c>
      <c r="F18" s="420">
        <v>11767302.41</v>
      </c>
      <c r="G18" s="459">
        <v>8001541.06</v>
      </c>
    </row>
    <row r="19" spans="1:7" ht="15.75" customHeight="1">
      <c r="A19" s="461"/>
      <c r="B19" s="462" t="s">
        <v>681</v>
      </c>
      <c r="C19" s="458" t="s">
        <v>523</v>
      </c>
      <c r="D19" s="420">
        <v>341130.89</v>
      </c>
      <c r="E19" s="420">
        <v>321418.42</v>
      </c>
      <c r="F19" s="420">
        <v>19712.47</v>
      </c>
      <c r="G19" s="459">
        <v>25750.07</v>
      </c>
    </row>
    <row r="20" spans="1:7" ht="31.5">
      <c r="A20" s="461"/>
      <c r="B20" s="462" t="s">
        <v>682</v>
      </c>
      <c r="C20" s="458" t="s">
        <v>525</v>
      </c>
      <c r="D20" s="420"/>
      <c r="E20" s="420"/>
      <c r="F20" s="420"/>
      <c r="G20" s="459"/>
    </row>
    <row r="21" spans="1:7" ht="15.75" customHeight="1">
      <c r="A21" s="461"/>
      <c r="B21" s="462" t="s">
        <v>683</v>
      </c>
      <c r="C21" s="458" t="s">
        <v>527</v>
      </c>
      <c r="D21" s="420"/>
      <c r="E21" s="420"/>
      <c r="F21" s="420"/>
      <c r="G21" s="459"/>
    </row>
    <row r="22" spans="1:7" ht="31.5">
      <c r="A22" s="461"/>
      <c r="B22" s="462" t="s">
        <v>684</v>
      </c>
      <c r="C22" s="458" t="s">
        <v>529</v>
      </c>
      <c r="D22" s="420"/>
      <c r="E22" s="420"/>
      <c r="F22" s="420"/>
      <c r="G22" s="459"/>
    </row>
    <row r="23" spans="1:7" ht="31.5">
      <c r="A23" s="461"/>
      <c r="B23" s="462" t="s">
        <v>685</v>
      </c>
      <c r="C23" s="458" t="s">
        <v>531</v>
      </c>
      <c r="D23" s="420"/>
      <c r="E23" s="420"/>
      <c r="F23" s="420"/>
      <c r="G23" s="459"/>
    </row>
    <row r="24" spans="1:7" ht="31.5">
      <c r="A24" s="461"/>
      <c r="B24" s="462" t="s">
        <v>686</v>
      </c>
      <c r="C24" s="458" t="s">
        <v>533</v>
      </c>
      <c r="D24" s="420">
        <v>3454206.59</v>
      </c>
      <c r="E24" s="420"/>
      <c r="F24" s="420">
        <v>3454206.59</v>
      </c>
      <c r="G24" s="459">
        <v>5783241.33</v>
      </c>
    </row>
    <row r="25" spans="1:7" ht="31.5">
      <c r="A25" s="463"/>
      <c r="B25" s="462" t="s">
        <v>687</v>
      </c>
      <c r="C25" s="458" t="s">
        <v>535</v>
      </c>
      <c r="D25" s="420"/>
      <c r="E25" s="420"/>
      <c r="F25" s="420"/>
      <c r="G25" s="459"/>
    </row>
    <row r="26" spans="1:7" ht="15.75" customHeight="1">
      <c r="A26" s="454" t="s">
        <v>688</v>
      </c>
      <c r="B26" s="460" t="s">
        <v>781</v>
      </c>
      <c r="C26" s="456" t="s">
        <v>537</v>
      </c>
      <c r="D26" s="184">
        <f>SUM(D27:D33)</f>
        <v>0</v>
      </c>
      <c r="E26" s="184">
        <f>SUM(E27:E33)</f>
        <v>0</v>
      </c>
      <c r="F26" s="184">
        <f>SUM(F27:F33)</f>
        <v>0</v>
      </c>
      <c r="G26" s="170">
        <f>SUM(G27:G33)</f>
        <v>0</v>
      </c>
    </row>
    <row r="27" spans="1:7" ht="31.5">
      <c r="A27" s="461"/>
      <c r="B27" s="462" t="s">
        <v>689</v>
      </c>
      <c r="C27" s="458" t="s">
        <v>539</v>
      </c>
      <c r="D27" s="420"/>
      <c r="E27" s="420"/>
      <c r="F27" s="420"/>
      <c r="G27" s="459"/>
    </row>
    <row r="28" spans="1:7" ht="31.5">
      <c r="A28" s="461"/>
      <c r="B28" s="462" t="s">
        <v>690</v>
      </c>
      <c r="C28" s="458" t="s">
        <v>541</v>
      </c>
      <c r="D28" s="420"/>
      <c r="E28" s="420"/>
      <c r="F28" s="420"/>
      <c r="G28" s="459"/>
    </row>
    <row r="29" spans="1:7" ht="31.5">
      <c r="A29" s="461"/>
      <c r="B29" s="462" t="s">
        <v>1076</v>
      </c>
      <c r="C29" s="458" t="s">
        <v>543</v>
      </c>
      <c r="D29" s="420"/>
      <c r="E29" s="420"/>
      <c r="F29" s="420"/>
      <c r="G29" s="459"/>
    </row>
    <row r="30" spans="1:7" ht="31.5">
      <c r="A30" s="461"/>
      <c r="B30" s="462" t="s">
        <v>691</v>
      </c>
      <c r="C30" s="458" t="s">
        <v>545</v>
      </c>
      <c r="D30" s="420"/>
      <c r="E30" s="420"/>
      <c r="F30" s="420"/>
      <c r="G30" s="459"/>
    </row>
    <row r="31" spans="1:7" ht="20.25" customHeight="1">
      <c r="A31" s="461"/>
      <c r="B31" s="464" t="s">
        <v>692</v>
      </c>
      <c r="C31" s="458" t="s">
        <v>547</v>
      </c>
      <c r="D31" s="420"/>
      <c r="E31" s="420"/>
      <c r="F31" s="420"/>
      <c r="G31" s="459"/>
    </row>
    <row r="32" spans="1:7" ht="31.5">
      <c r="A32" s="463"/>
      <c r="B32" s="462" t="s">
        <v>693</v>
      </c>
      <c r="C32" s="458" t="s">
        <v>549</v>
      </c>
      <c r="D32" s="420"/>
      <c r="E32" s="420"/>
      <c r="F32" s="420"/>
      <c r="G32" s="459"/>
    </row>
    <row r="33" spans="1:7" ht="19.5" customHeight="1" thickBot="1">
      <c r="A33" s="461"/>
      <c r="B33" s="465" t="s">
        <v>694</v>
      </c>
      <c r="C33" s="466" t="s">
        <v>551</v>
      </c>
      <c r="D33" s="434"/>
      <c r="E33" s="434"/>
      <c r="F33" s="434"/>
      <c r="G33" s="467"/>
    </row>
    <row r="34" spans="1:7" ht="22.5" customHeight="1" thickBot="1">
      <c r="A34" s="468"/>
      <c r="B34" s="469" t="s">
        <v>773</v>
      </c>
      <c r="C34" s="470">
        <v>991</v>
      </c>
      <c r="D34" s="471">
        <f>SUM(D6:D33)</f>
        <v>245432078.45999998</v>
      </c>
      <c r="E34" s="441">
        <f>SUM(E6:E33)</f>
        <v>70063264.98000002</v>
      </c>
      <c r="F34" s="441">
        <f>SUM(F6:F33)</f>
        <v>175368813.48</v>
      </c>
      <c r="G34" s="442">
        <f>SUM(G6:G33)</f>
        <v>163661095.32000002</v>
      </c>
    </row>
    <row r="35" spans="1:7" s="475" customFormat="1" ht="18" customHeight="1">
      <c r="A35" s="474"/>
      <c r="B35" s="474"/>
      <c r="D35" s="472"/>
      <c r="E35" s="472"/>
      <c r="F35" s="472"/>
      <c r="G35" s="472"/>
    </row>
    <row r="36" spans="1:7" s="475" customFormat="1" ht="18" customHeight="1">
      <c r="A36" s="474"/>
      <c r="B36" s="474"/>
      <c r="D36" s="472"/>
      <c r="E36" s="472"/>
      <c r="F36" s="472"/>
      <c r="G36" s="472"/>
    </row>
    <row r="37" spans="1:7" s="475" customFormat="1" ht="18" customHeight="1">
      <c r="A37" s="474"/>
      <c r="B37" s="474"/>
      <c r="D37" s="472"/>
      <c r="E37" s="472"/>
      <c r="F37" s="472"/>
      <c r="G37" s="472"/>
    </row>
    <row r="38" spans="1:7" s="475" customFormat="1" ht="18" customHeight="1">
      <c r="A38" s="474"/>
      <c r="B38" s="474"/>
      <c r="D38" s="472"/>
      <c r="E38" s="472"/>
      <c r="F38" s="472"/>
      <c r="G38" s="472"/>
    </row>
    <row r="39" spans="1:7" s="475" customFormat="1" ht="18" customHeight="1">
      <c r="A39" s="474"/>
      <c r="B39" s="474"/>
      <c r="D39" s="472"/>
      <c r="E39" s="472"/>
      <c r="F39" s="472"/>
      <c r="G39" s="472"/>
    </row>
    <row r="40" spans="1:7" s="475" customFormat="1" ht="18" customHeight="1">
      <c r="A40" s="474"/>
      <c r="B40" s="474"/>
      <c r="D40" s="472"/>
      <c r="E40" s="472"/>
      <c r="F40" s="472"/>
      <c r="G40" s="472"/>
    </row>
    <row r="41" spans="1:7" s="475" customFormat="1" ht="18" customHeight="1">
      <c r="A41" s="474"/>
      <c r="B41" s="474"/>
      <c r="D41" s="472"/>
      <c r="E41" s="472"/>
      <c r="F41" s="472"/>
      <c r="G41" s="472"/>
    </row>
    <row r="42" spans="1:7" s="475" customFormat="1" ht="18" customHeight="1">
      <c r="A42" s="474"/>
      <c r="B42" s="474"/>
      <c r="D42" s="472"/>
      <c r="E42" s="472"/>
      <c r="F42" s="472"/>
      <c r="G42" s="472"/>
    </row>
    <row r="43" spans="1:7" s="475" customFormat="1" ht="18" customHeight="1">
      <c r="A43" s="473"/>
      <c r="B43" s="473"/>
      <c r="D43" s="472"/>
      <c r="E43" s="472"/>
      <c r="F43" s="472"/>
      <c r="G43" s="472"/>
    </row>
    <row r="44" spans="1:7" s="475" customFormat="1" ht="18" customHeight="1">
      <c r="A44" s="473"/>
      <c r="B44" s="473"/>
      <c r="D44" s="472"/>
      <c r="E44" s="472"/>
      <c r="F44" s="472"/>
      <c r="G44" s="472"/>
    </row>
    <row r="45" spans="1:7" s="475" customFormat="1" ht="18" customHeight="1">
      <c r="A45" s="473"/>
      <c r="B45" s="473"/>
      <c r="D45" s="472"/>
      <c r="E45" s="472"/>
      <c r="F45" s="472"/>
      <c r="G45" s="472"/>
    </row>
    <row r="46" spans="1:7" s="475" customFormat="1" ht="18" customHeight="1">
      <c r="A46" s="473"/>
      <c r="B46" s="473"/>
      <c r="D46" s="472"/>
      <c r="E46" s="472"/>
      <c r="F46" s="472"/>
      <c r="G46" s="472"/>
    </row>
    <row r="47" spans="1:7" s="475" customFormat="1" ht="18" customHeight="1">
      <c r="A47" s="473"/>
      <c r="B47" s="473"/>
      <c r="D47" s="472"/>
      <c r="E47" s="472"/>
      <c r="F47" s="472"/>
      <c r="G47" s="472"/>
    </row>
    <row r="48" spans="1:7" s="475" customFormat="1" ht="18" customHeight="1">
      <c r="A48" s="473"/>
      <c r="B48" s="473"/>
      <c r="D48" s="472"/>
      <c r="E48" s="472"/>
      <c r="F48" s="472"/>
      <c r="G48" s="472"/>
    </row>
    <row r="49" spans="1:7" s="475" customFormat="1" ht="18" customHeight="1">
      <c r="A49" s="473"/>
      <c r="B49" s="473"/>
      <c r="D49" s="472"/>
      <c r="E49" s="472"/>
      <c r="F49" s="472"/>
      <c r="G49" s="472"/>
    </row>
  </sheetData>
  <sheetProtection/>
  <mergeCells count="8">
    <mergeCell ref="A6:B6"/>
    <mergeCell ref="A8:A13"/>
    <mergeCell ref="A1:G1"/>
    <mergeCell ref="A2:G2"/>
    <mergeCell ref="A3:B4"/>
    <mergeCell ref="C3:C4"/>
    <mergeCell ref="D3:F3"/>
    <mergeCell ref="A5:B5"/>
  </mergeCells>
  <printOptions/>
  <pageMargins left="0.35433070866141736" right="0.35433070866141736" top="0.984251968503937" bottom="0.984251968503937" header="0.5118110236220472" footer="0.5118110236220472"/>
  <pageSetup fitToHeight="1" fitToWidth="1" horizontalDpi="600" verticalDpi="600" orientation="portrait" paperSize="9" scale="77" r:id="rId1"/>
</worksheet>
</file>

<file path=xl/worksheets/sheet27.xml><?xml version="1.0" encoding="utf-8"?>
<worksheet xmlns="http://schemas.openxmlformats.org/spreadsheetml/2006/main" xmlns:r="http://schemas.openxmlformats.org/officeDocument/2006/relationships">
  <sheetPr>
    <tabColor rgb="FF92D050"/>
    <pageSetUpPr fitToPage="1"/>
  </sheetPr>
  <dimension ref="A1:G40"/>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C9" sqref="C9"/>
    </sheetView>
  </sheetViews>
  <sheetFormatPr defaultColWidth="9.140625" defaultRowHeight="12.75"/>
  <cols>
    <col min="1" max="1" width="2.421875" style="512" customWidth="1"/>
    <col min="2" max="2" width="50.00390625" style="512" customWidth="1"/>
    <col min="3" max="3" width="7.421875" style="512" customWidth="1"/>
    <col min="4" max="4" width="17.421875" style="182" customWidth="1"/>
    <col min="5" max="5" width="16.00390625" style="182" customWidth="1"/>
    <col min="6" max="6" width="15.8515625" style="182" customWidth="1"/>
    <col min="7" max="7" width="17.7109375" style="182" customWidth="1"/>
    <col min="8" max="16384" width="9.140625" style="512" customWidth="1"/>
  </cols>
  <sheetData>
    <row r="1" spans="1:7" ht="24.75" customHeight="1" thickBot="1">
      <c r="A1" s="768" t="s">
        <v>1236</v>
      </c>
      <c r="B1" s="769"/>
      <c r="C1" s="769"/>
      <c r="D1" s="769"/>
      <c r="E1" s="769"/>
      <c r="F1" s="769"/>
      <c r="G1" s="770"/>
    </row>
    <row r="2" spans="1:7" ht="33" customHeight="1">
      <c r="A2" s="771" t="s">
        <v>1328</v>
      </c>
      <c r="B2" s="772"/>
      <c r="C2" s="772"/>
      <c r="D2" s="772"/>
      <c r="E2" s="772"/>
      <c r="F2" s="772"/>
      <c r="G2" s="773"/>
    </row>
    <row r="3" spans="1:7" ht="61.5" customHeight="1">
      <c r="A3" s="774" t="s">
        <v>618</v>
      </c>
      <c r="B3" s="775"/>
      <c r="C3" s="775"/>
      <c r="D3" s="778" t="s">
        <v>695</v>
      </c>
      <c r="E3" s="778"/>
      <c r="F3" s="778"/>
      <c r="G3" s="476" t="s">
        <v>668</v>
      </c>
    </row>
    <row r="4" spans="1:7" ht="16.5" thickBot="1">
      <c r="A4" s="776"/>
      <c r="B4" s="777"/>
      <c r="C4" s="777"/>
      <c r="D4" s="477" t="s">
        <v>614</v>
      </c>
      <c r="E4" s="477" t="s">
        <v>615</v>
      </c>
      <c r="F4" s="477" t="s">
        <v>616</v>
      </c>
      <c r="G4" s="478" t="s">
        <v>616</v>
      </c>
    </row>
    <row r="5" spans="1:7" ht="21.75" customHeight="1" thickBot="1">
      <c r="A5" s="779" t="s">
        <v>669</v>
      </c>
      <c r="B5" s="780"/>
      <c r="C5" s="479" t="s">
        <v>670</v>
      </c>
      <c r="D5" s="480">
        <v>1</v>
      </c>
      <c r="E5" s="480">
        <v>2</v>
      </c>
      <c r="F5" s="480">
        <v>3</v>
      </c>
      <c r="G5" s="481">
        <v>4</v>
      </c>
    </row>
    <row r="6" spans="1:7" ht="15.75" customHeight="1">
      <c r="A6" s="762" t="s">
        <v>774</v>
      </c>
      <c r="B6" s="763"/>
      <c r="C6" s="121" t="s">
        <v>553</v>
      </c>
      <c r="D6" s="482">
        <f>D7+D14+D19+D28</f>
        <v>7563719.76</v>
      </c>
      <c r="E6" s="482">
        <f>E7+E14+E19+E28</f>
        <v>0</v>
      </c>
      <c r="F6" s="482">
        <f>F7+F14+F19+F28</f>
        <v>7563719.76</v>
      </c>
      <c r="G6" s="483">
        <f>G7+G14+G19+G28</f>
        <v>8430420.73</v>
      </c>
    </row>
    <row r="7" spans="1:7" ht="15.75" customHeight="1">
      <c r="A7" s="484" t="s">
        <v>671</v>
      </c>
      <c r="B7" s="77" t="s">
        <v>696</v>
      </c>
      <c r="C7" s="73" t="s">
        <v>555</v>
      </c>
      <c r="D7" s="485">
        <f>SUM(D8:D13)</f>
        <v>163346.5</v>
      </c>
      <c r="E7" s="485">
        <f>SUM(E8:E13)</f>
        <v>0</v>
      </c>
      <c r="F7" s="485">
        <f>SUM(F8:F13)</f>
        <v>163346.5</v>
      </c>
      <c r="G7" s="486">
        <f>SUM(G8:G13)</f>
        <v>172364.72999999998</v>
      </c>
    </row>
    <row r="8" spans="1:7" ht="15.75" customHeight="1">
      <c r="A8" s="764"/>
      <c r="B8" s="488" t="s">
        <v>697</v>
      </c>
      <c r="C8" s="432" t="s">
        <v>557</v>
      </c>
      <c r="D8" s="489">
        <v>87641.89</v>
      </c>
      <c r="E8" s="490"/>
      <c r="F8" s="489">
        <v>87641.89</v>
      </c>
      <c r="G8" s="491">
        <v>99177.23</v>
      </c>
    </row>
    <row r="9" spans="1:7" ht="31.5">
      <c r="A9" s="765"/>
      <c r="B9" s="488" t="s">
        <v>698</v>
      </c>
      <c r="C9" s="432" t="s">
        <v>559</v>
      </c>
      <c r="D9" s="489"/>
      <c r="E9" s="490"/>
      <c r="F9" s="489"/>
      <c r="G9" s="491"/>
    </row>
    <row r="10" spans="1:7" ht="15.75" customHeight="1">
      <c r="A10" s="765"/>
      <c r="B10" s="488" t="s">
        <v>699</v>
      </c>
      <c r="C10" s="432" t="s">
        <v>561</v>
      </c>
      <c r="D10" s="489">
        <v>42086.79</v>
      </c>
      <c r="E10" s="490"/>
      <c r="F10" s="489">
        <v>42086.79</v>
      </c>
      <c r="G10" s="491">
        <v>50394.23</v>
      </c>
    </row>
    <row r="11" spans="1:7" ht="15.75" customHeight="1">
      <c r="A11" s="765"/>
      <c r="B11" s="488" t="s">
        <v>700</v>
      </c>
      <c r="C11" s="432" t="s">
        <v>563</v>
      </c>
      <c r="D11" s="489"/>
      <c r="E11" s="490"/>
      <c r="F11" s="489"/>
      <c r="G11" s="491"/>
    </row>
    <row r="12" spans="1:7" ht="15.75" customHeight="1">
      <c r="A12" s="765"/>
      <c r="B12" s="488" t="s">
        <v>701</v>
      </c>
      <c r="C12" s="432" t="s">
        <v>565</v>
      </c>
      <c r="D12" s="489">
        <v>33617.82</v>
      </c>
      <c r="E12" s="490"/>
      <c r="F12" s="489">
        <v>33617.82</v>
      </c>
      <c r="G12" s="491">
        <v>22793.27</v>
      </c>
    </row>
    <row r="13" spans="1:7" ht="15.75" customHeight="1">
      <c r="A13" s="765"/>
      <c r="B13" s="488" t="s">
        <v>702</v>
      </c>
      <c r="C13" s="432" t="s">
        <v>567</v>
      </c>
      <c r="D13" s="489"/>
      <c r="E13" s="490"/>
      <c r="F13" s="489"/>
      <c r="G13" s="493"/>
    </row>
    <row r="14" spans="1:7" ht="15.75" customHeight="1">
      <c r="A14" s="492" t="s">
        <v>677</v>
      </c>
      <c r="B14" s="77" t="s">
        <v>778</v>
      </c>
      <c r="C14" s="494" t="s">
        <v>569</v>
      </c>
      <c r="D14" s="485">
        <f>SUM(D15:D18)</f>
        <v>42.73</v>
      </c>
      <c r="E14" s="485">
        <f>SUM(E15:E18)</f>
        <v>0</v>
      </c>
      <c r="F14" s="485">
        <f>SUM(F15:F18)</f>
        <v>42.73</v>
      </c>
      <c r="G14" s="486">
        <f>SUM(G15:G18)</f>
        <v>631.84</v>
      </c>
    </row>
    <row r="15" spans="1:7" ht="31.5">
      <c r="A15" s="766"/>
      <c r="B15" s="496" t="s">
        <v>703</v>
      </c>
      <c r="C15" s="432" t="s">
        <v>571</v>
      </c>
      <c r="D15" s="489">
        <v>42.73</v>
      </c>
      <c r="E15" s="490"/>
      <c r="F15" s="489">
        <v>42.73</v>
      </c>
      <c r="G15" s="497">
        <v>631.84</v>
      </c>
    </row>
    <row r="16" spans="1:7" ht="15.75">
      <c r="A16" s="766"/>
      <c r="B16" s="488" t="s">
        <v>704</v>
      </c>
      <c r="C16" s="432" t="s">
        <v>573</v>
      </c>
      <c r="D16" s="489"/>
      <c r="E16" s="490"/>
      <c r="F16" s="489"/>
      <c r="G16" s="493"/>
    </row>
    <row r="17" spans="1:7" ht="31.5">
      <c r="A17" s="766"/>
      <c r="B17" s="488" t="s">
        <v>705</v>
      </c>
      <c r="C17" s="432" t="s">
        <v>575</v>
      </c>
      <c r="D17" s="489"/>
      <c r="E17" s="490"/>
      <c r="F17" s="489"/>
      <c r="G17" s="493"/>
    </row>
    <row r="18" spans="1:7" ht="31.5">
      <c r="A18" s="764"/>
      <c r="B18" s="488" t="s">
        <v>1077</v>
      </c>
      <c r="C18" s="432" t="s">
        <v>577</v>
      </c>
      <c r="D18" s="489"/>
      <c r="E18" s="490"/>
      <c r="F18" s="489"/>
      <c r="G18" s="493"/>
    </row>
    <row r="19" spans="1:7" ht="15.75" customHeight="1">
      <c r="A19" s="76" t="s">
        <v>688</v>
      </c>
      <c r="B19" s="77" t="s">
        <v>779</v>
      </c>
      <c r="C19" s="494" t="s">
        <v>579</v>
      </c>
      <c r="D19" s="485">
        <f>SUM(D20:D27)</f>
        <v>1019773.39</v>
      </c>
      <c r="E19" s="485">
        <f>SUM(E20:E27)</f>
        <v>0</v>
      </c>
      <c r="F19" s="485">
        <f>SUM(F20:F27)</f>
        <v>1019773.39</v>
      </c>
      <c r="G19" s="498">
        <f>SUM(G20:G27)</f>
        <v>1316337.3599999999</v>
      </c>
    </row>
    <row r="20" spans="1:7" ht="31.5">
      <c r="A20" s="766"/>
      <c r="B20" s="496" t="s">
        <v>706</v>
      </c>
      <c r="C20" s="432" t="s">
        <v>581</v>
      </c>
      <c r="D20" s="489">
        <v>321331.54</v>
      </c>
      <c r="E20" s="490"/>
      <c r="F20" s="489">
        <v>321331.54</v>
      </c>
      <c r="G20" s="497">
        <v>731869.27</v>
      </c>
    </row>
    <row r="21" spans="1:7" ht="15.75" customHeight="1">
      <c r="A21" s="766"/>
      <c r="B21" s="488" t="s">
        <v>704</v>
      </c>
      <c r="C21" s="432" t="s">
        <v>582</v>
      </c>
      <c r="D21" s="489">
        <v>22942.93</v>
      </c>
      <c r="E21" s="490"/>
      <c r="F21" s="489">
        <v>22942.93</v>
      </c>
      <c r="G21" s="497">
        <v>20444.57</v>
      </c>
    </row>
    <row r="22" spans="1:7" ht="15.75" customHeight="1">
      <c r="A22" s="766"/>
      <c r="B22" s="488" t="s">
        <v>707</v>
      </c>
      <c r="C22" s="432" t="s">
        <v>584</v>
      </c>
      <c r="D22" s="489"/>
      <c r="E22" s="490"/>
      <c r="F22" s="489"/>
      <c r="G22" s="497"/>
    </row>
    <row r="23" spans="1:7" ht="15.75">
      <c r="A23" s="766"/>
      <c r="B23" s="488" t="s">
        <v>708</v>
      </c>
      <c r="C23" s="432" t="s">
        <v>586</v>
      </c>
      <c r="D23" s="489">
        <v>140434.65</v>
      </c>
      <c r="E23" s="490"/>
      <c r="F23" s="489">
        <v>140434.65</v>
      </c>
      <c r="G23" s="497"/>
    </row>
    <row r="24" spans="1:7" ht="31.5">
      <c r="A24" s="766"/>
      <c r="B24" s="488" t="s">
        <v>709</v>
      </c>
      <c r="C24" s="432" t="s">
        <v>588</v>
      </c>
      <c r="D24" s="489">
        <v>523766.61</v>
      </c>
      <c r="E24" s="490"/>
      <c r="F24" s="489">
        <v>523766.61</v>
      </c>
      <c r="G24" s="497">
        <v>449808.88</v>
      </c>
    </row>
    <row r="25" spans="1:7" ht="31.5">
      <c r="A25" s="766"/>
      <c r="B25" s="488" t="s">
        <v>705</v>
      </c>
      <c r="C25" s="432" t="s">
        <v>589</v>
      </c>
      <c r="D25" s="489"/>
      <c r="E25" s="490"/>
      <c r="F25" s="489"/>
      <c r="G25" s="497"/>
    </row>
    <row r="26" spans="1:7" ht="15.75" customHeight="1">
      <c r="A26" s="764"/>
      <c r="B26" s="488" t="s">
        <v>710</v>
      </c>
      <c r="C26" s="432" t="s">
        <v>591</v>
      </c>
      <c r="D26" s="489"/>
      <c r="E26" s="490"/>
      <c r="F26" s="489"/>
      <c r="G26" s="497"/>
    </row>
    <row r="27" spans="1:7" ht="31.5">
      <c r="A27" s="487"/>
      <c r="B27" s="488" t="s">
        <v>1077</v>
      </c>
      <c r="C27" s="432" t="s">
        <v>592</v>
      </c>
      <c r="D27" s="489">
        <v>11297.66</v>
      </c>
      <c r="E27" s="490"/>
      <c r="F27" s="489">
        <v>11297.66</v>
      </c>
      <c r="G27" s="497">
        <v>114214.64</v>
      </c>
    </row>
    <row r="28" spans="1:7" ht="15.75" customHeight="1">
      <c r="A28" s="76" t="s">
        <v>711</v>
      </c>
      <c r="B28" s="77" t="s">
        <v>777</v>
      </c>
      <c r="C28" s="494" t="s">
        <v>594</v>
      </c>
      <c r="D28" s="485">
        <f>SUM(D29:D33)</f>
        <v>6380557.14</v>
      </c>
      <c r="E28" s="485">
        <f>SUM(E29:E33)</f>
        <v>0</v>
      </c>
      <c r="F28" s="485">
        <f>SUM(F29:F33)</f>
        <v>6380557.14</v>
      </c>
      <c r="G28" s="486">
        <f>SUM(G29:G33)</f>
        <v>6941086.8</v>
      </c>
    </row>
    <row r="29" spans="1:7" ht="15.75" customHeight="1">
      <c r="A29" s="766"/>
      <c r="B29" s="496" t="s">
        <v>712</v>
      </c>
      <c r="C29" s="432" t="s">
        <v>596</v>
      </c>
      <c r="D29" s="489">
        <v>5216.29</v>
      </c>
      <c r="E29" s="490"/>
      <c r="F29" s="489">
        <v>5216.29</v>
      </c>
      <c r="G29" s="491">
        <v>4648.03</v>
      </c>
    </row>
    <row r="30" spans="1:7" ht="15.75" customHeight="1">
      <c r="A30" s="766"/>
      <c r="B30" s="488" t="s">
        <v>713</v>
      </c>
      <c r="C30" s="432" t="s">
        <v>598</v>
      </c>
      <c r="D30" s="489">
        <v>6375340.85</v>
      </c>
      <c r="E30" s="490"/>
      <c r="F30" s="489">
        <v>6375340.85</v>
      </c>
      <c r="G30" s="491">
        <v>6936438.77</v>
      </c>
    </row>
    <row r="31" spans="1:7" ht="31.5">
      <c r="A31" s="766"/>
      <c r="B31" s="488" t="s">
        <v>714</v>
      </c>
      <c r="C31" s="432" t="s">
        <v>600</v>
      </c>
      <c r="D31" s="489"/>
      <c r="E31" s="490"/>
      <c r="F31" s="489"/>
      <c r="G31" s="491"/>
    </row>
    <row r="32" spans="1:7" ht="31.5" customHeight="1">
      <c r="A32" s="766"/>
      <c r="B32" s="488" t="s">
        <v>601</v>
      </c>
      <c r="C32" s="432" t="s">
        <v>602</v>
      </c>
      <c r="D32" s="489"/>
      <c r="E32" s="490"/>
      <c r="F32" s="489"/>
      <c r="G32" s="493"/>
    </row>
    <row r="33" spans="1:7" ht="31.5" customHeight="1" thickBot="1">
      <c r="A33" s="766"/>
      <c r="B33" s="499" t="s">
        <v>715</v>
      </c>
      <c r="C33" s="433" t="s">
        <v>604</v>
      </c>
      <c r="D33" s="500"/>
      <c r="E33" s="501"/>
      <c r="F33" s="500"/>
      <c r="G33" s="502"/>
    </row>
    <row r="34" spans="1:7" ht="33" customHeight="1" thickBot="1">
      <c r="A34" s="760" t="s">
        <v>716</v>
      </c>
      <c r="B34" s="767"/>
      <c r="C34" s="437" t="s">
        <v>606</v>
      </c>
      <c r="D34" s="503">
        <f>D35+D36</f>
        <v>208544.17</v>
      </c>
      <c r="E34" s="503">
        <f>E35+E36</f>
        <v>0</v>
      </c>
      <c r="F34" s="503">
        <f>F35+F36</f>
        <v>208544.17</v>
      </c>
      <c r="G34" s="504">
        <f>G35+G36</f>
        <v>113587.04</v>
      </c>
    </row>
    <row r="35" spans="1:7" ht="18" customHeight="1">
      <c r="A35" s="756" t="s">
        <v>671</v>
      </c>
      <c r="B35" s="496" t="s">
        <v>717</v>
      </c>
      <c r="C35" s="428" t="s">
        <v>608</v>
      </c>
      <c r="D35" s="505">
        <v>208134.17</v>
      </c>
      <c r="E35" s="506"/>
      <c r="F35" s="505">
        <v>208134.17</v>
      </c>
      <c r="G35" s="507">
        <v>113587.04</v>
      </c>
    </row>
    <row r="36" spans="1:7" ht="18" customHeight="1" thickBot="1">
      <c r="A36" s="757"/>
      <c r="B36" s="499" t="s">
        <v>718</v>
      </c>
      <c r="C36" s="433" t="s">
        <v>610</v>
      </c>
      <c r="D36" s="500">
        <v>410</v>
      </c>
      <c r="E36" s="501"/>
      <c r="F36" s="500">
        <v>410</v>
      </c>
      <c r="G36" s="502"/>
    </row>
    <row r="37" spans="1:7" ht="18" customHeight="1" thickBot="1">
      <c r="A37" s="758" t="s">
        <v>775</v>
      </c>
      <c r="B37" s="759"/>
      <c r="C37" s="508" t="s">
        <v>612</v>
      </c>
      <c r="D37" s="509">
        <f>'[12]T24a_Aktíva_1'!D6+'[14]T24b_Aktíva_2 '!D6+'[14]T24b_Aktíva_2 '!D34</f>
        <v>89582956.75000001</v>
      </c>
      <c r="E37" s="509">
        <f>'[12]T24a_Aktíva_1'!E6+'[14]T24b_Aktíva_2 '!E6+'[14]T24b_Aktíva_2 '!E34</f>
        <v>23354421.660000004</v>
      </c>
      <c r="F37" s="509">
        <f>'[12]T24a_Aktíva_1'!F6+'[14]T24b_Aktíva_2 '!F6+'[14]T24b_Aktíva_2 '!F34</f>
        <v>66228535.089999996</v>
      </c>
      <c r="G37" s="510">
        <f>'[12]T24a_Aktíva_1'!G6+'T24b_Aktíva_2 '!G6+'T24b_Aktíva_2 '!G34</f>
        <v>63097706.21</v>
      </c>
    </row>
    <row r="38" spans="1:7" ht="25.5" customHeight="1" thickBot="1">
      <c r="A38" s="760" t="s">
        <v>776</v>
      </c>
      <c r="B38" s="761"/>
      <c r="C38" s="511">
        <v>992</v>
      </c>
      <c r="D38" s="503">
        <f>SUM(D6:D37)</f>
        <v>112691204.37000002</v>
      </c>
      <c r="E38" s="503">
        <f>SUM(E6:E37)</f>
        <v>23354421.660000004</v>
      </c>
      <c r="F38" s="503">
        <f>SUM(F6:F37)</f>
        <v>89336782.71000001</v>
      </c>
      <c r="G38" s="504">
        <f>SUM(G6:G37)</f>
        <v>88616142.48</v>
      </c>
    </row>
    <row r="39" spans="1:3" ht="18" customHeight="1">
      <c r="A39" s="513"/>
      <c r="B39" s="513"/>
      <c r="C39" s="514"/>
    </row>
    <row r="40" spans="1:4" ht="18" customHeight="1">
      <c r="A40" s="513"/>
      <c r="B40" s="513"/>
      <c r="C40" s="514"/>
      <c r="D40" s="179"/>
    </row>
    <row r="41" ht="18" customHeight="1"/>
    <row r="42" ht="18" customHeight="1"/>
    <row r="43" ht="18" customHeight="1"/>
    <row r="44" ht="18" customHeight="1"/>
    <row r="45" ht="18" customHeight="1"/>
    <row r="46" ht="18" customHeight="1"/>
    <row r="47" ht="18" customHeight="1"/>
  </sheetData>
  <sheetProtection/>
  <mergeCells count="15">
    <mergeCell ref="A1:G1"/>
    <mergeCell ref="A2:G2"/>
    <mergeCell ref="A3:B4"/>
    <mergeCell ref="C3:C4"/>
    <mergeCell ref="D3:F3"/>
    <mergeCell ref="A5:B5"/>
    <mergeCell ref="A35:A36"/>
    <mergeCell ref="A37:B37"/>
    <mergeCell ref="A38:B38"/>
    <mergeCell ref="A6:B6"/>
    <mergeCell ref="A8:A13"/>
    <mergeCell ref="A15:A18"/>
    <mergeCell ref="A20:A26"/>
    <mergeCell ref="A29:A33"/>
    <mergeCell ref="A34:B34"/>
  </mergeCells>
  <printOptions/>
  <pageMargins left="0.3937007874015748" right="0.35433070866141736" top="0.52" bottom="0.984251968503937" header="0.5118110236220472" footer="0.5118110236220472"/>
  <pageSetup fitToHeight="1" fitToWidth="1" horizontalDpi="600" verticalDpi="600" orientation="portrait" paperSize="9" scale="77" r:id="rId1"/>
</worksheet>
</file>

<file path=xl/worksheets/sheet28.xml><?xml version="1.0" encoding="utf-8"?>
<worksheet xmlns="http://schemas.openxmlformats.org/spreadsheetml/2006/main" xmlns:r="http://schemas.openxmlformats.org/officeDocument/2006/relationships">
  <sheetPr>
    <tabColor rgb="FF92D050"/>
    <pageSetUpPr fitToPage="1"/>
  </sheetPr>
  <dimension ref="A1:J54"/>
  <sheetViews>
    <sheetView zoomScalePageLayoutView="0" workbookViewId="0" topLeftCell="A1">
      <pane xSplit="5" ySplit="5" topLeftCell="F36" activePane="bottomRight" state="frozen"/>
      <selection pane="topLeft" activeCell="A1" sqref="A1"/>
      <selection pane="topRight" activeCell="F1" sqref="F1"/>
      <selection pane="bottomLeft" activeCell="A6" sqref="A6"/>
      <selection pane="bottomRight" activeCell="J49" sqref="J49"/>
    </sheetView>
  </sheetViews>
  <sheetFormatPr defaultColWidth="9.140625" defaultRowHeight="12.75"/>
  <cols>
    <col min="1" max="1" width="4.00390625" style="181" customWidth="1"/>
    <col min="2" max="2" width="60.140625" style="181" customWidth="1"/>
    <col min="3" max="3" width="6.57421875" style="181" customWidth="1"/>
    <col min="4" max="5" width="11.7109375" style="181" hidden="1" customWidth="1"/>
    <col min="6" max="6" width="18.00390625" style="535" customWidth="1"/>
    <col min="7" max="7" width="16.57421875" style="536" customWidth="1"/>
    <col min="8" max="16384" width="9.140625" style="181" customWidth="1"/>
  </cols>
  <sheetData>
    <row r="1" spans="1:7" ht="38.25" customHeight="1" thickBot="1">
      <c r="A1" s="768" t="s">
        <v>1237</v>
      </c>
      <c r="B1" s="769"/>
      <c r="C1" s="769"/>
      <c r="D1" s="769"/>
      <c r="E1" s="769"/>
      <c r="F1" s="769"/>
      <c r="G1" s="770"/>
    </row>
    <row r="2" spans="1:7" ht="33" customHeight="1" thickBot="1">
      <c r="A2" s="790" t="s">
        <v>1328</v>
      </c>
      <c r="B2" s="791"/>
      <c r="C2" s="791"/>
      <c r="D2" s="791"/>
      <c r="E2" s="791"/>
      <c r="F2" s="791"/>
      <c r="G2" s="792"/>
    </row>
    <row r="3" spans="1:7" ht="35.25" customHeight="1">
      <c r="A3" s="793" t="s">
        <v>719</v>
      </c>
      <c r="B3" s="794"/>
      <c r="C3" s="794"/>
      <c r="D3" s="797" t="s">
        <v>695</v>
      </c>
      <c r="E3" s="798"/>
      <c r="F3" s="799"/>
      <c r="G3" s="803" t="s">
        <v>668</v>
      </c>
    </row>
    <row r="4" spans="1:7" ht="42.75" customHeight="1" thickBot="1">
      <c r="A4" s="795"/>
      <c r="B4" s="796"/>
      <c r="C4" s="796"/>
      <c r="D4" s="800"/>
      <c r="E4" s="801"/>
      <c r="F4" s="802"/>
      <c r="G4" s="804"/>
    </row>
    <row r="5" spans="1:7" ht="19.5" customHeight="1" thickBot="1">
      <c r="A5" s="785" t="s">
        <v>669</v>
      </c>
      <c r="B5" s="786"/>
      <c r="C5" s="515" t="s">
        <v>670</v>
      </c>
      <c r="D5" s="515">
        <v>1</v>
      </c>
      <c r="E5" s="515">
        <v>2</v>
      </c>
      <c r="F5" s="92">
        <v>5</v>
      </c>
      <c r="G5" s="93">
        <v>6</v>
      </c>
    </row>
    <row r="6" spans="1:10" ht="30.75" customHeight="1">
      <c r="A6" s="787" t="s">
        <v>770</v>
      </c>
      <c r="B6" s="788"/>
      <c r="C6" s="121" t="s">
        <v>621</v>
      </c>
      <c r="D6" s="516">
        <f>D7+D13</f>
        <v>207980</v>
      </c>
      <c r="E6" s="516">
        <f>E7+E13</f>
        <v>0</v>
      </c>
      <c r="F6" s="452">
        <f>F7+F13+F17+F18</f>
        <v>34487220.5</v>
      </c>
      <c r="G6" s="453">
        <f>G7+G13+G17+G18</f>
        <v>34534387.099999994</v>
      </c>
      <c r="H6" s="517"/>
      <c r="I6" s="518"/>
      <c r="J6" s="518"/>
    </row>
    <row r="7" spans="1:7" ht="15.75">
      <c r="A7" s="519" t="s">
        <v>671</v>
      </c>
      <c r="B7" s="77" t="s">
        <v>942</v>
      </c>
      <c r="C7" s="73" t="s">
        <v>622</v>
      </c>
      <c r="D7" s="520">
        <f>SUM(D8:D10)</f>
        <v>193386</v>
      </c>
      <c r="E7" s="520">
        <f>SUM(E8:E10)</f>
        <v>0</v>
      </c>
      <c r="F7" s="184">
        <f>SUM(F8:F12)</f>
        <v>33396291.48</v>
      </c>
      <c r="G7" s="170">
        <f>SUM(G8:G12)</f>
        <v>33627913.3</v>
      </c>
    </row>
    <row r="8" spans="1:7" ht="18" customHeight="1">
      <c r="A8" s="766"/>
      <c r="B8" s="488" t="s">
        <v>943</v>
      </c>
      <c r="C8" s="75" t="s">
        <v>623</v>
      </c>
      <c r="D8" s="521">
        <v>169934</v>
      </c>
      <c r="E8" s="521"/>
      <c r="F8" s="382">
        <v>12893282.47</v>
      </c>
      <c r="G8" s="522">
        <v>29719774.38</v>
      </c>
    </row>
    <row r="9" spans="1:7" ht="15.75" customHeight="1">
      <c r="A9" s="766"/>
      <c r="B9" s="488" t="s">
        <v>738</v>
      </c>
      <c r="C9" s="75" t="s">
        <v>624</v>
      </c>
      <c r="D9" s="521"/>
      <c r="E9" s="521"/>
      <c r="F9" s="382">
        <v>148754.37</v>
      </c>
      <c r="G9" s="522">
        <v>370028.19</v>
      </c>
    </row>
    <row r="10" spans="1:7" ht="15.75">
      <c r="A10" s="764"/>
      <c r="B10" s="488" t="s">
        <v>944</v>
      </c>
      <c r="C10" s="75" t="s">
        <v>625</v>
      </c>
      <c r="D10" s="521">
        <v>23452</v>
      </c>
      <c r="E10" s="521"/>
      <c r="F10" s="382">
        <v>20354254.64</v>
      </c>
      <c r="G10" s="522">
        <v>3538110.73</v>
      </c>
    </row>
    <row r="11" spans="1:7" ht="18" customHeight="1">
      <c r="A11" s="495"/>
      <c r="B11" s="488" t="s">
        <v>720</v>
      </c>
      <c r="C11" s="75" t="s">
        <v>626</v>
      </c>
      <c r="D11" s="521"/>
      <c r="E11" s="521"/>
      <c r="F11" s="382"/>
      <c r="G11" s="522"/>
    </row>
    <row r="12" spans="1:7" ht="15.75">
      <c r="A12" s="495"/>
      <c r="B12" s="488" t="s">
        <v>721</v>
      </c>
      <c r="C12" s="75" t="s">
        <v>627</v>
      </c>
      <c r="D12" s="521"/>
      <c r="E12" s="521"/>
      <c r="F12" s="382"/>
      <c r="G12" s="522"/>
    </row>
    <row r="13" spans="1:7" ht="18" customHeight="1">
      <c r="A13" s="76" t="s">
        <v>677</v>
      </c>
      <c r="B13" s="77" t="s">
        <v>739</v>
      </c>
      <c r="C13" s="73" t="s">
        <v>628</v>
      </c>
      <c r="D13" s="520">
        <f>SUM(D14:D16)</f>
        <v>14594</v>
      </c>
      <c r="E13" s="520">
        <f>SUM(E14:E16)</f>
        <v>0</v>
      </c>
      <c r="F13" s="184">
        <f>SUM(F14:F17)</f>
        <v>719155.3</v>
      </c>
      <c r="G13" s="170">
        <f>SUM(G14:G17)</f>
        <v>541024.93</v>
      </c>
    </row>
    <row r="14" spans="1:7" ht="14.25" customHeight="1">
      <c r="A14" s="765"/>
      <c r="B14" s="488" t="s">
        <v>740</v>
      </c>
      <c r="C14" s="75" t="s">
        <v>629</v>
      </c>
      <c r="D14" s="521">
        <v>3949</v>
      </c>
      <c r="E14" s="521"/>
      <c r="F14" s="382">
        <v>719155.3</v>
      </c>
      <c r="G14" s="522">
        <v>375695.71</v>
      </c>
    </row>
    <row r="15" spans="1:7" ht="15.75">
      <c r="A15" s="765"/>
      <c r="B15" s="488" t="s">
        <v>742</v>
      </c>
      <c r="C15" s="75" t="s">
        <v>630</v>
      </c>
      <c r="D15" s="521">
        <v>-5033</v>
      </c>
      <c r="E15" s="521"/>
      <c r="F15" s="382"/>
      <c r="G15" s="522"/>
    </row>
    <row r="16" spans="1:7" ht="15.75">
      <c r="A16" s="765"/>
      <c r="B16" s="488" t="s">
        <v>741</v>
      </c>
      <c r="C16" s="75" t="s">
        <v>631</v>
      </c>
      <c r="D16" s="74">
        <v>15678</v>
      </c>
      <c r="E16" s="74"/>
      <c r="F16" s="382"/>
      <c r="G16" s="522">
        <v>165329.22</v>
      </c>
    </row>
    <row r="17" spans="1:7" ht="36" customHeight="1">
      <c r="A17" s="492" t="s">
        <v>688</v>
      </c>
      <c r="B17" s="523" t="s">
        <v>722</v>
      </c>
      <c r="C17" s="73" t="s">
        <v>632</v>
      </c>
      <c r="D17" s="74"/>
      <c r="E17" s="74"/>
      <c r="F17" s="382"/>
      <c r="G17" s="522"/>
    </row>
    <row r="18" spans="1:7" ht="31.5">
      <c r="A18" s="492" t="s">
        <v>711</v>
      </c>
      <c r="B18" s="77" t="s">
        <v>723</v>
      </c>
      <c r="C18" s="73" t="s">
        <v>633</v>
      </c>
      <c r="D18" s="74"/>
      <c r="E18" s="74"/>
      <c r="F18" s="524">
        <v>371773.72</v>
      </c>
      <c r="G18" s="525">
        <v>365448.87</v>
      </c>
    </row>
    <row r="19" spans="1:7" ht="15" customHeight="1">
      <c r="A19" s="610" t="s">
        <v>767</v>
      </c>
      <c r="B19" s="789"/>
      <c r="C19" s="73" t="s">
        <v>634</v>
      </c>
      <c r="D19" s="74">
        <v>77905</v>
      </c>
      <c r="E19" s="74"/>
      <c r="F19" s="184">
        <f>F20+F24+F32+F42</f>
        <v>3850006.66</v>
      </c>
      <c r="G19" s="170">
        <f>G20+G24+G32+G42</f>
        <v>6090110.199999999</v>
      </c>
    </row>
    <row r="20" spans="1:7" ht="15.75">
      <c r="A20" s="76" t="s">
        <v>671</v>
      </c>
      <c r="B20" s="526" t="s">
        <v>725</v>
      </c>
      <c r="C20" s="73" t="s">
        <v>635</v>
      </c>
      <c r="D20" s="74"/>
      <c r="E20" s="74"/>
      <c r="F20" s="184">
        <f>SUM(F21:F23)</f>
        <v>494851.08</v>
      </c>
      <c r="G20" s="170">
        <f>SUM(G21:G23)</f>
        <v>468540.76</v>
      </c>
    </row>
    <row r="21" spans="1:7" ht="13.5" customHeight="1">
      <c r="A21" s="76"/>
      <c r="B21" s="496" t="s">
        <v>743</v>
      </c>
      <c r="C21" s="75" t="s">
        <v>636</v>
      </c>
      <c r="D21" s="521"/>
      <c r="E21" s="521"/>
      <c r="F21" s="382"/>
      <c r="G21" s="522"/>
    </row>
    <row r="22" spans="1:7" ht="15.75">
      <c r="A22" s="76"/>
      <c r="B22" s="496" t="s">
        <v>744</v>
      </c>
      <c r="C22" s="75" t="s">
        <v>637</v>
      </c>
      <c r="D22" s="521"/>
      <c r="E22" s="521"/>
      <c r="F22" s="382"/>
      <c r="G22" s="522"/>
    </row>
    <row r="23" spans="1:7" ht="15.75">
      <c r="A23" s="76"/>
      <c r="B23" s="496" t="s">
        <v>745</v>
      </c>
      <c r="C23" s="75" t="s">
        <v>638</v>
      </c>
      <c r="D23" s="521"/>
      <c r="E23" s="521"/>
      <c r="F23" s="382">
        <v>494851.08</v>
      </c>
      <c r="G23" s="522">
        <v>468540.76</v>
      </c>
    </row>
    <row r="24" spans="1:7" ht="14.25" customHeight="1">
      <c r="A24" s="76" t="s">
        <v>677</v>
      </c>
      <c r="B24" s="77" t="s">
        <v>746</v>
      </c>
      <c r="C24" s="73" t="s">
        <v>639</v>
      </c>
      <c r="D24" s="527">
        <f>SUM(D25:D31)</f>
        <v>327</v>
      </c>
      <c r="E24" s="527">
        <f>SUM(E25:E31)</f>
        <v>0</v>
      </c>
      <c r="F24" s="184">
        <f>SUM(F25:F31)</f>
        <v>91214.48</v>
      </c>
      <c r="G24" s="170">
        <f>SUM(G25:G31)</f>
        <v>105753.46</v>
      </c>
    </row>
    <row r="25" spans="1:7" ht="15.75">
      <c r="A25" s="766"/>
      <c r="B25" s="496" t="s">
        <v>747</v>
      </c>
      <c r="C25" s="75" t="s">
        <v>640</v>
      </c>
      <c r="D25" s="521"/>
      <c r="E25" s="521"/>
      <c r="F25" s="382">
        <v>91214.48</v>
      </c>
      <c r="G25" s="522">
        <v>105753.46</v>
      </c>
    </row>
    <row r="26" spans="1:7" ht="15.75">
      <c r="A26" s="766"/>
      <c r="B26" s="496" t="s">
        <v>748</v>
      </c>
      <c r="C26" s="75" t="s">
        <v>641</v>
      </c>
      <c r="D26" s="521"/>
      <c r="E26" s="521"/>
      <c r="F26" s="382"/>
      <c r="G26" s="522"/>
    </row>
    <row r="27" spans="1:7" ht="15.75">
      <c r="A27" s="766"/>
      <c r="B27" s="488" t="s">
        <v>749</v>
      </c>
      <c r="C27" s="75" t="s">
        <v>642</v>
      </c>
      <c r="D27" s="521"/>
      <c r="E27" s="521"/>
      <c r="F27" s="382"/>
      <c r="G27" s="522"/>
    </row>
    <row r="28" spans="1:7" ht="15.75">
      <c r="A28" s="766"/>
      <c r="B28" s="488" t="s">
        <v>750</v>
      </c>
      <c r="C28" s="75" t="s">
        <v>643</v>
      </c>
      <c r="D28" s="521"/>
      <c r="E28" s="521"/>
      <c r="F28" s="382"/>
      <c r="G28" s="522"/>
    </row>
    <row r="29" spans="1:7" ht="15.75">
      <c r="A29" s="766"/>
      <c r="B29" s="488" t="s">
        <v>751</v>
      </c>
      <c r="C29" s="75" t="s">
        <v>644</v>
      </c>
      <c r="D29" s="521">
        <v>327</v>
      </c>
      <c r="E29" s="521"/>
      <c r="F29" s="382"/>
      <c r="G29" s="522"/>
    </row>
    <row r="30" spans="1:7" ht="15.75">
      <c r="A30" s="766"/>
      <c r="B30" s="488" t="s">
        <v>752</v>
      </c>
      <c r="C30" s="75" t="s">
        <v>645</v>
      </c>
      <c r="D30" s="521"/>
      <c r="E30" s="521"/>
      <c r="F30" s="382"/>
      <c r="G30" s="522"/>
    </row>
    <row r="31" spans="1:7" ht="15.75">
      <c r="A31" s="766"/>
      <c r="B31" s="488" t="s">
        <v>730</v>
      </c>
      <c r="C31" s="75" t="s">
        <v>646</v>
      </c>
      <c r="D31" s="521"/>
      <c r="E31" s="521"/>
      <c r="F31" s="382"/>
      <c r="G31" s="522"/>
    </row>
    <row r="32" spans="1:7" ht="15.75">
      <c r="A32" s="76" t="s">
        <v>688</v>
      </c>
      <c r="B32" s="77" t="s">
        <v>726</v>
      </c>
      <c r="C32" s="73" t="s">
        <v>647</v>
      </c>
      <c r="D32" s="527">
        <f>SUM(D33:D41)</f>
        <v>306</v>
      </c>
      <c r="E32" s="527">
        <f>SUM(E33:E41)</f>
        <v>0</v>
      </c>
      <c r="F32" s="184">
        <f>SUM(F33:F41)</f>
        <v>3263941.1</v>
      </c>
      <c r="G32" s="170">
        <f>SUM(G33:G41)</f>
        <v>5515815.9799999995</v>
      </c>
    </row>
    <row r="33" spans="1:7" ht="15.75">
      <c r="A33" s="766"/>
      <c r="B33" s="488" t="s">
        <v>727</v>
      </c>
      <c r="C33" s="75" t="s">
        <v>648</v>
      </c>
      <c r="D33" s="521">
        <v>133</v>
      </c>
      <c r="E33" s="521"/>
      <c r="F33" s="382">
        <v>1426564.26</v>
      </c>
      <c r="G33" s="522">
        <v>3448391.59</v>
      </c>
    </row>
    <row r="34" spans="1:7" ht="15.75">
      <c r="A34" s="766"/>
      <c r="B34" s="488" t="s">
        <v>753</v>
      </c>
      <c r="C34" s="75" t="s">
        <v>649</v>
      </c>
      <c r="D34" s="74">
        <v>25</v>
      </c>
      <c r="E34" s="74"/>
      <c r="F34" s="382">
        <v>1026239.4</v>
      </c>
      <c r="G34" s="522">
        <v>1050334.04</v>
      </c>
    </row>
    <row r="35" spans="1:7" ht="15.75">
      <c r="A35" s="766"/>
      <c r="B35" s="488" t="s">
        <v>754</v>
      </c>
      <c r="C35" s="75" t="s">
        <v>650</v>
      </c>
      <c r="D35" s="521"/>
      <c r="E35" s="521"/>
      <c r="F35" s="382">
        <v>561064.34</v>
      </c>
      <c r="G35" s="522">
        <v>560583.08</v>
      </c>
    </row>
    <row r="36" spans="1:7" ht="15.75">
      <c r="A36" s="766"/>
      <c r="B36" s="488" t="s">
        <v>755</v>
      </c>
      <c r="C36" s="75" t="s">
        <v>651</v>
      </c>
      <c r="D36" s="521"/>
      <c r="E36" s="521"/>
      <c r="F36" s="382">
        <v>233889.12</v>
      </c>
      <c r="G36" s="522">
        <v>252869.35</v>
      </c>
    </row>
    <row r="37" spans="1:7" ht="31.5">
      <c r="A37" s="766"/>
      <c r="B37" s="488" t="s">
        <v>756</v>
      </c>
      <c r="C37" s="75" t="s">
        <v>652</v>
      </c>
      <c r="D37" s="521"/>
      <c r="E37" s="521"/>
      <c r="F37" s="382"/>
      <c r="G37" s="522"/>
    </row>
    <row r="38" spans="1:7" ht="30" customHeight="1">
      <c r="A38" s="766"/>
      <c r="B38" s="488" t="s">
        <v>765</v>
      </c>
      <c r="C38" s="75" t="s">
        <v>653</v>
      </c>
      <c r="D38" s="521"/>
      <c r="E38" s="521"/>
      <c r="F38" s="382"/>
      <c r="G38" s="522"/>
    </row>
    <row r="39" spans="1:7" ht="15.75">
      <c r="A39" s="766"/>
      <c r="B39" s="488" t="s">
        <v>757</v>
      </c>
      <c r="C39" s="75" t="s">
        <v>654</v>
      </c>
      <c r="D39" s="521"/>
      <c r="E39" s="521"/>
      <c r="F39" s="382"/>
      <c r="G39" s="522"/>
    </row>
    <row r="40" spans="1:7" ht="15.75">
      <c r="A40" s="766"/>
      <c r="B40" s="488" t="s">
        <v>758</v>
      </c>
      <c r="C40" s="75" t="s">
        <v>655</v>
      </c>
      <c r="D40" s="521"/>
      <c r="E40" s="521"/>
      <c r="F40" s="382"/>
      <c r="G40" s="522"/>
    </row>
    <row r="41" spans="1:7" ht="15.75">
      <c r="A41" s="764"/>
      <c r="B41" s="488" t="s">
        <v>729</v>
      </c>
      <c r="C41" s="75" t="s">
        <v>656</v>
      </c>
      <c r="D41" s="521">
        <v>148</v>
      </c>
      <c r="E41" s="521"/>
      <c r="F41" s="382">
        <v>16183.98</v>
      </c>
      <c r="G41" s="522">
        <v>203637.92</v>
      </c>
    </row>
    <row r="42" spans="1:7" ht="15" customHeight="1">
      <c r="A42" s="519" t="s">
        <v>711</v>
      </c>
      <c r="B42" s="77" t="s">
        <v>759</v>
      </c>
      <c r="C42" s="73" t="s">
        <v>657</v>
      </c>
      <c r="D42" s="527">
        <f>SUM(D43:D45)</f>
        <v>0</v>
      </c>
      <c r="E42" s="527">
        <f>SUM(E43:E45)</f>
        <v>0</v>
      </c>
      <c r="F42" s="184">
        <f>SUM(F43:F45)</f>
        <v>0</v>
      </c>
      <c r="G42" s="170">
        <f>SUM(G43:G45)</f>
        <v>0</v>
      </c>
    </row>
    <row r="43" spans="1:7" ht="15.75">
      <c r="A43" s="766"/>
      <c r="B43" s="488" t="s">
        <v>760</v>
      </c>
      <c r="C43" s="75" t="s">
        <v>658</v>
      </c>
      <c r="D43" s="521"/>
      <c r="E43" s="521"/>
      <c r="F43" s="382"/>
      <c r="G43" s="522"/>
    </row>
    <row r="44" spans="1:7" ht="15.75">
      <c r="A44" s="766"/>
      <c r="B44" s="488" t="s">
        <v>728</v>
      </c>
      <c r="C44" s="75" t="s">
        <v>659</v>
      </c>
      <c r="D44" s="521"/>
      <c r="E44" s="521"/>
      <c r="F44" s="382"/>
      <c r="G44" s="522"/>
    </row>
    <row r="45" spans="1:7" ht="15.75">
      <c r="A45" s="764"/>
      <c r="B45" s="488" t="s">
        <v>761</v>
      </c>
      <c r="C45" s="75" t="s">
        <v>660</v>
      </c>
      <c r="D45" s="521"/>
      <c r="E45" s="521"/>
      <c r="F45" s="382"/>
      <c r="G45" s="522"/>
    </row>
    <row r="46" spans="1:7" ht="14.25" customHeight="1">
      <c r="A46" s="781" t="s">
        <v>762</v>
      </c>
      <c r="B46" s="782"/>
      <c r="C46" s="73" t="s">
        <v>661</v>
      </c>
      <c r="D46" s="527">
        <f>SUM(D47:D48)</f>
        <v>77272</v>
      </c>
      <c r="E46" s="527">
        <f>SUM(E47:E48)</f>
        <v>0</v>
      </c>
      <c r="F46" s="184">
        <f>SUM(F47:F48)</f>
        <v>27891307.93</v>
      </c>
      <c r="G46" s="170">
        <f>SUM(G47:G48)</f>
        <v>22473208.91</v>
      </c>
    </row>
    <row r="47" spans="1:7" ht="14.25" customHeight="1">
      <c r="A47" s="766"/>
      <c r="B47" s="488" t="s">
        <v>763</v>
      </c>
      <c r="C47" s="75" t="s">
        <v>662</v>
      </c>
      <c r="D47" s="521"/>
      <c r="E47" s="521"/>
      <c r="F47" s="382">
        <v>410</v>
      </c>
      <c r="G47" s="522"/>
    </row>
    <row r="48" spans="1:7" ht="15.75">
      <c r="A48" s="766"/>
      <c r="B48" s="488" t="s">
        <v>764</v>
      </c>
      <c r="C48" s="75" t="s">
        <v>663</v>
      </c>
      <c r="D48" s="521">
        <v>77272</v>
      </c>
      <c r="E48" s="521"/>
      <c r="F48" s="382">
        <v>27890897.93</v>
      </c>
      <c r="G48" s="522">
        <v>22473208.91</v>
      </c>
    </row>
    <row r="49" spans="1:7" ht="17.25" customHeight="1">
      <c r="A49" s="783" t="s">
        <v>766</v>
      </c>
      <c r="B49" s="784"/>
      <c r="C49" s="73" t="s">
        <v>664</v>
      </c>
      <c r="D49" s="527">
        <f>D6+D19</f>
        <v>285885</v>
      </c>
      <c r="E49" s="527">
        <f>E6+E19</f>
        <v>0</v>
      </c>
      <c r="F49" s="184">
        <f>F6+F19+F46</f>
        <v>66228535.089999996</v>
      </c>
      <c r="G49" s="170">
        <f>G6+G19+G46</f>
        <v>63097706.20999999</v>
      </c>
    </row>
    <row r="50" spans="1:7" ht="20.25" customHeight="1" thickBot="1">
      <c r="A50" s="528"/>
      <c r="B50" s="529" t="s">
        <v>941</v>
      </c>
      <c r="C50" s="530" t="s">
        <v>724</v>
      </c>
      <c r="D50" s="531">
        <f>SUM(D6:D49)</f>
        <v>1143540</v>
      </c>
      <c r="E50" s="531">
        <f>SUM(E6:E49)</f>
        <v>0</v>
      </c>
      <c r="F50" s="209">
        <f>SUM(F6:F49)</f>
        <v>236651058.71000004</v>
      </c>
      <c r="G50" s="195">
        <f>SUM(G6:G49)</f>
        <v>229552167.06</v>
      </c>
    </row>
    <row r="51" spans="1:7" ht="18" customHeight="1">
      <c r="A51" s="532"/>
      <c r="B51" s="532"/>
      <c r="C51" s="533"/>
      <c r="D51" s="532"/>
      <c r="E51" s="532"/>
      <c r="F51" s="534"/>
      <c r="G51" s="180"/>
    </row>
    <row r="52" spans="1:7" ht="18" customHeight="1">
      <c r="A52" s="532"/>
      <c r="B52" s="532"/>
      <c r="C52" s="533"/>
      <c r="D52" s="532"/>
      <c r="E52" s="532"/>
      <c r="F52" s="179"/>
      <c r="G52" s="180"/>
    </row>
    <row r="53" spans="1:7" ht="18" customHeight="1">
      <c r="A53" s="532"/>
      <c r="B53" s="532"/>
      <c r="C53" s="532"/>
      <c r="D53" s="532"/>
      <c r="E53" s="532"/>
      <c r="F53" s="534"/>
      <c r="G53" s="180"/>
    </row>
    <row r="54" spans="1:7" ht="18" customHeight="1">
      <c r="A54" s="532"/>
      <c r="B54" s="532"/>
      <c r="C54" s="532"/>
      <c r="D54" s="532"/>
      <c r="E54" s="532"/>
      <c r="F54" s="534"/>
      <c r="G54" s="180"/>
    </row>
    <row r="55" ht="18" customHeight="1"/>
  </sheetData>
  <sheetProtection/>
  <mergeCells count="17">
    <mergeCell ref="A25:A31"/>
    <mergeCell ref="A1:G1"/>
    <mergeCell ref="A2:G2"/>
    <mergeCell ref="A3:B4"/>
    <mergeCell ref="C3:C4"/>
    <mergeCell ref="D3:F4"/>
    <mergeCell ref="G3:G4"/>
    <mergeCell ref="A33:A41"/>
    <mergeCell ref="A43:A45"/>
    <mergeCell ref="A46:B46"/>
    <mergeCell ref="A47:A48"/>
    <mergeCell ref="A49:B49"/>
    <mergeCell ref="A5:B5"/>
    <mergeCell ref="A6:B6"/>
    <mergeCell ref="A8:A10"/>
    <mergeCell ref="A14:A16"/>
    <mergeCell ref="A19:B19"/>
  </mergeCells>
  <printOptions horizontalCentered="1" verticalCentered="1"/>
  <pageMargins left="0.35433070866141736" right="0.31496062992125984" top="0.5118110236220472" bottom="0.35" header="0.5118110236220472" footer="0.35433070866141736"/>
  <pageSetup fitToHeight="1" fitToWidth="1" horizontalDpi="600" verticalDpi="600" orientation="portrait" paperSize="9" scale="83" r:id="rId1"/>
</worksheet>
</file>

<file path=xl/worksheets/sheet29.xml><?xml version="1.0" encoding="utf-8"?>
<worksheet xmlns="http://schemas.openxmlformats.org/spreadsheetml/2006/main" xmlns:r="http://schemas.openxmlformats.org/officeDocument/2006/relationships">
  <dimension ref="A1:F67"/>
  <sheetViews>
    <sheetView zoomScalePageLayoutView="0" workbookViewId="0" topLeftCell="A1">
      <selection activeCell="A1" sqref="A1:F1"/>
    </sheetView>
  </sheetViews>
  <sheetFormatPr defaultColWidth="9.140625" defaultRowHeight="12.75"/>
  <cols>
    <col min="1" max="1" width="60.8515625" style="0" customWidth="1"/>
    <col min="2" max="2" width="8.8515625" style="0" customWidth="1"/>
    <col min="3" max="3" width="13.140625" style="0" customWidth="1"/>
    <col min="4" max="4" width="14.7109375" style="0" customWidth="1"/>
    <col min="5" max="5" width="14.28125" style="0" customWidth="1"/>
    <col min="6" max="6" width="13.7109375" style="0" customWidth="1"/>
  </cols>
  <sheetData>
    <row r="1" spans="1:6" ht="45.75" customHeight="1">
      <c r="A1" s="806" t="s">
        <v>619</v>
      </c>
      <c r="B1" s="807"/>
      <c r="C1" s="807"/>
      <c r="D1" s="807"/>
      <c r="E1" s="807"/>
      <c r="F1" s="808"/>
    </row>
    <row r="2" spans="1:6" ht="19.5" customHeight="1">
      <c r="A2" s="805" t="s">
        <v>479</v>
      </c>
      <c r="B2" s="805"/>
      <c r="C2" s="805"/>
      <c r="D2" s="805"/>
      <c r="E2" s="805"/>
      <c r="F2" s="805"/>
    </row>
    <row r="3" spans="1:6" ht="42" customHeight="1">
      <c r="A3" s="64" t="s">
        <v>495</v>
      </c>
      <c r="B3" s="65" t="s">
        <v>496</v>
      </c>
      <c r="C3" s="72" t="s">
        <v>665</v>
      </c>
      <c r="D3" s="65" t="s">
        <v>615</v>
      </c>
      <c r="E3" s="65" t="s">
        <v>616</v>
      </c>
      <c r="F3" s="65" t="s">
        <v>617</v>
      </c>
    </row>
    <row r="4" spans="1:6" ht="15.75">
      <c r="A4" s="66" t="s">
        <v>497</v>
      </c>
      <c r="B4" s="66" t="s">
        <v>498</v>
      </c>
      <c r="C4" s="67"/>
      <c r="D4" s="67"/>
      <c r="E4" s="67"/>
      <c r="F4" s="67"/>
    </row>
    <row r="5" spans="1:6" ht="15.75">
      <c r="A5" s="71" t="s">
        <v>499</v>
      </c>
      <c r="B5" s="66" t="s">
        <v>500</v>
      </c>
      <c r="C5" s="67"/>
      <c r="D5" s="67"/>
      <c r="E5" s="67"/>
      <c r="F5" s="67"/>
    </row>
    <row r="6" spans="1:6" ht="15.75">
      <c r="A6" s="66" t="s">
        <v>501</v>
      </c>
      <c r="B6" s="66" t="s">
        <v>502</v>
      </c>
      <c r="C6" s="67"/>
      <c r="D6" s="67"/>
      <c r="E6" s="67"/>
      <c r="F6" s="67"/>
    </row>
    <row r="7" spans="1:6" ht="15.75">
      <c r="A7" s="66" t="s">
        <v>503</v>
      </c>
      <c r="B7" s="66" t="s">
        <v>504</v>
      </c>
      <c r="C7" s="67"/>
      <c r="D7" s="67"/>
      <c r="E7" s="67"/>
      <c r="F7" s="67"/>
    </row>
    <row r="8" spans="1:6" ht="15.75">
      <c r="A8" s="70" t="s">
        <v>620</v>
      </c>
      <c r="B8" s="66" t="s">
        <v>505</v>
      </c>
      <c r="C8" s="67"/>
      <c r="D8" s="67"/>
      <c r="E8" s="67"/>
      <c r="F8" s="67"/>
    </row>
    <row r="9" spans="1:6" ht="15.75">
      <c r="A9" s="66" t="s">
        <v>506</v>
      </c>
      <c r="B9" s="66" t="s">
        <v>507</v>
      </c>
      <c r="C9" s="67"/>
      <c r="D9" s="67"/>
      <c r="E9" s="67"/>
      <c r="F9" s="67"/>
    </row>
    <row r="10" spans="1:6" ht="15.75">
      <c r="A10" s="66" t="s">
        <v>508</v>
      </c>
      <c r="B10" s="66" t="s">
        <v>509</v>
      </c>
      <c r="C10" s="67"/>
      <c r="D10" s="67"/>
      <c r="E10" s="67"/>
      <c r="F10" s="67"/>
    </row>
    <row r="11" spans="1:6" ht="15.75">
      <c r="A11" s="66" t="s">
        <v>510</v>
      </c>
      <c r="B11" s="66" t="s">
        <v>511</v>
      </c>
      <c r="C11" s="67"/>
      <c r="D11" s="67"/>
      <c r="E11" s="67"/>
      <c r="F11" s="67"/>
    </row>
    <row r="12" spans="1:6" ht="15.75">
      <c r="A12" s="71" t="s">
        <v>512</v>
      </c>
      <c r="B12" s="66" t="s">
        <v>513</v>
      </c>
      <c r="C12" s="67"/>
      <c r="D12" s="67"/>
      <c r="E12" s="67"/>
      <c r="F12" s="67"/>
    </row>
    <row r="13" spans="1:6" ht="15.75">
      <c r="A13" s="66" t="s">
        <v>514</v>
      </c>
      <c r="B13" s="66" t="s">
        <v>515</v>
      </c>
      <c r="C13" s="67"/>
      <c r="D13" s="67"/>
      <c r="E13" s="67"/>
      <c r="F13" s="67"/>
    </row>
    <row r="14" spans="1:6" ht="15.75">
      <c r="A14" s="66" t="s">
        <v>516</v>
      </c>
      <c r="B14" s="66" t="s">
        <v>517</v>
      </c>
      <c r="C14" s="67"/>
      <c r="D14" s="67"/>
      <c r="E14" s="67"/>
      <c r="F14" s="67"/>
    </row>
    <row r="15" spans="1:6" ht="15.75">
      <c r="A15" s="66" t="s">
        <v>518</v>
      </c>
      <c r="B15" s="66" t="s">
        <v>519</v>
      </c>
      <c r="C15" s="67"/>
      <c r="D15" s="67"/>
      <c r="E15" s="67"/>
      <c r="F15" s="67"/>
    </row>
    <row r="16" spans="1:6" ht="15.75">
      <c r="A16" s="66" t="s">
        <v>520</v>
      </c>
      <c r="B16" s="66" t="s">
        <v>521</v>
      </c>
      <c r="C16" s="67"/>
      <c r="D16" s="67"/>
      <c r="E16" s="67"/>
      <c r="F16" s="67"/>
    </row>
    <row r="17" spans="1:6" ht="15.75">
      <c r="A17" s="66" t="s">
        <v>522</v>
      </c>
      <c r="B17" s="66" t="s">
        <v>523</v>
      </c>
      <c r="C17" s="67"/>
      <c r="D17" s="67"/>
      <c r="E17" s="67"/>
      <c r="F17" s="67"/>
    </row>
    <row r="18" spans="1:6" ht="15.75">
      <c r="A18" s="66" t="s">
        <v>524</v>
      </c>
      <c r="B18" s="66" t="s">
        <v>525</v>
      </c>
      <c r="C18" s="67"/>
      <c r="D18" s="67"/>
      <c r="E18" s="67"/>
      <c r="F18" s="67"/>
    </row>
    <row r="19" spans="1:6" ht="15.75">
      <c r="A19" s="66" t="s">
        <v>526</v>
      </c>
      <c r="B19" s="66" t="s">
        <v>527</v>
      </c>
      <c r="C19" s="67"/>
      <c r="D19" s="67"/>
      <c r="E19" s="67"/>
      <c r="F19" s="67"/>
    </row>
    <row r="20" spans="1:6" ht="15.75">
      <c r="A20" s="66" t="s">
        <v>528</v>
      </c>
      <c r="B20" s="66" t="s">
        <v>529</v>
      </c>
      <c r="C20" s="67"/>
      <c r="D20" s="67"/>
      <c r="E20" s="67"/>
      <c r="F20" s="67"/>
    </row>
    <row r="21" spans="1:6" ht="15.75">
      <c r="A21" s="66" t="s">
        <v>530</v>
      </c>
      <c r="B21" s="66" t="s">
        <v>531</v>
      </c>
      <c r="C21" s="67"/>
      <c r="D21" s="67"/>
      <c r="E21" s="67"/>
      <c r="F21" s="67"/>
    </row>
    <row r="22" spans="1:6" ht="15.75">
      <c r="A22" s="66" t="s">
        <v>532</v>
      </c>
      <c r="B22" s="66" t="s">
        <v>533</v>
      </c>
      <c r="C22" s="67"/>
      <c r="D22" s="67"/>
      <c r="E22" s="67"/>
      <c r="F22" s="67"/>
    </row>
    <row r="23" spans="1:6" ht="15.75">
      <c r="A23" s="66" t="s">
        <v>534</v>
      </c>
      <c r="B23" s="66" t="s">
        <v>535</v>
      </c>
      <c r="C23" s="67"/>
      <c r="D23" s="67"/>
      <c r="E23" s="67"/>
      <c r="F23" s="67"/>
    </row>
    <row r="24" spans="1:6" ht="15.75">
      <c r="A24" s="71" t="s">
        <v>536</v>
      </c>
      <c r="B24" s="66" t="s">
        <v>537</v>
      </c>
      <c r="C24" s="67"/>
      <c r="D24" s="67"/>
      <c r="E24" s="67"/>
      <c r="F24" s="67"/>
    </row>
    <row r="25" spans="1:6" ht="15.75">
      <c r="A25" s="66" t="s">
        <v>538</v>
      </c>
      <c r="B25" s="66" t="s">
        <v>539</v>
      </c>
      <c r="C25" s="67"/>
      <c r="D25" s="67"/>
      <c r="E25" s="67"/>
      <c r="F25" s="67"/>
    </row>
    <row r="26" spans="1:6" ht="15.75">
      <c r="A26" s="66" t="s">
        <v>540</v>
      </c>
      <c r="B26" s="66" t="s">
        <v>541</v>
      </c>
      <c r="C26" s="67"/>
      <c r="D26" s="67"/>
      <c r="E26" s="67"/>
      <c r="F26" s="67"/>
    </row>
    <row r="27" spans="1:6" ht="15.75">
      <c r="A27" s="66" t="s">
        <v>542</v>
      </c>
      <c r="B27" s="66" t="s">
        <v>543</v>
      </c>
      <c r="C27" s="67"/>
      <c r="D27" s="67"/>
      <c r="E27" s="67"/>
      <c r="F27" s="67"/>
    </row>
    <row r="28" spans="1:6" ht="15.75">
      <c r="A28" s="66" t="s">
        <v>544</v>
      </c>
      <c r="B28" s="66" t="s">
        <v>545</v>
      </c>
      <c r="C28" s="67"/>
      <c r="D28" s="67"/>
      <c r="E28" s="67"/>
      <c r="F28" s="67"/>
    </row>
    <row r="29" spans="1:6" ht="15.75">
      <c r="A29" s="66" t="s">
        <v>546</v>
      </c>
      <c r="B29" s="66" t="s">
        <v>547</v>
      </c>
      <c r="C29" s="67"/>
      <c r="D29" s="67"/>
      <c r="E29" s="67"/>
      <c r="F29" s="67"/>
    </row>
    <row r="30" spans="1:6" ht="15.75">
      <c r="A30" s="66" t="s">
        <v>548</v>
      </c>
      <c r="B30" s="66" t="s">
        <v>549</v>
      </c>
      <c r="C30" s="67"/>
      <c r="D30" s="67"/>
      <c r="E30" s="67"/>
      <c r="F30" s="67"/>
    </row>
    <row r="31" spans="1:6" ht="15.75">
      <c r="A31" s="66" t="s">
        <v>550</v>
      </c>
      <c r="B31" s="66" t="s">
        <v>551</v>
      </c>
      <c r="C31" s="67"/>
      <c r="D31" s="67"/>
      <c r="E31" s="67"/>
      <c r="F31" s="67"/>
    </row>
    <row r="32" spans="1:6" ht="15.75">
      <c r="A32" s="66" t="s">
        <v>552</v>
      </c>
      <c r="B32" s="66" t="s">
        <v>553</v>
      </c>
      <c r="C32" s="67"/>
      <c r="D32" s="67"/>
      <c r="E32" s="67"/>
      <c r="F32" s="67"/>
    </row>
    <row r="33" spans="1:6" ht="15.75">
      <c r="A33" s="71" t="s">
        <v>554</v>
      </c>
      <c r="B33" s="66" t="s">
        <v>555</v>
      </c>
      <c r="C33" s="67"/>
      <c r="D33" s="67"/>
      <c r="E33" s="67"/>
      <c r="F33" s="67"/>
    </row>
    <row r="34" spans="1:6" ht="15.75">
      <c r="A34" s="66" t="s">
        <v>556</v>
      </c>
      <c r="B34" s="66" t="s">
        <v>557</v>
      </c>
      <c r="C34" s="67"/>
      <c r="D34" s="67"/>
      <c r="E34" s="67"/>
      <c r="F34" s="67"/>
    </row>
    <row r="35" spans="1:6" ht="15.75">
      <c r="A35" s="66" t="s">
        <v>558</v>
      </c>
      <c r="B35" s="66" t="s">
        <v>559</v>
      </c>
      <c r="C35" s="67"/>
      <c r="D35" s="67"/>
      <c r="E35" s="67"/>
      <c r="F35" s="67"/>
    </row>
    <row r="36" spans="1:6" ht="15.75">
      <c r="A36" s="66" t="s">
        <v>560</v>
      </c>
      <c r="B36" s="66" t="s">
        <v>561</v>
      </c>
      <c r="C36" s="67"/>
      <c r="D36" s="67"/>
      <c r="E36" s="67"/>
      <c r="F36" s="67"/>
    </row>
    <row r="37" spans="1:6" ht="15.75">
      <c r="A37" s="66" t="s">
        <v>562</v>
      </c>
      <c r="B37" s="66" t="s">
        <v>563</v>
      </c>
      <c r="C37" s="67"/>
      <c r="D37" s="67"/>
      <c r="E37" s="67"/>
      <c r="F37" s="67"/>
    </row>
    <row r="38" spans="1:6" ht="15.75">
      <c r="A38" s="66" t="s">
        <v>564</v>
      </c>
      <c r="B38" s="66" t="s">
        <v>565</v>
      </c>
      <c r="C38" s="67"/>
      <c r="D38" s="67"/>
      <c r="E38" s="67"/>
      <c r="F38" s="67"/>
    </row>
    <row r="39" spans="1:6" ht="15.75">
      <c r="A39" s="66" t="s">
        <v>566</v>
      </c>
      <c r="B39" s="66" t="s">
        <v>567</v>
      </c>
      <c r="C39" s="67"/>
      <c r="D39" s="67"/>
      <c r="E39" s="67"/>
      <c r="F39" s="67"/>
    </row>
    <row r="40" spans="1:6" ht="15.75">
      <c r="A40" s="71" t="s">
        <v>568</v>
      </c>
      <c r="B40" s="66" t="s">
        <v>569</v>
      </c>
      <c r="C40" s="67"/>
      <c r="D40" s="67"/>
      <c r="E40" s="67"/>
      <c r="F40" s="67"/>
    </row>
    <row r="41" spans="1:6" ht="15.75">
      <c r="A41" s="66" t="s">
        <v>570</v>
      </c>
      <c r="B41" s="66" t="s">
        <v>571</v>
      </c>
      <c r="C41" s="67"/>
      <c r="D41" s="67"/>
      <c r="E41" s="67"/>
      <c r="F41" s="67"/>
    </row>
    <row r="42" spans="1:6" ht="15.75">
      <c r="A42" s="66" t="s">
        <v>572</v>
      </c>
      <c r="B42" s="66" t="s">
        <v>573</v>
      </c>
      <c r="C42" s="67"/>
      <c r="D42" s="67"/>
      <c r="E42" s="67"/>
      <c r="F42" s="67"/>
    </row>
    <row r="43" spans="1:6" ht="15.75">
      <c r="A43" s="66" t="s">
        <v>574</v>
      </c>
      <c r="B43" s="66" t="s">
        <v>575</v>
      </c>
      <c r="C43" s="67"/>
      <c r="D43" s="67"/>
      <c r="E43" s="67"/>
      <c r="F43" s="67"/>
    </row>
    <row r="44" spans="1:6" ht="15.75">
      <c r="A44" s="66" t="s">
        <v>576</v>
      </c>
      <c r="B44" s="66" t="s">
        <v>577</v>
      </c>
      <c r="C44" s="67"/>
      <c r="D44" s="67"/>
      <c r="E44" s="67"/>
      <c r="F44" s="67"/>
    </row>
    <row r="45" spans="1:6" ht="15.75">
      <c r="A45" s="71" t="s">
        <v>578</v>
      </c>
      <c r="B45" s="66" t="s">
        <v>579</v>
      </c>
      <c r="C45" s="67"/>
      <c r="D45" s="67"/>
      <c r="E45" s="67"/>
      <c r="F45" s="67"/>
    </row>
    <row r="46" spans="1:6" ht="15.75">
      <c r="A46" s="66" t="s">
        <v>580</v>
      </c>
      <c r="B46" s="66" t="s">
        <v>581</v>
      </c>
      <c r="C46" s="67"/>
      <c r="D46" s="67"/>
      <c r="E46" s="67"/>
      <c r="F46" s="67"/>
    </row>
    <row r="47" spans="1:6" ht="15.75">
      <c r="A47" s="66" t="s">
        <v>572</v>
      </c>
      <c r="B47" s="66" t="s">
        <v>582</v>
      </c>
      <c r="C47" s="67"/>
      <c r="D47" s="67"/>
      <c r="E47" s="67"/>
      <c r="F47" s="67"/>
    </row>
    <row r="48" spans="1:6" ht="15.75">
      <c r="A48" s="66" t="s">
        <v>583</v>
      </c>
      <c r="B48" s="66" t="s">
        <v>584</v>
      </c>
      <c r="C48" s="67"/>
      <c r="D48" s="67"/>
      <c r="E48" s="67"/>
      <c r="F48" s="67"/>
    </row>
    <row r="49" spans="1:6" ht="15.75">
      <c r="A49" s="66" t="s">
        <v>585</v>
      </c>
      <c r="B49" s="66" t="s">
        <v>586</v>
      </c>
      <c r="C49" s="67"/>
      <c r="D49" s="67"/>
      <c r="E49" s="67"/>
      <c r="F49" s="67"/>
    </row>
    <row r="50" spans="1:6" ht="15.75">
      <c r="A50" s="66" t="s">
        <v>587</v>
      </c>
      <c r="B50" s="66" t="s">
        <v>588</v>
      </c>
      <c r="C50" s="67"/>
      <c r="D50" s="67"/>
      <c r="E50" s="67"/>
      <c r="F50" s="67"/>
    </row>
    <row r="51" spans="1:6" ht="15.75">
      <c r="A51" s="66" t="s">
        <v>574</v>
      </c>
      <c r="B51" s="66" t="s">
        <v>589</v>
      </c>
      <c r="C51" s="67"/>
      <c r="D51" s="67"/>
      <c r="E51" s="67"/>
      <c r="F51" s="67"/>
    </row>
    <row r="52" spans="1:6" ht="15.75">
      <c r="A52" s="66" t="s">
        <v>590</v>
      </c>
      <c r="B52" s="66" t="s">
        <v>591</v>
      </c>
      <c r="C52" s="67"/>
      <c r="D52" s="67"/>
      <c r="E52" s="67"/>
      <c r="F52" s="67"/>
    </row>
    <row r="53" spans="1:6" ht="15.75">
      <c r="A53" s="66" t="s">
        <v>576</v>
      </c>
      <c r="B53" s="66" t="s">
        <v>592</v>
      </c>
      <c r="C53" s="67"/>
      <c r="D53" s="67"/>
      <c r="E53" s="67"/>
      <c r="F53" s="67"/>
    </row>
    <row r="54" spans="1:6" ht="15.75">
      <c r="A54" s="71" t="s">
        <v>593</v>
      </c>
      <c r="B54" s="66" t="s">
        <v>594</v>
      </c>
      <c r="C54" s="67"/>
      <c r="D54" s="67"/>
      <c r="E54" s="67"/>
      <c r="F54" s="67"/>
    </row>
    <row r="55" spans="1:6" ht="15.75">
      <c r="A55" s="66" t="s">
        <v>595</v>
      </c>
      <c r="B55" s="66" t="s">
        <v>596</v>
      </c>
      <c r="C55" s="67"/>
      <c r="D55" s="67"/>
      <c r="E55" s="67"/>
      <c r="F55" s="67"/>
    </row>
    <row r="56" spans="1:6" ht="15.75">
      <c r="A56" s="66" t="s">
        <v>597</v>
      </c>
      <c r="B56" s="66" t="s">
        <v>598</v>
      </c>
      <c r="C56" s="67"/>
      <c r="D56" s="67"/>
      <c r="E56" s="67"/>
      <c r="F56" s="67"/>
    </row>
    <row r="57" spans="1:6" ht="15.75">
      <c r="A57" s="66" t="s">
        <v>599</v>
      </c>
      <c r="B57" s="66" t="s">
        <v>600</v>
      </c>
      <c r="C57" s="67"/>
      <c r="D57" s="67"/>
      <c r="E57" s="67"/>
      <c r="F57" s="67"/>
    </row>
    <row r="58" spans="1:6" ht="15.75">
      <c r="A58" s="66" t="s">
        <v>601</v>
      </c>
      <c r="B58" s="66" t="s">
        <v>602</v>
      </c>
      <c r="C58" s="67"/>
      <c r="D58" s="67"/>
      <c r="E58" s="67"/>
      <c r="F58" s="67"/>
    </row>
    <row r="59" spans="1:6" ht="15.75">
      <c r="A59" s="66" t="s">
        <v>603</v>
      </c>
      <c r="B59" s="66" t="s">
        <v>604</v>
      </c>
      <c r="C59" s="67"/>
      <c r="D59" s="67"/>
      <c r="E59" s="67"/>
      <c r="F59" s="67"/>
    </row>
    <row r="60" spans="1:6" ht="15.75">
      <c r="A60" s="66" t="s">
        <v>605</v>
      </c>
      <c r="B60" s="66" t="s">
        <v>606</v>
      </c>
      <c r="C60" s="67"/>
      <c r="D60" s="67"/>
      <c r="E60" s="67"/>
      <c r="F60" s="67"/>
    </row>
    <row r="61" spans="1:6" ht="15.75">
      <c r="A61" s="71" t="s">
        <v>607</v>
      </c>
      <c r="B61" s="66" t="s">
        <v>608</v>
      </c>
      <c r="C61" s="67"/>
      <c r="D61" s="67"/>
      <c r="E61" s="67"/>
      <c r="F61" s="67"/>
    </row>
    <row r="62" spans="1:6" ht="15.75">
      <c r="A62" s="66" t="s">
        <v>609</v>
      </c>
      <c r="B62" s="66" t="s">
        <v>610</v>
      </c>
      <c r="C62" s="67"/>
      <c r="D62" s="67"/>
      <c r="E62" s="67"/>
      <c r="F62" s="67"/>
    </row>
    <row r="63" spans="1:6" ht="15.75">
      <c r="A63" s="66" t="s">
        <v>611</v>
      </c>
      <c r="B63" s="66" t="s">
        <v>612</v>
      </c>
      <c r="C63" s="67"/>
      <c r="D63" s="67"/>
      <c r="E63" s="67"/>
      <c r="F63" s="67"/>
    </row>
    <row r="64" spans="1:6" ht="15.75">
      <c r="A64" s="68" t="s">
        <v>613</v>
      </c>
      <c r="B64" s="69"/>
      <c r="C64" s="67"/>
      <c r="D64" s="67"/>
      <c r="E64" s="67"/>
      <c r="F64" s="67"/>
    </row>
    <row r="65" spans="1:6" ht="15.75">
      <c r="A65" s="29"/>
      <c r="B65" s="29"/>
      <c r="C65" s="29"/>
      <c r="D65" s="29"/>
      <c r="E65" s="29"/>
      <c r="F65" s="29"/>
    </row>
    <row r="66" spans="1:6" ht="15.75">
      <c r="A66" s="29"/>
      <c r="B66" s="29"/>
      <c r="C66" s="29"/>
      <c r="D66" s="29"/>
      <c r="E66" s="29"/>
      <c r="F66" s="29"/>
    </row>
    <row r="67" spans="1:6" ht="15.75">
      <c r="A67" s="29"/>
      <c r="B67" s="29"/>
      <c r="C67" s="29"/>
      <c r="D67" s="29"/>
      <c r="E67" s="29"/>
      <c r="F67" s="29"/>
    </row>
  </sheetData>
  <sheetProtection/>
  <mergeCells count="2">
    <mergeCell ref="A2:F2"/>
    <mergeCell ref="A1:F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60"/>
    <pageSetUpPr fitToPage="1"/>
  </sheetPr>
  <dimension ref="A1:B94"/>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9.140625" defaultRowHeight="12.75"/>
  <cols>
    <col min="1" max="1" width="18.57421875" style="4" customWidth="1"/>
    <col min="2" max="2" width="110.7109375" style="1" customWidth="1"/>
  </cols>
  <sheetData>
    <row r="1" spans="1:2" ht="19.5" thickBot="1">
      <c r="A1" s="555" t="s">
        <v>1212</v>
      </c>
      <c r="B1" s="556"/>
    </row>
    <row r="2" spans="1:2" ht="15.75">
      <c r="A2" s="78" t="s">
        <v>291</v>
      </c>
      <c r="B2" s="78" t="s">
        <v>367</v>
      </c>
    </row>
    <row r="3" spans="1:2" ht="150.75" customHeight="1">
      <c r="A3" s="80" t="s">
        <v>292</v>
      </c>
      <c r="B3" s="79" t="s">
        <v>390</v>
      </c>
    </row>
    <row r="4" spans="1:2" ht="56.25" customHeight="1">
      <c r="A4" s="80" t="s">
        <v>293</v>
      </c>
      <c r="B4" s="80" t="s">
        <v>97</v>
      </c>
    </row>
    <row r="5" spans="1:2" ht="47.25">
      <c r="A5" s="80" t="s">
        <v>54</v>
      </c>
      <c r="B5" s="79" t="s">
        <v>1222</v>
      </c>
    </row>
    <row r="6" spans="1:2" ht="302.25" customHeight="1">
      <c r="A6" s="80" t="s">
        <v>55</v>
      </c>
      <c r="B6" s="80" t="s">
        <v>1221</v>
      </c>
    </row>
    <row r="7" spans="1:2" ht="31.5">
      <c r="A7" s="80" t="s">
        <v>56</v>
      </c>
      <c r="B7" s="79" t="s">
        <v>383</v>
      </c>
    </row>
    <row r="8" spans="1:2" ht="47.25">
      <c r="A8" s="81" t="s">
        <v>290</v>
      </c>
      <c r="B8" s="81" t="s">
        <v>1068</v>
      </c>
    </row>
    <row r="9" spans="1:2" ht="15.75">
      <c r="A9" s="82" t="s">
        <v>969</v>
      </c>
      <c r="B9" s="82" t="s">
        <v>1133</v>
      </c>
    </row>
    <row r="10" spans="1:2" ht="31.5">
      <c r="A10" s="87" t="s">
        <v>118</v>
      </c>
      <c r="B10" s="83" t="s">
        <v>970</v>
      </c>
    </row>
    <row r="11" spans="1:2" ht="63">
      <c r="A11" s="81" t="s">
        <v>284</v>
      </c>
      <c r="B11" s="81" t="s">
        <v>953</v>
      </c>
    </row>
    <row r="12" spans="1:2" ht="111.75" customHeight="1">
      <c r="A12" s="84" t="s">
        <v>285</v>
      </c>
      <c r="B12" s="84" t="s">
        <v>1134</v>
      </c>
    </row>
    <row r="13" spans="1:2" ht="36" customHeight="1">
      <c r="A13" s="86" t="s">
        <v>286</v>
      </c>
      <c r="B13" s="146" t="s">
        <v>455</v>
      </c>
    </row>
    <row r="14" spans="1:2" ht="63">
      <c r="A14" s="82" t="s">
        <v>287</v>
      </c>
      <c r="B14" s="82" t="s">
        <v>1135</v>
      </c>
    </row>
    <row r="15" spans="1:2" ht="78.75">
      <c r="A15" s="82" t="s">
        <v>288</v>
      </c>
      <c r="B15" s="82" t="s">
        <v>1136</v>
      </c>
    </row>
    <row r="16" spans="1:2" ht="15.75">
      <c r="A16" s="82" t="s">
        <v>50</v>
      </c>
      <c r="B16" s="82" t="s">
        <v>954</v>
      </c>
    </row>
    <row r="17" spans="1:2" ht="47.25">
      <c r="A17" s="81" t="s">
        <v>37</v>
      </c>
      <c r="B17" s="81" t="s">
        <v>955</v>
      </c>
    </row>
    <row r="18" spans="1:2" ht="72.75" customHeight="1">
      <c r="A18" s="81" t="s">
        <v>281</v>
      </c>
      <c r="B18" s="81" t="s">
        <v>1122</v>
      </c>
    </row>
    <row r="19" spans="1:2" ht="31.5">
      <c r="A19" s="81" t="s">
        <v>371</v>
      </c>
      <c r="B19" s="81" t="s">
        <v>323</v>
      </c>
    </row>
    <row r="20" spans="1:2" ht="15.75">
      <c r="A20" s="86" t="s">
        <v>1078</v>
      </c>
      <c r="B20" s="86" t="s">
        <v>1079</v>
      </c>
    </row>
    <row r="21" spans="1:2" ht="15.75">
      <c r="A21" s="86" t="s">
        <v>209</v>
      </c>
      <c r="B21" s="82" t="s">
        <v>994</v>
      </c>
    </row>
    <row r="22" spans="1:2" ht="31.5">
      <c r="A22" s="86" t="s">
        <v>1035</v>
      </c>
      <c r="B22" s="82" t="s">
        <v>1036</v>
      </c>
    </row>
    <row r="23" spans="1:2" ht="51.75" customHeight="1">
      <c r="A23" s="81" t="s">
        <v>29</v>
      </c>
      <c r="B23" s="81" t="s">
        <v>995</v>
      </c>
    </row>
    <row r="24" spans="1:2" ht="63">
      <c r="A24" s="81" t="s">
        <v>282</v>
      </c>
      <c r="B24" s="81" t="s">
        <v>1123</v>
      </c>
    </row>
    <row r="25" spans="1:2" ht="31.5">
      <c r="A25" s="81" t="s">
        <v>206</v>
      </c>
      <c r="B25" s="81" t="s">
        <v>771</v>
      </c>
    </row>
    <row r="26" spans="1:2" s="46" customFormat="1" ht="213" customHeight="1">
      <c r="A26" s="81" t="s">
        <v>423</v>
      </c>
      <c r="B26" s="81" t="s">
        <v>1223</v>
      </c>
    </row>
    <row r="27" spans="1:2" ht="31.5">
      <c r="A27" s="86" t="s">
        <v>324</v>
      </c>
      <c r="B27" s="86" t="s">
        <v>1224</v>
      </c>
    </row>
    <row r="28" spans="1:2" ht="78.75">
      <c r="A28" s="82" t="s">
        <v>325</v>
      </c>
      <c r="B28" s="82" t="s">
        <v>267</v>
      </c>
    </row>
    <row r="29" spans="1:2" ht="31.5">
      <c r="A29" s="86" t="s">
        <v>326</v>
      </c>
      <c r="B29" s="86" t="s">
        <v>199</v>
      </c>
    </row>
    <row r="30" spans="1:2" ht="15.75">
      <c r="A30" s="86" t="s">
        <v>327</v>
      </c>
      <c r="B30" s="86" t="s">
        <v>200</v>
      </c>
    </row>
    <row r="31" spans="1:2" ht="15.75">
      <c r="A31" s="86" t="s">
        <v>328</v>
      </c>
      <c r="B31" s="86" t="s">
        <v>231</v>
      </c>
    </row>
    <row r="32" spans="1:2" ht="15.75">
      <c r="A32" s="86" t="s">
        <v>329</v>
      </c>
      <c r="B32" s="86" t="s">
        <v>940</v>
      </c>
    </row>
    <row r="33" spans="1:2" ht="78.75">
      <c r="A33" s="86" t="s">
        <v>386</v>
      </c>
      <c r="B33" s="86" t="s">
        <v>1225</v>
      </c>
    </row>
    <row r="34" spans="1:2" ht="36.75" customHeight="1">
      <c r="A34" s="86" t="s">
        <v>201</v>
      </c>
      <c r="B34" s="86" t="s">
        <v>1117</v>
      </c>
    </row>
    <row r="35" spans="1:2" ht="63" customHeight="1">
      <c r="A35" s="86" t="s">
        <v>202</v>
      </c>
      <c r="B35" s="86" t="s">
        <v>1118</v>
      </c>
    </row>
    <row r="36" spans="1:2" ht="63">
      <c r="A36" s="86" t="s">
        <v>203</v>
      </c>
      <c r="B36" s="86" t="s">
        <v>961</v>
      </c>
    </row>
    <row r="37" spans="1:2" ht="31.5">
      <c r="A37" s="86" t="s">
        <v>204</v>
      </c>
      <c r="B37" s="86" t="s">
        <v>956</v>
      </c>
    </row>
    <row r="38" spans="1:2" ht="20.25" customHeight="1">
      <c r="A38" s="82" t="s">
        <v>205</v>
      </c>
      <c r="B38" s="82" t="s">
        <v>93</v>
      </c>
    </row>
    <row r="39" spans="1:2" ht="53.25" customHeight="1">
      <c r="A39" s="81" t="s">
        <v>30</v>
      </c>
      <c r="B39" s="81" t="s">
        <v>1051</v>
      </c>
    </row>
    <row r="40" spans="1:2" ht="63">
      <c r="A40" s="81" t="s">
        <v>107</v>
      </c>
      <c r="B40" s="81" t="s">
        <v>1226</v>
      </c>
    </row>
    <row r="41" spans="1:2" ht="47.25">
      <c r="A41" s="107" t="s">
        <v>965</v>
      </c>
      <c r="B41" s="107" t="s">
        <v>971</v>
      </c>
    </row>
    <row r="42" spans="1:2" ht="84.75" customHeight="1">
      <c r="A42" s="86" t="s">
        <v>973</v>
      </c>
      <c r="B42" s="86" t="s">
        <v>1170</v>
      </c>
    </row>
    <row r="43" spans="1:2" ht="105" customHeight="1">
      <c r="A43" s="82" t="s">
        <v>1100</v>
      </c>
      <c r="B43" s="85" t="s">
        <v>1119</v>
      </c>
    </row>
    <row r="44" spans="1:2" ht="52.5" customHeight="1">
      <c r="A44" s="86" t="s">
        <v>283</v>
      </c>
      <c r="B44" s="86" t="s">
        <v>972</v>
      </c>
    </row>
    <row r="45" spans="1:2" ht="31.5">
      <c r="A45" s="85" t="s">
        <v>58</v>
      </c>
      <c r="B45" s="85" t="s">
        <v>1101</v>
      </c>
    </row>
    <row r="46" spans="1:2" ht="31.5">
      <c r="A46" s="85" t="s">
        <v>44</v>
      </c>
      <c r="B46" s="85" t="s">
        <v>957</v>
      </c>
    </row>
    <row r="47" spans="1:2" ht="31.5">
      <c r="A47" s="81" t="s">
        <v>330</v>
      </c>
      <c r="B47" s="81" t="s">
        <v>335</v>
      </c>
    </row>
    <row r="48" spans="1:2" ht="31.5">
      <c r="A48" s="82" t="s">
        <v>233</v>
      </c>
      <c r="B48" s="82" t="s">
        <v>958</v>
      </c>
    </row>
    <row r="49" spans="1:2" ht="63">
      <c r="A49" s="81" t="s">
        <v>31</v>
      </c>
      <c r="B49" s="81" t="s">
        <v>1227</v>
      </c>
    </row>
    <row r="50" spans="1:2" ht="15.75">
      <c r="A50" s="86" t="s">
        <v>489</v>
      </c>
      <c r="B50" s="86" t="s">
        <v>1120</v>
      </c>
    </row>
    <row r="51" spans="1:2" ht="31.5">
      <c r="A51" s="82" t="s">
        <v>95</v>
      </c>
      <c r="B51" s="82" t="s">
        <v>234</v>
      </c>
    </row>
    <row r="52" spans="1:2" ht="18" customHeight="1">
      <c r="A52" s="86" t="s">
        <v>1024</v>
      </c>
      <c r="B52" s="86" t="s">
        <v>1109</v>
      </c>
    </row>
    <row r="53" spans="1:2" ht="50.25" customHeight="1">
      <c r="A53" s="81" t="s">
        <v>370</v>
      </c>
      <c r="B53" s="81" t="s">
        <v>1228</v>
      </c>
    </row>
    <row r="54" spans="1:2" s="46" customFormat="1" ht="31.5">
      <c r="A54" s="81" t="s">
        <v>264</v>
      </c>
      <c r="B54" s="81" t="s">
        <v>1229</v>
      </c>
    </row>
    <row r="55" spans="1:2" s="46" customFormat="1" ht="31.5">
      <c r="A55" s="109" t="s">
        <v>336</v>
      </c>
      <c r="B55" s="109" t="s">
        <v>235</v>
      </c>
    </row>
    <row r="56" spans="1:2" s="46" customFormat="1" ht="31.5">
      <c r="A56" s="150" t="s">
        <v>481</v>
      </c>
      <c r="B56" s="150" t="s">
        <v>1113</v>
      </c>
    </row>
    <row r="57" spans="1:2" s="46" customFormat="1" ht="31.5">
      <c r="A57" s="150" t="s">
        <v>1028</v>
      </c>
      <c r="B57" s="150" t="s">
        <v>1030</v>
      </c>
    </row>
    <row r="58" spans="1:2" s="46" customFormat="1" ht="34.5">
      <c r="A58" s="150" t="s">
        <v>1032</v>
      </c>
      <c r="B58" s="151" t="s">
        <v>962</v>
      </c>
    </row>
    <row r="59" spans="1:2" s="46" customFormat="1" ht="31.5">
      <c r="A59" s="150" t="s">
        <v>1031</v>
      </c>
      <c r="B59" s="151" t="s">
        <v>963</v>
      </c>
    </row>
    <row r="60" spans="1:2" ht="31.5">
      <c r="A60" s="150" t="s">
        <v>453</v>
      </c>
      <c r="B60" s="150" t="s">
        <v>1196</v>
      </c>
    </row>
    <row r="61" spans="1:2" ht="47.25">
      <c r="A61" s="81" t="s">
        <v>32</v>
      </c>
      <c r="B61" s="81" t="s">
        <v>248</v>
      </c>
    </row>
    <row r="62" spans="1:2" ht="31.5">
      <c r="A62" s="82" t="s">
        <v>182</v>
      </c>
      <c r="B62" s="82" t="s">
        <v>183</v>
      </c>
    </row>
    <row r="63" spans="1:2" ht="47.25">
      <c r="A63" s="128" t="s">
        <v>1137</v>
      </c>
      <c r="B63" s="86" t="s">
        <v>1217</v>
      </c>
    </row>
    <row r="64" spans="1:2" ht="47.25">
      <c r="A64" s="128" t="s">
        <v>1138</v>
      </c>
      <c r="B64" s="86" t="s">
        <v>1218</v>
      </c>
    </row>
    <row r="65" spans="1:2" ht="47.25">
      <c r="A65" s="82" t="s">
        <v>181</v>
      </c>
      <c r="B65" s="82" t="s">
        <v>1219</v>
      </c>
    </row>
    <row r="66" spans="1:2" ht="47.25">
      <c r="A66" s="86" t="s">
        <v>1139</v>
      </c>
      <c r="B66" s="107" t="s">
        <v>1220</v>
      </c>
    </row>
    <row r="67" spans="1:2" s="48" customFormat="1" ht="31.5">
      <c r="A67" s="81" t="s">
        <v>33</v>
      </c>
      <c r="B67" s="81" t="s">
        <v>1121</v>
      </c>
    </row>
    <row r="68" spans="1:2" s="46" customFormat="1" ht="31.5">
      <c r="A68" s="82" t="s">
        <v>265</v>
      </c>
      <c r="B68" s="82" t="s">
        <v>266</v>
      </c>
    </row>
    <row r="69" spans="1:2" ht="31.5">
      <c r="A69" s="82" t="s">
        <v>337</v>
      </c>
      <c r="B69" s="82" t="s">
        <v>1102</v>
      </c>
    </row>
    <row r="70" spans="1:2" ht="34.5" customHeight="1">
      <c r="A70" s="81" t="s">
        <v>425</v>
      </c>
      <c r="B70" s="81" t="s">
        <v>1103</v>
      </c>
    </row>
    <row r="71" spans="1:2" ht="21" customHeight="1">
      <c r="A71" s="82" t="s">
        <v>426</v>
      </c>
      <c r="B71" s="82" t="s">
        <v>424</v>
      </c>
    </row>
    <row r="72" spans="1:2" ht="53.25" customHeight="1">
      <c r="A72" s="86" t="s">
        <v>51</v>
      </c>
      <c r="B72" s="86" t="s">
        <v>278</v>
      </c>
    </row>
    <row r="73" spans="1:2" ht="36" customHeight="1">
      <c r="A73" s="82" t="s">
        <v>92</v>
      </c>
      <c r="B73" s="82" t="s">
        <v>1104</v>
      </c>
    </row>
    <row r="74" spans="1:2" ht="31.5">
      <c r="A74" s="126" t="s">
        <v>964</v>
      </c>
      <c r="B74" s="128" t="s">
        <v>1231</v>
      </c>
    </row>
    <row r="75" spans="1:2" ht="84.75" customHeight="1">
      <c r="A75" s="81" t="s">
        <v>207</v>
      </c>
      <c r="B75" s="81" t="s">
        <v>1230</v>
      </c>
    </row>
    <row r="76" spans="1:2" ht="18" customHeight="1">
      <c r="A76" s="81" t="s">
        <v>99</v>
      </c>
      <c r="B76" s="81" t="s">
        <v>1047</v>
      </c>
    </row>
    <row r="77" spans="1:2" ht="19.5" customHeight="1">
      <c r="A77" s="86" t="s">
        <v>387</v>
      </c>
      <c r="B77" s="86" t="s">
        <v>57</v>
      </c>
    </row>
    <row r="78" spans="1:2" ht="21" customHeight="1">
      <c r="A78" s="86" t="s">
        <v>98</v>
      </c>
      <c r="B78" s="86" t="s">
        <v>388</v>
      </c>
    </row>
    <row r="79" spans="1:2" ht="31.5" customHeight="1">
      <c r="A79" s="86" t="s">
        <v>389</v>
      </c>
      <c r="B79" s="86" t="s">
        <v>406</v>
      </c>
    </row>
    <row r="80" spans="1:2" ht="35.25" customHeight="1">
      <c r="A80" s="86" t="s">
        <v>70</v>
      </c>
      <c r="B80" s="86" t="s">
        <v>71</v>
      </c>
    </row>
    <row r="81" spans="1:2" ht="35.25" customHeight="1">
      <c r="A81" s="86" t="s">
        <v>72</v>
      </c>
      <c r="B81" s="86" t="s">
        <v>73</v>
      </c>
    </row>
    <row r="82" spans="1:2" ht="47.25">
      <c r="A82" s="82" t="s">
        <v>74</v>
      </c>
      <c r="B82" s="82" t="s">
        <v>350</v>
      </c>
    </row>
    <row r="83" spans="1:2" ht="31.5">
      <c r="A83" s="82" t="s">
        <v>65</v>
      </c>
      <c r="B83" s="82" t="s">
        <v>1048</v>
      </c>
    </row>
    <row r="84" spans="1:2" ht="61.5" customHeight="1">
      <c r="A84" s="81" t="s">
        <v>211</v>
      </c>
      <c r="B84" s="81" t="s">
        <v>1202</v>
      </c>
    </row>
    <row r="85" spans="1:2" ht="48" customHeight="1">
      <c r="A85" s="81" t="s">
        <v>210</v>
      </c>
      <c r="B85" s="81" t="s">
        <v>1203</v>
      </c>
    </row>
    <row r="86" spans="1:2" s="34" customFormat="1" ht="47.25">
      <c r="A86" s="86" t="s">
        <v>1095</v>
      </c>
      <c r="B86" s="86" t="s">
        <v>1204</v>
      </c>
    </row>
    <row r="87" spans="1:2" ht="141.75">
      <c r="A87" s="81" t="s">
        <v>427</v>
      </c>
      <c r="B87" s="81" t="s">
        <v>1206</v>
      </c>
    </row>
    <row r="88" spans="1:2" ht="37.5" customHeight="1">
      <c r="A88" s="81" t="s">
        <v>331</v>
      </c>
      <c r="B88" s="81" t="s">
        <v>385</v>
      </c>
    </row>
    <row r="89" spans="1:2" ht="31.5">
      <c r="A89" s="81" t="s">
        <v>52</v>
      </c>
      <c r="B89" s="81" t="s">
        <v>89</v>
      </c>
    </row>
    <row r="90" spans="1:2" ht="66.75" customHeight="1">
      <c r="A90" s="81" t="s">
        <v>356</v>
      </c>
      <c r="B90" s="81" t="s">
        <v>1232</v>
      </c>
    </row>
    <row r="91" spans="1:2" ht="31.5">
      <c r="A91" s="81" t="s">
        <v>731</v>
      </c>
      <c r="B91" s="81" t="s">
        <v>1115</v>
      </c>
    </row>
    <row r="92" spans="1:2" ht="31.5">
      <c r="A92" s="81" t="s">
        <v>732</v>
      </c>
      <c r="B92" s="81" t="s">
        <v>1205</v>
      </c>
    </row>
    <row r="93" spans="1:2" ht="31.5">
      <c r="A93" s="81" t="s">
        <v>733</v>
      </c>
      <c r="B93" s="81" t="s">
        <v>1116</v>
      </c>
    </row>
    <row r="94" spans="1:2" ht="31.5">
      <c r="A94" s="81" t="s">
        <v>734</v>
      </c>
      <c r="B94" s="81" t="s">
        <v>1114</v>
      </c>
    </row>
  </sheetData>
  <sheetProtection/>
  <mergeCells count="1">
    <mergeCell ref="A1:B1"/>
  </mergeCells>
  <printOptions/>
  <pageMargins left="0.5511811023622047" right="0.2362204724409449" top="0.5118110236220472" bottom="0.5118110236220472" header="0.31496062992125984" footer="0.2362204724409449"/>
  <pageSetup fitToHeight="5" fitToWidth="1" horizontalDpi="600" verticalDpi="600" orientation="portrait" paperSize="9" scale="75" r:id="rId1"/>
  <headerFooter alignWithMargins="0">
    <oddFooter>&amp;C&amp;P z &amp;N</oddFooter>
  </headerFooter>
</worksheet>
</file>

<file path=xl/worksheets/sheet4.xml><?xml version="1.0" encoding="utf-8"?>
<worksheet xmlns="http://schemas.openxmlformats.org/spreadsheetml/2006/main" xmlns:r="http://schemas.openxmlformats.org/officeDocument/2006/relationships">
  <sheetPr>
    <tabColor indexed="51"/>
  </sheetPr>
  <dimension ref="A1:H59"/>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C3" sqref="C3"/>
    </sheetView>
  </sheetViews>
  <sheetFormatPr defaultColWidth="9.140625" defaultRowHeight="12.75"/>
  <cols>
    <col min="1" max="1" width="9.421875" style="34" customWidth="1"/>
    <col min="2" max="2" width="32.57421875" style="38" customWidth="1"/>
    <col min="3" max="3" width="163.140625" style="36" customWidth="1"/>
    <col min="4" max="4" width="9.140625" style="34" customWidth="1"/>
    <col min="5" max="5" width="13.57421875" style="34" customWidth="1"/>
    <col min="6" max="16384" width="9.140625" style="34" customWidth="1"/>
  </cols>
  <sheetData>
    <row r="1" spans="1:3" ht="29.25" customHeight="1" thickBot="1">
      <c r="A1" s="555" t="s">
        <v>1213</v>
      </c>
      <c r="B1" s="557"/>
      <c r="C1" s="556"/>
    </row>
    <row r="2" spans="1:3" s="51" customFormat="1" ht="48" customHeight="1">
      <c r="A2" s="49" t="s">
        <v>291</v>
      </c>
      <c r="B2" s="52" t="s">
        <v>66</v>
      </c>
      <c r="C2" s="50" t="s">
        <v>67</v>
      </c>
    </row>
    <row r="3" spans="1:3" ht="31.5">
      <c r="A3" s="63" t="s">
        <v>290</v>
      </c>
      <c r="B3" s="33" t="s">
        <v>1002</v>
      </c>
      <c r="C3" s="21" t="s">
        <v>1140</v>
      </c>
    </row>
    <row r="4" spans="1:3" ht="87" customHeight="1">
      <c r="A4" s="63" t="s">
        <v>68</v>
      </c>
      <c r="B4" s="33" t="s">
        <v>1141</v>
      </c>
      <c r="C4" s="21" t="s">
        <v>1142</v>
      </c>
    </row>
    <row r="5" spans="1:3" s="47" customFormat="1" ht="102" customHeight="1">
      <c r="A5" s="63" t="s">
        <v>284</v>
      </c>
      <c r="B5" s="33" t="s">
        <v>1127</v>
      </c>
      <c r="C5" s="21" t="s">
        <v>1143</v>
      </c>
    </row>
    <row r="6" spans="1:3" s="47" customFormat="1" ht="46.5" customHeight="1">
      <c r="A6" s="63" t="s">
        <v>90</v>
      </c>
      <c r="B6" s="33" t="s">
        <v>1145</v>
      </c>
      <c r="C6" s="35" t="s">
        <v>1144</v>
      </c>
    </row>
    <row r="7" spans="1:3" ht="71.25" customHeight="1">
      <c r="A7" s="63" t="s">
        <v>37</v>
      </c>
      <c r="B7" s="33" t="s">
        <v>1107</v>
      </c>
      <c r="C7" s="21" t="s">
        <v>1108</v>
      </c>
    </row>
    <row r="8" spans="1:3" ht="105.75" customHeight="1">
      <c r="A8" s="63" t="s">
        <v>371</v>
      </c>
      <c r="B8" s="33" t="s">
        <v>1110</v>
      </c>
      <c r="C8" s="21" t="s">
        <v>1111</v>
      </c>
    </row>
    <row r="9" spans="1:3" ht="103.5" customHeight="1">
      <c r="A9" s="63" t="s">
        <v>29</v>
      </c>
      <c r="B9" s="33" t="s">
        <v>25</v>
      </c>
      <c r="C9" s="21" t="s">
        <v>1003</v>
      </c>
    </row>
    <row r="10" spans="1:3" ht="27.75" customHeight="1">
      <c r="A10" s="63" t="s">
        <v>282</v>
      </c>
      <c r="B10" s="33" t="s">
        <v>311</v>
      </c>
      <c r="C10" s="21" t="s">
        <v>312</v>
      </c>
    </row>
    <row r="11" spans="1:4" ht="63">
      <c r="A11" s="63" t="s">
        <v>206</v>
      </c>
      <c r="B11" s="33" t="s">
        <v>959</v>
      </c>
      <c r="C11" s="21" t="s">
        <v>1004</v>
      </c>
      <c r="D11" s="147"/>
    </row>
    <row r="12" spans="1:4" ht="63">
      <c r="A12" s="63" t="s">
        <v>30</v>
      </c>
      <c r="B12" s="33" t="s">
        <v>1088</v>
      </c>
      <c r="C12" s="21" t="s">
        <v>1089</v>
      </c>
      <c r="D12" s="148"/>
    </row>
    <row r="13" spans="1:4" ht="38.25" customHeight="1">
      <c r="A13" s="63" t="s">
        <v>107</v>
      </c>
      <c r="B13" s="112" t="s">
        <v>1057</v>
      </c>
      <c r="C13" s="113" t="s">
        <v>1058</v>
      </c>
      <c r="D13" s="148"/>
    </row>
    <row r="14" spans="1:3" ht="77.25" customHeight="1">
      <c r="A14" s="63" t="s">
        <v>233</v>
      </c>
      <c r="B14" s="33" t="s">
        <v>1165</v>
      </c>
      <c r="C14" s="21" t="s">
        <v>1112</v>
      </c>
    </row>
    <row r="15" spans="1:3" ht="99.75" customHeight="1">
      <c r="A15" s="63" t="s">
        <v>330</v>
      </c>
      <c r="B15" s="33" t="s">
        <v>1044</v>
      </c>
      <c r="C15" s="21" t="s">
        <v>1045</v>
      </c>
    </row>
    <row r="16" spans="1:3" ht="31.5">
      <c r="A16" s="63" t="s">
        <v>31</v>
      </c>
      <c r="B16" s="33" t="s">
        <v>1001</v>
      </c>
      <c r="C16" s="21" t="s">
        <v>996</v>
      </c>
    </row>
    <row r="17" spans="1:3" ht="72.75" customHeight="1">
      <c r="A17" s="63" t="s">
        <v>314</v>
      </c>
      <c r="B17" s="33" t="s">
        <v>1164</v>
      </c>
      <c r="C17" s="21" t="s">
        <v>999</v>
      </c>
    </row>
    <row r="18" spans="1:3" ht="54" customHeight="1">
      <c r="A18" s="63" t="s">
        <v>370</v>
      </c>
      <c r="B18" s="33" t="s">
        <v>998</v>
      </c>
      <c r="C18" s="21" t="s">
        <v>1000</v>
      </c>
    </row>
    <row r="19" spans="1:3" ht="40.5" customHeight="1">
      <c r="A19" s="63" t="s">
        <v>264</v>
      </c>
      <c r="B19" s="33" t="s">
        <v>193</v>
      </c>
      <c r="C19" s="21" t="s">
        <v>454</v>
      </c>
    </row>
    <row r="20" spans="1:3" ht="42.75" customHeight="1">
      <c r="A20" s="63" t="s">
        <v>448</v>
      </c>
      <c r="B20" s="33" t="s">
        <v>1063</v>
      </c>
      <c r="C20" s="21" t="s">
        <v>1156</v>
      </c>
    </row>
    <row r="21" spans="1:3" ht="57" customHeight="1">
      <c r="A21" s="63" t="s">
        <v>32</v>
      </c>
      <c r="B21" s="33" t="s">
        <v>1146</v>
      </c>
      <c r="C21" s="21" t="s">
        <v>1147</v>
      </c>
    </row>
    <row r="22" spans="1:3" ht="57" customHeight="1">
      <c r="A22" s="63" t="s">
        <v>1160</v>
      </c>
      <c r="B22" s="33" t="s">
        <v>1149</v>
      </c>
      <c r="C22" s="21" t="s">
        <v>1148</v>
      </c>
    </row>
    <row r="23" spans="1:3" ht="31.5">
      <c r="A23" s="63" t="s">
        <v>1161</v>
      </c>
      <c r="B23" s="33" t="s">
        <v>1150</v>
      </c>
      <c r="C23" s="119" t="s">
        <v>1151</v>
      </c>
    </row>
    <row r="24" spans="1:3" ht="15.75">
      <c r="A24" s="63" t="s">
        <v>1162</v>
      </c>
      <c r="B24" s="33" t="s">
        <v>1152</v>
      </c>
      <c r="C24" s="119" t="s">
        <v>1153</v>
      </c>
    </row>
    <row r="25" spans="1:3" ht="31.5">
      <c r="A25" s="63" t="s">
        <v>1163</v>
      </c>
      <c r="B25" s="33" t="s">
        <v>1154</v>
      </c>
      <c r="C25" s="119" t="s">
        <v>1155</v>
      </c>
    </row>
    <row r="26" spans="1:3" ht="84.75" customHeight="1">
      <c r="A26" s="63" t="s">
        <v>33</v>
      </c>
      <c r="B26" s="33" t="s">
        <v>1157</v>
      </c>
      <c r="C26" s="21" t="s">
        <v>1158</v>
      </c>
    </row>
    <row r="27" spans="1:3" ht="102.75" customHeight="1">
      <c r="A27" s="63" t="s">
        <v>425</v>
      </c>
      <c r="B27" s="33" t="s">
        <v>188</v>
      </c>
      <c r="C27" s="21" t="s">
        <v>60</v>
      </c>
    </row>
    <row r="28" spans="1:3" ht="47.25">
      <c r="A28" s="63" t="s">
        <v>405</v>
      </c>
      <c r="B28" s="33" t="s">
        <v>1040</v>
      </c>
      <c r="C28" s="21" t="s">
        <v>1041</v>
      </c>
    </row>
    <row r="29" spans="1:8" ht="25.5" customHeight="1">
      <c r="A29" s="63" t="s">
        <v>61</v>
      </c>
      <c r="B29" s="33" t="s">
        <v>1037</v>
      </c>
      <c r="C29" s="21" t="s">
        <v>1038</v>
      </c>
      <c r="H29" s="34" t="s">
        <v>208</v>
      </c>
    </row>
    <row r="30" spans="1:3" ht="144" customHeight="1">
      <c r="A30" s="63" t="s">
        <v>63</v>
      </c>
      <c r="B30" s="33" t="s">
        <v>997</v>
      </c>
      <c r="C30" s="21" t="s">
        <v>960</v>
      </c>
    </row>
    <row r="31" spans="1:3" ht="25.5" customHeight="1">
      <c r="A31" s="63" t="s">
        <v>62</v>
      </c>
      <c r="B31" s="33" t="s">
        <v>1059</v>
      </c>
      <c r="C31" s="21" t="s">
        <v>1060</v>
      </c>
    </row>
    <row r="32" spans="1:3" ht="39.75" customHeight="1">
      <c r="A32" s="63" t="s">
        <v>64</v>
      </c>
      <c r="B32" s="33" t="s">
        <v>69</v>
      </c>
      <c r="C32" s="21" t="s">
        <v>343</v>
      </c>
    </row>
    <row r="33" spans="1:3" ht="124.5" customHeight="1">
      <c r="A33" s="63" t="s">
        <v>207</v>
      </c>
      <c r="B33" s="33" t="s">
        <v>1050</v>
      </c>
      <c r="C33" s="35" t="s">
        <v>1049</v>
      </c>
    </row>
    <row r="34" spans="1:4" ht="73.5" customHeight="1">
      <c r="A34" s="63" t="s">
        <v>211</v>
      </c>
      <c r="B34" s="33"/>
      <c r="C34" s="21" t="s">
        <v>1093</v>
      </c>
      <c r="D34" s="106"/>
    </row>
    <row r="35" spans="1:3" ht="86.25" customHeight="1">
      <c r="A35" s="63" t="s">
        <v>344</v>
      </c>
      <c r="B35" s="62"/>
      <c r="C35" s="35" t="s">
        <v>1159</v>
      </c>
    </row>
    <row r="36" spans="1:3" ht="64.5" customHeight="1">
      <c r="A36" s="63" t="s">
        <v>331</v>
      </c>
      <c r="B36" s="33" t="s">
        <v>1166</v>
      </c>
      <c r="C36" s="35" t="s">
        <v>232</v>
      </c>
    </row>
    <row r="37" spans="1:3" ht="65.25" customHeight="1">
      <c r="A37" s="63" t="s">
        <v>52</v>
      </c>
      <c r="B37" s="33" t="s">
        <v>1042</v>
      </c>
      <c r="C37" s="21" t="s">
        <v>1043</v>
      </c>
    </row>
    <row r="38" spans="1:3" ht="132" customHeight="1">
      <c r="A38" s="63" t="s">
        <v>356</v>
      </c>
      <c r="B38" s="33" t="s">
        <v>1061</v>
      </c>
      <c r="C38" s="21" t="s">
        <v>1062</v>
      </c>
    </row>
    <row r="39" spans="1:3" ht="47.25">
      <c r="A39" s="63" t="s">
        <v>356</v>
      </c>
      <c r="B39" s="127" t="s">
        <v>1128</v>
      </c>
      <c r="C39" s="35" t="s">
        <v>1130</v>
      </c>
    </row>
    <row r="40" spans="1:3" ht="63.75" thickBot="1">
      <c r="A40" s="63" t="s">
        <v>356</v>
      </c>
      <c r="B40" s="130" t="s">
        <v>1129</v>
      </c>
      <c r="C40" s="129" t="s">
        <v>1131</v>
      </c>
    </row>
    <row r="41" ht="15.75">
      <c r="B41" s="37"/>
    </row>
    <row r="42" ht="15.75">
      <c r="B42" s="37"/>
    </row>
    <row r="43" ht="15.75">
      <c r="B43" s="37"/>
    </row>
    <row r="44" ht="15.75">
      <c r="B44" s="37"/>
    </row>
    <row r="45" ht="15.75">
      <c r="B45" s="37"/>
    </row>
    <row r="46" ht="15.75">
      <c r="B46" s="37"/>
    </row>
    <row r="47" ht="15.75">
      <c r="B47" s="37"/>
    </row>
    <row r="48" ht="15.75">
      <c r="B48" s="37"/>
    </row>
    <row r="49" ht="15.75">
      <c r="B49" s="37"/>
    </row>
    <row r="50" ht="15.75">
      <c r="B50" s="37"/>
    </row>
    <row r="51" ht="15.75">
      <c r="B51" s="37"/>
    </row>
    <row r="52" ht="15.75">
      <c r="B52" s="37"/>
    </row>
    <row r="53" ht="15.75">
      <c r="B53" s="37"/>
    </row>
    <row r="54" ht="15.75">
      <c r="B54" s="37"/>
    </row>
    <row r="55" ht="15.75">
      <c r="B55" s="37"/>
    </row>
    <row r="56" ht="15.75">
      <c r="B56" s="37"/>
    </row>
    <row r="57" ht="15.75">
      <c r="B57" s="37"/>
    </row>
    <row r="58" ht="15.75">
      <c r="B58" s="37"/>
    </row>
    <row r="59" ht="15.75">
      <c r="B59" s="37"/>
    </row>
  </sheetData>
  <sheetProtection/>
  <mergeCells count="1">
    <mergeCell ref="A1:C1"/>
  </mergeCells>
  <printOptions gridLines="1"/>
  <pageMargins left="0.47" right="0.2" top="0.5" bottom="0.43" header="0.39" footer="0.26"/>
  <pageSetup fitToHeight="5" fitToWidth="5"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E23"/>
  <sheetViews>
    <sheetView tabSelected="1" zoomScale="90" zoomScaleNormal="9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24" sqref="B24"/>
    </sheetView>
  </sheetViews>
  <sheetFormatPr defaultColWidth="9.140625" defaultRowHeight="12.75"/>
  <cols>
    <col min="1" max="1" width="9.140625" style="199" customWidth="1"/>
    <col min="2" max="2" width="77.8515625" style="200" customWidth="1"/>
    <col min="3" max="5" width="17.421875" style="45" customWidth="1"/>
    <col min="6" max="6" width="12.421875" style="45" customWidth="1"/>
    <col min="7" max="16384" width="9.140625" style="45" customWidth="1"/>
  </cols>
  <sheetData>
    <row r="1" spans="1:5" s="191" customFormat="1" ht="87" customHeight="1">
      <c r="A1" s="558" t="s">
        <v>1175</v>
      </c>
      <c r="B1" s="559"/>
      <c r="C1" s="559"/>
      <c r="D1" s="559"/>
      <c r="E1" s="560"/>
    </row>
    <row r="2" spans="1:5" s="191" customFormat="1" ht="34.5" customHeight="1">
      <c r="A2" s="561" t="s">
        <v>1240</v>
      </c>
      <c r="B2" s="562"/>
      <c r="C2" s="562"/>
      <c r="D2" s="562"/>
      <c r="E2" s="563"/>
    </row>
    <row r="3" spans="1:5" ht="43.5" customHeight="1">
      <c r="A3" s="192" t="s">
        <v>271</v>
      </c>
      <c r="B3" s="17" t="s">
        <v>270</v>
      </c>
      <c r="C3" s="3" t="s">
        <v>377</v>
      </c>
      <c r="D3" s="3" t="s">
        <v>378</v>
      </c>
      <c r="E3" s="10" t="s">
        <v>294</v>
      </c>
    </row>
    <row r="4" spans="1:5" ht="17.25" customHeight="1">
      <c r="A4" s="12"/>
      <c r="B4" s="17"/>
      <c r="C4" s="6" t="s">
        <v>359</v>
      </c>
      <c r="D4" s="6" t="s">
        <v>360</v>
      </c>
      <c r="E4" s="7" t="s">
        <v>45</v>
      </c>
    </row>
    <row r="5" spans="1:5" ht="15.75">
      <c r="A5" s="12">
        <v>1</v>
      </c>
      <c r="B5" s="17" t="s">
        <v>443</v>
      </c>
      <c r="C5" s="184">
        <f>C6</f>
        <v>15556782</v>
      </c>
      <c r="D5" s="184">
        <f>D6</f>
        <v>280000</v>
      </c>
      <c r="E5" s="170">
        <f>C5+D5</f>
        <v>15836782</v>
      </c>
    </row>
    <row r="6" spans="1:5" ht="15.75">
      <c r="A6" s="12">
        <f>A5+1</f>
        <v>2</v>
      </c>
      <c r="B6" s="15" t="s">
        <v>338</v>
      </c>
      <c r="C6" s="168">
        <f>'[5]T1-Dotácie podľa DZ'!$C$6+'[6]T1-Dotácie podľa DZ'!$C$6+'[7]T1-Dotácie podľa DZ'!$C$6+'[8]T1-Dotácie podľa DZ'!$C$6+'[9]T1-Dotácie podľa DZ'!$C$6+'[10]T1-Dotácie podľa DZ'!$C$6</f>
        <v>15556782</v>
      </c>
      <c r="D6" s="168">
        <f>'[5]T1-Dotácie podľa DZ'!D6+'[6]T1-Dotácie podľa DZ'!D6+'[7]T1-Dotácie podľa DZ'!D6+'[8]T1-Dotácie podľa DZ'!D6+'[9]T1-Dotácie podľa DZ'!D6+'[10]T1-Dotácie podľa DZ'!D6</f>
        <v>280000</v>
      </c>
      <c r="E6" s="170">
        <f>C6+D6</f>
        <v>15836782</v>
      </c>
    </row>
    <row r="7" spans="1:5" ht="15.75" customHeight="1">
      <c r="A7" s="12">
        <f>A6+1</f>
        <v>3</v>
      </c>
      <c r="B7" s="17" t="s">
        <v>444</v>
      </c>
      <c r="C7" s="184">
        <f>C8+C9+C10+C11+C12</f>
        <v>6335748</v>
      </c>
      <c r="D7" s="184">
        <f>D8+D9+D10+D11+D12</f>
        <v>183411</v>
      </c>
      <c r="E7" s="170">
        <f>C7+D7</f>
        <v>6519159</v>
      </c>
    </row>
    <row r="8" spans="1:5" ht="15.75">
      <c r="A8" s="12">
        <f aca="true" t="shared" si="0" ref="A8:A19">A7+1</f>
        <v>4</v>
      </c>
      <c r="B8" s="15" t="s">
        <v>339</v>
      </c>
      <c r="C8" s="168">
        <f>'[5]T1-Dotácie podľa DZ'!C8+'[6]T1-Dotácie podľa DZ'!C8+'[7]T1-Dotácie podľa DZ'!C8+'[8]T1-Dotácie podľa DZ'!C8+'[9]T1-Dotácie podľa DZ'!C8+'[10]T1-Dotácie podľa DZ'!C8</f>
        <v>5729406</v>
      </c>
      <c r="D8" s="168">
        <f>'[5]T1-Dotácie podľa DZ'!D8+'[6]T1-Dotácie podľa DZ'!D8+'[7]T1-Dotácie podľa DZ'!D8+'[8]T1-Dotácie podľa DZ'!D8+'[9]T1-Dotácie podľa DZ'!D8+'[10]T1-Dotácie podľa DZ'!D8</f>
        <v>0</v>
      </c>
      <c r="E8" s="170">
        <f>C8+D8</f>
        <v>5729406</v>
      </c>
    </row>
    <row r="9" spans="1:5" ht="15.75">
      <c r="A9" s="12">
        <f t="shared" si="0"/>
        <v>5</v>
      </c>
      <c r="B9" s="15" t="s">
        <v>340</v>
      </c>
      <c r="C9" s="168">
        <f>'[5]T1-Dotácie podľa DZ'!C9+'[6]T1-Dotácie podľa DZ'!C9+'[7]T1-Dotácie podľa DZ'!C9+'[8]T1-Dotácie podľa DZ'!C9+'[9]T1-Dotácie podľa DZ'!C9+'[10]T1-Dotácie podľa DZ'!C9</f>
        <v>516071</v>
      </c>
      <c r="D9" s="168">
        <f>'[5]T1-Dotácie podľa DZ'!D9+'[6]T1-Dotácie podľa DZ'!D9+'[7]T1-Dotácie podľa DZ'!D9+'[8]T1-Dotácie podľa DZ'!D9+'[9]T1-Dotácie podľa DZ'!D9+'[10]T1-Dotácie podľa DZ'!D9</f>
        <v>156705</v>
      </c>
      <c r="E9" s="170">
        <f>C9+D9</f>
        <v>672776</v>
      </c>
    </row>
    <row r="10" spans="1:5" ht="15.75">
      <c r="A10" s="12">
        <f t="shared" si="0"/>
        <v>6</v>
      </c>
      <c r="B10" s="15" t="s">
        <v>341</v>
      </c>
      <c r="C10" s="168">
        <f>'[5]T1-Dotácie podľa DZ'!C10+'[6]T1-Dotácie podľa DZ'!C10+'[7]T1-Dotácie podľa DZ'!C10+'[8]T1-Dotácie podľa DZ'!C10+'[9]T1-Dotácie podľa DZ'!C10+'[10]T1-Dotácie podľa DZ'!C10</f>
        <v>0</v>
      </c>
      <c r="D10" s="168">
        <f>'[5]T1-Dotácie podľa DZ'!D10+'[6]T1-Dotácie podľa DZ'!D10+'[7]T1-Dotácie podľa DZ'!D10+'[8]T1-Dotácie podľa DZ'!D10+'[9]T1-Dotácie podľa DZ'!D10+'[10]T1-Dotácie podľa DZ'!D10</f>
        <v>0</v>
      </c>
      <c r="E10" s="170">
        <f aca="true" t="shared" si="1" ref="E10:E19">C10+D10</f>
        <v>0</v>
      </c>
    </row>
    <row r="11" spans="1:5" ht="15.75">
      <c r="A11" s="12">
        <f t="shared" si="0"/>
        <v>7</v>
      </c>
      <c r="B11" s="15" t="s">
        <v>342</v>
      </c>
      <c r="C11" s="168">
        <f>'[5]T1-Dotácie podľa DZ'!C11+'[6]T1-Dotácie podľa DZ'!C11+'[7]T1-Dotácie podľa DZ'!C11+'[8]T1-Dotácie podľa DZ'!C11+'[9]T1-Dotácie podľa DZ'!C11+'[10]T1-Dotácie podľa DZ'!C11</f>
        <v>0</v>
      </c>
      <c r="D11" s="168">
        <f>'[5]T1-Dotácie podľa DZ'!D11+'[6]T1-Dotácie podľa DZ'!D11+'[7]T1-Dotácie podľa DZ'!D11+'[8]T1-Dotácie podľa DZ'!D11+'[9]T1-Dotácie podľa DZ'!D11+'[10]T1-Dotácie podľa DZ'!D11</f>
        <v>0</v>
      </c>
      <c r="E11" s="170">
        <f t="shared" si="1"/>
        <v>0</v>
      </c>
    </row>
    <row r="12" spans="1:5" ht="15.75">
      <c r="A12" s="12">
        <f t="shared" si="0"/>
        <v>8</v>
      </c>
      <c r="B12" s="15" t="s">
        <v>194</v>
      </c>
      <c r="C12" s="168">
        <f>'[5]T1-Dotácie podľa DZ'!C12+'[6]T1-Dotácie podľa DZ'!C12+'[7]T1-Dotácie podľa DZ'!C12+'[8]T1-Dotácie podľa DZ'!C12+'[9]T1-Dotácie podľa DZ'!C12+'[10]T1-Dotácie podľa DZ'!C12</f>
        <v>90271</v>
      </c>
      <c r="D12" s="168">
        <f>'[5]T1-Dotácie podľa DZ'!D12+'[6]T1-Dotácie podľa DZ'!D12+'[7]T1-Dotácie podľa DZ'!D12+'[8]T1-Dotácie podľa DZ'!D12+'[9]T1-Dotácie podľa DZ'!D12+'[10]T1-Dotácie podľa DZ'!D12</f>
        <v>26706</v>
      </c>
      <c r="E12" s="170">
        <f t="shared" si="1"/>
        <v>116977</v>
      </c>
    </row>
    <row r="13" spans="1:5" ht="15.75" customHeight="1">
      <c r="A13" s="12">
        <f t="shared" si="0"/>
        <v>9</v>
      </c>
      <c r="B13" s="17" t="s">
        <v>445</v>
      </c>
      <c r="C13" s="184">
        <f>C14</f>
        <v>0</v>
      </c>
      <c r="D13" s="184">
        <f>D14</f>
        <v>0</v>
      </c>
      <c r="E13" s="170">
        <f t="shared" si="1"/>
        <v>0</v>
      </c>
    </row>
    <row r="14" spans="1:5" ht="15.75">
      <c r="A14" s="12">
        <f t="shared" si="0"/>
        <v>10</v>
      </c>
      <c r="B14" s="15" t="s">
        <v>195</v>
      </c>
      <c r="C14" s="168"/>
      <c r="D14" s="168"/>
      <c r="E14" s="170">
        <f t="shared" si="1"/>
        <v>0</v>
      </c>
    </row>
    <row r="15" spans="1:5" ht="15.75">
      <c r="A15" s="12">
        <f t="shared" si="0"/>
        <v>11</v>
      </c>
      <c r="B15" s="17" t="s">
        <v>446</v>
      </c>
      <c r="C15" s="184">
        <f>SUM(C16:C18)</f>
        <v>2777042</v>
      </c>
      <c r="D15" s="184">
        <f>SUM(D16:D18)</f>
        <v>0</v>
      </c>
      <c r="E15" s="170">
        <f t="shared" si="1"/>
        <v>2777042</v>
      </c>
    </row>
    <row r="16" spans="1:5" ht="15.75">
      <c r="A16" s="12">
        <f t="shared" si="0"/>
        <v>12</v>
      </c>
      <c r="B16" s="15" t="s">
        <v>196</v>
      </c>
      <c r="C16" s="168">
        <f>'[5]T1-Dotácie podľa DZ'!C16+'[6]T1-Dotácie podľa DZ'!C16+'[7]T1-Dotácie podľa DZ'!C16+'[8]T1-Dotácie podľa DZ'!C16+'[9]T1-Dotácie podľa DZ'!C16+'[10]T1-Dotácie podľa DZ'!C16</f>
        <v>1667408</v>
      </c>
      <c r="D16" s="168"/>
      <c r="E16" s="170">
        <f t="shared" si="1"/>
        <v>1667408</v>
      </c>
    </row>
    <row r="17" spans="1:5" ht="15.75">
      <c r="A17" s="12">
        <f t="shared" si="0"/>
        <v>13</v>
      </c>
      <c r="B17" s="15" t="s">
        <v>197</v>
      </c>
      <c r="C17" s="168">
        <f>'[5]T1-Dotácie podľa DZ'!C17+'[6]T1-Dotácie podľa DZ'!C17+'[7]T1-Dotácie podľa DZ'!C17+'[8]T1-Dotácie podľa DZ'!C17+'[9]T1-Dotácie podľa DZ'!C17+'[10]T1-Dotácie podľa DZ'!C17</f>
        <v>354700</v>
      </c>
      <c r="D17" s="168"/>
      <c r="E17" s="170">
        <f t="shared" si="1"/>
        <v>354700</v>
      </c>
    </row>
    <row r="18" spans="1:5" ht="15.75">
      <c r="A18" s="12">
        <f t="shared" si="0"/>
        <v>14</v>
      </c>
      <c r="B18" s="15" t="s">
        <v>198</v>
      </c>
      <c r="C18" s="168">
        <f>'[5]T1-Dotácie podľa DZ'!C18+'[6]T1-Dotácie podľa DZ'!C18+'[7]T1-Dotácie podľa DZ'!C18+'[8]T1-Dotácie podľa DZ'!C18+'[9]T1-Dotácie podľa DZ'!C18+'[10]T1-Dotácie podľa DZ'!C18</f>
        <v>754934</v>
      </c>
      <c r="D18" s="168"/>
      <c r="E18" s="170">
        <f t="shared" si="1"/>
        <v>754934</v>
      </c>
    </row>
    <row r="19" spans="1:5" ht="16.5" thickBot="1">
      <c r="A19" s="193">
        <f t="shared" si="0"/>
        <v>15</v>
      </c>
      <c r="B19" s="18" t="s">
        <v>447</v>
      </c>
      <c r="C19" s="194">
        <f>C5+C7+C13+C15</f>
        <v>24669572</v>
      </c>
      <c r="D19" s="194">
        <f>D5+D7+D13+D15</f>
        <v>463411</v>
      </c>
      <c r="E19" s="195">
        <f t="shared" si="1"/>
        <v>25132983</v>
      </c>
    </row>
    <row r="20" spans="1:4" ht="15.75">
      <c r="A20" s="40"/>
      <c r="B20" s="196"/>
      <c r="C20" s="564"/>
      <c r="D20" s="564"/>
    </row>
    <row r="21" spans="1:2" ht="15.75">
      <c r="A21" s="197"/>
      <c r="B21" s="198"/>
    </row>
    <row r="23" ht="15.75">
      <c r="B23" s="200" t="s">
        <v>208</v>
      </c>
    </row>
  </sheetData>
  <sheetProtection selectLockedCells="1"/>
  <protectedRanges>
    <protectedRange sqref="C14:D14 C6:D6 C8:D12 C16:C18" name="Rozsah2"/>
    <protectedRange sqref="C19:D19" name="Rozsah1"/>
  </protectedRanges>
  <mergeCells count="3">
    <mergeCell ref="A1:E1"/>
    <mergeCell ref="A2:E2"/>
    <mergeCell ref="C20:D20"/>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G44"/>
  <sheetViews>
    <sheetView zoomScale="93" zoomScaleNormal="93" zoomScalePageLayoutView="0" workbookViewId="0" topLeftCell="A1">
      <pane xSplit="2" ySplit="5" topLeftCell="C24" activePane="bottomRight" state="frozen"/>
      <selection pane="topLeft" activeCell="A1" sqref="A1"/>
      <selection pane="topRight" activeCell="C1" sqref="C1"/>
      <selection pane="bottomLeft" activeCell="A6" sqref="A6"/>
      <selection pane="bottomRight" activeCell="B29" sqref="B29"/>
    </sheetView>
  </sheetViews>
  <sheetFormatPr defaultColWidth="9.140625" defaultRowHeight="12.75"/>
  <cols>
    <col min="1" max="1" width="10.140625" style="226" customWidth="1"/>
    <col min="2" max="2" width="83.00390625" style="222" customWidth="1"/>
    <col min="3" max="3" width="15.421875" style="216" customWidth="1"/>
    <col min="4" max="4" width="14.28125" style="216" customWidth="1"/>
    <col min="5" max="5" width="14.7109375" style="216" customWidth="1"/>
    <col min="6" max="16384" width="9.140625" style="216" customWidth="1"/>
  </cols>
  <sheetData>
    <row r="1" spans="1:7" ht="49.5" customHeight="1">
      <c r="A1" s="565" t="s">
        <v>1176</v>
      </c>
      <c r="B1" s="566"/>
      <c r="C1" s="566"/>
      <c r="D1" s="566"/>
      <c r="E1" s="567"/>
      <c r="F1" s="215"/>
      <c r="G1" s="215"/>
    </row>
    <row r="2" spans="1:5" s="217" customFormat="1" ht="38.25" customHeight="1">
      <c r="A2" s="568" t="s">
        <v>1241</v>
      </c>
      <c r="B2" s="569"/>
      <c r="C2" s="569"/>
      <c r="D2" s="569"/>
      <c r="E2" s="570"/>
    </row>
    <row r="3" spans="1:5" s="219" customFormat="1" ht="35.25" customHeight="1">
      <c r="A3" s="218" t="s">
        <v>271</v>
      </c>
      <c r="B3" s="28" t="s">
        <v>407</v>
      </c>
      <c r="C3" s="9" t="s">
        <v>377</v>
      </c>
      <c r="D3" s="9" t="s">
        <v>378</v>
      </c>
      <c r="E3" s="10" t="s">
        <v>294</v>
      </c>
    </row>
    <row r="4" spans="1:5" s="34" customFormat="1" ht="17.25" customHeight="1">
      <c r="A4" s="56"/>
      <c r="B4" s="23"/>
      <c r="C4" s="8" t="s">
        <v>359</v>
      </c>
      <c r="D4" s="8" t="s">
        <v>360</v>
      </c>
      <c r="E4" s="22" t="s">
        <v>45</v>
      </c>
    </row>
    <row r="5" spans="1:5" ht="31.5">
      <c r="A5" s="220">
        <v>1</v>
      </c>
      <c r="B5" s="221" t="s">
        <v>1339</v>
      </c>
      <c r="C5" s="205">
        <f>SUM(C6:C10)</f>
        <v>56889.159999999996</v>
      </c>
      <c r="D5" s="205">
        <f>SUM(D6:D7)</f>
        <v>0</v>
      </c>
      <c r="E5" s="206">
        <f>C5+D5</f>
        <v>56889.159999999996</v>
      </c>
    </row>
    <row r="6" spans="1:5" ht="15.75">
      <c r="A6" s="220" t="s">
        <v>395</v>
      </c>
      <c r="B6" s="207" t="s">
        <v>1258</v>
      </c>
      <c r="C6" s="208">
        <f>20415.44+'[10]T2-Ostatné dot mimo MŠ SR'!$C$7</f>
        <v>30623.159999999996</v>
      </c>
      <c r="D6" s="208"/>
      <c r="E6" s="206">
        <f aca="true" t="shared" si="0" ref="E6:E42">C6+D6</f>
        <v>30623.159999999996</v>
      </c>
    </row>
    <row r="7" spans="1:5" ht="15.75">
      <c r="A7" s="220" t="s">
        <v>472</v>
      </c>
      <c r="B7" s="207" t="s">
        <v>1259</v>
      </c>
      <c r="C7" s="208">
        <v>5500</v>
      </c>
      <c r="D7" s="208"/>
      <c r="E7" s="206">
        <f t="shared" si="0"/>
        <v>5500</v>
      </c>
    </row>
    <row r="8" spans="1:5" ht="15.75">
      <c r="A8" s="220" t="s">
        <v>1263</v>
      </c>
      <c r="B8" s="207" t="s">
        <v>1260</v>
      </c>
      <c r="C8" s="208">
        <v>2146</v>
      </c>
      <c r="D8" s="208"/>
      <c r="E8" s="206">
        <f t="shared" si="0"/>
        <v>2146</v>
      </c>
    </row>
    <row r="9" spans="1:5" ht="15.75">
      <c r="A9" s="220" t="s">
        <v>1264</v>
      </c>
      <c r="B9" s="207" t="s">
        <v>1261</v>
      </c>
      <c r="C9" s="208">
        <v>13010</v>
      </c>
      <c r="D9" s="208"/>
      <c r="E9" s="206">
        <f t="shared" si="0"/>
        <v>13010</v>
      </c>
    </row>
    <row r="10" spans="1:5" ht="15.75">
      <c r="A10" s="220" t="s">
        <v>1265</v>
      </c>
      <c r="B10" s="207" t="s">
        <v>1262</v>
      </c>
      <c r="C10" s="208">
        <v>5610</v>
      </c>
      <c r="D10" s="208"/>
      <c r="E10" s="206">
        <f t="shared" si="0"/>
        <v>5610</v>
      </c>
    </row>
    <row r="11" spans="1:5" ht="15.75">
      <c r="A11" s="220"/>
      <c r="B11" s="207"/>
      <c r="C11" s="208"/>
      <c r="D11" s="208"/>
      <c r="E11" s="206">
        <f t="shared" si="0"/>
        <v>0</v>
      </c>
    </row>
    <row r="12" spans="1:5" ht="15.75">
      <c r="A12" s="220">
        <v>2</v>
      </c>
      <c r="B12" s="221" t="s">
        <v>1340</v>
      </c>
      <c r="C12" s="205">
        <f>SUM(C13:C14)</f>
        <v>0</v>
      </c>
      <c r="D12" s="205">
        <f>SUM(D13:D14)</f>
        <v>0</v>
      </c>
      <c r="E12" s="206">
        <f t="shared" si="0"/>
        <v>0</v>
      </c>
    </row>
    <row r="13" spans="1:5" ht="15.75">
      <c r="A13" s="220" t="s">
        <v>396</v>
      </c>
      <c r="B13" s="207"/>
      <c r="C13" s="208"/>
      <c r="D13" s="208"/>
      <c r="E13" s="206">
        <f t="shared" si="0"/>
        <v>0</v>
      </c>
    </row>
    <row r="14" spans="1:5" ht="15.75">
      <c r="A14" s="220" t="s">
        <v>473</v>
      </c>
      <c r="B14" s="207"/>
      <c r="C14" s="208"/>
      <c r="D14" s="208"/>
      <c r="E14" s="206">
        <f t="shared" si="0"/>
        <v>0</v>
      </c>
    </row>
    <row r="15" spans="1:5" ht="15.75">
      <c r="A15" s="220"/>
      <c r="B15" s="207"/>
      <c r="C15" s="208"/>
      <c r="D15" s="208"/>
      <c r="E15" s="206">
        <f t="shared" si="0"/>
        <v>0</v>
      </c>
    </row>
    <row r="16" spans="1:5" ht="15.75">
      <c r="A16" s="220">
        <v>3</v>
      </c>
      <c r="B16" s="221" t="s">
        <v>1341</v>
      </c>
      <c r="C16" s="205">
        <f>SUM(C17:C21)</f>
        <v>87382.48</v>
      </c>
      <c r="D16" s="205">
        <f>SUM(D22:D22)</f>
        <v>0</v>
      </c>
      <c r="E16" s="206">
        <f t="shared" si="0"/>
        <v>87382.48</v>
      </c>
    </row>
    <row r="17" spans="1:5" ht="15.75">
      <c r="A17" s="220" t="s">
        <v>398</v>
      </c>
      <c r="B17" s="207" t="s">
        <v>1270</v>
      </c>
      <c r="C17" s="208">
        <v>4979</v>
      </c>
      <c r="D17" s="208"/>
      <c r="E17" s="206">
        <f t="shared" si="0"/>
        <v>4979</v>
      </c>
    </row>
    <row r="18" spans="1:5" ht="15.75">
      <c r="A18" s="220" t="s">
        <v>474</v>
      </c>
      <c r="B18" s="207" t="s">
        <v>1271</v>
      </c>
      <c r="C18" s="208">
        <v>7500</v>
      </c>
      <c r="D18" s="208"/>
      <c r="E18" s="206">
        <f t="shared" si="0"/>
        <v>7500</v>
      </c>
    </row>
    <row r="19" spans="1:5" ht="15.75">
      <c r="A19" s="220" t="s">
        <v>1267</v>
      </c>
      <c r="B19" s="222" t="s">
        <v>1272</v>
      </c>
      <c r="C19" s="208">
        <v>2000</v>
      </c>
      <c r="D19" s="208"/>
      <c r="E19" s="206">
        <f t="shared" si="0"/>
        <v>2000</v>
      </c>
    </row>
    <row r="20" spans="1:5" ht="15.75">
      <c r="A20" s="220" t="s">
        <v>1268</v>
      </c>
      <c r="B20" s="207" t="s">
        <v>1273</v>
      </c>
      <c r="C20" s="208">
        <v>70461.17</v>
      </c>
      <c r="D20" s="208"/>
      <c r="E20" s="206">
        <f t="shared" si="0"/>
        <v>70461.17</v>
      </c>
    </row>
    <row r="21" spans="1:5" ht="15.75">
      <c r="A21" s="220" t="s">
        <v>1269</v>
      </c>
      <c r="B21" s="207" t="s">
        <v>1274</v>
      </c>
      <c r="C21" s="208">
        <v>2442.31</v>
      </c>
      <c r="D21" s="208"/>
      <c r="E21" s="206">
        <f t="shared" si="0"/>
        <v>2442.31</v>
      </c>
    </row>
    <row r="22" spans="1:5" ht="15.75">
      <c r="A22" s="220"/>
      <c r="B22" s="207"/>
      <c r="C22" s="208"/>
      <c r="D22" s="208"/>
      <c r="E22" s="206">
        <f t="shared" si="0"/>
        <v>0</v>
      </c>
    </row>
    <row r="23" spans="1:5" ht="15.75">
      <c r="A23" s="220">
        <v>4</v>
      </c>
      <c r="B23" s="221" t="s">
        <v>1342</v>
      </c>
      <c r="C23" s="205">
        <f>SUM(C24:C40)</f>
        <v>697305.3699999999</v>
      </c>
      <c r="D23" s="205">
        <f>SUM(D41:D41)</f>
        <v>0</v>
      </c>
      <c r="E23" s="206">
        <f t="shared" si="0"/>
        <v>697305.3699999999</v>
      </c>
    </row>
    <row r="24" spans="1:5" ht="15.75">
      <c r="A24" s="220" t="s">
        <v>315</v>
      </c>
      <c r="B24" s="207" t="s">
        <v>1290</v>
      </c>
      <c r="C24" s="208">
        <v>4849.3</v>
      </c>
      <c r="D24" s="208"/>
      <c r="E24" s="206">
        <f t="shared" si="0"/>
        <v>4849.3</v>
      </c>
    </row>
    <row r="25" spans="1:5" ht="15.75">
      <c r="A25" s="220" t="s">
        <v>475</v>
      </c>
      <c r="B25" s="207" t="s">
        <v>1291</v>
      </c>
      <c r="C25" s="208">
        <v>113589.96</v>
      </c>
      <c r="D25" s="208"/>
      <c r="E25" s="206">
        <f t="shared" si="0"/>
        <v>113589.96</v>
      </c>
    </row>
    <row r="26" spans="1:5" ht="15.75">
      <c r="A26" s="220" t="s">
        <v>1275</v>
      </c>
      <c r="B26" s="207" t="s">
        <v>1292</v>
      </c>
      <c r="C26" s="208">
        <v>1911.62</v>
      </c>
      <c r="D26" s="208"/>
      <c r="E26" s="206">
        <f t="shared" si="0"/>
        <v>1911.62</v>
      </c>
    </row>
    <row r="27" spans="1:5" ht="15.75">
      <c r="A27" s="220" t="s">
        <v>1276</v>
      </c>
      <c r="B27" s="207" t="s">
        <v>1293</v>
      </c>
      <c r="C27" s="208">
        <v>23837</v>
      </c>
      <c r="D27" s="208"/>
      <c r="E27" s="206">
        <f t="shared" si="0"/>
        <v>23837</v>
      </c>
    </row>
    <row r="28" spans="1:5" ht="15.75">
      <c r="A28" s="220" t="s">
        <v>1277</v>
      </c>
      <c r="B28" s="207" t="s">
        <v>1294</v>
      </c>
      <c r="C28" s="208">
        <v>3000</v>
      </c>
      <c r="D28" s="208"/>
      <c r="E28" s="206">
        <f t="shared" si="0"/>
        <v>3000</v>
      </c>
    </row>
    <row r="29" spans="1:5" ht="15.75">
      <c r="A29" s="220" t="s">
        <v>1278</v>
      </c>
      <c r="B29" s="207" t="s">
        <v>1295</v>
      </c>
      <c r="C29" s="208">
        <v>2111.19</v>
      </c>
      <c r="D29" s="208"/>
      <c r="E29" s="206">
        <f t="shared" si="0"/>
        <v>2111.19</v>
      </c>
    </row>
    <row r="30" spans="1:5" ht="15.75">
      <c r="A30" s="220" t="s">
        <v>1279</v>
      </c>
      <c r="B30" s="207" t="s">
        <v>1296</v>
      </c>
      <c r="C30" s="208">
        <v>9822</v>
      </c>
      <c r="D30" s="208"/>
      <c r="E30" s="206">
        <f t="shared" si="0"/>
        <v>9822</v>
      </c>
    </row>
    <row r="31" spans="1:5" ht="15.75">
      <c r="A31" s="220" t="s">
        <v>1280</v>
      </c>
      <c r="B31" s="207" t="s">
        <v>1297</v>
      </c>
      <c r="C31" s="208">
        <v>62751.78</v>
      </c>
      <c r="D31" s="208"/>
      <c r="E31" s="206">
        <f t="shared" si="0"/>
        <v>62751.78</v>
      </c>
    </row>
    <row r="32" spans="1:5" ht="15.75">
      <c r="A32" s="220" t="s">
        <v>1281</v>
      </c>
      <c r="B32" s="223" t="s">
        <v>1298</v>
      </c>
      <c r="C32" s="208">
        <v>40824.51</v>
      </c>
      <c r="D32" s="208"/>
      <c r="E32" s="206">
        <f t="shared" si="0"/>
        <v>40824.51</v>
      </c>
    </row>
    <row r="33" spans="1:5" ht="15.75">
      <c r="A33" s="220" t="s">
        <v>1282</v>
      </c>
      <c r="B33" s="207" t="s">
        <v>1299</v>
      </c>
      <c r="C33" s="208">
        <v>25000</v>
      </c>
      <c r="D33" s="208"/>
      <c r="E33" s="206">
        <f t="shared" si="0"/>
        <v>25000</v>
      </c>
    </row>
    <row r="34" spans="1:5" ht="15.75">
      <c r="A34" s="220" t="s">
        <v>1283</v>
      </c>
      <c r="B34" s="207" t="s">
        <v>1300</v>
      </c>
      <c r="C34" s="208">
        <v>20759.66</v>
      </c>
      <c r="D34" s="208"/>
      <c r="E34" s="206">
        <f t="shared" si="0"/>
        <v>20759.66</v>
      </c>
    </row>
    <row r="35" spans="1:5" ht="15.75">
      <c r="A35" s="220" t="s">
        <v>1284</v>
      </c>
      <c r="B35" s="207" t="s">
        <v>1301</v>
      </c>
      <c r="C35" s="208">
        <v>3500</v>
      </c>
      <c r="D35" s="208"/>
      <c r="E35" s="206">
        <f t="shared" si="0"/>
        <v>3500</v>
      </c>
    </row>
    <row r="36" spans="1:5" ht="15.75">
      <c r="A36" s="220" t="s">
        <v>1285</v>
      </c>
      <c r="B36" s="207" t="s">
        <v>1302</v>
      </c>
      <c r="C36" s="208">
        <v>170.73</v>
      </c>
      <c r="D36" s="208"/>
      <c r="E36" s="206">
        <f t="shared" si="0"/>
        <v>170.73</v>
      </c>
    </row>
    <row r="37" spans="1:5" ht="15.75">
      <c r="A37" s="220" t="s">
        <v>1286</v>
      </c>
      <c r="B37" s="207" t="s">
        <v>1303</v>
      </c>
      <c r="C37" s="208">
        <v>15340.72</v>
      </c>
      <c r="D37" s="208"/>
      <c r="E37" s="206">
        <f t="shared" si="0"/>
        <v>15340.72</v>
      </c>
    </row>
    <row r="38" spans="1:5" ht="15.75">
      <c r="A38" s="220" t="s">
        <v>1287</v>
      </c>
      <c r="B38" s="207" t="s">
        <v>1304</v>
      </c>
      <c r="C38" s="208">
        <v>1500</v>
      </c>
      <c r="D38" s="208"/>
      <c r="E38" s="206">
        <f t="shared" si="0"/>
        <v>1500</v>
      </c>
    </row>
    <row r="39" spans="1:5" ht="15.75">
      <c r="A39" s="220" t="s">
        <v>1288</v>
      </c>
      <c r="B39" s="207" t="s">
        <v>1305</v>
      </c>
      <c r="C39" s="208">
        <v>353936.9</v>
      </c>
      <c r="D39" s="208"/>
      <c r="E39" s="206">
        <f t="shared" si="0"/>
        <v>353936.9</v>
      </c>
    </row>
    <row r="40" spans="1:5" ht="15.75">
      <c r="A40" s="220" t="s">
        <v>1289</v>
      </c>
      <c r="B40" s="207" t="s">
        <v>1306</v>
      </c>
      <c r="C40" s="208">
        <v>14400</v>
      </c>
      <c r="D40" s="208"/>
      <c r="E40" s="206">
        <f t="shared" si="0"/>
        <v>14400</v>
      </c>
    </row>
    <row r="41" spans="1:5" ht="15.75">
      <c r="A41" s="220"/>
      <c r="B41" s="207"/>
      <c r="C41" s="208"/>
      <c r="D41" s="208"/>
      <c r="E41" s="206">
        <f t="shared" si="0"/>
        <v>0</v>
      </c>
    </row>
    <row r="42" spans="1:5" ht="16.5" thickBot="1">
      <c r="A42" s="224">
        <v>5</v>
      </c>
      <c r="B42" s="225" t="s">
        <v>1343</v>
      </c>
      <c r="C42" s="172">
        <f>C5+C12+C16+C23</f>
        <v>841577.0099999999</v>
      </c>
      <c r="D42" s="172">
        <f>D5+D12+D16+D23</f>
        <v>0</v>
      </c>
      <c r="E42" s="210">
        <f t="shared" si="0"/>
        <v>841577.0099999999</v>
      </c>
    </row>
    <row r="44" spans="1:2" s="213" customFormat="1" ht="15.75">
      <c r="A44" s="211"/>
      <c r="B44" s="212" t="s">
        <v>1344</v>
      </c>
    </row>
  </sheetData>
  <sheetProtection/>
  <mergeCells count="2">
    <mergeCell ref="A1:E1"/>
    <mergeCell ref="A2:E2"/>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sheetPr>
    <tabColor indexed="42"/>
  </sheetPr>
  <dimension ref="A1:I64"/>
  <sheetViews>
    <sheetView zoomScale="80" zoomScaleNormal="80" zoomScalePageLayoutView="0" workbookViewId="0" topLeftCell="A1">
      <pane xSplit="2" ySplit="5" topLeftCell="C42" activePane="bottomRight" state="frozen"/>
      <selection pane="topLeft" activeCell="A1" sqref="A1"/>
      <selection pane="topRight" activeCell="C1" sqref="C1"/>
      <selection pane="bottomLeft" activeCell="A6" sqref="A6"/>
      <selection pane="bottomRight" activeCell="C63" sqref="C63"/>
    </sheetView>
  </sheetViews>
  <sheetFormatPr defaultColWidth="9.140625" defaultRowHeight="12.75"/>
  <cols>
    <col min="1" max="1" width="7.8515625" style="226" customWidth="1"/>
    <col min="2" max="2" width="70.57421875" style="244" customWidth="1"/>
    <col min="3" max="3" width="18.421875" style="245" customWidth="1"/>
    <col min="4" max="4" width="16.57421875" style="245" customWidth="1"/>
    <col min="5" max="5" width="19.28125" style="245" customWidth="1"/>
    <col min="6" max="6" width="19.140625" style="245" customWidth="1"/>
    <col min="7" max="7" width="18.421875" style="245" customWidth="1"/>
    <col min="8" max="8" width="17.28125" style="245" customWidth="1"/>
    <col min="9" max="9" width="11.00390625" style="216" customWidth="1"/>
    <col min="10" max="16384" width="9.140625" style="216" customWidth="1"/>
  </cols>
  <sheetData>
    <row r="1" spans="1:8" ht="34.5" customHeight="1">
      <c r="A1" s="577" t="s">
        <v>1177</v>
      </c>
      <c r="B1" s="578"/>
      <c r="C1" s="578"/>
      <c r="D1" s="578"/>
      <c r="E1" s="578"/>
      <c r="F1" s="578"/>
      <c r="G1" s="578"/>
      <c r="H1" s="579"/>
    </row>
    <row r="2" spans="1:8" ht="31.5" customHeight="1">
      <c r="A2" s="561" t="s">
        <v>1242</v>
      </c>
      <c r="B2" s="562"/>
      <c r="C2" s="562"/>
      <c r="D2" s="562"/>
      <c r="E2" s="562"/>
      <c r="F2" s="562"/>
      <c r="G2" s="562"/>
      <c r="H2" s="563"/>
    </row>
    <row r="3" spans="1:8" ht="24" customHeight="1">
      <c r="A3" s="580" t="s">
        <v>271</v>
      </c>
      <c r="B3" s="581" t="s">
        <v>407</v>
      </c>
      <c r="C3" s="582">
        <v>2010</v>
      </c>
      <c r="D3" s="583"/>
      <c r="E3" s="582">
        <v>2011</v>
      </c>
      <c r="F3" s="583"/>
      <c r="G3" s="582" t="s">
        <v>1085</v>
      </c>
      <c r="H3" s="584"/>
    </row>
    <row r="4" spans="1:8" s="219" customFormat="1" ht="31.5">
      <c r="A4" s="580"/>
      <c r="B4" s="581"/>
      <c r="C4" s="9" t="s">
        <v>408</v>
      </c>
      <c r="D4" s="9" t="s">
        <v>409</v>
      </c>
      <c r="E4" s="9" t="s">
        <v>408</v>
      </c>
      <c r="F4" s="9" t="s">
        <v>409</v>
      </c>
      <c r="G4" s="9" t="s">
        <v>408</v>
      </c>
      <c r="H4" s="10" t="s">
        <v>409</v>
      </c>
    </row>
    <row r="5" spans="1:8" s="219" customFormat="1" ht="15.75">
      <c r="A5" s="218"/>
      <c r="B5" s="23"/>
      <c r="C5" s="9" t="s">
        <v>359</v>
      </c>
      <c r="D5" s="9" t="s">
        <v>360</v>
      </c>
      <c r="E5" s="9" t="s">
        <v>361</v>
      </c>
      <c r="F5" s="9" t="s">
        <v>368</v>
      </c>
      <c r="G5" s="9" t="s">
        <v>46</v>
      </c>
      <c r="H5" s="10" t="s">
        <v>47</v>
      </c>
    </row>
    <row r="6" spans="1:8" ht="15.75">
      <c r="A6" s="220">
        <v>1</v>
      </c>
      <c r="B6" s="32" t="s">
        <v>1345</v>
      </c>
      <c r="C6" s="205">
        <f>SUM(C7:C10)</f>
        <v>117527.87000000001</v>
      </c>
      <c r="D6" s="205">
        <f>SUM(D7:D10)</f>
        <v>185401.26</v>
      </c>
      <c r="E6" s="205">
        <f>SUM(E7:E10)</f>
        <v>111878.29000000001</v>
      </c>
      <c r="F6" s="205">
        <f>SUM(F7:F10)</f>
        <v>186447.38</v>
      </c>
      <c r="G6" s="227">
        <f>E6-C6</f>
        <v>-5649.580000000002</v>
      </c>
      <c r="H6" s="228">
        <f>F6-D6/30.126</f>
        <v>180293.18561641106</v>
      </c>
    </row>
    <row r="7" spans="1:8" ht="15.75">
      <c r="A7" s="220">
        <f>A6+1</f>
        <v>2</v>
      </c>
      <c r="B7" s="232" t="s">
        <v>349</v>
      </c>
      <c r="C7" s="233"/>
      <c r="D7" s="233"/>
      <c r="E7" s="233"/>
      <c r="F7" s="233"/>
      <c r="G7" s="227">
        <f aca="true" t="shared" si="0" ref="G7:H58">E7-C7</f>
        <v>0</v>
      </c>
      <c r="H7" s="228">
        <f>F7-D7/30.126</f>
        <v>0</v>
      </c>
    </row>
    <row r="8" spans="1:8" ht="15.75">
      <c r="A8" s="220">
        <f aca="true" t="shared" si="1" ref="A8:A58">A7+1</f>
        <v>3</v>
      </c>
      <c r="B8" s="232" t="s">
        <v>375</v>
      </c>
      <c r="C8" s="233"/>
      <c r="D8" s="233"/>
      <c r="E8" s="233"/>
      <c r="F8" s="233"/>
      <c r="G8" s="227">
        <f t="shared" si="0"/>
        <v>0</v>
      </c>
      <c r="H8" s="228">
        <f>F8-D8/30.126</f>
        <v>0</v>
      </c>
    </row>
    <row r="9" spans="1:8" ht="15.75">
      <c r="A9" s="220">
        <f t="shared" si="1"/>
        <v>4</v>
      </c>
      <c r="B9" s="232" t="s">
        <v>82</v>
      </c>
      <c r="C9" s="233">
        <v>94777.32</v>
      </c>
      <c r="D9" s="233">
        <v>177014.23</v>
      </c>
      <c r="E9" s="233">
        <v>103819.27</v>
      </c>
      <c r="F9" s="233">
        <v>181064.01</v>
      </c>
      <c r="G9" s="227">
        <f t="shared" si="0"/>
        <v>9041.949999999997</v>
      </c>
      <c r="H9" s="228">
        <f t="shared" si="0"/>
        <v>4049.779999999999</v>
      </c>
    </row>
    <row r="10" spans="1:8" ht="15.75">
      <c r="A10" s="220">
        <f t="shared" si="1"/>
        <v>5</v>
      </c>
      <c r="B10" s="232" t="s">
        <v>374</v>
      </c>
      <c r="C10" s="233">
        <v>22750.55</v>
      </c>
      <c r="D10" s="233">
        <v>8387.03</v>
      </c>
      <c r="E10" s="233">
        <v>8059.02</v>
      </c>
      <c r="F10" s="233">
        <v>5383.37</v>
      </c>
      <c r="G10" s="227">
        <f t="shared" si="0"/>
        <v>-14691.529999999999</v>
      </c>
      <c r="H10" s="228">
        <f t="shared" si="0"/>
        <v>-3003.6600000000008</v>
      </c>
    </row>
    <row r="11" spans="1:8" ht="15.75">
      <c r="A11" s="220">
        <f t="shared" si="1"/>
        <v>6</v>
      </c>
      <c r="B11" s="32" t="s">
        <v>1346</v>
      </c>
      <c r="C11" s="205">
        <f>SUM(C12:C15)</f>
        <v>2143119.7800000003</v>
      </c>
      <c r="D11" s="205">
        <f>SUM(D12:D15)</f>
        <v>911068.59</v>
      </c>
      <c r="E11" s="205">
        <f>SUM(E12:E15)</f>
        <v>1873395.1199999999</v>
      </c>
      <c r="F11" s="205">
        <f>SUM(F12:F15)</f>
        <v>724904.8099999999</v>
      </c>
      <c r="G11" s="227">
        <f t="shared" si="0"/>
        <v>-269724.6600000004</v>
      </c>
      <c r="H11" s="228">
        <f t="shared" si="0"/>
        <v>-186163.78000000003</v>
      </c>
    </row>
    <row r="12" spans="1:8" ht="15.75">
      <c r="A12" s="220">
        <f t="shared" si="1"/>
        <v>7</v>
      </c>
      <c r="B12" s="232" t="s">
        <v>115</v>
      </c>
      <c r="C12" s="233">
        <v>697609.04</v>
      </c>
      <c r="D12" s="233">
        <v>26669.31</v>
      </c>
      <c r="E12" s="233">
        <v>747856.21</v>
      </c>
      <c r="F12" s="233">
        <v>27209.68</v>
      </c>
      <c r="G12" s="227">
        <f t="shared" si="0"/>
        <v>50247.169999999925</v>
      </c>
      <c r="H12" s="228">
        <f t="shared" si="0"/>
        <v>540.369999999999</v>
      </c>
    </row>
    <row r="13" spans="1:8" ht="15.75">
      <c r="A13" s="220">
        <f t="shared" si="1"/>
        <v>8</v>
      </c>
      <c r="B13" s="232" t="s">
        <v>116</v>
      </c>
      <c r="C13" s="233">
        <v>1160.5</v>
      </c>
      <c r="D13" s="233"/>
      <c r="E13" s="233">
        <v>97.5</v>
      </c>
      <c r="F13" s="233"/>
      <c r="G13" s="227">
        <f t="shared" si="0"/>
        <v>-1063</v>
      </c>
      <c r="H13" s="228">
        <f t="shared" si="0"/>
        <v>0</v>
      </c>
    </row>
    <row r="14" spans="1:8" ht="15.75">
      <c r="A14" s="220">
        <f>A13+1</f>
        <v>9</v>
      </c>
      <c r="B14" s="232" t="s">
        <v>117</v>
      </c>
      <c r="C14" s="233"/>
      <c r="D14" s="233">
        <v>62454.91</v>
      </c>
      <c r="E14" s="233"/>
      <c r="F14" s="233">
        <v>62059.28</v>
      </c>
      <c r="G14" s="227">
        <f t="shared" si="0"/>
        <v>0</v>
      </c>
      <c r="H14" s="228">
        <f t="shared" si="0"/>
        <v>-395.63000000000466</v>
      </c>
    </row>
    <row r="15" spans="1:8" ht="15.75">
      <c r="A15" s="220">
        <f t="shared" si="1"/>
        <v>10</v>
      </c>
      <c r="B15" s="232" t="s">
        <v>121</v>
      </c>
      <c r="C15" s="233">
        <f>10489.28+332+34831.32+1398697.64</f>
        <v>1444350.24</v>
      </c>
      <c r="D15" s="233">
        <v>821944.37</v>
      </c>
      <c r="E15" s="233">
        <v>1125441.41</v>
      </c>
      <c r="F15" s="233">
        <v>635635.85</v>
      </c>
      <c r="G15" s="227">
        <f t="shared" si="0"/>
        <v>-318908.8300000001</v>
      </c>
      <c r="H15" s="228">
        <f t="shared" si="0"/>
        <v>-186308.52000000002</v>
      </c>
    </row>
    <row r="16" spans="1:8" ht="15.75">
      <c r="A16" s="220">
        <f t="shared" si="1"/>
        <v>11</v>
      </c>
      <c r="B16" s="32" t="s">
        <v>38</v>
      </c>
      <c r="C16" s="233"/>
      <c r="D16" s="229">
        <v>27358.93</v>
      </c>
      <c r="E16" s="229"/>
      <c r="F16" s="229">
        <v>20648.78</v>
      </c>
      <c r="G16" s="227">
        <f t="shared" si="0"/>
        <v>0</v>
      </c>
      <c r="H16" s="228">
        <f t="shared" si="0"/>
        <v>-6710.1500000000015</v>
      </c>
    </row>
    <row r="17" spans="1:8" ht="15.75">
      <c r="A17" s="220">
        <f t="shared" si="1"/>
        <v>12</v>
      </c>
      <c r="B17" s="32" t="s">
        <v>414</v>
      </c>
      <c r="C17" s="233"/>
      <c r="D17" s="233"/>
      <c r="E17" s="233"/>
      <c r="F17" s="233"/>
      <c r="G17" s="227">
        <f t="shared" si="0"/>
        <v>0</v>
      </c>
      <c r="H17" s="228">
        <f t="shared" si="0"/>
        <v>0</v>
      </c>
    </row>
    <row r="18" spans="1:8" ht="15.75">
      <c r="A18" s="220">
        <f t="shared" si="1"/>
        <v>13</v>
      </c>
      <c r="B18" s="32" t="s">
        <v>415</v>
      </c>
      <c r="C18" s="233"/>
      <c r="D18" s="233"/>
      <c r="E18" s="233"/>
      <c r="F18" s="233"/>
      <c r="G18" s="227">
        <f t="shared" si="0"/>
        <v>0</v>
      </c>
      <c r="H18" s="228">
        <f t="shared" si="0"/>
        <v>0</v>
      </c>
    </row>
    <row r="19" spans="1:8" ht="15.75">
      <c r="A19" s="220">
        <f t="shared" si="1"/>
        <v>14</v>
      </c>
      <c r="B19" s="32" t="s">
        <v>416</v>
      </c>
      <c r="C19" s="229">
        <f>1578.47+3747.11</f>
        <v>5325.58</v>
      </c>
      <c r="D19" s="229">
        <v>746.64</v>
      </c>
      <c r="E19" s="229">
        <f>3551.01+9371.97</f>
        <v>12922.98</v>
      </c>
      <c r="F19" s="229">
        <v>221.38</v>
      </c>
      <c r="G19" s="227">
        <f t="shared" si="0"/>
        <v>7597.4</v>
      </c>
      <c r="H19" s="228">
        <f t="shared" si="0"/>
        <v>-525.26</v>
      </c>
    </row>
    <row r="20" spans="1:8" ht="15.75">
      <c r="A20" s="220">
        <f t="shared" si="1"/>
        <v>15</v>
      </c>
      <c r="B20" s="32" t="s">
        <v>417</v>
      </c>
      <c r="C20" s="229">
        <v>7575.35</v>
      </c>
      <c r="D20" s="229"/>
      <c r="E20" s="229"/>
      <c r="F20" s="229"/>
      <c r="G20" s="227">
        <f t="shared" si="0"/>
        <v>-7575.35</v>
      </c>
      <c r="H20" s="228">
        <f t="shared" si="0"/>
        <v>0</v>
      </c>
    </row>
    <row r="21" spans="1:8" ht="15.75">
      <c r="A21" s="220">
        <f t="shared" si="1"/>
        <v>16</v>
      </c>
      <c r="B21" s="32" t="s">
        <v>1347</v>
      </c>
      <c r="C21" s="205">
        <f>SUM(C22:C23)</f>
        <v>151.97</v>
      </c>
      <c r="D21" s="205">
        <f>SUM(D22:D23)</f>
        <v>127.76</v>
      </c>
      <c r="E21" s="205">
        <f>SUM(E22:E23)</f>
        <v>172.51</v>
      </c>
      <c r="F21" s="205">
        <f>SUM(F22:F23)</f>
        <v>121.88</v>
      </c>
      <c r="G21" s="227">
        <f t="shared" si="0"/>
        <v>20.539999999999992</v>
      </c>
      <c r="H21" s="228">
        <f t="shared" si="0"/>
        <v>-5.88000000000001</v>
      </c>
    </row>
    <row r="22" spans="1:8" ht="15.75">
      <c r="A22" s="220">
        <f t="shared" si="1"/>
        <v>17</v>
      </c>
      <c r="B22" s="232" t="s">
        <v>122</v>
      </c>
      <c r="C22" s="233"/>
      <c r="D22" s="233"/>
      <c r="E22" s="233"/>
      <c r="F22" s="233"/>
      <c r="G22" s="227">
        <f t="shared" si="0"/>
        <v>0</v>
      </c>
      <c r="H22" s="228">
        <f t="shared" si="0"/>
        <v>0</v>
      </c>
    </row>
    <row r="23" spans="1:8" ht="15.75">
      <c r="A23" s="220">
        <f t="shared" si="1"/>
        <v>18</v>
      </c>
      <c r="B23" s="234" t="s">
        <v>123</v>
      </c>
      <c r="C23" s="233">
        <v>151.97</v>
      </c>
      <c r="D23" s="235">
        <v>127.76</v>
      </c>
      <c r="E23" s="233">
        <v>172.51</v>
      </c>
      <c r="F23" s="235">
        <v>121.88</v>
      </c>
      <c r="G23" s="227">
        <f t="shared" si="0"/>
        <v>20.539999999999992</v>
      </c>
      <c r="H23" s="228">
        <f t="shared" si="0"/>
        <v>-5.88000000000001</v>
      </c>
    </row>
    <row r="24" spans="1:8" ht="15.75">
      <c r="A24" s="220">
        <f t="shared" si="1"/>
        <v>19</v>
      </c>
      <c r="B24" s="32" t="s">
        <v>418</v>
      </c>
      <c r="C24" s="229">
        <v>36208.57</v>
      </c>
      <c r="D24" s="229">
        <v>2.93</v>
      </c>
      <c r="E24" s="229">
        <v>7908.83</v>
      </c>
      <c r="F24" s="229">
        <v>0.01</v>
      </c>
      <c r="G24" s="227">
        <f t="shared" si="0"/>
        <v>-28299.739999999998</v>
      </c>
      <c r="H24" s="228">
        <f t="shared" si="0"/>
        <v>-2.9200000000000004</v>
      </c>
    </row>
    <row r="25" spans="1:8" ht="15.75" customHeight="1">
      <c r="A25" s="220">
        <f t="shared" si="1"/>
        <v>20</v>
      </c>
      <c r="B25" s="32" t="s">
        <v>1348</v>
      </c>
      <c r="C25" s="205">
        <f>SUM(C26:C38)</f>
        <v>4726001.489999999</v>
      </c>
      <c r="D25" s="205">
        <f>SUM(D26:D38)</f>
        <v>10461.59</v>
      </c>
      <c r="E25" s="205">
        <f>SUM(E26:E38)</f>
        <v>4971942.42</v>
      </c>
      <c r="F25" s="205">
        <f>SUM(F26:F38)</f>
        <v>12517.78</v>
      </c>
      <c r="G25" s="227">
        <f t="shared" si="0"/>
        <v>245940.93000000063</v>
      </c>
      <c r="H25" s="228">
        <f t="shared" si="0"/>
        <v>2056.1900000000005</v>
      </c>
    </row>
    <row r="26" spans="1:8" ht="15.75" customHeight="1">
      <c r="A26" s="220">
        <f t="shared" si="1"/>
        <v>21</v>
      </c>
      <c r="B26" s="232" t="s">
        <v>1349</v>
      </c>
      <c r="C26" s="233">
        <f>234363.82+2331918.09+296492.84</f>
        <v>2862774.7499999995</v>
      </c>
      <c r="D26" s="233"/>
      <c r="E26" s="233">
        <v>3350999.91</v>
      </c>
      <c r="F26" s="233"/>
      <c r="G26" s="227">
        <f t="shared" si="0"/>
        <v>488225.1600000006</v>
      </c>
      <c r="H26" s="228">
        <f t="shared" si="0"/>
        <v>0</v>
      </c>
    </row>
    <row r="27" spans="1:8" ht="15.75">
      <c r="A27" s="220">
        <f t="shared" si="1"/>
        <v>22</v>
      </c>
      <c r="B27" s="232" t="s">
        <v>124</v>
      </c>
      <c r="C27" s="233">
        <v>434541.12</v>
      </c>
      <c r="D27" s="233"/>
      <c r="E27" s="233">
        <v>434058.34</v>
      </c>
      <c r="F27" s="233"/>
      <c r="G27" s="227">
        <f t="shared" si="0"/>
        <v>-482.77999999996973</v>
      </c>
      <c r="H27" s="228">
        <f t="shared" si="0"/>
        <v>0</v>
      </c>
    </row>
    <row r="28" spans="1:8" ht="15.75">
      <c r="A28" s="220">
        <f t="shared" si="1"/>
        <v>23</v>
      </c>
      <c r="B28" s="232" t="s">
        <v>125</v>
      </c>
      <c r="C28" s="233">
        <v>124230.23</v>
      </c>
      <c r="D28" s="233"/>
      <c r="E28" s="233">
        <v>167444.51</v>
      </c>
      <c r="F28" s="233"/>
      <c r="G28" s="227">
        <f t="shared" si="0"/>
        <v>43214.28000000001</v>
      </c>
      <c r="H28" s="228">
        <f t="shared" si="0"/>
        <v>0</v>
      </c>
    </row>
    <row r="29" spans="1:8" ht="15.75">
      <c r="A29" s="220">
        <f t="shared" si="1"/>
        <v>24</v>
      </c>
      <c r="B29" s="232" t="s">
        <v>126</v>
      </c>
      <c r="C29" s="233">
        <v>17204.28</v>
      </c>
      <c r="D29" s="233"/>
      <c r="E29" s="233">
        <v>1702.66</v>
      </c>
      <c r="F29" s="233"/>
      <c r="G29" s="227">
        <f t="shared" si="0"/>
        <v>-15501.619999999999</v>
      </c>
      <c r="H29" s="228">
        <f t="shared" si="0"/>
        <v>0</v>
      </c>
    </row>
    <row r="30" spans="1:8" ht="15.75">
      <c r="A30" s="220">
        <f t="shared" si="1"/>
        <v>25</v>
      </c>
      <c r="B30" s="232" t="s">
        <v>127</v>
      </c>
      <c r="C30" s="233"/>
      <c r="D30" s="233"/>
      <c r="E30" s="233">
        <v>45191.93</v>
      </c>
      <c r="F30" s="233"/>
      <c r="G30" s="227">
        <f t="shared" si="0"/>
        <v>45191.93</v>
      </c>
      <c r="H30" s="228">
        <f t="shared" si="0"/>
        <v>0</v>
      </c>
    </row>
    <row r="31" spans="1:8" ht="15.75">
      <c r="A31" s="220">
        <f t="shared" si="1"/>
        <v>26</v>
      </c>
      <c r="B31" s="232" t="s">
        <v>128</v>
      </c>
      <c r="C31" s="233"/>
      <c r="D31" s="233"/>
      <c r="E31" s="233"/>
      <c r="F31" s="233"/>
      <c r="G31" s="227">
        <f t="shared" si="0"/>
        <v>0</v>
      </c>
      <c r="H31" s="228">
        <f t="shared" si="0"/>
        <v>0</v>
      </c>
    </row>
    <row r="32" spans="1:8" ht="15.75">
      <c r="A32" s="220">
        <f t="shared" si="1"/>
        <v>27</v>
      </c>
      <c r="B32" s="232" t="s">
        <v>129</v>
      </c>
      <c r="C32" s="233"/>
      <c r="D32" s="233"/>
      <c r="E32" s="233"/>
      <c r="F32" s="233"/>
      <c r="G32" s="227">
        <f t="shared" si="0"/>
        <v>0</v>
      </c>
      <c r="H32" s="228">
        <f t="shared" si="0"/>
        <v>0</v>
      </c>
    </row>
    <row r="33" spans="1:8" ht="15.75">
      <c r="A33" s="220">
        <f t="shared" si="1"/>
        <v>28</v>
      </c>
      <c r="B33" s="232" t="s">
        <v>130</v>
      </c>
      <c r="C33" s="233">
        <v>7458.78</v>
      </c>
      <c r="D33" s="233"/>
      <c r="E33" s="233">
        <v>3773.25</v>
      </c>
      <c r="F33" s="233"/>
      <c r="G33" s="227">
        <f t="shared" si="0"/>
        <v>-3685.5299999999997</v>
      </c>
      <c r="H33" s="228">
        <f t="shared" si="0"/>
        <v>0</v>
      </c>
    </row>
    <row r="34" spans="1:8" ht="15.75">
      <c r="A34" s="220">
        <f t="shared" si="1"/>
        <v>29</v>
      </c>
      <c r="B34" s="232" t="s">
        <v>131</v>
      </c>
      <c r="C34" s="233">
        <v>176243.29</v>
      </c>
      <c r="D34" s="233">
        <v>9545</v>
      </c>
      <c r="E34" s="233">
        <v>38314.27</v>
      </c>
      <c r="F34" s="233">
        <v>10348</v>
      </c>
      <c r="G34" s="227">
        <f t="shared" si="0"/>
        <v>-137929.02000000002</v>
      </c>
      <c r="H34" s="228">
        <f t="shared" si="0"/>
        <v>803</v>
      </c>
    </row>
    <row r="35" spans="1:8" ht="15.75">
      <c r="A35" s="220">
        <f t="shared" si="1"/>
        <v>30</v>
      </c>
      <c r="B35" s="232" t="s">
        <v>132</v>
      </c>
      <c r="C35" s="233">
        <v>768196.38</v>
      </c>
      <c r="D35" s="233"/>
      <c r="E35" s="233">
        <v>727668.57</v>
      </c>
      <c r="F35" s="233"/>
      <c r="G35" s="227">
        <f t="shared" si="0"/>
        <v>-40527.810000000056</v>
      </c>
      <c r="H35" s="228">
        <f t="shared" si="0"/>
        <v>0</v>
      </c>
    </row>
    <row r="36" spans="1:9" ht="15.75">
      <c r="A36" s="220">
        <f t="shared" si="1"/>
        <v>31</v>
      </c>
      <c r="B36" s="236" t="s">
        <v>1350</v>
      </c>
      <c r="C36" s="233">
        <v>0</v>
      </c>
      <c r="D36" s="233">
        <v>0</v>
      </c>
      <c r="E36" s="233"/>
      <c r="F36" s="233"/>
      <c r="G36" s="227">
        <f t="shared" si="0"/>
        <v>0</v>
      </c>
      <c r="H36" s="228">
        <f t="shared" si="0"/>
        <v>0</v>
      </c>
      <c r="I36" s="237"/>
    </row>
    <row r="37" spans="1:8" ht="15.75">
      <c r="A37" s="220">
        <f t="shared" si="1"/>
        <v>32</v>
      </c>
      <c r="B37" s="232" t="s">
        <v>133</v>
      </c>
      <c r="C37" s="233"/>
      <c r="D37" s="233"/>
      <c r="E37" s="233">
        <v>652.42</v>
      </c>
      <c r="F37" s="233"/>
      <c r="G37" s="227">
        <f t="shared" si="0"/>
        <v>652.42</v>
      </c>
      <c r="H37" s="228">
        <f t="shared" si="0"/>
        <v>0</v>
      </c>
    </row>
    <row r="38" spans="1:8" ht="15.75">
      <c r="A38" s="220">
        <f t="shared" si="1"/>
        <v>33</v>
      </c>
      <c r="B38" s="232" t="s">
        <v>134</v>
      </c>
      <c r="C38" s="233">
        <f>631845.5-296492.84</f>
        <v>335352.66</v>
      </c>
      <c r="D38" s="233">
        <v>916.59</v>
      </c>
      <c r="E38" s="233">
        <f>579+1291.57+91+200174.99</f>
        <v>202136.56</v>
      </c>
      <c r="F38" s="233">
        <v>2169.78</v>
      </c>
      <c r="G38" s="227">
        <f t="shared" si="0"/>
        <v>-133216.09999999998</v>
      </c>
      <c r="H38" s="228">
        <f t="shared" si="0"/>
        <v>1253.19</v>
      </c>
    </row>
    <row r="39" spans="1:8" ht="15.75">
      <c r="A39" s="220">
        <f t="shared" si="1"/>
        <v>34</v>
      </c>
      <c r="B39" s="32" t="s">
        <v>428</v>
      </c>
      <c r="C39" s="233">
        <v>898564</v>
      </c>
      <c r="D39" s="233"/>
      <c r="E39" s="233">
        <v>51920</v>
      </c>
      <c r="F39" s="233"/>
      <c r="G39" s="227">
        <f t="shared" si="0"/>
        <v>-846644</v>
      </c>
      <c r="H39" s="228">
        <f t="shared" si="0"/>
        <v>0</v>
      </c>
    </row>
    <row r="40" spans="1:8" ht="15.75">
      <c r="A40" s="220">
        <f t="shared" si="1"/>
        <v>35</v>
      </c>
      <c r="B40" s="32" t="s">
        <v>189</v>
      </c>
      <c r="C40" s="233"/>
      <c r="D40" s="233"/>
      <c r="E40" s="233"/>
      <c r="F40" s="233"/>
      <c r="G40" s="227">
        <f t="shared" si="0"/>
        <v>0</v>
      </c>
      <c r="H40" s="228">
        <f t="shared" si="0"/>
        <v>0</v>
      </c>
    </row>
    <row r="41" spans="1:8" ht="15.75">
      <c r="A41" s="220">
        <f t="shared" si="1"/>
        <v>36</v>
      </c>
      <c r="B41" s="32" t="s">
        <v>185</v>
      </c>
      <c r="C41" s="233"/>
      <c r="D41" s="233"/>
      <c r="E41" s="233"/>
      <c r="F41" s="233"/>
      <c r="G41" s="227">
        <f t="shared" si="0"/>
        <v>0</v>
      </c>
      <c r="H41" s="228">
        <f t="shared" si="0"/>
        <v>0</v>
      </c>
    </row>
    <row r="42" spans="1:8" ht="23.25" customHeight="1">
      <c r="A42" s="220">
        <f t="shared" si="1"/>
        <v>37</v>
      </c>
      <c r="B42" s="32" t="s">
        <v>401</v>
      </c>
      <c r="C42" s="233"/>
      <c r="D42" s="233"/>
      <c r="E42" s="233"/>
      <c r="F42" s="233"/>
      <c r="G42" s="227">
        <f t="shared" si="0"/>
        <v>0</v>
      </c>
      <c r="H42" s="228">
        <f t="shared" si="0"/>
        <v>0</v>
      </c>
    </row>
    <row r="43" spans="1:8" ht="15.75">
      <c r="A43" s="220">
        <f t="shared" si="1"/>
        <v>38</v>
      </c>
      <c r="B43" s="32" t="s">
        <v>332</v>
      </c>
      <c r="C43" s="233"/>
      <c r="D43" s="233"/>
      <c r="E43" s="233"/>
      <c r="F43" s="233"/>
      <c r="G43" s="227">
        <f t="shared" si="0"/>
        <v>0</v>
      </c>
      <c r="H43" s="228">
        <f t="shared" si="0"/>
        <v>0</v>
      </c>
    </row>
    <row r="44" spans="1:8" ht="18.75">
      <c r="A44" s="220">
        <f t="shared" si="1"/>
        <v>39</v>
      </c>
      <c r="B44" s="32" t="s">
        <v>213</v>
      </c>
      <c r="C44" s="229">
        <f>SUM(C45:C48)</f>
        <v>24773.89</v>
      </c>
      <c r="D44" s="229">
        <f>SUM(D45:D48)</f>
        <v>0</v>
      </c>
      <c r="E44" s="229">
        <f>SUM(E45:E48)</f>
        <v>36231.2</v>
      </c>
      <c r="F44" s="229">
        <f>SUM(F45:F48)</f>
        <v>0</v>
      </c>
      <c r="G44" s="227">
        <f t="shared" si="0"/>
        <v>11457.309999999998</v>
      </c>
      <c r="H44" s="228">
        <f t="shared" si="0"/>
        <v>0</v>
      </c>
    </row>
    <row r="45" spans="1:8" ht="15.75">
      <c r="A45" s="220">
        <f>A44+1</f>
        <v>40</v>
      </c>
      <c r="B45" s="232" t="s">
        <v>307</v>
      </c>
      <c r="C45" s="233"/>
      <c r="D45" s="233"/>
      <c r="E45" s="233"/>
      <c r="F45" s="233"/>
      <c r="G45" s="227">
        <f t="shared" si="0"/>
        <v>0</v>
      </c>
      <c r="H45" s="228">
        <f t="shared" si="0"/>
        <v>0</v>
      </c>
    </row>
    <row r="46" spans="1:8" ht="15.75">
      <c r="A46" s="220">
        <f t="shared" si="1"/>
        <v>41</v>
      </c>
      <c r="B46" s="232" t="s">
        <v>135</v>
      </c>
      <c r="C46" s="233">
        <v>24773.89</v>
      </c>
      <c r="D46" s="233"/>
      <c r="E46" s="233">
        <v>36231.2</v>
      </c>
      <c r="F46" s="233"/>
      <c r="G46" s="227">
        <f t="shared" si="0"/>
        <v>11457.309999999998</v>
      </c>
      <c r="H46" s="228">
        <f t="shared" si="0"/>
        <v>0</v>
      </c>
    </row>
    <row r="47" spans="1:8" ht="18.75">
      <c r="A47" s="220">
        <f t="shared" si="1"/>
        <v>42</v>
      </c>
      <c r="B47" s="232" t="s">
        <v>308</v>
      </c>
      <c r="C47" s="233"/>
      <c r="D47" s="233"/>
      <c r="E47" s="233"/>
      <c r="F47" s="233"/>
      <c r="G47" s="227">
        <f t="shared" si="0"/>
        <v>0</v>
      </c>
      <c r="H47" s="228">
        <f t="shared" si="0"/>
        <v>0</v>
      </c>
    </row>
    <row r="48" spans="1:8" ht="15.75">
      <c r="A48" s="220">
        <f t="shared" si="1"/>
        <v>43</v>
      </c>
      <c r="B48" s="232" t="s">
        <v>215</v>
      </c>
      <c r="C48" s="233"/>
      <c r="D48" s="233"/>
      <c r="E48" s="233"/>
      <c r="F48" s="233"/>
      <c r="G48" s="227">
        <f t="shared" si="0"/>
        <v>0</v>
      </c>
      <c r="H48" s="228">
        <f t="shared" si="0"/>
        <v>0</v>
      </c>
    </row>
    <row r="49" spans="1:8" ht="15.75">
      <c r="A49" s="220">
        <f t="shared" si="1"/>
        <v>44</v>
      </c>
      <c r="B49" s="32" t="s">
        <v>429</v>
      </c>
      <c r="C49" s="233"/>
      <c r="D49" s="233"/>
      <c r="E49" s="233"/>
      <c r="F49" s="233"/>
      <c r="G49" s="227">
        <f t="shared" si="0"/>
        <v>0</v>
      </c>
      <c r="H49" s="228">
        <f t="shared" si="0"/>
        <v>0</v>
      </c>
    </row>
    <row r="50" spans="1:8" ht="15.75">
      <c r="A50" s="220">
        <f t="shared" si="1"/>
        <v>45</v>
      </c>
      <c r="B50" s="32" t="s">
        <v>186</v>
      </c>
      <c r="C50" s="229">
        <v>7649.22</v>
      </c>
      <c r="D50" s="229">
        <v>188789.11</v>
      </c>
      <c r="E50" s="229">
        <v>10631.38</v>
      </c>
      <c r="F50" s="229">
        <v>174764.69</v>
      </c>
      <c r="G50" s="227">
        <f t="shared" si="0"/>
        <v>2982.159999999999</v>
      </c>
      <c r="H50" s="228">
        <f t="shared" si="0"/>
        <v>-14024.419999999984</v>
      </c>
    </row>
    <row r="51" spans="1:8" ht="15.75">
      <c r="A51" s="220">
        <f t="shared" si="1"/>
        <v>46</v>
      </c>
      <c r="B51" s="32" t="s">
        <v>239</v>
      </c>
      <c r="C51" s="176" t="s">
        <v>391</v>
      </c>
      <c r="D51" s="176" t="s">
        <v>391</v>
      </c>
      <c r="E51" s="176" t="s">
        <v>391</v>
      </c>
      <c r="F51" s="176" t="s">
        <v>391</v>
      </c>
      <c r="G51" s="227" t="s">
        <v>208</v>
      </c>
      <c r="H51" s="228" t="s">
        <v>208</v>
      </c>
    </row>
    <row r="52" spans="1:8" ht="15.75">
      <c r="A52" s="220">
        <f t="shared" si="1"/>
        <v>47</v>
      </c>
      <c r="B52" s="238" t="s">
        <v>190</v>
      </c>
      <c r="C52" s="229">
        <v>2228.99</v>
      </c>
      <c r="D52" s="229"/>
      <c r="E52" s="229">
        <v>5011.81</v>
      </c>
      <c r="F52" s="229">
        <v>100</v>
      </c>
      <c r="G52" s="227">
        <f t="shared" si="0"/>
        <v>2782.8200000000006</v>
      </c>
      <c r="H52" s="228">
        <f t="shared" si="0"/>
        <v>100</v>
      </c>
    </row>
    <row r="53" spans="1:8" ht="15.75">
      <c r="A53" s="220" t="s">
        <v>1018</v>
      </c>
      <c r="B53" s="238" t="s">
        <v>1019</v>
      </c>
      <c r="C53" s="229"/>
      <c r="D53" s="229"/>
      <c r="E53" s="229"/>
      <c r="F53" s="229"/>
      <c r="G53" s="227">
        <f>E53-C53</f>
        <v>0</v>
      </c>
      <c r="H53" s="228">
        <f>F53-D53</f>
        <v>0</v>
      </c>
    </row>
    <row r="54" spans="1:8" ht="15.75">
      <c r="A54" s="220">
        <f>A52+1</f>
        <v>48</v>
      </c>
      <c r="B54" s="32" t="s">
        <v>191</v>
      </c>
      <c r="C54" s="229">
        <v>1101704.54</v>
      </c>
      <c r="D54" s="229">
        <v>35256.85</v>
      </c>
      <c r="E54" s="229">
        <v>1603196.78</v>
      </c>
      <c r="F54" s="229">
        <v>32462.99</v>
      </c>
      <c r="G54" s="227">
        <f t="shared" si="0"/>
        <v>501492.24</v>
      </c>
      <c r="H54" s="228">
        <f t="shared" si="0"/>
        <v>-2793.859999999997</v>
      </c>
    </row>
    <row r="55" spans="1:8" ht="15.75">
      <c r="A55" s="220">
        <f t="shared" si="1"/>
        <v>49</v>
      </c>
      <c r="B55" s="32" t="s">
        <v>192</v>
      </c>
      <c r="C55" s="229">
        <v>27009865.53</v>
      </c>
      <c r="D55" s="229">
        <v>7725</v>
      </c>
      <c r="E55" s="229">
        <v>27296971.94</v>
      </c>
      <c r="F55" s="229">
        <v>3210</v>
      </c>
      <c r="G55" s="227">
        <f t="shared" si="0"/>
        <v>287106.41000000015</v>
      </c>
      <c r="H55" s="228">
        <f t="shared" si="0"/>
        <v>-4515</v>
      </c>
    </row>
    <row r="56" spans="1:8" ht="15.75">
      <c r="A56" s="220">
        <f t="shared" si="1"/>
        <v>50</v>
      </c>
      <c r="B56" s="239" t="s">
        <v>376</v>
      </c>
      <c r="C56" s="240"/>
      <c r="D56" s="240"/>
      <c r="E56" s="240"/>
      <c r="F56" s="240"/>
      <c r="G56" s="227"/>
      <c r="H56" s="228">
        <f t="shared" si="0"/>
        <v>0</v>
      </c>
    </row>
    <row r="57" spans="1:8" ht="15.75">
      <c r="A57" s="220">
        <f t="shared" si="1"/>
        <v>51</v>
      </c>
      <c r="B57" s="239" t="s">
        <v>214</v>
      </c>
      <c r="C57" s="240">
        <v>1528632.23</v>
      </c>
      <c r="D57" s="240"/>
      <c r="E57" s="240">
        <v>983545.98</v>
      </c>
      <c r="F57" s="240"/>
      <c r="G57" s="227">
        <f t="shared" si="0"/>
        <v>-545086.25</v>
      </c>
      <c r="H57" s="228">
        <f t="shared" si="0"/>
        <v>0</v>
      </c>
    </row>
    <row r="58" spans="1:8" s="242" customFormat="1" ht="32.25" thickBot="1">
      <c r="A58" s="224">
        <f t="shared" si="1"/>
        <v>52</v>
      </c>
      <c r="B58" s="241" t="s">
        <v>1351</v>
      </c>
      <c r="C58" s="172">
        <f>C6+C11+SUM(C16:C21)+C24+C25+SUM(C39:C44)+SUM(C49:C55)</f>
        <v>36080696.78</v>
      </c>
      <c r="D58" s="172">
        <f>D6+D11+SUM(D16:D21)+D24+D25+SUM(D39:D44)+SUM(D49:D55)</f>
        <v>1366938.6600000001</v>
      </c>
      <c r="E58" s="172">
        <f>E6+E11+SUM(E16:E21)+E24+E25+SUM(E39:E44)+SUM(E49:E55)</f>
        <v>35982183.26</v>
      </c>
      <c r="F58" s="172">
        <f>F6+F11+SUM(F16:F21)+F24+F25+SUM(F39:F44)+SUM(F49:F55)</f>
        <v>1155399.7</v>
      </c>
      <c r="G58" s="230">
        <f t="shared" si="0"/>
        <v>-98513.52000000328</v>
      </c>
      <c r="H58" s="231">
        <f t="shared" si="0"/>
        <v>-211538.9600000002</v>
      </c>
    </row>
    <row r="59" spans="2:8" ht="15.75">
      <c r="B59" s="226"/>
      <c r="C59" s="226"/>
      <c r="D59" s="243"/>
      <c r="E59" s="226"/>
      <c r="F59" s="243"/>
      <c r="G59" s="226"/>
      <c r="H59" s="226"/>
    </row>
    <row r="60" spans="1:8" ht="33" customHeight="1">
      <c r="A60" s="571" t="s">
        <v>310</v>
      </c>
      <c r="B60" s="572"/>
      <c r="C60" s="572"/>
      <c r="D60" s="572"/>
      <c r="E60" s="572"/>
      <c r="F60" s="572"/>
      <c r="G60" s="572"/>
      <c r="H60" s="573"/>
    </row>
    <row r="61" spans="1:8" ht="30.75" customHeight="1">
      <c r="A61" s="574" t="s">
        <v>309</v>
      </c>
      <c r="B61" s="575"/>
      <c r="C61" s="575"/>
      <c r="D61" s="575"/>
      <c r="E61" s="575"/>
      <c r="F61" s="575"/>
      <c r="G61" s="575"/>
      <c r="H61" s="576"/>
    </row>
    <row r="62" ht="15.75">
      <c r="D62" s="243"/>
    </row>
    <row r="63" spans="4:6" ht="15.75">
      <c r="D63" s="246"/>
      <c r="E63" s="247"/>
      <c r="F63" s="246"/>
    </row>
    <row r="64" spans="5:6" ht="42" customHeight="1">
      <c r="E64" s="247"/>
      <c r="F64" s="247"/>
    </row>
  </sheetData>
  <sheetProtection/>
  <mergeCells count="9">
    <mergeCell ref="A60:H60"/>
    <mergeCell ref="A61:H61"/>
    <mergeCell ref="A1:H1"/>
    <mergeCell ref="A2:H2"/>
    <mergeCell ref="A3:A4"/>
    <mergeCell ref="B3:B4"/>
    <mergeCell ref="C3:D3"/>
    <mergeCell ref="E3:F3"/>
    <mergeCell ref="G3:H3"/>
  </mergeCells>
  <printOptions gridLines="1"/>
  <pageMargins left="0.11811023622047245" right="0" top="0.4330708661417323" bottom="0.4724409448818898" header="0.3937007874015748" footer="0.2362204724409449"/>
  <pageSetup fitToHeight="2" fitToWidth="2"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sheetPr>
    <tabColor indexed="42"/>
    <pageSetUpPr fitToPage="1"/>
  </sheetPr>
  <dimension ref="A1:H24"/>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C17" sqref="C17"/>
    </sheetView>
  </sheetViews>
  <sheetFormatPr defaultColWidth="9.140625" defaultRowHeight="12.75"/>
  <cols>
    <col min="1" max="1" width="7.8515625" style="226" customWidth="1"/>
    <col min="2" max="2" width="89.57421875" style="258" customWidth="1"/>
    <col min="3" max="3" width="16.140625" style="257" customWidth="1"/>
    <col min="4" max="4" width="16.00390625" style="257" customWidth="1"/>
    <col min="5" max="16384" width="9.140625" style="216" customWidth="1"/>
  </cols>
  <sheetData>
    <row r="1" spans="1:4" ht="49.5" customHeight="1" thickBot="1">
      <c r="A1" s="585" t="s">
        <v>1178</v>
      </c>
      <c r="B1" s="586"/>
      <c r="C1" s="586"/>
      <c r="D1" s="587"/>
    </row>
    <row r="2" spans="1:4" ht="34.5" customHeight="1">
      <c r="A2" s="588" t="s">
        <v>1243</v>
      </c>
      <c r="B2" s="589"/>
      <c r="C2" s="589"/>
      <c r="D2" s="590"/>
    </row>
    <row r="3" spans="1:4" s="219" customFormat="1" ht="31.5">
      <c r="A3" s="218" t="s">
        <v>271</v>
      </c>
      <c r="B3" s="251" t="s">
        <v>407</v>
      </c>
      <c r="C3" s="8">
        <v>2010</v>
      </c>
      <c r="D3" s="22">
        <v>2011</v>
      </c>
    </row>
    <row r="4" spans="1:4" s="219" customFormat="1" ht="15.75">
      <c r="A4" s="218"/>
      <c r="B4" s="251"/>
      <c r="C4" s="8" t="s">
        <v>359</v>
      </c>
      <c r="D4" s="22" t="s">
        <v>360</v>
      </c>
    </row>
    <row r="5" spans="1:8" ht="15.75" customHeight="1">
      <c r="A5" s="220">
        <v>1</v>
      </c>
      <c r="B5" s="23" t="s">
        <v>1352</v>
      </c>
      <c r="C5" s="205">
        <f>C6+C7+C8</f>
        <v>2862774.7499999995</v>
      </c>
      <c r="D5" s="248">
        <f>D6+D7+D8</f>
        <v>3350999.91</v>
      </c>
      <c r="E5" s="219"/>
      <c r="F5" s="219"/>
      <c r="G5" s="252"/>
      <c r="H5" s="252"/>
    </row>
    <row r="6" spans="1:8" ht="31.5">
      <c r="A6" s="220">
        <v>2</v>
      </c>
      <c r="B6" s="53" t="s">
        <v>12</v>
      </c>
      <c r="C6" s="208">
        <f>'[5]T4-Výnosy zo školného'!C6+'[6]T4-Výnosy zo školného'!C6+'[7]T4-Výnosy zo školného'!C6+'[8]T4-Výnosy zo školného'!C6+'[9]T4-Výnosy zo školného'!C6+'[10]T4-Výnosy zo školného'!C6</f>
        <v>234363.82</v>
      </c>
      <c r="D6" s="253">
        <v>318731.79</v>
      </c>
      <c r="E6" s="219"/>
      <c r="F6" s="219"/>
      <c r="G6" s="252"/>
      <c r="H6" s="252"/>
    </row>
    <row r="7" spans="1:7" ht="15.75">
      <c r="A7" s="220">
        <v>3</v>
      </c>
      <c r="B7" s="53" t="s">
        <v>13</v>
      </c>
      <c r="C7" s="208">
        <f>'[5]T4-Výnosy zo školného'!C7+'[6]T4-Výnosy zo školného'!C7+'[7]T4-Výnosy zo školného'!C7+'[8]T4-Výnosy zo školného'!C7+'[9]T4-Výnosy zo školného'!C7+'[10]T4-Výnosy zo školného'!C7</f>
        <v>2331918.09</v>
      </c>
      <c r="D7" s="253">
        <v>2585909.65</v>
      </c>
      <c r="G7" s="252"/>
    </row>
    <row r="8" spans="1:7" ht="21.75" customHeight="1">
      <c r="A8" s="220">
        <v>4</v>
      </c>
      <c r="B8" s="53" t="s">
        <v>1353</v>
      </c>
      <c r="C8" s="208">
        <f>'[5]T4-Výnosy zo školného'!C8+'[6]T4-Výnosy zo školného'!C8+'[7]T4-Výnosy zo školného'!C8+'[8]T4-Výnosy zo školného'!C8+'[9]T4-Výnosy zo školného'!C8+'[10]T4-Výnosy zo školného'!C8</f>
        <v>296492.83999999997</v>
      </c>
      <c r="D8" s="253">
        <v>446358.47</v>
      </c>
      <c r="G8" s="252"/>
    </row>
    <row r="9" spans="1:4" ht="15.75">
      <c r="A9" s="220">
        <v>5</v>
      </c>
      <c r="B9" s="23" t="s">
        <v>1354</v>
      </c>
      <c r="C9" s="205">
        <f>SUM(C10:C13)</f>
        <v>434541.11999999994</v>
      </c>
      <c r="D9" s="248">
        <f>SUM(D10:D13)</f>
        <v>434058.34</v>
      </c>
    </row>
    <row r="10" spans="1:4" ht="15.75">
      <c r="A10" s="220">
        <v>6</v>
      </c>
      <c r="B10" s="53" t="s">
        <v>14</v>
      </c>
      <c r="C10" s="208">
        <f>'[5]T4-Výnosy zo školného'!C10+'[6]T4-Výnosy zo školného'!C10+'[7]T4-Výnosy zo školného'!C10+'[8]T4-Výnosy zo školného'!C10+'[9]T4-Výnosy zo školného'!C10+'[10]T4-Výnosy zo školného'!C10</f>
        <v>283642.24</v>
      </c>
      <c r="D10" s="253">
        <f>'[5]T4-Výnosy zo školného'!D10+'[6]T4-Výnosy zo školného'!D10+'[7]T4-Výnosy zo školného'!D10+'[8]T4-Výnosy zo školného'!D10+'[9]T4-Výnosy zo školného'!D10+'[10]T4-Výnosy zo školného'!D10</f>
        <v>255953.5</v>
      </c>
    </row>
    <row r="11" spans="1:4" ht="15.75">
      <c r="A11" s="220">
        <v>7</v>
      </c>
      <c r="B11" s="53" t="s">
        <v>15</v>
      </c>
      <c r="C11" s="208">
        <f>'[5]T4-Výnosy zo školného'!C11+'[6]T4-Výnosy zo školného'!C11+'[7]T4-Výnosy zo školného'!C11+'[8]T4-Výnosy zo školného'!C11+'[9]T4-Výnosy zo školného'!C11+'[10]T4-Výnosy zo školného'!C11</f>
        <v>61932.09</v>
      </c>
      <c r="D11" s="253">
        <v>90998.4</v>
      </c>
    </row>
    <row r="12" spans="1:4" ht="15.75">
      <c r="A12" s="220">
        <v>8</v>
      </c>
      <c r="B12" s="53" t="s">
        <v>16</v>
      </c>
      <c r="C12" s="208">
        <f>'[5]T4-Výnosy zo školného'!C12+'[6]T4-Výnosy zo školného'!C12+'[7]T4-Výnosy zo školného'!C12+'[8]T4-Výnosy zo školného'!C12+'[9]T4-Výnosy zo školného'!C12+'[10]T4-Výnosy zo školného'!C12</f>
        <v>74350.72</v>
      </c>
      <c r="D12" s="253">
        <f>'[5]T4-Výnosy zo školného'!D12+'[6]T4-Výnosy zo školného'!D12+'[7]T4-Výnosy zo školného'!D12+'[8]T4-Výnosy zo školného'!D12+'[9]T4-Výnosy zo školného'!D12+'[10]T4-Výnosy zo školného'!D12</f>
        <v>67214</v>
      </c>
    </row>
    <row r="13" spans="1:4" ht="15.75">
      <c r="A13" s="220">
        <v>9</v>
      </c>
      <c r="B13" s="53" t="s">
        <v>17</v>
      </c>
      <c r="C13" s="208">
        <f>'[5]T4-Výnosy zo školného'!C13+'[6]T4-Výnosy zo školného'!C13+'[7]T4-Výnosy zo školného'!C13+'[8]T4-Výnosy zo školného'!C13+'[9]T4-Výnosy zo školného'!C13+'[10]T4-Výnosy zo školného'!C13</f>
        <v>14616.07</v>
      </c>
      <c r="D13" s="253">
        <f>'[5]T4-Výnosy zo školného'!D13+'[6]T4-Výnosy zo školného'!D13+'[7]T4-Výnosy zo školného'!D13+'[8]T4-Výnosy zo školného'!D13+'[9]T4-Výnosy zo školného'!D13+'[10]T4-Výnosy zo školného'!D13</f>
        <v>19892.440000000002</v>
      </c>
    </row>
    <row r="14" spans="1:4" ht="15.75">
      <c r="A14" s="220">
        <v>10</v>
      </c>
      <c r="B14" s="23" t="s">
        <v>317</v>
      </c>
      <c r="C14" s="205">
        <f>C6*0.2</f>
        <v>46872.764</v>
      </c>
      <c r="D14" s="205">
        <f>D6*0.2</f>
        <v>63746.358</v>
      </c>
    </row>
    <row r="15" spans="1:4" ht="16.5" thickBot="1">
      <c r="A15" s="224">
        <v>11</v>
      </c>
      <c r="B15" s="31" t="s">
        <v>413</v>
      </c>
      <c r="C15" s="254">
        <f>'[5]T4-Výnosy zo školného'!C15+'[6]T4-Výnosy zo školného'!C15+'[7]T4-Výnosy zo školného'!C15+'[8]T4-Výnosy zo školného'!C15+'[9]T4-Výnosy zo školného'!C15+'[10]T4-Výnosy zo školného'!C15</f>
        <v>51477</v>
      </c>
      <c r="D15" s="255">
        <f>'[5]T4-Výnosy zo školného'!D15+'[6]T4-Výnosy zo školného'!D15+'[7]T4-Výnosy zo školného'!D15+'[8]T4-Výnosy zo školného'!D15+'[9]T4-Výnosy zo školného'!D15+'[10]T4-Výnosy zo školného'!D15</f>
        <v>68656.1</v>
      </c>
    </row>
    <row r="16" ht="15.75">
      <c r="B16" s="256"/>
    </row>
    <row r="17" spans="1:4" ht="15.75">
      <c r="A17" s="245" t="s">
        <v>1312</v>
      </c>
      <c r="B17" s="245"/>
      <c r="C17" s="245"/>
      <c r="D17" s="245"/>
    </row>
    <row r="18" ht="15.75">
      <c r="B18" s="256"/>
    </row>
    <row r="19" ht="15.75">
      <c r="B19" s="256"/>
    </row>
    <row r="20" ht="15.75">
      <c r="B20" s="256"/>
    </row>
    <row r="21" ht="15.75">
      <c r="B21" s="256"/>
    </row>
    <row r="22" ht="15.75">
      <c r="B22" s="256"/>
    </row>
    <row r="23" ht="15.75">
      <c r="B23" s="256"/>
    </row>
    <row r="24" ht="15.75">
      <c r="B24" s="256"/>
    </row>
  </sheetData>
  <sheetProtection/>
  <mergeCells count="2">
    <mergeCell ref="A1:D1"/>
    <mergeCell ref="A2:D2"/>
  </mergeCells>
  <printOptions gridLines="1"/>
  <pageMargins left="0.85" right="0.7480314960629921" top="0.984251968503937" bottom="0.984251968503937"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2"/>
    <pageSetUpPr fitToPage="1"/>
  </sheetPr>
  <dimension ref="A1:H992"/>
  <sheetViews>
    <sheetView zoomScalePageLayoutView="0" workbookViewId="0" topLeftCell="A1">
      <pane xSplit="2" ySplit="5" topLeftCell="C90" activePane="bottomRight" state="frozen"/>
      <selection pane="topLeft" activeCell="A1" sqref="A1"/>
      <selection pane="topRight" activeCell="C1" sqref="C1"/>
      <selection pane="bottomLeft" activeCell="A6" sqref="A6"/>
      <selection pane="bottomRight" activeCell="D104" sqref="D104"/>
    </sheetView>
  </sheetViews>
  <sheetFormatPr defaultColWidth="9.140625" defaultRowHeight="12.75"/>
  <cols>
    <col min="1" max="1" width="8.421875" style="226" customWidth="1"/>
    <col min="2" max="2" width="60.421875" style="270" customWidth="1"/>
    <col min="3" max="3" width="16.140625" style="216" bestFit="1" customWidth="1"/>
    <col min="4" max="4" width="15.8515625" style="216" customWidth="1"/>
    <col min="5" max="5" width="16.140625" style="272" bestFit="1" customWidth="1"/>
    <col min="6" max="6" width="16.8515625" style="216" customWidth="1"/>
    <col min="7" max="7" width="16.8515625" style="216" bestFit="1" customWidth="1"/>
    <col min="8" max="8" width="17.00390625" style="216" customWidth="1"/>
    <col min="9" max="9" width="14.00390625" style="216" bestFit="1" customWidth="1"/>
    <col min="10" max="16384" width="9.140625" style="216" customWidth="1"/>
  </cols>
  <sheetData>
    <row r="1" spans="1:8" ht="34.5" customHeight="1" thickBot="1">
      <c r="A1" s="595" t="s">
        <v>1179</v>
      </c>
      <c r="B1" s="596"/>
      <c r="C1" s="596"/>
      <c r="D1" s="596"/>
      <c r="E1" s="596"/>
      <c r="F1" s="596"/>
      <c r="G1" s="596"/>
      <c r="H1" s="597"/>
    </row>
    <row r="2" spans="1:8" ht="32.25" customHeight="1">
      <c r="A2" s="588" t="s">
        <v>1244</v>
      </c>
      <c r="B2" s="589"/>
      <c r="C2" s="589"/>
      <c r="D2" s="589"/>
      <c r="E2" s="589"/>
      <c r="F2" s="589"/>
      <c r="G2" s="589"/>
      <c r="H2" s="590"/>
    </row>
    <row r="3" spans="1:8" s="219" customFormat="1" ht="31.5" customHeight="1">
      <c r="A3" s="580" t="s">
        <v>271</v>
      </c>
      <c r="B3" s="598" t="s">
        <v>407</v>
      </c>
      <c r="C3" s="600">
        <v>2010</v>
      </c>
      <c r="D3" s="600"/>
      <c r="E3" s="600">
        <v>2011</v>
      </c>
      <c r="F3" s="600"/>
      <c r="G3" s="600" t="s">
        <v>1084</v>
      </c>
      <c r="H3" s="601"/>
    </row>
    <row r="4" spans="1:8" ht="31.5" customHeight="1">
      <c r="A4" s="580"/>
      <c r="B4" s="599"/>
      <c r="C4" s="9" t="s">
        <v>408</v>
      </c>
      <c r="D4" s="9" t="s">
        <v>409</v>
      </c>
      <c r="E4" s="152" t="s">
        <v>408</v>
      </c>
      <c r="F4" s="9" t="s">
        <v>409</v>
      </c>
      <c r="G4" s="9" t="s">
        <v>408</v>
      </c>
      <c r="H4" s="10" t="s">
        <v>409</v>
      </c>
    </row>
    <row r="5" spans="1:8" ht="15.75">
      <c r="A5" s="220"/>
      <c r="B5" s="264"/>
      <c r="C5" s="8" t="s">
        <v>359</v>
      </c>
      <c r="D5" s="8" t="s">
        <v>360</v>
      </c>
      <c r="E5" s="152" t="s">
        <v>361</v>
      </c>
      <c r="F5" s="8" t="s">
        <v>368</v>
      </c>
      <c r="G5" s="8" t="s">
        <v>46</v>
      </c>
      <c r="H5" s="22" t="s">
        <v>47</v>
      </c>
    </row>
    <row r="6" spans="1:8" ht="31.5">
      <c r="A6" s="220">
        <v>1</v>
      </c>
      <c r="B6" s="32" t="s">
        <v>1355</v>
      </c>
      <c r="C6" s="174">
        <f>SUM(C7:C18)</f>
        <v>3092513.7199999997</v>
      </c>
      <c r="D6" s="174">
        <f>SUM(D7:D18)</f>
        <v>202372.37</v>
      </c>
      <c r="E6" s="174">
        <f>SUM(E7:E18)</f>
        <v>1840960.56</v>
      </c>
      <c r="F6" s="174">
        <f>SUM(F7:F18)</f>
        <v>218827.80999999997</v>
      </c>
      <c r="G6" s="174">
        <f>E6-C6</f>
        <v>-1251553.1599999997</v>
      </c>
      <c r="H6" s="259">
        <f>F6-D6</f>
        <v>16455.439999999973</v>
      </c>
    </row>
    <row r="7" spans="1:8" ht="17.25" customHeight="1">
      <c r="A7" s="220">
        <f>A6+1</f>
        <v>2</v>
      </c>
      <c r="B7" s="232" t="s">
        <v>136</v>
      </c>
      <c r="C7" s="260">
        <v>155377.52</v>
      </c>
      <c r="D7" s="260">
        <v>1902.48</v>
      </c>
      <c r="E7" s="260">
        <v>155457.42</v>
      </c>
      <c r="F7" s="260">
        <v>27233.05</v>
      </c>
      <c r="G7" s="260">
        <f>E7-C7</f>
        <v>79.90000000002328</v>
      </c>
      <c r="H7" s="261">
        <f>F7-D7</f>
        <v>25330.57</v>
      </c>
    </row>
    <row r="8" spans="1:8" ht="30" customHeight="1">
      <c r="A8" s="220">
        <f aca="true" t="shared" si="0" ref="A8:A71">A7+1</f>
        <v>3</v>
      </c>
      <c r="B8" s="234" t="s">
        <v>137</v>
      </c>
      <c r="C8" s="260">
        <v>388095.9</v>
      </c>
      <c r="D8" s="260">
        <v>469.15</v>
      </c>
      <c r="E8" s="260">
        <v>383602.58</v>
      </c>
      <c r="F8" s="260">
        <v>113.41</v>
      </c>
      <c r="G8" s="260">
        <f aca="true" t="shared" si="1" ref="G8:H71">E8-C8</f>
        <v>-4493.320000000007</v>
      </c>
      <c r="H8" s="261">
        <f t="shared" si="1"/>
        <v>-355.74</v>
      </c>
    </row>
    <row r="9" spans="1:8" ht="15.75">
      <c r="A9" s="220">
        <f t="shared" si="0"/>
        <v>4</v>
      </c>
      <c r="B9" s="232" t="s">
        <v>138</v>
      </c>
      <c r="C9" s="260">
        <v>189461.45</v>
      </c>
      <c r="D9" s="260">
        <v>3685.85</v>
      </c>
      <c r="E9" s="260">
        <v>138403.18</v>
      </c>
      <c r="F9" s="260">
        <v>4084.33</v>
      </c>
      <c r="G9" s="260">
        <f t="shared" si="1"/>
        <v>-51058.27000000002</v>
      </c>
      <c r="H9" s="261">
        <f t="shared" si="1"/>
        <v>398.48</v>
      </c>
    </row>
    <row r="10" spans="1:8" ht="15.75">
      <c r="A10" s="220">
        <f t="shared" si="0"/>
        <v>5</v>
      </c>
      <c r="B10" s="232" t="s">
        <v>139</v>
      </c>
      <c r="C10" s="260">
        <v>14629.35</v>
      </c>
      <c r="D10" s="260">
        <v>535.06</v>
      </c>
      <c r="E10" s="260">
        <v>12753.73</v>
      </c>
      <c r="F10" s="260">
        <v>377.22</v>
      </c>
      <c r="G10" s="260">
        <f t="shared" si="1"/>
        <v>-1875.6200000000008</v>
      </c>
      <c r="H10" s="261">
        <f t="shared" si="1"/>
        <v>-157.83999999999992</v>
      </c>
    </row>
    <row r="11" spans="1:8" ht="31.5">
      <c r="A11" s="220">
        <f t="shared" si="0"/>
        <v>6</v>
      </c>
      <c r="B11" s="232" t="s">
        <v>140</v>
      </c>
      <c r="C11" s="260">
        <v>34811.6</v>
      </c>
      <c r="D11" s="260">
        <v>295.59</v>
      </c>
      <c r="E11" s="260">
        <v>39834.98</v>
      </c>
      <c r="F11" s="260">
        <v>596.37</v>
      </c>
      <c r="G11" s="260">
        <f t="shared" si="1"/>
        <v>5023.380000000005</v>
      </c>
      <c r="H11" s="261">
        <f t="shared" si="1"/>
        <v>300.78000000000003</v>
      </c>
    </row>
    <row r="12" spans="1:8" ht="31.5">
      <c r="A12" s="220">
        <f t="shared" si="0"/>
        <v>7</v>
      </c>
      <c r="B12" s="232" t="s">
        <v>141</v>
      </c>
      <c r="C12" s="260">
        <v>38248.51</v>
      </c>
      <c r="D12" s="260">
        <v>14446.75</v>
      </c>
      <c r="E12" s="260">
        <v>44907.28</v>
      </c>
      <c r="F12" s="260">
        <v>17806.98</v>
      </c>
      <c r="G12" s="260">
        <f t="shared" si="1"/>
        <v>6658.769999999997</v>
      </c>
      <c r="H12" s="261">
        <f t="shared" si="1"/>
        <v>3360.2299999999996</v>
      </c>
    </row>
    <row r="13" spans="1:8" ht="47.25">
      <c r="A13" s="220">
        <f t="shared" si="0"/>
        <v>8</v>
      </c>
      <c r="B13" s="232" t="s">
        <v>142</v>
      </c>
      <c r="C13" s="260">
        <v>125805.73</v>
      </c>
      <c r="D13" s="260">
        <v>3955.91</v>
      </c>
      <c r="E13" s="260">
        <v>40504.39</v>
      </c>
      <c r="F13" s="260">
        <v>3568.29</v>
      </c>
      <c r="G13" s="260">
        <f t="shared" si="1"/>
        <v>-85301.34</v>
      </c>
      <c r="H13" s="261">
        <f t="shared" si="1"/>
        <v>-387.6199999999999</v>
      </c>
    </row>
    <row r="14" spans="1:8" ht="15.75">
      <c r="A14" s="220">
        <f t="shared" si="0"/>
        <v>9</v>
      </c>
      <c r="B14" s="232" t="s">
        <v>143</v>
      </c>
      <c r="C14" s="260">
        <v>75620.94</v>
      </c>
      <c r="D14" s="260">
        <v>99260.61</v>
      </c>
      <c r="E14" s="260">
        <v>82736.9</v>
      </c>
      <c r="F14" s="260">
        <v>105761.88</v>
      </c>
      <c r="G14" s="260">
        <f t="shared" si="1"/>
        <v>7115.959999999992</v>
      </c>
      <c r="H14" s="261">
        <f t="shared" si="1"/>
        <v>6501.270000000004</v>
      </c>
    </row>
    <row r="15" spans="1:8" ht="31.5">
      <c r="A15" s="220">
        <f t="shared" si="0"/>
        <v>10</v>
      </c>
      <c r="B15" s="53" t="s">
        <v>144</v>
      </c>
      <c r="C15" s="260">
        <v>1053578.16</v>
      </c>
      <c r="D15" s="260">
        <v>22026.26</v>
      </c>
      <c r="E15" s="260">
        <v>356912.16</v>
      </c>
      <c r="F15" s="260">
        <v>6394.49</v>
      </c>
      <c r="G15" s="260">
        <f t="shared" si="1"/>
        <v>-696666</v>
      </c>
      <c r="H15" s="261">
        <f t="shared" si="1"/>
        <v>-15631.769999999999</v>
      </c>
    </row>
    <row r="16" spans="1:8" ht="15.75" customHeight="1">
      <c r="A16" s="220">
        <f t="shared" si="0"/>
        <v>11</v>
      </c>
      <c r="B16" s="232" t="s">
        <v>145</v>
      </c>
      <c r="C16" s="260">
        <v>385938.35</v>
      </c>
      <c r="D16" s="260">
        <v>23686.65</v>
      </c>
      <c r="E16" s="260">
        <v>236488.09</v>
      </c>
      <c r="F16" s="260">
        <v>5422.05</v>
      </c>
      <c r="G16" s="260">
        <f t="shared" si="1"/>
        <v>-149450.25999999998</v>
      </c>
      <c r="H16" s="261">
        <f t="shared" si="1"/>
        <v>-18264.600000000002</v>
      </c>
    </row>
    <row r="17" spans="1:8" ht="31.5">
      <c r="A17" s="220">
        <f t="shared" si="0"/>
        <v>12</v>
      </c>
      <c r="B17" s="53" t="s">
        <v>1020</v>
      </c>
      <c r="C17" s="260">
        <v>259165.85</v>
      </c>
      <c r="D17" s="260">
        <f>8447.05+561.75+49.57</f>
        <v>9058.369999999999</v>
      </c>
      <c r="E17" s="260">
        <v>169730.52</v>
      </c>
      <c r="F17" s="260">
        <v>16926.46</v>
      </c>
      <c r="G17" s="260">
        <f t="shared" si="1"/>
        <v>-89435.33000000002</v>
      </c>
      <c r="H17" s="261">
        <f t="shared" si="1"/>
        <v>7868.09</v>
      </c>
    </row>
    <row r="18" spans="1:8" ht="15.75">
      <c r="A18" s="220">
        <f t="shared" si="0"/>
        <v>13</v>
      </c>
      <c r="B18" s="232" t="s">
        <v>146</v>
      </c>
      <c r="C18" s="260">
        <v>371780.36</v>
      </c>
      <c r="D18" s="260">
        <v>23049.69</v>
      </c>
      <c r="E18" s="260">
        <v>179629.33</v>
      </c>
      <c r="F18" s="260">
        <v>30543.28</v>
      </c>
      <c r="G18" s="260">
        <f t="shared" si="1"/>
        <v>-192151.03</v>
      </c>
      <c r="H18" s="261">
        <f t="shared" si="1"/>
        <v>7493.59</v>
      </c>
    </row>
    <row r="19" spans="1:8" ht="15.75">
      <c r="A19" s="220">
        <f t="shared" si="0"/>
        <v>14</v>
      </c>
      <c r="B19" s="32" t="s">
        <v>1356</v>
      </c>
      <c r="C19" s="174">
        <f>SUM(C20:C25)</f>
        <v>1731248.24</v>
      </c>
      <c r="D19" s="174">
        <f>SUM(D20:D25)</f>
        <v>53970.280000000006</v>
      </c>
      <c r="E19" s="174">
        <f>SUM(E20:E25)</f>
        <v>1737607.29</v>
      </c>
      <c r="F19" s="174">
        <f>SUM(F20:F25)</f>
        <v>47918.2</v>
      </c>
      <c r="G19" s="174">
        <f t="shared" si="1"/>
        <v>6359.050000000047</v>
      </c>
      <c r="H19" s="259">
        <f t="shared" si="1"/>
        <v>-6052.080000000009</v>
      </c>
    </row>
    <row r="20" spans="1:8" ht="15.75">
      <c r="A20" s="220">
        <f t="shared" si="0"/>
        <v>15</v>
      </c>
      <c r="B20" s="232" t="s">
        <v>1315</v>
      </c>
      <c r="C20" s="260">
        <f>610133.63-82895.96</f>
        <v>527237.67</v>
      </c>
      <c r="D20" s="260">
        <v>13076.32</v>
      </c>
      <c r="E20" s="265">
        <v>598922.5399999999</v>
      </c>
      <c r="F20" s="265">
        <v>12850.32</v>
      </c>
      <c r="G20" s="260">
        <f t="shared" si="1"/>
        <v>71684.86999999988</v>
      </c>
      <c r="H20" s="261">
        <f t="shared" si="1"/>
        <v>-226</v>
      </c>
    </row>
    <row r="21" spans="1:8" ht="15.75">
      <c r="A21" s="220">
        <f t="shared" si="0"/>
        <v>16</v>
      </c>
      <c r="B21" s="232" t="s">
        <v>1316</v>
      </c>
      <c r="C21" s="260">
        <f>888753.22-74171.18</f>
        <v>814582.04</v>
      </c>
      <c r="D21" s="260">
        <v>15506.9</v>
      </c>
      <c r="E21" s="265">
        <v>772818.6499999999</v>
      </c>
      <c r="F21" s="265">
        <v>10218.939999999999</v>
      </c>
      <c r="G21" s="260">
        <f t="shared" si="1"/>
        <v>-41763.39000000013</v>
      </c>
      <c r="H21" s="261">
        <f t="shared" si="1"/>
        <v>-5287.960000000001</v>
      </c>
    </row>
    <row r="22" spans="1:8" ht="15.75">
      <c r="A22" s="220">
        <f t="shared" si="0"/>
        <v>17</v>
      </c>
      <c r="B22" s="232" t="s">
        <v>1317</v>
      </c>
      <c r="C22" s="260">
        <f>229908.69-16979.06</f>
        <v>212929.63</v>
      </c>
      <c r="D22" s="260">
        <v>13565.57</v>
      </c>
      <c r="E22" s="265">
        <v>207523.13</v>
      </c>
      <c r="F22" s="265">
        <v>12479.37</v>
      </c>
      <c r="G22" s="260">
        <f t="shared" si="1"/>
        <v>-5406.5</v>
      </c>
      <c r="H22" s="261">
        <f t="shared" si="1"/>
        <v>-1086.199999999999</v>
      </c>
    </row>
    <row r="23" spans="1:8" ht="15.75">
      <c r="A23" s="220">
        <f t="shared" si="0"/>
        <v>18</v>
      </c>
      <c r="B23" s="232" t="s">
        <v>147</v>
      </c>
      <c r="C23" s="260">
        <v>164789.07</v>
      </c>
      <c r="D23" s="260">
        <v>11789.26</v>
      </c>
      <c r="E23" s="265">
        <v>150172.62</v>
      </c>
      <c r="F23" s="265">
        <v>12334.73</v>
      </c>
      <c r="G23" s="260">
        <f t="shared" si="1"/>
        <v>-14616.450000000012</v>
      </c>
      <c r="H23" s="261">
        <f t="shared" si="1"/>
        <v>545.4699999999993</v>
      </c>
    </row>
    <row r="24" spans="1:8" ht="15.75">
      <c r="A24" s="220">
        <f t="shared" si="0"/>
        <v>19</v>
      </c>
      <c r="B24" s="232" t="s">
        <v>148</v>
      </c>
      <c r="C24" s="260">
        <v>1180.23</v>
      </c>
      <c r="D24" s="260">
        <v>32.23</v>
      </c>
      <c r="E24" s="265">
        <v>2121.33</v>
      </c>
      <c r="F24" s="265">
        <v>34.84</v>
      </c>
      <c r="G24" s="260">
        <f t="shared" si="1"/>
        <v>941.0999999999999</v>
      </c>
      <c r="H24" s="261">
        <f t="shared" si="1"/>
        <v>2.6100000000000065</v>
      </c>
    </row>
    <row r="25" spans="1:8" ht="15.75">
      <c r="A25" s="220">
        <f t="shared" si="0"/>
        <v>20</v>
      </c>
      <c r="B25" s="232" t="s">
        <v>948</v>
      </c>
      <c r="C25" s="260">
        <v>10529.6</v>
      </c>
      <c r="D25" s="260"/>
      <c r="E25" s="265">
        <v>6049.02</v>
      </c>
      <c r="F25" s="265" t="s">
        <v>1266</v>
      </c>
      <c r="G25" s="260">
        <f t="shared" si="1"/>
        <v>-4480.58</v>
      </c>
      <c r="H25" s="261">
        <f t="shared" si="1"/>
        <v>0</v>
      </c>
    </row>
    <row r="26" spans="1:8" ht="31.5">
      <c r="A26" s="220">
        <f t="shared" si="0"/>
        <v>21</v>
      </c>
      <c r="B26" s="32" t="s">
        <v>402</v>
      </c>
      <c r="C26" s="174" t="s">
        <v>391</v>
      </c>
      <c r="D26" s="174" t="s">
        <v>391</v>
      </c>
      <c r="E26" s="174" t="s">
        <v>391</v>
      </c>
      <c r="F26" s="174" t="s">
        <v>391</v>
      </c>
      <c r="G26" s="260" t="s">
        <v>208</v>
      </c>
      <c r="H26" s="261" t="s">
        <v>208</v>
      </c>
    </row>
    <row r="27" spans="1:8" ht="15.75">
      <c r="A27" s="220">
        <f t="shared" si="0"/>
        <v>22</v>
      </c>
      <c r="B27" s="32" t="s">
        <v>1357</v>
      </c>
      <c r="C27" s="174">
        <f>SUM(C28:C31)</f>
        <v>0</v>
      </c>
      <c r="D27" s="174">
        <f>SUM(D28:D31)</f>
        <v>18251.04</v>
      </c>
      <c r="E27" s="174">
        <f>SUM(E28:E31)</f>
        <v>75.70000000000437</v>
      </c>
      <c r="F27" s="174">
        <f>SUM(F28:F31)</f>
        <v>13547.250000000007</v>
      </c>
      <c r="G27" s="174">
        <f t="shared" si="1"/>
        <v>75.70000000000437</v>
      </c>
      <c r="H27" s="259">
        <f t="shared" si="1"/>
        <v>-4703.789999999994</v>
      </c>
    </row>
    <row r="28" spans="1:8" ht="15.75">
      <c r="A28" s="220">
        <f t="shared" si="0"/>
        <v>23</v>
      </c>
      <c r="B28" s="232" t="s">
        <v>349</v>
      </c>
      <c r="C28" s="260"/>
      <c r="D28" s="260"/>
      <c r="E28" s="260"/>
      <c r="F28" s="260"/>
      <c r="G28" s="260">
        <f t="shared" si="1"/>
        <v>0</v>
      </c>
      <c r="H28" s="261">
        <f t="shared" si="1"/>
        <v>0</v>
      </c>
    </row>
    <row r="29" spans="1:8" ht="15.75">
      <c r="A29" s="220">
        <f t="shared" si="0"/>
        <v>24</v>
      </c>
      <c r="B29" s="234" t="s">
        <v>375</v>
      </c>
      <c r="C29" s="260"/>
      <c r="D29" s="260"/>
      <c r="E29" s="260"/>
      <c r="F29" s="260"/>
      <c r="G29" s="260">
        <f t="shared" si="1"/>
        <v>0</v>
      </c>
      <c r="H29" s="261">
        <f t="shared" si="1"/>
        <v>0</v>
      </c>
    </row>
    <row r="30" spans="1:8" ht="15.75">
      <c r="A30" s="220">
        <f t="shared" si="0"/>
        <v>25</v>
      </c>
      <c r="B30" s="234" t="s">
        <v>82</v>
      </c>
      <c r="C30" s="260"/>
      <c r="D30" s="260"/>
      <c r="E30" s="260"/>
      <c r="F30" s="260"/>
      <c r="G30" s="260">
        <f t="shared" si="1"/>
        <v>0</v>
      </c>
      <c r="H30" s="261">
        <f t="shared" si="1"/>
        <v>0</v>
      </c>
    </row>
    <row r="31" spans="1:8" ht="15.75">
      <c r="A31" s="220">
        <f t="shared" si="0"/>
        <v>26</v>
      </c>
      <c r="B31" s="232" t="s">
        <v>83</v>
      </c>
      <c r="C31" s="260"/>
      <c r="D31" s="260">
        <v>18251.04</v>
      </c>
      <c r="E31" s="265">
        <v>75.70000000000437</v>
      </c>
      <c r="F31" s="265">
        <v>13547.250000000007</v>
      </c>
      <c r="G31" s="260">
        <f t="shared" si="1"/>
        <v>75.70000000000437</v>
      </c>
      <c r="H31" s="261">
        <f t="shared" si="1"/>
        <v>-4703.789999999994</v>
      </c>
    </row>
    <row r="32" spans="1:8" ht="31.5">
      <c r="A32" s="220">
        <f t="shared" si="0"/>
        <v>27</v>
      </c>
      <c r="B32" s="32" t="s">
        <v>1358</v>
      </c>
      <c r="C32" s="174">
        <f>SUM(C33:C39)</f>
        <v>639144.7799999999</v>
      </c>
      <c r="D32" s="174">
        <f>SUM(D33:D39)</f>
        <v>55609.62</v>
      </c>
      <c r="E32" s="174">
        <f>SUM(E33:E39)</f>
        <v>523227</v>
      </c>
      <c r="F32" s="174">
        <f>SUM(F33:F39)</f>
        <v>48716.82</v>
      </c>
      <c r="G32" s="174">
        <f t="shared" si="1"/>
        <v>-115917.77999999991</v>
      </c>
      <c r="H32" s="259">
        <f t="shared" si="1"/>
        <v>-6892.800000000003</v>
      </c>
    </row>
    <row r="33" spans="1:8" ht="15.75">
      <c r="A33" s="220">
        <f t="shared" si="0"/>
        <v>28</v>
      </c>
      <c r="B33" s="232" t="s">
        <v>149</v>
      </c>
      <c r="C33" s="260">
        <v>520253.32</v>
      </c>
      <c r="D33" s="260">
        <v>40163.03</v>
      </c>
      <c r="E33" s="265">
        <v>389728.24</v>
      </c>
      <c r="F33" s="265">
        <v>33283.06</v>
      </c>
      <c r="G33" s="260">
        <f t="shared" si="1"/>
        <v>-130525.08000000002</v>
      </c>
      <c r="H33" s="261">
        <f t="shared" si="1"/>
        <v>-6879.970000000001</v>
      </c>
    </row>
    <row r="34" spans="1:8" ht="31.5">
      <c r="A34" s="220">
        <f t="shared" si="0"/>
        <v>29</v>
      </c>
      <c r="B34" s="232" t="s">
        <v>150</v>
      </c>
      <c r="C34" s="260">
        <v>42807.38</v>
      </c>
      <c r="D34" s="260">
        <v>2116.03</v>
      </c>
      <c r="E34" s="265">
        <v>61184.78</v>
      </c>
      <c r="F34" s="265">
        <v>3982.9000000000005</v>
      </c>
      <c r="G34" s="260">
        <f t="shared" si="1"/>
        <v>18377.4</v>
      </c>
      <c r="H34" s="261">
        <f t="shared" si="1"/>
        <v>1866.8700000000003</v>
      </c>
    </row>
    <row r="35" spans="1:8" ht="31.5">
      <c r="A35" s="220">
        <f t="shared" si="0"/>
        <v>30</v>
      </c>
      <c r="B35" s="232" t="s">
        <v>151</v>
      </c>
      <c r="C35" s="260">
        <v>16535.11</v>
      </c>
      <c r="D35" s="260">
        <v>2088.19</v>
      </c>
      <c r="E35" s="265">
        <v>19028.81</v>
      </c>
      <c r="F35" s="265">
        <v>2767.32</v>
      </c>
      <c r="G35" s="260">
        <f t="shared" si="1"/>
        <v>2493.7000000000007</v>
      </c>
      <c r="H35" s="261">
        <f t="shared" si="1"/>
        <v>679.1300000000001</v>
      </c>
    </row>
    <row r="36" spans="1:8" ht="31.5">
      <c r="A36" s="220">
        <f t="shared" si="0"/>
        <v>31</v>
      </c>
      <c r="B36" s="232" t="s">
        <v>152</v>
      </c>
      <c r="C36" s="260">
        <v>19754.74</v>
      </c>
      <c r="D36" s="260">
        <v>1106.3</v>
      </c>
      <c r="E36" s="265">
        <v>17642.39</v>
      </c>
      <c r="F36" s="265">
        <v>5061.94</v>
      </c>
      <c r="G36" s="260">
        <f t="shared" si="1"/>
        <v>-2112.350000000002</v>
      </c>
      <c r="H36" s="261">
        <f t="shared" si="1"/>
        <v>3955.6399999999994</v>
      </c>
    </row>
    <row r="37" spans="1:8" ht="31.5">
      <c r="A37" s="220">
        <f t="shared" si="0"/>
        <v>32</v>
      </c>
      <c r="B37" s="53" t="s">
        <v>154</v>
      </c>
      <c r="C37" s="260">
        <v>9017.1</v>
      </c>
      <c r="D37" s="260"/>
      <c r="E37" s="265">
        <v>10491.47</v>
      </c>
      <c r="F37" s="265" t="s">
        <v>1266</v>
      </c>
      <c r="G37" s="260">
        <f t="shared" si="1"/>
        <v>1474.369999999999</v>
      </c>
      <c r="H37" s="261">
        <f t="shared" si="1"/>
        <v>0</v>
      </c>
    </row>
    <row r="38" spans="1:8" ht="31.5">
      <c r="A38" s="220">
        <f t="shared" si="0"/>
        <v>33</v>
      </c>
      <c r="B38" s="232" t="s">
        <v>155</v>
      </c>
      <c r="C38" s="260">
        <v>19445.23</v>
      </c>
      <c r="D38" s="260">
        <f>613.23+3202.65</f>
        <v>3815.88</v>
      </c>
      <c r="E38" s="265">
        <v>19710.07</v>
      </c>
      <c r="F38" s="265">
        <v>2720.7</v>
      </c>
      <c r="G38" s="260">
        <f t="shared" si="1"/>
        <v>264.84000000000015</v>
      </c>
      <c r="H38" s="261">
        <f t="shared" si="1"/>
        <v>-1095.1800000000003</v>
      </c>
    </row>
    <row r="39" spans="1:8" ht="15.75">
      <c r="A39" s="220">
        <f t="shared" si="0"/>
        <v>34</v>
      </c>
      <c r="B39" s="232" t="s">
        <v>156</v>
      </c>
      <c r="C39" s="260">
        <v>11331.9</v>
      </c>
      <c r="D39" s="260">
        <v>6320.19</v>
      </c>
      <c r="E39" s="265">
        <v>5441.24</v>
      </c>
      <c r="F39" s="265">
        <v>900.9</v>
      </c>
      <c r="G39" s="260">
        <f t="shared" si="1"/>
        <v>-5890.66</v>
      </c>
      <c r="H39" s="261">
        <f t="shared" si="1"/>
        <v>-5419.29</v>
      </c>
    </row>
    <row r="40" spans="1:8" ht="15.75">
      <c r="A40" s="220">
        <f t="shared" si="0"/>
        <v>35</v>
      </c>
      <c r="B40" s="32" t="s">
        <v>1359</v>
      </c>
      <c r="C40" s="174">
        <f>C41+C42</f>
        <v>682332.39</v>
      </c>
      <c r="D40" s="174">
        <f>D41+D42</f>
        <v>5414.1</v>
      </c>
      <c r="E40" s="174">
        <f>E41+E42</f>
        <v>662493.2000000001</v>
      </c>
      <c r="F40" s="174">
        <f>F41+F42</f>
        <v>6090.540000000001</v>
      </c>
      <c r="G40" s="174">
        <f t="shared" si="1"/>
        <v>-19839.189999999944</v>
      </c>
      <c r="H40" s="259">
        <f t="shared" si="1"/>
        <v>676.4400000000005</v>
      </c>
    </row>
    <row r="41" spans="1:8" ht="15.75">
      <c r="A41" s="220">
        <f t="shared" si="0"/>
        <v>36</v>
      </c>
      <c r="B41" s="232" t="s">
        <v>1313</v>
      </c>
      <c r="C41" s="260">
        <f>104913.91-22785.64</f>
        <v>82128.27</v>
      </c>
      <c r="D41" s="260">
        <v>2920.35</v>
      </c>
      <c r="E41" s="265">
        <f>121031.4-10883.61</f>
        <v>110147.79</v>
      </c>
      <c r="F41" s="265">
        <f>2725.01+45.6</f>
        <v>2770.61</v>
      </c>
      <c r="G41" s="260">
        <f t="shared" si="1"/>
        <v>28019.51999999999</v>
      </c>
      <c r="H41" s="261">
        <f t="shared" si="1"/>
        <v>-149.73999999999978</v>
      </c>
    </row>
    <row r="42" spans="1:8" ht="31.5">
      <c r="A42" s="220">
        <f t="shared" si="0"/>
        <v>37</v>
      </c>
      <c r="B42" s="232" t="s">
        <v>1314</v>
      </c>
      <c r="C42" s="260">
        <f>605017.21-4813.09</f>
        <v>600204.12</v>
      </c>
      <c r="D42" s="260">
        <v>2493.75</v>
      </c>
      <c r="E42" s="265">
        <f>572129.68-22776.68+2992.41</f>
        <v>552345.41</v>
      </c>
      <c r="F42" s="265">
        <f>3314.67+5.26</f>
        <v>3319.9300000000003</v>
      </c>
      <c r="G42" s="260">
        <f t="shared" si="1"/>
        <v>-47858.70999999996</v>
      </c>
      <c r="H42" s="261">
        <f t="shared" si="1"/>
        <v>826.1800000000003</v>
      </c>
    </row>
    <row r="43" spans="1:8" ht="15.75">
      <c r="A43" s="220">
        <f t="shared" si="0"/>
        <v>38</v>
      </c>
      <c r="B43" s="32" t="s">
        <v>403</v>
      </c>
      <c r="C43" s="174">
        <v>41026.47</v>
      </c>
      <c r="D43" s="174">
        <v>1833.81</v>
      </c>
      <c r="E43" s="265">
        <v>29761.75</v>
      </c>
      <c r="F43" s="265">
        <v>264.84000000000003</v>
      </c>
      <c r="G43" s="260">
        <f t="shared" si="1"/>
        <v>-11264.720000000001</v>
      </c>
      <c r="H43" s="261">
        <f t="shared" si="1"/>
        <v>-1568.9699999999998</v>
      </c>
    </row>
    <row r="44" spans="1:8" ht="15.75">
      <c r="A44" s="220">
        <f t="shared" si="0"/>
        <v>39</v>
      </c>
      <c r="B44" s="32" t="s">
        <v>1360</v>
      </c>
      <c r="C44" s="174">
        <f>SUM(C45:C59)</f>
        <v>3806724.01</v>
      </c>
      <c r="D44" s="174">
        <f>SUM(D45:D59)</f>
        <v>308852.42000000004</v>
      </c>
      <c r="E44" s="174">
        <f>SUM(E45:E59)</f>
        <v>3162096.84</v>
      </c>
      <c r="F44" s="174">
        <f>SUM(F45:F59)</f>
        <v>164910.96</v>
      </c>
      <c r="G44" s="174">
        <f t="shared" si="1"/>
        <v>-644627.1699999999</v>
      </c>
      <c r="H44" s="259">
        <f t="shared" si="1"/>
        <v>-143941.46000000005</v>
      </c>
    </row>
    <row r="45" spans="1:8" ht="15.75">
      <c r="A45" s="220">
        <f t="shared" si="0"/>
        <v>40</v>
      </c>
      <c r="B45" s="232" t="s">
        <v>158</v>
      </c>
      <c r="C45" s="260">
        <v>98471</v>
      </c>
      <c r="D45" s="260">
        <v>1512.25</v>
      </c>
      <c r="E45" s="265">
        <v>92193.37</v>
      </c>
      <c r="F45" s="265">
        <v>2093.51</v>
      </c>
      <c r="G45" s="260">
        <f t="shared" si="1"/>
        <v>-6277.630000000005</v>
      </c>
      <c r="H45" s="261">
        <f t="shared" si="1"/>
        <v>581.2600000000002</v>
      </c>
    </row>
    <row r="46" spans="1:8" ht="15.75">
      <c r="A46" s="220">
        <f t="shared" si="0"/>
        <v>41</v>
      </c>
      <c r="B46" s="232" t="s">
        <v>157</v>
      </c>
      <c r="C46" s="260">
        <v>6991.49</v>
      </c>
      <c r="D46" s="260">
        <v>2663</v>
      </c>
      <c r="E46" s="265">
        <v>7157.71</v>
      </c>
      <c r="F46" s="265">
        <v>1958</v>
      </c>
      <c r="G46" s="260">
        <f t="shared" si="1"/>
        <v>166.22000000000025</v>
      </c>
      <c r="H46" s="261">
        <f t="shared" si="1"/>
        <v>-705</v>
      </c>
    </row>
    <row r="47" spans="1:8" ht="15.75">
      <c r="A47" s="220">
        <f t="shared" si="0"/>
        <v>42</v>
      </c>
      <c r="B47" s="232" t="s">
        <v>159</v>
      </c>
      <c r="C47" s="260">
        <v>93032.1</v>
      </c>
      <c r="D47" s="260">
        <v>60</v>
      </c>
      <c r="E47" s="265">
        <v>98591</v>
      </c>
      <c r="F47" s="265">
        <v>1539.55</v>
      </c>
      <c r="G47" s="260">
        <f t="shared" si="1"/>
        <v>5558.899999999994</v>
      </c>
      <c r="H47" s="261">
        <f t="shared" si="1"/>
        <v>1479.55</v>
      </c>
    </row>
    <row r="48" spans="1:8" ht="15.75">
      <c r="A48" s="220">
        <f t="shared" si="0"/>
        <v>43</v>
      </c>
      <c r="B48" s="232" t="s">
        <v>160</v>
      </c>
      <c r="C48" s="260">
        <v>43312.38</v>
      </c>
      <c r="D48" s="260">
        <v>136966.34</v>
      </c>
      <c r="E48" s="265">
        <v>8211.810000000001</v>
      </c>
      <c r="F48" s="265">
        <v>54041.04</v>
      </c>
      <c r="G48" s="260">
        <f t="shared" si="1"/>
        <v>-35100.56999999999</v>
      </c>
      <c r="H48" s="261">
        <f t="shared" si="1"/>
        <v>-82925.29999999999</v>
      </c>
    </row>
    <row r="49" spans="1:8" ht="15.75">
      <c r="A49" s="220">
        <f t="shared" si="0"/>
        <v>44</v>
      </c>
      <c r="B49" s="232" t="s">
        <v>161</v>
      </c>
      <c r="C49" s="260">
        <f>87009.86-2844.74</f>
        <v>84165.12</v>
      </c>
      <c r="D49" s="260">
        <v>7625.63</v>
      </c>
      <c r="E49" s="265">
        <v>76488.68</v>
      </c>
      <c r="F49" s="265">
        <v>5816.65</v>
      </c>
      <c r="G49" s="260">
        <f t="shared" si="1"/>
        <v>-7676.440000000002</v>
      </c>
      <c r="H49" s="261">
        <f t="shared" si="1"/>
        <v>-1808.9800000000005</v>
      </c>
    </row>
    <row r="50" spans="1:8" ht="31.5">
      <c r="A50" s="220">
        <f t="shared" si="0"/>
        <v>45</v>
      </c>
      <c r="B50" s="232" t="s">
        <v>162</v>
      </c>
      <c r="C50" s="260">
        <v>8391.5</v>
      </c>
      <c r="D50" s="260">
        <v>1977.12</v>
      </c>
      <c r="E50" s="265">
        <v>26000.02</v>
      </c>
      <c r="F50" s="265" t="s">
        <v>1266</v>
      </c>
      <c r="G50" s="260">
        <f t="shared" si="1"/>
        <v>17608.52</v>
      </c>
      <c r="H50" s="261">
        <f t="shared" si="1"/>
        <v>-1977.12</v>
      </c>
    </row>
    <row r="51" spans="1:8" ht="15.75">
      <c r="A51" s="220">
        <f t="shared" si="0"/>
        <v>46</v>
      </c>
      <c r="B51" s="232" t="s">
        <v>163</v>
      </c>
      <c r="C51" s="260">
        <v>55140.25</v>
      </c>
      <c r="D51" s="260">
        <v>1637.88</v>
      </c>
      <c r="E51" s="265">
        <v>52231.48</v>
      </c>
      <c r="F51" s="265">
        <v>887.75</v>
      </c>
      <c r="G51" s="260">
        <f t="shared" si="1"/>
        <v>-2908.769999999997</v>
      </c>
      <c r="H51" s="261">
        <f t="shared" si="1"/>
        <v>-750.1300000000001</v>
      </c>
    </row>
    <row r="52" spans="1:8" ht="15.75">
      <c r="A52" s="220">
        <f t="shared" si="0"/>
        <v>47</v>
      </c>
      <c r="B52" s="232" t="s">
        <v>164</v>
      </c>
      <c r="C52" s="260">
        <f>102476.14-1659.4</f>
        <v>100816.74</v>
      </c>
      <c r="D52" s="260"/>
      <c r="E52" s="265">
        <v>88903.05</v>
      </c>
      <c r="F52" s="265">
        <v>0</v>
      </c>
      <c r="G52" s="260">
        <f t="shared" si="1"/>
        <v>-11913.690000000002</v>
      </c>
      <c r="H52" s="261">
        <f t="shared" si="1"/>
        <v>0</v>
      </c>
    </row>
    <row r="53" spans="1:8" ht="15.75">
      <c r="A53" s="220">
        <f t="shared" si="0"/>
        <v>48</v>
      </c>
      <c r="B53" s="232" t="s">
        <v>165</v>
      </c>
      <c r="C53" s="260">
        <v>14672.96</v>
      </c>
      <c r="D53" s="260">
        <v>550.38</v>
      </c>
      <c r="E53" s="265">
        <v>22350.66</v>
      </c>
      <c r="F53" s="265">
        <v>916.6500000000001</v>
      </c>
      <c r="G53" s="260">
        <f t="shared" si="1"/>
        <v>7677.700000000001</v>
      </c>
      <c r="H53" s="261">
        <f t="shared" si="1"/>
        <v>366.2700000000001</v>
      </c>
    </row>
    <row r="54" spans="1:8" ht="15.75">
      <c r="A54" s="220">
        <f t="shared" si="0"/>
        <v>49</v>
      </c>
      <c r="B54" s="232" t="s">
        <v>166</v>
      </c>
      <c r="C54" s="260">
        <v>1010.55</v>
      </c>
      <c r="D54" s="260"/>
      <c r="E54" s="265" t="s">
        <v>1266</v>
      </c>
      <c r="F54" s="265" t="s">
        <v>1266</v>
      </c>
      <c r="G54" s="260">
        <f t="shared" si="1"/>
        <v>-1010.55</v>
      </c>
      <c r="H54" s="261">
        <f t="shared" si="1"/>
        <v>0</v>
      </c>
    </row>
    <row r="55" spans="1:8" ht="15.75">
      <c r="A55" s="220">
        <f t="shared" si="0"/>
        <v>50</v>
      </c>
      <c r="B55" s="232" t="s">
        <v>167</v>
      </c>
      <c r="C55" s="260">
        <v>19487.11</v>
      </c>
      <c r="D55" s="260">
        <v>35.8</v>
      </c>
      <c r="E55" s="265">
        <v>24730.159999999996</v>
      </c>
      <c r="F55" s="265">
        <v>373.13</v>
      </c>
      <c r="G55" s="260">
        <f t="shared" si="1"/>
        <v>5243.049999999996</v>
      </c>
      <c r="H55" s="261">
        <f t="shared" si="1"/>
        <v>337.33</v>
      </c>
    </row>
    <row r="56" spans="1:8" ht="15.75">
      <c r="A56" s="220">
        <f t="shared" si="0"/>
        <v>51</v>
      </c>
      <c r="B56" s="232" t="s">
        <v>119</v>
      </c>
      <c r="C56" s="260">
        <v>90901.47</v>
      </c>
      <c r="D56" s="260">
        <v>3453.09</v>
      </c>
      <c r="E56" s="265">
        <v>102824.47</v>
      </c>
      <c r="F56" s="265">
        <v>331.94</v>
      </c>
      <c r="G56" s="260">
        <f t="shared" si="1"/>
        <v>11923</v>
      </c>
      <c r="H56" s="261">
        <f t="shared" si="1"/>
        <v>-3121.15</v>
      </c>
    </row>
    <row r="57" spans="1:8" ht="15.75">
      <c r="A57" s="220">
        <f t="shared" si="0"/>
        <v>52</v>
      </c>
      <c r="B57" s="232" t="s">
        <v>120</v>
      </c>
      <c r="C57" s="260"/>
      <c r="D57" s="260"/>
      <c r="E57" s="265" t="s">
        <v>1266</v>
      </c>
      <c r="F57" s="265" t="s">
        <v>1266</v>
      </c>
      <c r="G57" s="260">
        <f t="shared" si="1"/>
        <v>0</v>
      </c>
      <c r="H57" s="261">
        <f t="shared" si="1"/>
        <v>0</v>
      </c>
    </row>
    <row r="58" spans="1:8" ht="31.5">
      <c r="A58" s="220">
        <f t="shared" si="0"/>
        <v>53</v>
      </c>
      <c r="B58" s="232" t="s">
        <v>168</v>
      </c>
      <c r="C58" s="260">
        <v>993154.57</v>
      </c>
      <c r="D58" s="260">
        <v>75556.02</v>
      </c>
      <c r="E58" s="266">
        <v>560133.51</v>
      </c>
      <c r="F58" s="266">
        <v>82500.65</v>
      </c>
      <c r="G58" s="260">
        <f t="shared" si="1"/>
        <v>-433021.05999999994</v>
      </c>
      <c r="H58" s="261">
        <f t="shared" si="1"/>
        <v>6944.62999999999</v>
      </c>
    </row>
    <row r="59" spans="1:8" ht="15.75">
      <c r="A59" s="220">
        <f t="shared" si="0"/>
        <v>54</v>
      </c>
      <c r="B59" s="232" t="s">
        <v>169</v>
      </c>
      <c r="C59" s="260">
        <f>2198338.82-1162.05</f>
        <v>2197176.77</v>
      </c>
      <c r="D59" s="260">
        <v>76814.91</v>
      </c>
      <c r="E59" s="265">
        <v>2002280.92</v>
      </c>
      <c r="F59" s="265">
        <v>14452.09</v>
      </c>
      <c r="G59" s="260">
        <f t="shared" si="1"/>
        <v>-194895.8500000001</v>
      </c>
      <c r="H59" s="261">
        <f t="shared" si="1"/>
        <v>-62362.82000000001</v>
      </c>
    </row>
    <row r="60" spans="1:8" ht="15.75">
      <c r="A60" s="220">
        <f t="shared" si="0"/>
        <v>55</v>
      </c>
      <c r="B60" s="32" t="s">
        <v>1361</v>
      </c>
      <c r="C60" s="174">
        <f>C61+C62</f>
        <v>14709860.79</v>
      </c>
      <c r="D60" s="174">
        <f>D61+D62</f>
        <v>348603.36</v>
      </c>
      <c r="E60" s="174">
        <f>E61+E62</f>
        <v>14823552.67</v>
      </c>
      <c r="F60" s="174">
        <f>F61+F62</f>
        <v>312615.06000000006</v>
      </c>
      <c r="G60" s="174">
        <f t="shared" si="1"/>
        <v>113691.88000000082</v>
      </c>
      <c r="H60" s="259">
        <f t="shared" si="1"/>
        <v>-35988.29999999993</v>
      </c>
    </row>
    <row r="61" spans="1:8" ht="15.75">
      <c r="A61" s="220">
        <f t="shared" si="0"/>
        <v>56</v>
      </c>
      <c r="B61" s="232" t="s">
        <v>170</v>
      </c>
      <c r="C61" s="260">
        <v>13759405.68</v>
      </c>
      <c r="D61" s="260">
        <v>290693.23</v>
      </c>
      <c r="E61" s="265">
        <v>13942555.69</v>
      </c>
      <c r="F61" s="265">
        <v>262383.60000000003</v>
      </c>
      <c r="G61" s="260">
        <f t="shared" si="1"/>
        <v>183150.00999999978</v>
      </c>
      <c r="H61" s="261">
        <f t="shared" si="1"/>
        <v>-28309.629999999946</v>
      </c>
    </row>
    <row r="62" spans="1:8" ht="15.75">
      <c r="A62" s="220">
        <f t="shared" si="0"/>
        <v>57</v>
      </c>
      <c r="B62" s="32" t="s">
        <v>20</v>
      </c>
      <c r="C62" s="174">
        <f>SUM(C63:C65)</f>
        <v>950455.11</v>
      </c>
      <c r="D62" s="174">
        <f>SUM(D63:D65)</f>
        <v>57910.13</v>
      </c>
      <c r="E62" s="174">
        <f>SUM(E63:E65)</f>
        <v>880996.9799999999</v>
      </c>
      <c r="F62" s="174">
        <f>SUM(F63:F65)</f>
        <v>50231.45999999999</v>
      </c>
      <c r="G62" s="174">
        <f t="shared" si="1"/>
        <v>-69458.13000000012</v>
      </c>
      <c r="H62" s="259">
        <f t="shared" si="1"/>
        <v>-7678.6700000000055</v>
      </c>
    </row>
    <row r="63" spans="1:8" s="245" customFormat="1" ht="16.5" customHeight="1">
      <c r="A63" s="220">
        <f t="shared" si="0"/>
        <v>58</v>
      </c>
      <c r="B63" s="267" t="s">
        <v>18</v>
      </c>
      <c r="C63" s="260">
        <v>0</v>
      </c>
      <c r="D63" s="260"/>
      <c r="E63" s="265" t="s">
        <v>1266</v>
      </c>
      <c r="F63" s="265" t="s">
        <v>1266</v>
      </c>
      <c r="G63" s="260">
        <f t="shared" si="1"/>
        <v>0</v>
      </c>
      <c r="H63" s="261">
        <f t="shared" si="1"/>
        <v>0</v>
      </c>
    </row>
    <row r="64" spans="1:8" ht="47.25">
      <c r="A64" s="220">
        <f t="shared" si="0"/>
        <v>59</v>
      </c>
      <c r="B64" s="267" t="s">
        <v>19</v>
      </c>
      <c r="C64" s="260">
        <v>926050.92</v>
      </c>
      <c r="D64" s="260">
        <v>54479.07</v>
      </c>
      <c r="E64" s="266">
        <v>869965.6199999999</v>
      </c>
      <c r="F64" s="266">
        <v>43565.56999999999</v>
      </c>
      <c r="G64" s="260">
        <f t="shared" si="1"/>
        <v>-56085.30000000016</v>
      </c>
      <c r="H64" s="261">
        <f t="shared" si="1"/>
        <v>-10913.500000000007</v>
      </c>
    </row>
    <row r="65" spans="1:8" ht="31.5">
      <c r="A65" s="220">
        <f t="shared" si="0"/>
        <v>60</v>
      </c>
      <c r="B65" s="232" t="s">
        <v>313</v>
      </c>
      <c r="C65" s="260">
        <v>24404.19</v>
      </c>
      <c r="D65" s="260">
        <v>3431.06</v>
      </c>
      <c r="E65" s="265">
        <v>11031.36</v>
      </c>
      <c r="F65" s="265">
        <v>6665.89</v>
      </c>
      <c r="G65" s="260">
        <f t="shared" si="1"/>
        <v>-13372.829999999998</v>
      </c>
      <c r="H65" s="261">
        <f t="shared" si="1"/>
        <v>3234.8300000000004</v>
      </c>
    </row>
    <row r="66" spans="1:8" ht="15.75">
      <c r="A66" s="220">
        <f t="shared" si="0"/>
        <v>61</v>
      </c>
      <c r="B66" s="32" t="s">
        <v>238</v>
      </c>
      <c r="C66" s="260">
        <v>4669564.83</v>
      </c>
      <c r="D66" s="260">
        <v>101683.44</v>
      </c>
      <c r="E66" s="265">
        <v>4768074.97</v>
      </c>
      <c r="F66" s="265">
        <v>90910.93</v>
      </c>
      <c r="G66" s="260">
        <f t="shared" si="1"/>
        <v>98510.13999999966</v>
      </c>
      <c r="H66" s="261">
        <f t="shared" si="1"/>
        <v>-10772.51000000001</v>
      </c>
    </row>
    <row r="67" spans="1:8" ht="15.75">
      <c r="A67" s="220">
        <f t="shared" si="0"/>
        <v>62</v>
      </c>
      <c r="B67" s="32" t="s">
        <v>39</v>
      </c>
      <c r="C67" s="260">
        <v>95632.03</v>
      </c>
      <c r="D67" s="260">
        <v>3142.76</v>
      </c>
      <c r="E67" s="265">
        <v>94240.93</v>
      </c>
      <c r="F67" s="265">
        <v>2856.07</v>
      </c>
      <c r="G67" s="260">
        <f t="shared" si="1"/>
        <v>-1391.1000000000058</v>
      </c>
      <c r="H67" s="261">
        <f t="shared" si="1"/>
        <v>-286.69000000000005</v>
      </c>
    </row>
    <row r="68" spans="1:8" ht="31.5">
      <c r="A68" s="220">
        <f t="shared" si="0"/>
        <v>63</v>
      </c>
      <c r="B68" s="32" t="s">
        <v>21</v>
      </c>
      <c r="C68" s="174">
        <f>SUM(C69:C74)</f>
        <v>504524.61</v>
      </c>
      <c r="D68" s="174">
        <f>SUM(D69:D74)</f>
        <v>4512.82</v>
      </c>
      <c r="E68" s="174">
        <f>SUM(E69:E74)</f>
        <v>460120.61</v>
      </c>
      <c r="F68" s="174">
        <f>SUM(F69:F74)</f>
        <v>7425.96</v>
      </c>
      <c r="G68" s="174">
        <f t="shared" si="1"/>
        <v>-44404</v>
      </c>
      <c r="H68" s="259">
        <f t="shared" si="1"/>
        <v>2913.1400000000003</v>
      </c>
    </row>
    <row r="69" spans="1:8" ht="15.75">
      <c r="A69" s="220">
        <f t="shared" si="0"/>
        <v>64</v>
      </c>
      <c r="B69" s="232" t="s">
        <v>109</v>
      </c>
      <c r="C69" s="260">
        <v>147005.97</v>
      </c>
      <c r="D69" s="260">
        <v>3862.02</v>
      </c>
      <c r="E69" s="265">
        <v>145067.09999999998</v>
      </c>
      <c r="F69" s="265">
        <v>6503.37</v>
      </c>
      <c r="G69" s="260">
        <f t="shared" si="1"/>
        <v>-1938.8700000000244</v>
      </c>
      <c r="H69" s="261">
        <f t="shared" si="1"/>
        <v>2641.35</v>
      </c>
    </row>
    <row r="70" spans="1:8" ht="31.5">
      <c r="A70" s="220">
        <f t="shared" si="0"/>
        <v>65</v>
      </c>
      <c r="B70" s="232" t="s">
        <v>171</v>
      </c>
      <c r="C70" s="260">
        <v>234514.55</v>
      </c>
      <c r="D70" s="260">
        <v>106.24</v>
      </c>
      <c r="E70" s="265">
        <v>252565.28</v>
      </c>
      <c r="F70" s="265" t="s">
        <v>1266</v>
      </c>
      <c r="G70" s="260">
        <f t="shared" si="1"/>
        <v>18050.73000000001</v>
      </c>
      <c r="H70" s="261">
        <f t="shared" si="1"/>
        <v>-106.24</v>
      </c>
    </row>
    <row r="71" spans="1:8" ht="15.75">
      <c r="A71" s="220">
        <f t="shared" si="0"/>
        <v>66</v>
      </c>
      <c r="B71" s="232" t="s">
        <v>172</v>
      </c>
      <c r="C71" s="260">
        <v>97077.44</v>
      </c>
      <c r="D71" s="260"/>
      <c r="E71" s="265">
        <v>33321.75</v>
      </c>
      <c r="F71" s="265" t="s">
        <v>1266</v>
      </c>
      <c r="G71" s="260">
        <f t="shared" si="1"/>
        <v>-63755.69</v>
      </c>
      <c r="H71" s="261">
        <f t="shared" si="1"/>
        <v>0</v>
      </c>
    </row>
    <row r="72" spans="1:8" ht="15.75">
      <c r="A72" s="220">
        <f aca="true" t="shared" si="2" ref="A72:A101">A71+1</f>
        <v>67</v>
      </c>
      <c r="B72" s="232" t="s">
        <v>173</v>
      </c>
      <c r="C72" s="260">
        <v>25551.43</v>
      </c>
      <c r="D72" s="260">
        <v>544.56</v>
      </c>
      <c r="E72" s="265">
        <v>28372.41</v>
      </c>
      <c r="F72" s="265">
        <v>922.59</v>
      </c>
      <c r="G72" s="260">
        <f aca="true" t="shared" si="3" ref="G72:H97">E72-C72</f>
        <v>2820.9799999999996</v>
      </c>
      <c r="H72" s="261">
        <f t="shared" si="3"/>
        <v>378.0300000000001</v>
      </c>
    </row>
    <row r="73" spans="1:8" ht="31.5">
      <c r="A73" s="220">
        <f t="shared" si="2"/>
        <v>68</v>
      </c>
      <c r="B73" s="232" t="s">
        <v>174</v>
      </c>
      <c r="C73" s="260">
        <v>375.22</v>
      </c>
      <c r="D73" s="260"/>
      <c r="E73" s="265">
        <v>794.07</v>
      </c>
      <c r="F73" s="265" t="s">
        <v>1266</v>
      </c>
      <c r="G73" s="260">
        <f t="shared" si="3"/>
        <v>418.85</v>
      </c>
      <c r="H73" s="261">
        <f t="shared" si="3"/>
        <v>0</v>
      </c>
    </row>
    <row r="74" spans="1:8" ht="31.5">
      <c r="A74" s="220">
        <f t="shared" si="2"/>
        <v>69</v>
      </c>
      <c r="B74" s="232" t="s">
        <v>175</v>
      </c>
      <c r="C74" s="260"/>
      <c r="D74" s="260"/>
      <c r="E74" s="265" t="s">
        <v>1266</v>
      </c>
      <c r="F74" s="265" t="s">
        <v>1266</v>
      </c>
      <c r="G74" s="260">
        <f t="shared" si="3"/>
        <v>0</v>
      </c>
      <c r="H74" s="261">
        <f t="shared" si="3"/>
        <v>0</v>
      </c>
    </row>
    <row r="75" spans="1:8" ht="15.75">
      <c r="A75" s="220">
        <f t="shared" si="2"/>
        <v>70</v>
      </c>
      <c r="B75" s="32" t="s">
        <v>59</v>
      </c>
      <c r="C75" s="260"/>
      <c r="D75" s="260"/>
      <c r="E75" s="265" t="s">
        <v>1266</v>
      </c>
      <c r="F75" s="265" t="s">
        <v>1266</v>
      </c>
      <c r="G75" s="260">
        <f t="shared" si="3"/>
        <v>0</v>
      </c>
      <c r="H75" s="261">
        <f t="shared" si="3"/>
        <v>0</v>
      </c>
    </row>
    <row r="76" spans="1:8" ht="15.75">
      <c r="A76" s="220">
        <f t="shared" si="2"/>
        <v>71</v>
      </c>
      <c r="B76" s="32" t="s">
        <v>462</v>
      </c>
      <c r="C76" s="260"/>
      <c r="D76" s="260">
        <v>112.86</v>
      </c>
      <c r="E76" s="265" t="s">
        <v>1266</v>
      </c>
      <c r="F76" s="265">
        <v>112.86</v>
      </c>
      <c r="G76" s="260">
        <f t="shared" si="3"/>
        <v>0</v>
      </c>
      <c r="H76" s="261">
        <f t="shared" si="3"/>
        <v>0</v>
      </c>
    </row>
    <row r="77" spans="1:8" ht="15.75">
      <c r="A77" s="220">
        <f t="shared" si="2"/>
        <v>72</v>
      </c>
      <c r="B77" s="32" t="s">
        <v>240</v>
      </c>
      <c r="C77" s="260">
        <v>12805.37</v>
      </c>
      <c r="D77" s="260">
        <v>5774.17</v>
      </c>
      <c r="E77" s="265">
        <v>14498.28</v>
      </c>
      <c r="F77" s="265">
        <v>3206.47</v>
      </c>
      <c r="G77" s="260">
        <f t="shared" si="3"/>
        <v>1692.9099999999999</v>
      </c>
      <c r="H77" s="261">
        <f t="shared" si="3"/>
        <v>-2567.7000000000003</v>
      </c>
    </row>
    <row r="78" spans="1:8" ht="15.75">
      <c r="A78" s="220">
        <f t="shared" si="2"/>
        <v>73</v>
      </c>
      <c r="B78" s="32" t="s">
        <v>372</v>
      </c>
      <c r="C78" s="260">
        <v>28127.03</v>
      </c>
      <c r="D78" s="260">
        <v>1593.93</v>
      </c>
      <c r="E78" s="265">
        <v>22741.1</v>
      </c>
      <c r="F78" s="265">
        <v>637.5</v>
      </c>
      <c r="G78" s="260">
        <f t="shared" si="3"/>
        <v>-5385.93</v>
      </c>
      <c r="H78" s="261">
        <f t="shared" si="3"/>
        <v>-956.4300000000001</v>
      </c>
    </row>
    <row r="79" spans="1:8" ht="31.5">
      <c r="A79" s="220">
        <f t="shared" si="2"/>
        <v>74</v>
      </c>
      <c r="B79" s="32" t="s">
        <v>22</v>
      </c>
      <c r="C79" s="174">
        <f>C80+C81</f>
        <v>2111508.0799999996</v>
      </c>
      <c r="D79" s="174">
        <f>D80+D81</f>
        <v>3769.3700000000003</v>
      </c>
      <c r="E79" s="174">
        <f>E80+E81</f>
        <v>2042103.7300000004</v>
      </c>
      <c r="F79" s="174">
        <f>F80+F81</f>
        <v>2467.95</v>
      </c>
      <c r="G79" s="174">
        <f t="shared" si="3"/>
        <v>-69404.34999999916</v>
      </c>
      <c r="H79" s="259">
        <f t="shared" si="3"/>
        <v>-1301.4200000000005</v>
      </c>
    </row>
    <row r="80" spans="1:8" ht="47.25">
      <c r="A80" s="220">
        <f t="shared" si="2"/>
        <v>75</v>
      </c>
      <c r="B80" s="32" t="s">
        <v>316</v>
      </c>
      <c r="C80" s="174">
        <v>76920.34</v>
      </c>
      <c r="D80" s="174">
        <v>0.02</v>
      </c>
      <c r="E80" s="266">
        <v>21581.82</v>
      </c>
      <c r="F80" s="266">
        <v>1122.8600000000001</v>
      </c>
      <c r="G80" s="260">
        <f t="shared" si="3"/>
        <v>-55338.52</v>
      </c>
      <c r="H80" s="261">
        <f t="shared" si="3"/>
        <v>1122.8400000000001</v>
      </c>
    </row>
    <row r="81" spans="1:8" ht="31.5">
      <c r="A81" s="220">
        <f t="shared" si="2"/>
        <v>76</v>
      </c>
      <c r="B81" s="32" t="s">
        <v>23</v>
      </c>
      <c r="C81" s="174">
        <f>SUM(C82:C88)</f>
        <v>2034587.7399999998</v>
      </c>
      <c r="D81" s="174">
        <f>SUM(D82:D88)</f>
        <v>3769.3500000000004</v>
      </c>
      <c r="E81" s="174">
        <f>SUM(E82:E88)</f>
        <v>2020521.9100000004</v>
      </c>
      <c r="F81" s="174">
        <f>SUM(F82:F88)</f>
        <v>1345.09</v>
      </c>
      <c r="G81" s="174">
        <f t="shared" si="3"/>
        <v>-14065.829999999376</v>
      </c>
      <c r="H81" s="259">
        <f t="shared" si="3"/>
        <v>-2424.26</v>
      </c>
    </row>
    <row r="82" spans="1:8" ht="31.5">
      <c r="A82" s="220">
        <f t="shared" si="2"/>
        <v>77</v>
      </c>
      <c r="B82" s="232" t="s">
        <v>1362</v>
      </c>
      <c r="C82" s="260">
        <v>1712262.91</v>
      </c>
      <c r="D82" s="260"/>
      <c r="E82" s="265">
        <f>1810303.07+24327.45+41571.52</f>
        <v>1876202.04</v>
      </c>
      <c r="F82" s="265" t="s">
        <v>1266</v>
      </c>
      <c r="G82" s="260">
        <f t="shared" si="3"/>
        <v>163939.13000000012</v>
      </c>
      <c r="H82" s="261">
        <f t="shared" si="3"/>
        <v>0</v>
      </c>
    </row>
    <row r="83" spans="1:8" ht="15.75">
      <c r="A83" s="220">
        <f t="shared" si="2"/>
        <v>78</v>
      </c>
      <c r="B83" s="232" t="s">
        <v>176</v>
      </c>
      <c r="C83" s="260">
        <v>5754.58</v>
      </c>
      <c r="D83" s="260">
        <v>193.1</v>
      </c>
      <c r="E83" s="265">
        <v>3488.56</v>
      </c>
      <c r="F83" s="265">
        <v>325.75</v>
      </c>
      <c r="G83" s="260">
        <f t="shared" si="3"/>
        <v>-2266.02</v>
      </c>
      <c r="H83" s="261">
        <f t="shared" si="3"/>
        <v>132.65</v>
      </c>
    </row>
    <row r="84" spans="1:8" ht="31.5">
      <c r="A84" s="220">
        <f t="shared" si="2"/>
        <v>79</v>
      </c>
      <c r="B84" s="232" t="s">
        <v>177</v>
      </c>
      <c r="C84" s="260"/>
      <c r="D84" s="260"/>
      <c r="E84" s="265" t="s">
        <v>1266</v>
      </c>
      <c r="F84" s="265" t="s">
        <v>1266</v>
      </c>
      <c r="G84" s="260">
        <f t="shared" si="3"/>
        <v>0</v>
      </c>
      <c r="H84" s="261">
        <f t="shared" si="3"/>
        <v>0</v>
      </c>
    </row>
    <row r="85" spans="1:8" ht="31.5">
      <c r="A85" s="220">
        <f t="shared" si="2"/>
        <v>80</v>
      </c>
      <c r="B85" s="232" t="s">
        <v>178</v>
      </c>
      <c r="C85" s="260">
        <v>31696.48</v>
      </c>
      <c r="D85" s="260">
        <v>865.6</v>
      </c>
      <c r="E85" s="265">
        <v>43562.36</v>
      </c>
      <c r="F85" s="265">
        <v>894.7099999999999</v>
      </c>
      <c r="G85" s="260">
        <f t="shared" si="3"/>
        <v>11865.880000000001</v>
      </c>
      <c r="H85" s="261">
        <f t="shared" si="3"/>
        <v>29.1099999999999</v>
      </c>
    </row>
    <row r="86" spans="1:8" ht="31.5">
      <c r="A86" s="220">
        <f t="shared" si="2"/>
        <v>81</v>
      </c>
      <c r="B86" s="232" t="s">
        <v>179</v>
      </c>
      <c r="C86" s="260">
        <v>6409.89</v>
      </c>
      <c r="D86" s="260"/>
      <c r="E86" s="265">
        <v>1006.8</v>
      </c>
      <c r="F86" s="265" t="s">
        <v>1266</v>
      </c>
      <c r="G86" s="260">
        <f t="shared" si="3"/>
        <v>-5403.09</v>
      </c>
      <c r="H86" s="261">
        <f t="shared" si="3"/>
        <v>0</v>
      </c>
    </row>
    <row r="87" spans="1:8" ht="31.5">
      <c r="A87" s="220">
        <f t="shared" si="2"/>
        <v>82</v>
      </c>
      <c r="B87" s="232" t="s">
        <v>180</v>
      </c>
      <c r="C87" s="260">
        <v>46381.46</v>
      </c>
      <c r="D87" s="260"/>
      <c r="E87" s="265">
        <v>44000.79</v>
      </c>
      <c r="F87" s="265">
        <v>86.77</v>
      </c>
      <c r="G87" s="260">
        <f t="shared" si="3"/>
        <v>-2380.6699999999983</v>
      </c>
      <c r="H87" s="261">
        <f t="shared" si="3"/>
        <v>86.77</v>
      </c>
    </row>
    <row r="88" spans="1:8" ht="15.75">
      <c r="A88" s="220">
        <f t="shared" si="2"/>
        <v>83</v>
      </c>
      <c r="B88" s="232" t="s">
        <v>221</v>
      </c>
      <c r="C88" s="260">
        <v>232082.42</v>
      </c>
      <c r="D88" s="260">
        <v>2710.65</v>
      </c>
      <c r="E88" s="265">
        <v>52261.36</v>
      </c>
      <c r="F88" s="265">
        <v>37.86</v>
      </c>
      <c r="G88" s="260">
        <f t="shared" si="3"/>
        <v>-179821.06</v>
      </c>
      <c r="H88" s="261">
        <f t="shared" si="3"/>
        <v>-2672.79</v>
      </c>
    </row>
    <row r="89" spans="1:8" ht="31.5">
      <c r="A89" s="220">
        <f t="shared" si="2"/>
        <v>84</v>
      </c>
      <c r="B89" s="32" t="s">
        <v>24</v>
      </c>
      <c r="C89" s="174">
        <f>SUM(C90:C96)</f>
        <v>2485647.47</v>
      </c>
      <c r="D89" s="174">
        <f>SUM(D90:D96)</f>
        <v>26037</v>
      </c>
      <c r="E89" s="174">
        <f>SUM(E90:E97)</f>
        <v>3889192.38</v>
      </c>
      <c r="F89" s="174">
        <f>SUM(F90:F97)</f>
        <v>87864.42</v>
      </c>
      <c r="G89" s="174">
        <f t="shared" si="3"/>
        <v>1403544.9099999997</v>
      </c>
      <c r="H89" s="259">
        <f t="shared" si="3"/>
        <v>61827.42</v>
      </c>
    </row>
    <row r="90" spans="1:8" ht="31.5" customHeight="1">
      <c r="A90" s="220">
        <f t="shared" si="2"/>
        <v>85</v>
      </c>
      <c r="B90" s="232" t="s">
        <v>1363</v>
      </c>
      <c r="C90" s="260">
        <v>960323.34</v>
      </c>
      <c r="D90" s="260"/>
      <c r="E90" s="265">
        <v>983263.83</v>
      </c>
      <c r="F90" s="265" t="s">
        <v>1266</v>
      </c>
      <c r="G90" s="260">
        <f t="shared" si="3"/>
        <v>22940.48999999999</v>
      </c>
      <c r="H90" s="261">
        <f t="shared" si="3"/>
        <v>0</v>
      </c>
    </row>
    <row r="91" spans="1:8" ht="31.5">
      <c r="A91" s="220">
        <f t="shared" si="2"/>
        <v>86</v>
      </c>
      <c r="B91" s="232" t="s">
        <v>1364</v>
      </c>
      <c r="C91" s="260">
        <v>828528.35</v>
      </c>
      <c r="D91" s="260">
        <v>26037</v>
      </c>
      <c r="E91" s="265">
        <f>1107467.66+2655.7</f>
        <v>1110123.3599999999</v>
      </c>
      <c r="F91" s="265">
        <v>87864.42</v>
      </c>
      <c r="G91" s="260">
        <f t="shared" si="3"/>
        <v>281595.0099999999</v>
      </c>
      <c r="H91" s="261">
        <f t="shared" si="3"/>
        <v>61827.42</v>
      </c>
    </row>
    <row r="92" spans="1:8" ht="47.25">
      <c r="A92" s="220" t="s">
        <v>1021</v>
      </c>
      <c r="B92" s="232" t="s">
        <v>1365</v>
      </c>
      <c r="C92" s="260">
        <v>568308.89</v>
      </c>
      <c r="D92" s="260"/>
      <c r="E92" s="266">
        <f>1693619.68-2655.7</f>
        <v>1690963.98</v>
      </c>
      <c r="F92" s="266" t="s">
        <v>1266</v>
      </c>
      <c r="G92" s="260">
        <f>E92-C92</f>
        <v>1122655.0899999999</v>
      </c>
      <c r="H92" s="261">
        <f>F92-D92</f>
        <v>0</v>
      </c>
    </row>
    <row r="93" spans="1:8" ht="31.5">
      <c r="A93" s="220">
        <f>A91+1</f>
        <v>87</v>
      </c>
      <c r="B93" s="232" t="s">
        <v>212</v>
      </c>
      <c r="C93" s="260">
        <v>77009.89</v>
      </c>
      <c r="D93" s="260"/>
      <c r="E93" s="265">
        <v>36085.11</v>
      </c>
      <c r="F93" s="265" t="s">
        <v>1266</v>
      </c>
      <c r="G93" s="260">
        <f t="shared" si="3"/>
        <v>-40924.78</v>
      </c>
      <c r="H93" s="261">
        <f t="shared" si="3"/>
        <v>0</v>
      </c>
    </row>
    <row r="94" spans="1:8" ht="31.5">
      <c r="A94" s="220">
        <f t="shared" si="2"/>
        <v>88</v>
      </c>
      <c r="B94" s="232" t="s">
        <v>216</v>
      </c>
      <c r="C94" s="260"/>
      <c r="D94" s="260"/>
      <c r="E94" s="265" t="s">
        <v>1266</v>
      </c>
      <c r="F94" s="265" t="s">
        <v>1266</v>
      </c>
      <c r="G94" s="260">
        <f t="shared" si="3"/>
        <v>0</v>
      </c>
      <c r="H94" s="261">
        <f t="shared" si="3"/>
        <v>0</v>
      </c>
    </row>
    <row r="95" spans="1:8" ht="31.5">
      <c r="A95" s="220">
        <f t="shared" si="2"/>
        <v>89</v>
      </c>
      <c r="B95" s="232" t="s">
        <v>217</v>
      </c>
      <c r="C95" s="260">
        <v>51477</v>
      </c>
      <c r="D95" s="260"/>
      <c r="E95" s="265">
        <v>68756.1</v>
      </c>
      <c r="F95" s="265" t="s">
        <v>1266</v>
      </c>
      <c r="G95" s="260">
        <f t="shared" si="3"/>
        <v>17279.100000000006</v>
      </c>
      <c r="H95" s="261">
        <f t="shared" si="3"/>
        <v>0</v>
      </c>
    </row>
    <row r="96" spans="1:8" ht="15.75">
      <c r="A96" s="220">
        <f t="shared" si="2"/>
        <v>90</v>
      </c>
      <c r="B96" s="232" t="s">
        <v>218</v>
      </c>
      <c r="C96" s="260">
        <v>0</v>
      </c>
      <c r="D96" s="260">
        <v>0</v>
      </c>
      <c r="E96" s="265" t="s">
        <v>1266</v>
      </c>
      <c r="F96" s="265" t="s">
        <v>1266</v>
      </c>
      <c r="G96" s="260">
        <f t="shared" si="3"/>
        <v>0</v>
      </c>
      <c r="H96" s="261">
        <f t="shared" si="3"/>
        <v>0</v>
      </c>
    </row>
    <row r="97" spans="1:8" ht="15.75">
      <c r="A97" s="220">
        <f t="shared" si="2"/>
        <v>91</v>
      </c>
      <c r="B97" s="232" t="s">
        <v>219</v>
      </c>
      <c r="C97" s="260"/>
      <c r="D97" s="260"/>
      <c r="E97" s="265" t="s">
        <v>1266</v>
      </c>
      <c r="F97" s="265" t="s">
        <v>1266</v>
      </c>
      <c r="G97" s="260">
        <f>E97-C98</f>
        <v>-10678.39</v>
      </c>
      <c r="H97" s="261">
        <f t="shared" si="3"/>
        <v>0</v>
      </c>
    </row>
    <row r="98" spans="1:8" ht="15.75">
      <c r="A98" s="220">
        <f t="shared" si="2"/>
        <v>92</v>
      </c>
      <c r="B98" s="32" t="s">
        <v>1366</v>
      </c>
      <c r="C98" s="260">
        <v>10678.39</v>
      </c>
      <c r="D98" s="260"/>
      <c r="E98" s="265">
        <v>7600</v>
      </c>
      <c r="F98" s="265" t="s">
        <v>1266</v>
      </c>
      <c r="G98" s="260">
        <f>E98-C99</f>
        <v>-1073693.32</v>
      </c>
      <c r="H98" s="261">
        <f>F98-D99</f>
        <v>-55668.07</v>
      </c>
    </row>
    <row r="99" spans="1:8" ht="15.75">
      <c r="A99" s="220" t="s">
        <v>471</v>
      </c>
      <c r="B99" s="32" t="s">
        <v>1022</v>
      </c>
      <c r="C99" s="260">
        <v>1081293.32</v>
      </c>
      <c r="D99" s="260">
        <v>55668.07</v>
      </c>
      <c r="E99" s="265">
        <v>1568568.1899999995</v>
      </c>
      <c r="F99" s="265">
        <v>67091.58</v>
      </c>
      <c r="G99" s="260">
        <f>E99-C100</f>
        <v>1426934.3799999994</v>
      </c>
      <c r="H99" s="261">
        <f>F99-D100</f>
        <v>26371.659999999996</v>
      </c>
    </row>
    <row r="100" spans="1:8" ht="15.75">
      <c r="A100" s="220">
        <f>A98+1</f>
        <v>93</v>
      </c>
      <c r="B100" s="32" t="s">
        <v>348</v>
      </c>
      <c r="C100" s="260">
        <v>141633.81</v>
      </c>
      <c r="D100" s="260">
        <f>40696.12+23.8</f>
        <v>40719.920000000006</v>
      </c>
      <c r="E100" s="265">
        <v>11222.55</v>
      </c>
      <c r="F100" s="265">
        <v>32206.27</v>
      </c>
      <c r="G100" s="260">
        <f>E100-C101</f>
        <v>-35833042.79000001</v>
      </c>
      <c r="H100" s="261">
        <f>F100-D101</f>
        <v>-1205715.07</v>
      </c>
    </row>
    <row r="101" spans="1:8" ht="32.25" thickBot="1">
      <c r="A101" s="224">
        <f t="shared" si="2"/>
        <v>94</v>
      </c>
      <c r="B101" s="268" t="s">
        <v>1367</v>
      </c>
      <c r="C101" s="262">
        <f>C6+C19+C27+C32+C40+C43+C44+C60+C66+C67+C68+SUM(C75:C79)+C89+C98+C99+C100</f>
        <v>35844265.34</v>
      </c>
      <c r="D101" s="262">
        <f>D6+D19+D27+D32+D40+D43+D44+D60+D66+D67+D68+SUM(D75:D79)+D89+D98+D99+D100</f>
        <v>1237921.34</v>
      </c>
      <c r="E101" s="262">
        <f>E6+E19+E27+E32+E40+E43+E44+E60+E66+E67+E68+SUM(E75:E79)+E89+E98+E99+E100</f>
        <v>35658137.74999999</v>
      </c>
      <c r="F101" s="262">
        <f>F6+F19+F27+F32+F40+F43+F44+F60+F66+F67+F68+SUM(F75:F79)+F89+F98+F99+F100</f>
        <v>1107671.49</v>
      </c>
      <c r="G101" s="262">
        <f>E101-C101</f>
        <v>-186127.59000001103</v>
      </c>
      <c r="H101" s="263">
        <f>F101-D101</f>
        <v>-130249.8500000001</v>
      </c>
    </row>
    <row r="102" spans="1:6" ht="15.75">
      <c r="A102" s="269"/>
      <c r="D102" s="271">
        <f>C101+D101-D100-C100</f>
        <v>36899832.95</v>
      </c>
      <c r="F102" s="271"/>
    </row>
    <row r="103" spans="1:8" s="245" customFormat="1" ht="27" customHeight="1">
      <c r="A103" s="592" t="s">
        <v>220</v>
      </c>
      <c r="B103" s="593"/>
      <c r="C103" s="593"/>
      <c r="D103" s="593"/>
      <c r="E103" s="593"/>
      <c r="F103" s="593"/>
      <c r="G103" s="593"/>
      <c r="H103" s="594"/>
    </row>
    <row r="105" spans="4:6" ht="15.75">
      <c r="D105" s="272"/>
      <c r="F105" s="272"/>
    </row>
    <row r="106" spans="1:5" s="273" customFormat="1" ht="12.75">
      <c r="A106" s="591" t="s">
        <v>1332</v>
      </c>
      <c r="B106" s="591"/>
      <c r="E106" s="274"/>
    </row>
    <row r="107" ht="15.75">
      <c r="C107" s="272"/>
    </row>
    <row r="973" ht="15.75">
      <c r="F973" s="216" t="s">
        <v>466</v>
      </c>
    </row>
    <row r="992" ht="15.75">
      <c r="D992" s="216" t="s">
        <v>465</v>
      </c>
    </row>
  </sheetData>
  <sheetProtection/>
  <mergeCells count="9">
    <mergeCell ref="A106:B106"/>
    <mergeCell ref="A103:H103"/>
    <mergeCell ref="A1:H1"/>
    <mergeCell ref="A2:H2"/>
    <mergeCell ref="A3:A4"/>
    <mergeCell ref="B3:B4"/>
    <mergeCell ref="C3:D3"/>
    <mergeCell ref="E3:F3"/>
    <mergeCell ref="G3:H3"/>
  </mergeCells>
  <printOptions gridLines="1"/>
  <pageMargins left="0.7480314960629921" right="0.7480314960629921" top="0.4330708661417323" bottom="0.3937007874015748" header="0.3937007874015748" footer="0.2362204724409449"/>
  <pageSetup fitToHeight="3" fitToWidth="3" horizontalDpi="600" verticalDpi="600" orientation="landscape" paperSize="9" scale="68" r:id="rId3"/>
  <rowBreaks count="2" manualBreakCount="2">
    <brk id="39" max="7" man="1"/>
    <brk id="78"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subject/>
  <dc:creator>Viest</dc:creator>
  <cp:keywords/>
  <dc:description/>
  <cp:lastModifiedBy>renata.lucanska</cp:lastModifiedBy>
  <cp:lastPrinted>2012-05-21T13:43:08Z</cp:lastPrinted>
  <dcterms:created xsi:type="dcterms:W3CDTF">2002-06-05T18:53:25Z</dcterms:created>
  <dcterms:modified xsi:type="dcterms:W3CDTF">2012-05-23T12:55:44Z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