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Moje Dokumenty\Dokumenty\Správy o hosp.a cerp\2015\VSoH\"/>
    </mc:Choice>
  </mc:AlternateContent>
  <bookViews>
    <workbookView xWindow="14388" yWindow="6900" windowWidth="14436" windowHeight="6912" tabRatio="896" firstSheet="5" activeTab="5"/>
  </bookViews>
  <sheets>
    <sheet name="T1-Dotácie podľa DZ" sheetId="23" r:id="rId1"/>
    <sheet name="T2-Ostatné dot mimo MŠ SR" sheetId="3" r:id="rId2"/>
    <sheet name="T3-Výnosy" sheetId="142" r:id="rId3"/>
    <sheet name="T3a-Výnosy" sheetId="158" r:id="rId4"/>
    <sheet name="T4-Výnosy zo školného" sheetId="154" r:id="rId5"/>
    <sheet name="T5 - Analýza nákladov" sheetId="150" r:id="rId6"/>
    <sheet name="T5a - Náklady " sheetId="159" r:id="rId7"/>
    <sheet name="T6-Zamestnanci_a_mzdy" sheetId="76" r:id="rId8"/>
    <sheet name="T6a-Zamestnanci_a_mzdy (ženy)" sheetId="155" r:id="rId9"/>
    <sheet name="T7_Doktorandi " sheetId="141" r:id="rId10"/>
    <sheet name="T8-Soc_štipendiá" sheetId="109" r:id="rId11"/>
    <sheet name="T9_ŠD " sheetId="116" r:id="rId12"/>
    <sheet name="T10-ŠJ " sheetId="146" r:id="rId13"/>
    <sheet name="T11-Zdroje KV" sheetId="90" r:id="rId14"/>
    <sheet name="T12-KV" sheetId="91" r:id="rId15"/>
    <sheet name="T13-Fondy" sheetId="145" r:id="rId16"/>
    <sheet name="T16 - Štruktúra hotovosti" sheetId="64" r:id="rId17"/>
    <sheet name="T17-Dotácie zo ŠF EU" sheetId="149" r:id="rId18"/>
    <sheet name="T18-Ostatné dotacie z kap MŠ SR" sheetId="61" r:id="rId19"/>
    <sheet name="T19-Štip_ z vlastných " sheetId="144" r:id="rId20"/>
    <sheet name="T20_motivačné štipendiá_nová" sheetId="157" r:id="rId21"/>
    <sheet name="T21-štruktúra_384" sheetId="97" r:id="rId22"/>
    <sheet name="T22_Výnosy_soc_oblasť" sheetId="133" r:id="rId23"/>
    <sheet name="T23_Náklady_soc_oblasť" sheetId="134" r:id="rId24"/>
    <sheet name="T24a_Aktíva_1" sheetId="137" r:id="rId25"/>
    <sheet name="T24b_Aktíva_2" sheetId="138" r:id="rId26"/>
    <sheet name="T25_Pasíva " sheetId="139" r:id="rId27"/>
    <sheet name="Vysvetlivky" sheetId="115" r:id="rId28"/>
    <sheet name="Súvzťažnosti" sheetId="82" r:id="rId29"/>
    <sheet name="Kódy z CRŠ" sheetId="152" r:id="rId30"/>
    <sheet name="T24__Aktíva" sheetId="135" state="hidden" r:id="rId31"/>
  </sheets>
  <externalReferences>
    <externalReference r:id="rId32"/>
    <externalReference r:id="rId33"/>
  </externalReferences>
  <definedNames>
    <definedName name="_kmp1" localSheetId="5">#REF!</definedName>
    <definedName name="_kmp1" localSheetId="6">#REF!</definedName>
    <definedName name="_kmp1">#REF!</definedName>
    <definedName name="_kmp2">#REF!</definedName>
    <definedName name="_kmt1" localSheetId="5">#REF!</definedName>
    <definedName name="_kmt1" localSheetId="6">#REF!</definedName>
    <definedName name="_kmt1">#REF!</definedName>
    <definedName name="_T1">#REF!</definedName>
    <definedName name="_wd1" localSheetId="20">[1]vahy!$B$1</definedName>
    <definedName name="_wd1">[1]vahy!$B$1</definedName>
    <definedName name="_wd3" localSheetId="20">[1]vahy!$B$3</definedName>
    <definedName name="_wd3">[1]vahy!$B$3</definedName>
    <definedName name="_we1" localSheetId="20">[1]vahy!$B$2</definedName>
    <definedName name="_we1">[1]vahy!$B$2</definedName>
    <definedName name="_we3" localSheetId="20">[1]vahy!$B$4</definedName>
    <definedName name="_we3">[1]vahy!$B$4</definedName>
    <definedName name="aaa" hidden="1">3</definedName>
    <definedName name="denní" localSheetId="5">#REF!</definedName>
    <definedName name="denní" localSheetId="6">#REF!</definedName>
    <definedName name="denní">#REF!</definedName>
    <definedName name="dokpo" localSheetId="5">#REF!</definedName>
    <definedName name="dokpo" localSheetId="6">#REF!</definedName>
    <definedName name="dokpo">#REF!</definedName>
    <definedName name="dokpred" localSheetId="5">#REF!</definedName>
    <definedName name="dokpred" localSheetId="6">#REF!</definedName>
    <definedName name="dokpred">#REF!</definedName>
    <definedName name="druhý" localSheetId="5">#REF!</definedName>
    <definedName name="druhý" localSheetId="6">#REF!</definedName>
    <definedName name="druhý">#REF!</definedName>
    <definedName name="exterdruhý" localSheetId="5">#REF!</definedName>
    <definedName name="exterdruhý" localSheetId="6">#REF!</definedName>
    <definedName name="exterdruhý">#REF!</definedName>
    <definedName name="externeplat" localSheetId="5">#REF!</definedName>
    <definedName name="externeplat" localSheetId="6">#REF!</definedName>
    <definedName name="externeplat">#REF!</definedName>
    <definedName name="exterplat" localSheetId="5">#REF!</definedName>
    <definedName name="exterplat" localSheetId="6">#REF!</definedName>
    <definedName name="exterplat">#REF!</definedName>
    <definedName name="KKS_doc" localSheetId="5">#REF!</definedName>
    <definedName name="KKS_doc" localSheetId="6">#REF!</definedName>
    <definedName name="KKS_doc">#REF!</definedName>
    <definedName name="KKS_ost" localSheetId="5">#REF!</definedName>
    <definedName name="KKS_ost" localSheetId="6">#REF!</definedName>
    <definedName name="KKS_ost">#REF!</definedName>
    <definedName name="KKS_phd" localSheetId="5">#REF!</definedName>
    <definedName name="KKS_phd" localSheetId="6">#REF!</definedName>
    <definedName name="KKS_phd">#REF!</definedName>
    <definedName name="KKS_prof" localSheetId="5">#REF!</definedName>
    <definedName name="KKS_prof" localSheetId="6">#REF!</definedName>
    <definedName name="KKS_prof">#REF!</definedName>
    <definedName name="koef_gm_mzdy" localSheetId="5">#REF!</definedName>
    <definedName name="koef_gm_mzdy" localSheetId="6">#REF!</definedName>
    <definedName name="koef_gm_mzdy">#REF!</definedName>
    <definedName name="koef_kpn" localSheetId="5">#REF!</definedName>
    <definedName name="koef_kpn" localSheetId="6">#REF!</definedName>
    <definedName name="koef_kpn">#REF!</definedName>
    <definedName name="koef_prer_nad_gm_mzdy" localSheetId="5">#REF!</definedName>
    <definedName name="koef_prer_nad_gm_mzdy" localSheetId="6">#REF!</definedName>
    <definedName name="koef_prer_nad_gm_mzdy">#REF!</definedName>
    <definedName name="koef_PV" localSheetId="5">#REF!</definedName>
    <definedName name="koef_PV" localSheetId="6">#REF!</definedName>
    <definedName name="koef_PV">#REF!</definedName>
    <definedName name="koef_udr_kat1" localSheetId="17">#REF!</definedName>
    <definedName name="koef_udr_kat1" localSheetId="3">#REF!</definedName>
    <definedName name="koef_udr_kat1" localSheetId="5">#REF!</definedName>
    <definedName name="koef_udr_kat1" localSheetId="6">#REF!</definedName>
    <definedName name="koef_udr_kat1" localSheetId="8">#REF!</definedName>
    <definedName name="koef_udr_kat1">#REF!</definedName>
    <definedName name="koef_udr_kat2" localSheetId="17">#REF!</definedName>
    <definedName name="koef_udr_kat2" localSheetId="3">#REF!</definedName>
    <definedName name="koef_udr_kat2" localSheetId="5">#REF!</definedName>
    <definedName name="koef_udr_kat2" localSheetId="6">#REF!</definedName>
    <definedName name="koef_udr_kat2" localSheetId="8">#REF!</definedName>
    <definedName name="koef_udr_kat2">#REF!</definedName>
    <definedName name="koef_udr_kat3" localSheetId="17">#REF!</definedName>
    <definedName name="koef_udr_kat3" localSheetId="3">#REF!</definedName>
    <definedName name="koef_udr_kat3" localSheetId="5">#REF!</definedName>
    <definedName name="koef_udr_kat3" localSheetId="6">#REF!</definedName>
    <definedName name="koef_udr_kat3" localSheetId="8">#REF!</definedName>
    <definedName name="koef_udr_kat3">#REF!</definedName>
    <definedName name="koef_VV" localSheetId="5">#REF!</definedName>
    <definedName name="koef_VV" localSheetId="6">#REF!</definedName>
    <definedName name="koef_VV">#REF!</definedName>
    <definedName name="kpn_ca_do" localSheetId="5">#REF!</definedName>
    <definedName name="kpn_ca_do" localSheetId="6">#REF!</definedName>
    <definedName name="kpn_ca_do">#REF!</definedName>
    <definedName name="kpn_ca_nad" localSheetId="5">#REF!</definedName>
    <definedName name="kpn_ca_nad" localSheetId="6">#REF!</definedName>
    <definedName name="kpn_ca_nad">#REF!</definedName>
    <definedName name="kzk" localSheetId="5">#REF!</definedName>
    <definedName name="kzk" localSheetId="6">#REF!</definedName>
    <definedName name="kzk">#REF!</definedName>
    <definedName name="kzspp" localSheetId="5">#REF!</definedName>
    <definedName name="kzspp" localSheetId="6">#REF!</definedName>
    <definedName name="kzspp">#REF!</definedName>
    <definedName name="nefinanc">1</definedName>
    <definedName name="_xlnm.Print_Area" localSheetId="28">Súvzťažnosti!$A$1:$C$43</definedName>
    <definedName name="_xlnm.Print_Area" localSheetId="12">'T10-ŠJ '!$A$1:$D$26</definedName>
    <definedName name="_xlnm.Print_Area" localSheetId="13">'T11-Zdroje KV'!$A$1:$D$23</definedName>
    <definedName name="_xlnm.Print_Area" localSheetId="14">'T12-KV'!$A$1:$I$22</definedName>
    <definedName name="_xlnm.Print_Area" localSheetId="15">'T13-Fondy'!$A$1:$N$25</definedName>
    <definedName name="_xlnm.Print_Area" localSheetId="16">'T16 - Štruktúra hotovosti'!$A$1:$D$22</definedName>
    <definedName name="_xlnm.Print_Area" localSheetId="17">'T17-Dotácie zo ŠF EU'!$A$1:$H$16</definedName>
    <definedName name="_xlnm.Print_Area" localSheetId="18">'T18-Ostatné dotacie z kap MŠ SR'!$A$1:$E$18</definedName>
    <definedName name="_xlnm.Print_Area" localSheetId="19">'T19-Štip_ z vlastných '!$A$1:$F$23</definedName>
    <definedName name="_xlnm.Print_Area" localSheetId="0">'T1-Dotácie podľa DZ'!$A$1:$E$19</definedName>
    <definedName name="_xlnm.Print_Area" localSheetId="20">'T20_motivačné štipendiá_nová'!$A$1:$E$15</definedName>
    <definedName name="_xlnm.Print_Area" localSheetId="21">'T21-štruktúra_384'!$A$1:$M$9</definedName>
    <definedName name="_xlnm.Print_Area" localSheetId="22">T22_Výnosy_soc_oblasť!$A$1:$F$43</definedName>
    <definedName name="_xlnm.Print_Area" localSheetId="23">T23_Náklady_soc_oblasť!$A$1:$F$41</definedName>
    <definedName name="_xlnm.Print_Area" localSheetId="24">T24a_Aktíva_1!$A$1:$G$33</definedName>
    <definedName name="_xlnm.Print_Area" localSheetId="25">T24b_Aktíva_2!$A$1:$G$37</definedName>
    <definedName name="_xlnm.Print_Area" localSheetId="26">'T25_Pasíva '!$A$1:$G$49</definedName>
    <definedName name="_xlnm.Print_Area" localSheetId="3">'T3a-Výnosy'!$A$1:$H$45</definedName>
    <definedName name="_xlnm.Print_Area" localSheetId="2">'T3-Výnosy'!$A$1:$H$62</definedName>
    <definedName name="_xlnm.Print_Area" localSheetId="4">'T4-Výnosy zo školného'!$A$1:$E$23</definedName>
    <definedName name="_xlnm.Print_Area" localSheetId="5">'T5 - Analýza nákladov'!$A$1:$H$106</definedName>
    <definedName name="_xlnm.Print_Area" localSheetId="6">'T5a - Náklady '!$A$1:$H$43</definedName>
    <definedName name="_xlnm.Print_Area" localSheetId="8">'T6a-Zamestnanci_a_mzdy (ženy)'!$A$1:$L$37</definedName>
    <definedName name="_xlnm.Print_Area" localSheetId="7">'T6-Zamestnanci_a_mzdy'!$A$1:$K$37</definedName>
    <definedName name="_xlnm.Print_Area" localSheetId="9">'T7_Doktorandi '!$A$1:$G$21</definedName>
    <definedName name="_xlnm.Print_Area" localSheetId="10">'T8-Soc_štipendiá'!$A$1:$F$15</definedName>
    <definedName name="_xlnm.Print_Area" localSheetId="11">'T9_ŠD '!$A$1:$F$21</definedName>
    <definedName name="_xlnm.Print_Area" localSheetId="27">Vysvetlivky!$A$1:$B$103</definedName>
    <definedName name="pocet_jedal" localSheetId="17">#REF!</definedName>
    <definedName name="pocet_jedal" localSheetId="3">#REF!</definedName>
    <definedName name="pocet_jedal" localSheetId="5">#REF!</definedName>
    <definedName name="pocet_jedal" localSheetId="6">#REF!</definedName>
    <definedName name="pocet_jedal" localSheetId="8">#REF!</definedName>
    <definedName name="pocet_jedal">#REF!</definedName>
    <definedName name="podiel" localSheetId="5">#REF!</definedName>
    <definedName name="podiel" localSheetId="6">#REF!</definedName>
    <definedName name="podiel">#REF!</definedName>
    <definedName name="poistné" localSheetId="5">#REF!</definedName>
    <definedName name="poistné" localSheetId="6">#REF!</definedName>
    <definedName name="poistné">#REF!</definedName>
    <definedName name="Pp_DrŠ_exist" localSheetId="17">#REF!</definedName>
    <definedName name="Pp_DrŠ_exist" localSheetId="3">#REF!</definedName>
    <definedName name="Pp_DrŠ_exist" localSheetId="5">#REF!</definedName>
    <definedName name="Pp_DrŠ_exist" localSheetId="6">#REF!</definedName>
    <definedName name="Pp_DrŠ_exist" localSheetId="8">#REF!</definedName>
    <definedName name="Pp_DrŠ_exist">#REF!</definedName>
    <definedName name="Pp_DrŠ_noví" localSheetId="17">#REF!</definedName>
    <definedName name="Pp_DrŠ_noví" localSheetId="3">#REF!</definedName>
    <definedName name="Pp_DrŠ_noví" localSheetId="5">#REF!</definedName>
    <definedName name="Pp_DrŠ_noví" localSheetId="6">#REF!</definedName>
    <definedName name="Pp_DrŠ_noví" localSheetId="8">#REF!</definedName>
    <definedName name="Pp_DrŠ_noví">#REF!</definedName>
    <definedName name="Pp_DrŠ_spolu" localSheetId="17">#REF!</definedName>
    <definedName name="Pp_DrŠ_spolu" localSheetId="3">#REF!</definedName>
    <definedName name="Pp_DrŠ_spolu" localSheetId="5">#REF!</definedName>
    <definedName name="Pp_DrŠ_spolu" localSheetId="6">#REF!</definedName>
    <definedName name="Pp_DrŠ_spolu" localSheetId="8">#REF!</definedName>
    <definedName name="Pp_DrŠ_spolu">#REF!</definedName>
    <definedName name="Pp_klinické_TaS" localSheetId="17">#REF!</definedName>
    <definedName name="Pp_klinické_TaS" localSheetId="3">#REF!</definedName>
    <definedName name="Pp_klinické_TaS" localSheetId="5">#REF!</definedName>
    <definedName name="Pp_klinické_TaS" localSheetId="6">#REF!</definedName>
    <definedName name="Pp_klinické_TaS" localSheetId="8">#REF!</definedName>
    <definedName name="Pp_klinické_TaS">#REF!</definedName>
    <definedName name="Pp_klinické_TaS_rozpísaný" localSheetId="17">#REF!</definedName>
    <definedName name="Pp_klinické_TaS_rozpísaný" localSheetId="3">#REF!</definedName>
    <definedName name="Pp_klinické_TaS_rozpísaný" localSheetId="5">#REF!</definedName>
    <definedName name="Pp_klinické_TaS_rozpísaný" localSheetId="6">#REF!</definedName>
    <definedName name="Pp_klinické_TaS_rozpísaný" localSheetId="8">#REF!</definedName>
    <definedName name="Pp_klinické_TaS_rozpísaný">#REF!</definedName>
    <definedName name="Pp_Rozvoj_BD" localSheetId="5">#REF!</definedName>
    <definedName name="Pp_Rozvoj_BD" localSheetId="6">#REF!</definedName>
    <definedName name="Pp_Rozvoj_BD">#REF!</definedName>
    <definedName name="Pp_Soc_BD" localSheetId="5">#REF!</definedName>
    <definedName name="Pp_Soc_BD" localSheetId="6">#REF!</definedName>
    <definedName name="Pp_Soc_BD">#REF!</definedName>
    <definedName name="Pp_VaT_BD" localSheetId="5">#REF!</definedName>
    <definedName name="Pp_VaT_BD" localSheetId="6">#REF!</definedName>
    <definedName name="Pp_VaT_BD">#REF!</definedName>
    <definedName name="Pp_VaT_mzdy" localSheetId="5">#REF!</definedName>
    <definedName name="Pp_VaT_mzdy" localSheetId="6">#REF!</definedName>
    <definedName name="Pp_VaT_mzdy">#REF!</definedName>
    <definedName name="Pp_VaT_mzdy_rezerva" localSheetId="5">#REF!</definedName>
    <definedName name="Pp_VaT_mzdy_rezerva" localSheetId="6">#REF!</definedName>
    <definedName name="Pp_VaT_mzdy_rezerva">#REF!</definedName>
    <definedName name="Pp_VaT_mzdy_zac_roka" localSheetId="5">#REF!</definedName>
    <definedName name="Pp_VaT_mzdy_zac_roka" localSheetId="6">#REF!</definedName>
    <definedName name="Pp_VaT_mzdy_zac_roka">#REF!</definedName>
    <definedName name="Pp_Vzdel_BD" localSheetId="5">#REF!</definedName>
    <definedName name="Pp_Vzdel_BD" localSheetId="6">#REF!</definedName>
    <definedName name="Pp_Vzdel_BD">#REF!</definedName>
    <definedName name="Pp_Vzdel_mzdy" localSheetId="5">#REF!</definedName>
    <definedName name="Pp_Vzdel_mzdy" localSheetId="6">#REF!</definedName>
    <definedName name="Pp_Vzdel_mzdy">#REF!</definedName>
    <definedName name="Pp_Vzdel_mzdy_kontr" localSheetId="5">#REF!</definedName>
    <definedName name="Pp_Vzdel_mzdy_kontr" localSheetId="6">#REF!</definedName>
    <definedName name="Pp_Vzdel_mzdy_kontr">#REF!</definedName>
    <definedName name="Pp_Vzdel_mzdy_na_prer_modif" localSheetId="17">#REF!</definedName>
    <definedName name="Pp_Vzdel_mzdy_na_prer_modif" localSheetId="3">#REF!</definedName>
    <definedName name="Pp_Vzdel_mzdy_na_prer_modif" localSheetId="5">#REF!</definedName>
    <definedName name="Pp_Vzdel_mzdy_na_prer_modif" localSheetId="6">#REF!</definedName>
    <definedName name="Pp_Vzdel_mzdy_na_prer_modif" localSheetId="8">#REF!</definedName>
    <definedName name="Pp_Vzdel_mzdy_na_prer_modif">#REF!</definedName>
    <definedName name="Pp_Vzdel_mzdy_na_prer_nemodif" localSheetId="17">#REF!</definedName>
    <definedName name="Pp_Vzdel_mzdy_na_prer_nemodif" localSheetId="3">#REF!</definedName>
    <definedName name="Pp_Vzdel_mzdy_na_prer_nemodif" localSheetId="5">#REF!</definedName>
    <definedName name="Pp_Vzdel_mzdy_na_prer_nemodif" localSheetId="6">#REF!</definedName>
    <definedName name="Pp_Vzdel_mzdy_na_prer_nemodif" localSheetId="8">#REF!</definedName>
    <definedName name="Pp_Vzdel_mzdy_na_prer_nemodif">#REF!</definedName>
    <definedName name="Pp_Vzdel_mzdy_prevádz" localSheetId="5">#REF!</definedName>
    <definedName name="Pp_Vzdel_mzdy_prevádz" localSheetId="6">#REF!</definedName>
    <definedName name="Pp_Vzdel_mzdy_prevádz">#REF!</definedName>
    <definedName name="Pp_Vzdel_mzdy_rezerva" localSheetId="5">#REF!</definedName>
    <definedName name="Pp_Vzdel_mzdy_rezerva" localSheetId="6">#REF!</definedName>
    <definedName name="Pp_Vzdel_mzdy_rezerva">#REF!</definedName>
    <definedName name="Pp_Vzdel_mzdy_spec" localSheetId="5">#REF!</definedName>
    <definedName name="Pp_Vzdel_mzdy_spec" localSheetId="6">#REF!</definedName>
    <definedName name="Pp_Vzdel_mzdy_spec">#REF!</definedName>
    <definedName name="Pp_Vzdel_mzdy_výkon" localSheetId="5">#REF!</definedName>
    <definedName name="Pp_Vzdel_mzdy_výkon" localSheetId="6">#REF!</definedName>
    <definedName name="Pp_Vzdel_mzdy_výkon">#REF!</definedName>
    <definedName name="Pp_Vzdel_mzdy_výkon_PV" localSheetId="5">#REF!</definedName>
    <definedName name="Pp_Vzdel_mzdy_výkon_PV" localSheetId="6">#REF!</definedName>
    <definedName name="Pp_Vzdel_mzdy_výkon_PV">#REF!</definedName>
    <definedName name="Pp_Vzdel_mzdy_výkon_PV_bez" localSheetId="5">#REF!</definedName>
    <definedName name="Pp_Vzdel_mzdy_výkon_PV_bez" localSheetId="6">#REF!</definedName>
    <definedName name="Pp_Vzdel_mzdy_výkon_PV_bez">#REF!</definedName>
    <definedName name="Pp_Vzdel_mzdy_výkon_PV_um" localSheetId="5">#REF!</definedName>
    <definedName name="Pp_Vzdel_mzdy_výkon_PV_um" localSheetId="6">#REF!</definedName>
    <definedName name="Pp_Vzdel_mzdy_výkon_PV_um">#REF!</definedName>
    <definedName name="Pp_Vzdel_mzdy_výkon_VV" localSheetId="5">#REF!</definedName>
    <definedName name="Pp_Vzdel_mzdy_výkon_VV" localSheetId="6">#REF!</definedName>
    <definedName name="Pp_Vzdel_mzdy_výkon_VV">#REF!</definedName>
    <definedName name="Pp_Vzdel_mzdy_výkon_VV_bez" localSheetId="5">#REF!</definedName>
    <definedName name="Pp_Vzdel_mzdy_výkon_VV_bez" localSheetId="6">#REF!</definedName>
    <definedName name="Pp_Vzdel_mzdy_výkon_VV_bez">#REF!</definedName>
    <definedName name="Pp_Vzdel_mzdy_výkon_VV_um" localSheetId="5">#REF!</definedName>
    <definedName name="Pp_Vzdel_mzdy_výkon_VV_um" localSheetId="6">#REF!</definedName>
    <definedName name="Pp_Vzdel_mzdy_výkon_VV_um">#REF!</definedName>
    <definedName name="Pp_Vzdel_spec_prax" localSheetId="17">#REF!</definedName>
    <definedName name="Pp_Vzdel_spec_prax" localSheetId="3">#REF!</definedName>
    <definedName name="Pp_Vzdel_spec_prax" localSheetId="5">#REF!</definedName>
    <definedName name="Pp_Vzdel_spec_prax" localSheetId="6">#REF!</definedName>
    <definedName name="Pp_Vzdel_spec_prax" localSheetId="8">#REF!</definedName>
    <definedName name="Pp_Vzdel_spec_prax">#REF!</definedName>
    <definedName name="Pp_Vzdel_TaS" localSheetId="5">#REF!</definedName>
    <definedName name="Pp_Vzdel_TaS" localSheetId="6">#REF!</definedName>
    <definedName name="Pp_Vzdel_TaS">#REF!</definedName>
    <definedName name="Pp_Vzdel_TaS_rezerva" localSheetId="5">#REF!</definedName>
    <definedName name="Pp_Vzdel_TaS_rezerva" localSheetId="6">#REF!</definedName>
    <definedName name="Pp_Vzdel_TaS_rezerva">#REF!</definedName>
    <definedName name="Pp_Vzdel_TaS_spec" localSheetId="17">#REF!</definedName>
    <definedName name="Pp_Vzdel_TaS_spec" localSheetId="3">#REF!</definedName>
    <definedName name="Pp_Vzdel_TaS_spec" localSheetId="5">#REF!</definedName>
    <definedName name="Pp_Vzdel_TaS_spec" localSheetId="6">#REF!</definedName>
    <definedName name="Pp_Vzdel_TaS_spec" localSheetId="8">#REF!</definedName>
    <definedName name="Pp_Vzdel_TaS_spec">#REF!</definedName>
    <definedName name="Pp_Vzdel_TaS_stav" localSheetId="5">#REF!</definedName>
    <definedName name="Pp_Vzdel_TaS_stav" localSheetId="6">#REF!</definedName>
    <definedName name="Pp_Vzdel_TaS_stav">#REF!</definedName>
    <definedName name="Pp_Vzdel_TaS_výkon" localSheetId="17">#REF!</definedName>
    <definedName name="Pp_Vzdel_TaS_výkon" localSheetId="3">#REF!</definedName>
    <definedName name="Pp_Vzdel_TaS_výkon" localSheetId="5">#REF!</definedName>
    <definedName name="Pp_Vzdel_TaS_výkon" localSheetId="6">#REF!</definedName>
    <definedName name="Pp_Vzdel_TaS_výkon" localSheetId="8">#REF!</definedName>
    <definedName name="Pp_Vzdel_TaS_výkon">#REF!</definedName>
    <definedName name="Pp_Vzdel_TaS_výkon_PPŠ" localSheetId="17">#REF!</definedName>
    <definedName name="Pp_Vzdel_TaS_výkon_PPŠ" localSheetId="3">#REF!</definedName>
    <definedName name="Pp_Vzdel_TaS_výkon_PPŠ" localSheetId="5">#REF!</definedName>
    <definedName name="Pp_Vzdel_TaS_výkon_PPŠ" localSheetId="6">#REF!</definedName>
    <definedName name="Pp_Vzdel_TaS_výkon_PPŠ" localSheetId="8">#REF!</definedName>
    <definedName name="Pp_Vzdel_TaS_výkon_PPŠ">#REF!</definedName>
    <definedName name="Pp_Vzdel_TaS_výkon_PPŠ_a_zákl" localSheetId="17">#REF!</definedName>
    <definedName name="Pp_Vzdel_TaS_výkon_PPŠ_a_zákl" localSheetId="3">#REF!</definedName>
    <definedName name="Pp_Vzdel_TaS_výkon_PPŠ_a_zákl" localSheetId="5">#REF!</definedName>
    <definedName name="Pp_Vzdel_TaS_výkon_PPŠ_a_zákl" localSheetId="6">#REF!</definedName>
    <definedName name="Pp_Vzdel_TaS_výkon_PPŠ_a_zákl" localSheetId="8">#REF!</definedName>
    <definedName name="Pp_Vzdel_TaS_výkon_PPŠ_a_zákl">#REF!</definedName>
    <definedName name="Pp_Vzdel_TaS_výkon_PPŠ_KEN" localSheetId="17">#REF!</definedName>
    <definedName name="Pp_Vzdel_TaS_výkon_PPŠ_KEN" localSheetId="3">#REF!</definedName>
    <definedName name="Pp_Vzdel_TaS_výkon_PPŠ_KEN" localSheetId="5">#REF!</definedName>
    <definedName name="Pp_Vzdel_TaS_výkon_PPŠ_KEN" localSheetId="6">#REF!</definedName>
    <definedName name="Pp_Vzdel_TaS_výkon_PPŠ_KEN" localSheetId="8">#REF!</definedName>
    <definedName name="Pp_Vzdel_TaS_výkon_PPŠ_KEN">#REF!</definedName>
    <definedName name="Pp_Vzdel_TaS_zahr_granty" localSheetId="5">#REF!</definedName>
    <definedName name="Pp_Vzdel_TaS_zahr_granty" localSheetId="6">#REF!</definedName>
    <definedName name="Pp_Vzdel_TaS_zahr_granty">#REF!</definedName>
    <definedName name="Pp_Vzdel_TaS_zákl" localSheetId="17">#REF!</definedName>
    <definedName name="Pp_Vzdel_TaS_zákl" localSheetId="3">#REF!</definedName>
    <definedName name="Pp_Vzdel_TaS_zákl" localSheetId="5">#REF!</definedName>
    <definedName name="Pp_Vzdel_TaS_zákl" localSheetId="6">#REF!</definedName>
    <definedName name="Pp_Vzdel_TaS_zákl" localSheetId="8">#REF!</definedName>
    <definedName name="Pp_Vzdel_TaS_zákl">#REF!</definedName>
    <definedName name="Pr_AV_BD" localSheetId="5">#REF!</definedName>
    <definedName name="Pr_AV_BD" localSheetId="6">#REF!</definedName>
    <definedName name="Pr_AV_BD">#REF!</definedName>
    <definedName name="Pr_IV_BD" localSheetId="5">#REF!</definedName>
    <definedName name="Pr_IV_BD" localSheetId="6">#REF!</definedName>
    <definedName name="Pr_IV_BD">#REF!</definedName>
    <definedName name="Pr_IV_KV" localSheetId="5">#REF!</definedName>
    <definedName name="Pr_IV_KV" localSheetId="6">#REF!</definedName>
    <definedName name="Pr_IV_KV">#REF!</definedName>
    <definedName name="Pr_IV_KV_rezerva" localSheetId="5">#REF!</definedName>
    <definedName name="Pr_IV_KV_rezerva" localSheetId="6">#REF!</definedName>
    <definedName name="Pr_IV_KV_rezerva">#REF!</definedName>
    <definedName name="Pr_KEGA_BD" localSheetId="5">#REF!</definedName>
    <definedName name="Pr_KEGA_BD" localSheetId="6">#REF!</definedName>
    <definedName name="Pr_KEGA_BD">#REF!</definedName>
    <definedName name="Pr_klinické" localSheetId="5">#REF!</definedName>
    <definedName name="Pr_klinické" localSheetId="6">#REF!</definedName>
    <definedName name="Pr_klinické">#REF!</definedName>
    <definedName name="Pr_KŠ" localSheetId="17">#REF!</definedName>
    <definedName name="Pr_KŠ" localSheetId="3">#REF!</definedName>
    <definedName name="Pr_KŠ" localSheetId="5">#REF!</definedName>
    <definedName name="Pr_KŠ" localSheetId="6">#REF!</definedName>
    <definedName name="Pr_KŠ" localSheetId="8">#REF!</definedName>
    <definedName name="Pr_KŠ">#REF!</definedName>
    <definedName name="Pr_motštip_BD" localSheetId="5">#REF!</definedName>
    <definedName name="Pr_motštip_BD" localSheetId="6">#REF!</definedName>
    <definedName name="Pr_motštip_BD">#REF!</definedName>
    <definedName name="Pr_MVTS_BD" localSheetId="5">#REF!</definedName>
    <definedName name="Pr_MVTS_BD" localSheetId="6">#REF!</definedName>
    <definedName name="Pr_MVTS_BD">#REF!</definedName>
    <definedName name="Pr_socštip_BD" localSheetId="5">#REF!</definedName>
    <definedName name="Pr_socštip_BD" localSheetId="6">#REF!</definedName>
    <definedName name="Pr_socštip_BD">#REF!</definedName>
    <definedName name="Pr_ŠD" localSheetId="17">#REF!</definedName>
    <definedName name="Pr_ŠD" localSheetId="3">#REF!</definedName>
    <definedName name="Pr_ŠD" localSheetId="5">#REF!</definedName>
    <definedName name="Pr_ŠD" localSheetId="6">#REF!</definedName>
    <definedName name="Pr_ŠD" localSheetId="8">#REF!</definedName>
    <definedName name="Pr_ŠD">#REF!</definedName>
    <definedName name="Pr_ŠDaJKŠPC_BD" localSheetId="5">#REF!</definedName>
    <definedName name="Pr_ŠDaJKŠPC_BD" localSheetId="6">#REF!</definedName>
    <definedName name="Pr_ŠDaJKŠPC_BD">#REF!</definedName>
    <definedName name="Pr_VaT_KV_zac_roka" localSheetId="5">#REF!</definedName>
    <definedName name="Pr_VaT_KV_zac_roka" localSheetId="6">#REF!</definedName>
    <definedName name="Pr_VaT_KV_zac_roka">#REF!</definedName>
    <definedName name="Pr_VaT_TaS" localSheetId="5">#REF!</definedName>
    <definedName name="Pr_VaT_TaS" localSheetId="6">#REF!</definedName>
    <definedName name="Pr_VaT_TaS">#REF!</definedName>
    <definedName name="Pr_VaT_TaS_rezerva" localSheetId="5">#REF!</definedName>
    <definedName name="Pr_VaT_TaS_rezerva" localSheetId="6">#REF!</definedName>
    <definedName name="Pr_VaT_TaS_rezerva">#REF!</definedName>
    <definedName name="Pr_VaT_TaS_zac_roka" localSheetId="5">#REF!</definedName>
    <definedName name="Pr_VaT_TaS_zac_roka" localSheetId="6">#REF!</definedName>
    <definedName name="Pr_VaT_TaS_zac_roka">#REF!</definedName>
    <definedName name="Pr_VEGA_BD" localSheetId="5">#REF!</definedName>
    <definedName name="Pr_VEGA_BD" localSheetId="6">#REF!</definedName>
    <definedName name="Pr_VEGA_BD">#REF!</definedName>
    <definedName name="predmety" localSheetId="5">#REF!</definedName>
    <definedName name="predmety" localSheetId="6">#REF!</definedName>
    <definedName name="predmety">#REF!</definedName>
    <definedName name="prisp_na_1_jedlo" localSheetId="17">#REF!</definedName>
    <definedName name="prisp_na_1_jedlo" localSheetId="3">#REF!</definedName>
    <definedName name="prisp_na_1_jedlo" localSheetId="5">#REF!</definedName>
    <definedName name="prisp_na_1_jedlo" localSheetId="6">#REF!</definedName>
    <definedName name="prisp_na_1_jedlo" localSheetId="8">#REF!</definedName>
    <definedName name="prisp_na_1_jedlo">#REF!</definedName>
    <definedName name="prisp_na_ubyt_stud_SD" localSheetId="17">#REF!</definedName>
    <definedName name="prisp_na_ubyt_stud_SD" localSheetId="3">#REF!</definedName>
    <definedName name="prisp_na_ubyt_stud_SD" localSheetId="5">#REF!</definedName>
    <definedName name="prisp_na_ubyt_stud_SD" localSheetId="6">#REF!</definedName>
    <definedName name="prisp_na_ubyt_stud_SD" localSheetId="8">#REF!</definedName>
    <definedName name="prisp_na_ubyt_stud_SD">#REF!</definedName>
    <definedName name="prisp_na_ubyt_stud_ZZ" localSheetId="17">#REF!</definedName>
    <definedName name="prisp_na_ubyt_stud_ZZ" localSheetId="3">#REF!</definedName>
    <definedName name="prisp_na_ubyt_stud_ZZ" localSheetId="5">#REF!</definedName>
    <definedName name="prisp_na_ubyt_stud_ZZ" localSheetId="6">#REF!</definedName>
    <definedName name="prisp_na_ubyt_stud_ZZ" localSheetId="8">#REF!</definedName>
    <definedName name="prisp_na_ubyt_stud_ZZ">#REF!</definedName>
    <definedName name="prísp_zákl_prev" localSheetId="5">#REF!</definedName>
    <definedName name="prísp_zákl_prev" localSheetId="6">#REF!</definedName>
    <definedName name="prísp_zákl_prev">#REF!</definedName>
    <definedName name="R_vvs" localSheetId="5">#REF!</definedName>
    <definedName name="R_vvs" localSheetId="6">#REF!</definedName>
    <definedName name="R_vvs">#REF!</definedName>
    <definedName name="R_vvs_BD" localSheetId="5">#REF!</definedName>
    <definedName name="R_vvs_BD" localSheetId="6">#REF!</definedName>
    <definedName name="R_vvs_BD">#REF!</definedName>
    <definedName name="R_vvs_VaT_BD" localSheetId="5">#REF!</definedName>
    <definedName name="R_vvs_VaT_BD" localSheetId="6">#REF!</definedName>
    <definedName name="R_vvs_VaT_BD">#REF!</definedName>
    <definedName name="Sanet" localSheetId="5">#REF!</definedName>
    <definedName name="Sanet" localSheetId="6">#REF!</definedName>
    <definedName name="Sanet">#REF!</definedName>
    <definedName name="SAPBEXrevision" hidden="1">7</definedName>
    <definedName name="SAPBEXsysID" hidden="1">"BS1"</definedName>
    <definedName name="SAPBEXwbID" hidden="1">"3TG3S316PX9BHXMQEBSXSYZZO"</definedName>
    <definedName name="stavba_ucelova" localSheetId="5">#REF!</definedName>
    <definedName name="stavba_ucelova" localSheetId="6">#REF!</definedName>
    <definedName name="stavba_ucelova">#REF!</definedName>
    <definedName name="studenti_vstup" localSheetId="5">#REF!</definedName>
    <definedName name="studenti_vstup" localSheetId="6">#REF!</definedName>
    <definedName name="studenti_vstup">#REF!</definedName>
    <definedName name="sustava" localSheetId="5">#REF!</definedName>
    <definedName name="sustava" localSheetId="6">#REF!</definedName>
    <definedName name="sustava">#REF!</definedName>
    <definedName name="T_1">#REF!</definedName>
    <definedName name="T_25_so_štip_2007">#REF!</definedName>
    <definedName name="T_M">#REF!</definedName>
    <definedName name="váha_absDrš" localSheetId="5">#REF!</definedName>
    <definedName name="váha_absDrš" localSheetId="6">#REF!</definedName>
    <definedName name="váha_absDrš">#REF!</definedName>
    <definedName name="váha_DG" localSheetId="5">#REF!</definedName>
    <definedName name="váha_DG" localSheetId="6">#REF!</definedName>
    <definedName name="váha_DG">#REF!</definedName>
    <definedName name="váha_poDs" localSheetId="5">#REF!</definedName>
    <definedName name="váha_poDs" localSheetId="6">#REF!</definedName>
    <definedName name="váha_poDs">#REF!</definedName>
    <definedName name="váha_Pub" localSheetId="5">#REF!</definedName>
    <definedName name="váha_Pub" localSheetId="6">#REF!</definedName>
    <definedName name="váha_Pub">#REF!</definedName>
    <definedName name="váha_ZG" localSheetId="5">#REF!</definedName>
    <definedName name="váha_ZG" localSheetId="6">#REF!</definedName>
    <definedName name="váha_ZG">#REF!</definedName>
    <definedName name="výkon_um" localSheetId="5">#REF!</definedName>
    <definedName name="výkon_um" localSheetId="6">#REF!</definedName>
    <definedName name="výkon_um">#REF!</definedName>
    <definedName name="x">#REF!</definedName>
    <definedName name="xxx" hidden="1">"3TGMUFSSIAIMK2KTNC9DELQD0"</definedName>
    <definedName name="zakl_prisp_na_prev_SD" localSheetId="17">#REF!</definedName>
    <definedName name="zakl_prisp_na_prev_SD" localSheetId="3">#REF!</definedName>
    <definedName name="zakl_prisp_na_prev_SD" localSheetId="5">#REF!</definedName>
    <definedName name="zakl_prisp_na_prev_SD" localSheetId="6">#REF!</definedName>
    <definedName name="zakl_prisp_na_prev_SD" localSheetId="8">#REF!</definedName>
    <definedName name="zakl_prisp_na_prev_SD">#REF!</definedName>
    <definedName name="záloha" localSheetId="17">#REF!</definedName>
    <definedName name="záloha" localSheetId="3">#REF!</definedName>
    <definedName name="záloha" localSheetId="5">#REF!</definedName>
    <definedName name="záloha" localSheetId="6">#REF!</definedName>
    <definedName name="záloha" localSheetId="8">#REF!</definedName>
    <definedName name="záloha">#REF!</definedName>
  </definedNames>
  <calcPr calcId="152511"/>
</workbook>
</file>

<file path=xl/calcChain.xml><?xml version="1.0" encoding="utf-8"?>
<calcChain xmlns="http://schemas.openxmlformats.org/spreadsheetml/2006/main">
  <c r="E88" i="150" l="1"/>
  <c r="F88" i="150"/>
  <c r="D88" i="150"/>
  <c r="C88" i="150"/>
  <c r="F38" i="142"/>
  <c r="E38" i="142"/>
  <c r="D38" i="142"/>
  <c r="C38" i="142"/>
  <c r="H20" i="145" l="1"/>
  <c r="H19" i="145"/>
  <c r="D29" i="159" l="1"/>
  <c r="C29" i="159"/>
  <c r="F29" i="159"/>
  <c r="E29" i="159"/>
  <c r="D25" i="158"/>
  <c r="C25" i="158"/>
  <c r="E87" i="150"/>
  <c r="E86" i="150"/>
  <c r="E27" i="134" l="1"/>
  <c r="E23" i="133"/>
  <c r="H13" i="145"/>
  <c r="D19" i="90" l="1"/>
  <c r="I6" i="97"/>
  <c r="H6" i="97"/>
  <c r="L6" i="97"/>
  <c r="L30" i="155" l="1"/>
  <c r="L29" i="155"/>
  <c r="J29" i="155"/>
  <c r="F29" i="155"/>
  <c r="L28" i="155"/>
  <c r="J28" i="155"/>
  <c r="F28" i="155"/>
  <c r="K28" i="155" s="1"/>
  <c r="F27" i="155"/>
  <c r="L26" i="155"/>
  <c r="J26" i="155"/>
  <c r="F26" i="155"/>
  <c r="K26" i="155" s="1"/>
  <c r="L25" i="155"/>
  <c r="J25" i="155"/>
  <c r="F25" i="155"/>
  <c r="K25" i="155" s="1"/>
  <c r="L24" i="155"/>
  <c r="J24" i="155"/>
  <c r="F24" i="155"/>
  <c r="K24" i="155" s="1"/>
  <c r="L23" i="155"/>
  <c r="J23" i="155"/>
  <c r="F23" i="155"/>
  <c r="K23" i="155" s="1"/>
  <c r="L22" i="155"/>
  <c r="J22" i="155"/>
  <c r="I22" i="155"/>
  <c r="H22" i="155"/>
  <c r="G22" i="155"/>
  <c r="F22" i="155"/>
  <c r="K22" i="155" s="1"/>
  <c r="E22" i="155"/>
  <c r="D22" i="155"/>
  <c r="C22" i="155"/>
  <c r="L21" i="155"/>
  <c r="J21" i="155"/>
  <c r="F21" i="155"/>
  <c r="K21" i="155" s="1"/>
  <c r="L20" i="155"/>
  <c r="J20" i="155"/>
  <c r="F20" i="155"/>
  <c r="L19" i="155"/>
  <c r="J19" i="155"/>
  <c r="F19" i="155"/>
  <c r="K19" i="155" s="1"/>
  <c r="L18" i="155"/>
  <c r="J18" i="155"/>
  <c r="F18" i="155"/>
  <c r="L17" i="155"/>
  <c r="J17" i="155"/>
  <c r="F17" i="155"/>
  <c r="K17" i="155" s="1"/>
  <c r="L16" i="155"/>
  <c r="I16" i="155"/>
  <c r="H16" i="155"/>
  <c r="G16" i="155"/>
  <c r="J16" i="155" s="1"/>
  <c r="E16" i="155"/>
  <c r="D16" i="155"/>
  <c r="C16" i="155"/>
  <c r="F16" i="155" s="1"/>
  <c r="L15" i="155"/>
  <c r="J15" i="155"/>
  <c r="F15" i="155"/>
  <c r="L13" i="155"/>
  <c r="J13" i="155"/>
  <c r="K13" i="155" s="1"/>
  <c r="F13" i="155"/>
  <c r="L12" i="155"/>
  <c r="J12" i="155"/>
  <c r="F12" i="155"/>
  <c r="L11" i="155"/>
  <c r="J11" i="155"/>
  <c r="K11" i="155" s="1"/>
  <c r="F11" i="155"/>
  <c r="L10" i="155"/>
  <c r="J10" i="155"/>
  <c r="F10" i="155"/>
  <c r="L9" i="155"/>
  <c r="J9" i="155"/>
  <c r="K9" i="155" s="1"/>
  <c r="F9" i="155"/>
  <c r="L8" i="155"/>
  <c r="J8" i="155"/>
  <c r="F8" i="155"/>
  <c r="L7" i="155"/>
  <c r="J7" i="155"/>
  <c r="J30" i="155" s="1"/>
  <c r="I7" i="155"/>
  <c r="H7" i="155"/>
  <c r="H30" i="155" s="1"/>
  <c r="G7" i="155"/>
  <c r="F7" i="155"/>
  <c r="F30" i="155" s="1"/>
  <c r="K30" i="155" s="1"/>
  <c r="E7" i="155"/>
  <c r="E30" i="155" s="1"/>
  <c r="D7" i="155"/>
  <c r="D30" i="155" s="1"/>
  <c r="C7" i="155"/>
  <c r="C30" i="155" s="1"/>
  <c r="J29" i="76"/>
  <c r="F29" i="76"/>
  <c r="K29" i="76" s="1"/>
  <c r="J28" i="76"/>
  <c r="F28" i="76"/>
  <c r="K28" i="76" s="1"/>
  <c r="F27" i="76"/>
  <c r="J26" i="76"/>
  <c r="F26" i="76"/>
  <c r="K26" i="76" s="1"/>
  <c r="J25" i="76"/>
  <c r="F25" i="76"/>
  <c r="K25" i="76" s="1"/>
  <c r="J24" i="76"/>
  <c r="F24" i="76"/>
  <c r="K24" i="76" s="1"/>
  <c r="J23" i="76"/>
  <c r="F23" i="76"/>
  <c r="K23" i="76" s="1"/>
  <c r="J22" i="76"/>
  <c r="I22" i="76"/>
  <c r="H22" i="76"/>
  <c r="G22" i="76"/>
  <c r="F22" i="76"/>
  <c r="K22" i="76" s="1"/>
  <c r="E22" i="76"/>
  <c r="D22" i="76"/>
  <c r="C22" i="76"/>
  <c r="J21" i="76"/>
  <c r="F21" i="76"/>
  <c r="K21" i="76" s="1"/>
  <c r="J20" i="76"/>
  <c r="F20" i="76"/>
  <c r="K20" i="76" s="1"/>
  <c r="J19" i="76"/>
  <c r="F19" i="76"/>
  <c r="K19" i="76" s="1"/>
  <c r="J18" i="76"/>
  <c r="F18" i="76"/>
  <c r="K18" i="76" s="1"/>
  <c r="J17" i="76"/>
  <c r="K17" i="76" s="1"/>
  <c r="F17" i="76"/>
  <c r="I16" i="76"/>
  <c r="H16" i="76"/>
  <c r="G16" i="76"/>
  <c r="E16" i="76"/>
  <c r="D16" i="76"/>
  <c r="C16" i="76"/>
  <c r="J15" i="76"/>
  <c r="K15" i="76" s="1"/>
  <c r="F15" i="76"/>
  <c r="J13" i="76"/>
  <c r="F13" i="76"/>
  <c r="J12" i="76"/>
  <c r="F12" i="76"/>
  <c r="J11" i="76"/>
  <c r="F11" i="76"/>
  <c r="K11" i="76" s="1"/>
  <c r="J10" i="76"/>
  <c r="F10" i="76"/>
  <c r="J9" i="76"/>
  <c r="F9" i="76"/>
  <c r="K9" i="76" s="1"/>
  <c r="J8" i="76"/>
  <c r="F8" i="76"/>
  <c r="K8" i="76" s="1"/>
  <c r="I7" i="76"/>
  <c r="H7" i="76"/>
  <c r="H30" i="76" s="1"/>
  <c r="G7" i="76"/>
  <c r="E7" i="76"/>
  <c r="E30" i="76" s="1"/>
  <c r="D7" i="76"/>
  <c r="C7" i="76"/>
  <c r="C30" i="76" s="1"/>
  <c r="J16" i="76" l="1"/>
  <c r="K16" i="76" s="1"/>
  <c r="D30" i="76"/>
  <c r="G30" i="76"/>
  <c r="I30" i="76"/>
  <c r="K10" i="76"/>
  <c r="K12" i="76"/>
  <c r="K13" i="76"/>
  <c r="F16" i="76"/>
  <c r="G30" i="155"/>
  <c r="I30" i="155"/>
  <c r="K8" i="155"/>
  <c r="K10" i="155"/>
  <c r="K12" i="155"/>
  <c r="K15" i="155"/>
  <c r="K18" i="155"/>
  <c r="K20" i="155"/>
  <c r="K29" i="155"/>
  <c r="K16" i="155"/>
  <c r="K7" i="155"/>
  <c r="F7" i="76"/>
  <c r="J7" i="76"/>
  <c r="J30" i="76" l="1"/>
  <c r="F30" i="76"/>
  <c r="K7" i="76"/>
  <c r="K30" i="76" l="1"/>
  <c r="E18" i="91"/>
  <c r="D18" i="91"/>
  <c r="F13" i="91"/>
  <c r="C13" i="91"/>
  <c r="D9" i="90"/>
  <c r="D13" i="146"/>
  <c r="C13" i="146"/>
  <c r="C14" i="116"/>
  <c r="D12" i="116"/>
  <c r="F43" i="159" l="1"/>
  <c r="E43" i="159"/>
  <c r="D43" i="159"/>
  <c r="C43" i="159"/>
  <c r="E89" i="150"/>
  <c r="F58" i="150" l="1"/>
  <c r="E42" i="150"/>
  <c r="E7" i="150"/>
  <c r="E17" i="150"/>
  <c r="E6" i="142"/>
  <c r="E25" i="142"/>
  <c r="C15" i="64" l="1"/>
  <c r="C14" i="64"/>
  <c r="E23" i="3" l="1"/>
  <c r="E24" i="3"/>
  <c r="E25" i="3"/>
  <c r="E26" i="3"/>
  <c r="E27" i="3"/>
  <c r="E28" i="3"/>
  <c r="E29" i="3"/>
  <c r="E30" i="3"/>
  <c r="E31" i="3"/>
  <c r="E32" i="3"/>
  <c r="C18" i="154"/>
  <c r="D8" i="158"/>
  <c r="C8" i="158"/>
  <c r="C19" i="3" l="1"/>
  <c r="E9" i="3"/>
  <c r="G97" i="150" l="1"/>
  <c r="H97" i="150"/>
  <c r="H44" i="158" l="1"/>
  <c r="G44" i="158"/>
  <c r="H43" i="158"/>
  <c r="G43" i="158"/>
  <c r="H40" i="158"/>
  <c r="G40" i="158"/>
  <c r="H39" i="158"/>
  <c r="G39" i="158"/>
  <c r="H38" i="158"/>
  <c r="G38" i="158"/>
  <c r="H37" i="158"/>
  <c r="G37" i="158"/>
  <c r="H36" i="158"/>
  <c r="G36" i="158"/>
  <c r="H35" i="158"/>
  <c r="G35" i="158"/>
  <c r="H34" i="158"/>
  <c r="G34" i="158"/>
  <c r="H33" i="158"/>
  <c r="G33" i="158"/>
  <c r="H32" i="158"/>
  <c r="G32" i="158"/>
  <c r="H31" i="158"/>
  <c r="G31" i="158"/>
  <c r="H30" i="158"/>
  <c r="G30" i="158"/>
  <c r="H29" i="158"/>
  <c r="G29" i="158"/>
  <c r="H28" i="158"/>
  <c r="G28" i="158"/>
  <c r="H27" i="158"/>
  <c r="G27" i="158"/>
  <c r="H26" i="158"/>
  <c r="G26" i="158"/>
  <c r="H25" i="158"/>
  <c r="G25" i="158"/>
  <c r="H24" i="158"/>
  <c r="G24" i="158"/>
  <c r="H23" i="158"/>
  <c r="G23" i="158"/>
  <c r="H22" i="158"/>
  <c r="G22" i="158"/>
  <c r="H21" i="158"/>
  <c r="G21" i="158"/>
  <c r="H20" i="158"/>
  <c r="G20" i="158"/>
  <c r="H19" i="158"/>
  <c r="G19" i="158"/>
  <c r="H18" i="158"/>
  <c r="G18" i="158"/>
  <c r="H17" i="158"/>
  <c r="G17" i="158"/>
  <c r="H16" i="158"/>
  <c r="G16" i="158"/>
  <c r="H15" i="158"/>
  <c r="G15" i="158"/>
  <c r="H14" i="158"/>
  <c r="G14" i="158"/>
  <c r="H13" i="158"/>
  <c r="G13" i="158"/>
  <c r="H12" i="158"/>
  <c r="G12" i="158"/>
  <c r="H11" i="158"/>
  <c r="G11" i="158"/>
  <c r="H10" i="158"/>
  <c r="G10" i="158"/>
  <c r="H9" i="158"/>
  <c r="G9" i="158"/>
  <c r="H8" i="158"/>
  <c r="G8" i="158"/>
  <c r="E41" i="158"/>
  <c r="F41" i="158"/>
  <c r="H42" i="159"/>
  <c r="G42" i="159"/>
  <c r="H41" i="159"/>
  <c r="G41" i="159"/>
  <c r="H40" i="159"/>
  <c r="G40" i="159"/>
  <c r="H39" i="159"/>
  <c r="G39" i="159"/>
  <c r="H38" i="159"/>
  <c r="G38" i="159"/>
  <c r="H37" i="159"/>
  <c r="G37" i="159"/>
  <c r="H36" i="159"/>
  <c r="G36" i="159"/>
  <c r="H35" i="159"/>
  <c r="G35" i="159"/>
  <c r="H34" i="159"/>
  <c r="G34" i="159"/>
  <c r="H33" i="159"/>
  <c r="G33" i="159"/>
  <c r="H32" i="159"/>
  <c r="G32" i="159"/>
  <c r="H31" i="159"/>
  <c r="G31" i="159"/>
  <c r="H30" i="159"/>
  <c r="G30" i="159"/>
  <c r="H29" i="159"/>
  <c r="G29" i="159"/>
  <c r="H28" i="159"/>
  <c r="G28" i="159"/>
  <c r="H27" i="159"/>
  <c r="G27" i="159"/>
  <c r="H26" i="159"/>
  <c r="G26" i="159"/>
  <c r="H25" i="159"/>
  <c r="G25" i="159"/>
  <c r="H24" i="159"/>
  <c r="G24" i="159"/>
  <c r="H23" i="159"/>
  <c r="G23" i="159"/>
  <c r="H22" i="159"/>
  <c r="G22" i="159"/>
  <c r="H21" i="159"/>
  <c r="G21" i="159"/>
  <c r="H20" i="159"/>
  <c r="G20" i="159"/>
  <c r="H19" i="159"/>
  <c r="G19" i="159"/>
  <c r="H18" i="159"/>
  <c r="G18" i="159"/>
  <c r="H17" i="159"/>
  <c r="G17" i="159"/>
  <c r="H16" i="159"/>
  <c r="G16" i="159"/>
  <c r="H15" i="159"/>
  <c r="G15" i="159"/>
  <c r="H14" i="159"/>
  <c r="G14" i="159"/>
  <c r="H13" i="159"/>
  <c r="G13" i="159"/>
  <c r="H12" i="159"/>
  <c r="G12" i="159"/>
  <c r="H11" i="159"/>
  <c r="G11" i="159"/>
  <c r="H10" i="159"/>
  <c r="G10" i="159"/>
  <c r="H9" i="159"/>
  <c r="G9" i="159"/>
  <c r="H8" i="159"/>
  <c r="G8" i="159"/>
  <c r="H7" i="159"/>
  <c r="G7" i="159"/>
  <c r="H6" i="159"/>
  <c r="G6" i="159"/>
  <c r="H43" i="159"/>
  <c r="D9" i="157"/>
  <c r="C9" i="157"/>
  <c r="E6" i="157" s="1"/>
  <c r="E9" i="157" s="1"/>
  <c r="D18" i="154"/>
  <c r="H54" i="142"/>
  <c r="G48" i="142"/>
  <c r="D11" i="154"/>
  <c r="C11" i="154"/>
  <c r="D5" i="154"/>
  <c r="C5" i="154"/>
  <c r="D15" i="3"/>
  <c r="D19" i="3"/>
  <c r="E19" i="3" s="1"/>
  <c r="F7" i="144"/>
  <c r="H101" i="150"/>
  <c r="G101" i="150"/>
  <c r="H99" i="150"/>
  <c r="G99" i="150"/>
  <c r="H98" i="150"/>
  <c r="G98" i="150"/>
  <c r="H96" i="150"/>
  <c r="G96" i="150"/>
  <c r="H95" i="150"/>
  <c r="G95" i="150"/>
  <c r="H94" i="150"/>
  <c r="G94" i="150"/>
  <c r="H93" i="150"/>
  <c r="G93" i="150"/>
  <c r="H92" i="150"/>
  <c r="G92" i="150"/>
  <c r="H91" i="150"/>
  <c r="G91" i="150"/>
  <c r="H90" i="150"/>
  <c r="G90" i="150"/>
  <c r="F89" i="150"/>
  <c r="D89" i="150"/>
  <c r="C89" i="150"/>
  <c r="H88" i="150"/>
  <c r="G88" i="150"/>
  <c r="H87" i="150"/>
  <c r="G87" i="150"/>
  <c r="H86" i="150"/>
  <c r="G86" i="150"/>
  <c r="H85" i="150"/>
  <c r="G85" i="150"/>
  <c r="H84" i="150"/>
  <c r="G84" i="150"/>
  <c r="H83" i="150"/>
  <c r="G83" i="150"/>
  <c r="H82" i="150"/>
  <c r="G82" i="150"/>
  <c r="F81" i="150"/>
  <c r="F79" i="150" s="1"/>
  <c r="E81" i="150"/>
  <c r="D81" i="150"/>
  <c r="D79" i="150" s="1"/>
  <c r="C81" i="150"/>
  <c r="C79" i="150" s="1"/>
  <c r="H80" i="150"/>
  <c r="G80"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E62" i="150"/>
  <c r="E60" i="150" s="1"/>
  <c r="D62" i="150"/>
  <c r="C62" i="150"/>
  <c r="C60" i="150" s="1"/>
  <c r="H61" i="150"/>
  <c r="G61" i="150"/>
  <c r="D60"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D44" i="150"/>
  <c r="C44" i="150"/>
  <c r="H43" i="150"/>
  <c r="G43" i="150"/>
  <c r="H42" i="150"/>
  <c r="G42" i="150"/>
  <c r="H41" i="150"/>
  <c r="G41" i="150"/>
  <c r="F40" i="150"/>
  <c r="E40" i="150"/>
  <c r="D40" i="150"/>
  <c r="H40" i="150" s="1"/>
  <c r="C40" i="150"/>
  <c r="H39" i="150"/>
  <c r="G39" i="150"/>
  <c r="H38" i="150"/>
  <c r="G38" i="150"/>
  <c r="H37" i="150"/>
  <c r="G37" i="150"/>
  <c r="H36" i="150"/>
  <c r="G36" i="150"/>
  <c r="H35" i="150"/>
  <c r="G35" i="150"/>
  <c r="H34" i="150"/>
  <c r="G34" i="150"/>
  <c r="H33" i="150"/>
  <c r="G33" i="150"/>
  <c r="F32" i="150"/>
  <c r="E32" i="150"/>
  <c r="D32" i="150"/>
  <c r="C32" i="150"/>
  <c r="H31" i="150"/>
  <c r="G31" i="150"/>
  <c r="H30" i="150"/>
  <c r="G30" i="150"/>
  <c r="H29" i="150"/>
  <c r="G29" i="150"/>
  <c r="H28" i="150"/>
  <c r="G28" i="150"/>
  <c r="F27" i="150"/>
  <c r="E27" i="150"/>
  <c r="D27" i="150"/>
  <c r="C27" i="150"/>
  <c r="G27" i="150"/>
  <c r="H25" i="150"/>
  <c r="G25" i="150"/>
  <c r="H24" i="150"/>
  <c r="G24" i="150"/>
  <c r="H23" i="150"/>
  <c r="G23" i="150"/>
  <c r="H22" i="150"/>
  <c r="G22" i="150"/>
  <c r="H21" i="150"/>
  <c r="G21" i="150"/>
  <c r="H20" i="150"/>
  <c r="G20" i="150"/>
  <c r="F19" i="150"/>
  <c r="E19" i="150"/>
  <c r="D19" i="150"/>
  <c r="C19" i="150"/>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s="1"/>
  <c r="A9" i="150" s="1"/>
  <c r="A10" i="150"/>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7" i="150" s="1"/>
  <c r="A88" i="150" s="1"/>
  <c r="A89" i="150" s="1"/>
  <c r="A90" i="150" s="1"/>
  <c r="A91" i="150" s="1"/>
  <c r="A93" i="150" s="1"/>
  <c r="A94" i="150" s="1"/>
  <c r="A95" i="150" s="1"/>
  <c r="A96" i="150" s="1"/>
  <c r="A97" i="150" s="1"/>
  <c r="A98" i="150" s="1"/>
  <c r="A99" i="150" s="1"/>
  <c r="A101" i="150" s="1"/>
  <c r="A102" i="150" s="1"/>
  <c r="F6" i="150"/>
  <c r="E6" i="150"/>
  <c r="D6" i="150"/>
  <c r="C6" i="150"/>
  <c r="F6" i="149"/>
  <c r="E6" i="149"/>
  <c r="D6" i="149"/>
  <c r="C6" i="149"/>
  <c r="G7" i="149"/>
  <c r="H8" i="149"/>
  <c r="G10" i="149"/>
  <c r="H11" i="149"/>
  <c r="G14" i="149"/>
  <c r="H14" i="149"/>
  <c r="G15" i="149"/>
  <c r="H15" i="149"/>
  <c r="D9" i="149"/>
  <c r="E9" i="149"/>
  <c r="F9" i="149"/>
  <c r="C9" i="149"/>
  <c r="G9" i="149" s="1"/>
  <c r="F13" i="149"/>
  <c r="E13" i="149"/>
  <c r="D13" i="149"/>
  <c r="H13" i="149"/>
  <c r="C13" i="149"/>
  <c r="A8" i="149"/>
  <c r="A9" i="149" s="1"/>
  <c r="A10" i="149" s="1"/>
  <c r="A11" i="149" s="1"/>
  <c r="A12" i="149" s="1"/>
  <c r="A13" i="149" s="1"/>
  <c r="A14" i="149" s="1"/>
  <c r="D20" i="146"/>
  <c r="C20" i="146"/>
  <c r="C12" i="146" s="1"/>
  <c r="C9" i="146" s="1"/>
  <c r="C5" i="146" s="1"/>
  <c r="C16" i="146" s="1"/>
  <c r="D21" i="146"/>
  <c r="F11" i="141"/>
  <c r="F42" i="133"/>
  <c r="F41" i="133"/>
  <c r="E18" i="141"/>
  <c r="G17" i="141"/>
  <c r="G15" i="141"/>
  <c r="G14" i="141"/>
  <c r="G13" i="141"/>
  <c r="G12" i="141"/>
  <c r="E11" i="141"/>
  <c r="D11" i="141"/>
  <c r="C11" i="141"/>
  <c r="G10" i="141"/>
  <c r="G9" i="141"/>
  <c r="F8" i="141"/>
  <c r="F7" i="141" s="1"/>
  <c r="F18" i="141" s="1"/>
  <c r="E8" i="141"/>
  <c r="D8" i="141"/>
  <c r="C8" i="141"/>
  <c r="E7" i="141"/>
  <c r="N15" i="145"/>
  <c r="M15" i="145"/>
  <c r="M18" i="145"/>
  <c r="N18" i="145"/>
  <c r="N16" i="145"/>
  <c r="M16" i="145"/>
  <c r="N12" i="145"/>
  <c r="M12" i="145"/>
  <c r="N11" i="145"/>
  <c r="M11" i="145"/>
  <c r="M8" i="145"/>
  <c r="N8" i="145"/>
  <c r="M6" i="145"/>
  <c r="C17" i="146"/>
  <c r="H20" i="142"/>
  <c r="D13" i="144"/>
  <c r="E13" i="144"/>
  <c r="F13" i="144"/>
  <c r="H7" i="145"/>
  <c r="G7" i="145"/>
  <c r="G17" i="145" s="1"/>
  <c r="H6" i="145" s="1"/>
  <c r="C21" i="146"/>
  <c r="D17" i="146"/>
  <c r="D6" i="146"/>
  <c r="C6" i="146"/>
  <c r="A6" i="146"/>
  <c r="A7" i="146"/>
  <c r="A8" i="146" s="1"/>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c r="L6" i="145" s="1"/>
  <c r="L17" i="145" s="1"/>
  <c r="J7" i="145"/>
  <c r="I7" i="145"/>
  <c r="F7" i="145"/>
  <c r="E7" i="145"/>
  <c r="E17" i="145" s="1"/>
  <c r="F6" i="145" s="1"/>
  <c r="D7" i="145"/>
  <c r="C7" i="145"/>
  <c r="F39" i="134"/>
  <c r="I20" i="91"/>
  <c r="I19" i="91"/>
  <c r="I18" i="91"/>
  <c r="I17" i="91"/>
  <c r="I16" i="91"/>
  <c r="I15" i="91"/>
  <c r="I14" i="91"/>
  <c r="I13" i="91"/>
  <c r="I12" i="91"/>
  <c r="I11" i="91"/>
  <c r="H10" i="91"/>
  <c r="H21" i="91" s="1"/>
  <c r="G10" i="91"/>
  <c r="G21" i="91" s="1"/>
  <c r="F10" i="91"/>
  <c r="F21" i="91"/>
  <c r="E10" i="91"/>
  <c r="E21" i="91" s="1"/>
  <c r="D10" i="91"/>
  <c r="D21" i="91" s="1"/>
  <c r="C10" i="91"/>
  <c r="C21" i="91" s="1"/>
  <c r="I9" i="91"/>
  <c r="I8" i="91"/>
  <c r="I6" i="91"/>
  <c r="M6" i="97"/>
  <c r="G6" i="97"/>
  <c r="F16" i="144"/>
  <c r="E16" i="144"/>
  <c r="D16" i="144"/>
  <c r="C16" i="144"/>
  <c r="C13" i="144"/>
  <c r="F10" i="144"/>
  <c r="F6" i="144" s="1"/>
  <c r="E10" i="144"/>
  <c r="D10" i="144"/>
  <c r="C10" i="144"/>
  <c r="E7" i="144"/>
  <c r="D7" i="144"/>
  <c r="C7" i="144"/>
  <c r="H58" i="142"/>
  <c r="G58" i="142"/>
  <c r="H57" i="142"/>
  <c r="G57" i="142"/>
  <c r="H56" i="142"/>
  <c r="G56" i="142"/>
  <c r="G54" i="142"/>
  <c r="H53" i="142"/>
  <c r="G53" i="142"/>
  <c r="H51" i="142"/>
  <c r="G51" i="142"/>
  <c r="H50" i="142"/>
  <c r="G50" i="142"/>
  <c r="G49" i="142"/>
  <c r="G47" i="142"/>
  <c r="G46" i="142"/>
  <c r="G45" i="142"/>
  <c r="F44" i="142"/>
  <c r="E44" i="142"/>
  <c r="D44" i="142"/>
  <c r="C44" i="142"/>
  <c r="H43" i="142"/>
  <c r="G43" i="142"/>
  <c r="H42" i="142"/>
  <c r="G42" i="142"/>
  <c r="H41" i="142"/>
  <c r="G41" i="142"/>
  <c r="H40" i="142"/>
  <c r="G40" i="142"/>
  <c r="H39" i="142"/>
  <c r="G39" i="142"/>
  <c r="H38" i="142"/>
  <c r="G38" i="142"/>
  <c r="H37" i="142"/>
  <c r="G37" i="142"/>
  <c r="H36" i="142"/>
  <c r="G36" i="142"/>
  <c r="H35" i="142"/>
  <c r="G35" i="142"/>
  <c r="H34" i="142"/>
  <c r="G34" i="142"/>
  <c r="H33" i="142"/>
  <c r="G33" i="142"/>
  <c r="H32" i="142"/>
  <c r="G32" i="142"/>
  <c r="H31" i="142"/>
  <c r="G31" i="142"/>
  <c r="H30" i="142"/>
  <c r="G30" i="142"/>
  <c r="H29" i="142"/>
  <c r="G29" i="142"/>
  <c r="H28" i="142"/>
  <c r="G28" i="142"/>
  <c r="H27" i="142"/>
  <c r="G27" i="142"/>
  <c r="H26" i="142"/>
  <c r="G26" i="142"/>
  <c r="F25" i="142"/>
  <c r="D25" i="142"/>
  <c r="C25" i="142"/>
  <c r="G25" i="142" s="1"/>
  <c r="H24" i="142"/>
  <c r="G24" i="142"/>
  <c r="H23" i="142"/>
  <c r="G23" i="142"/>
  <c r="H22" i="142"/>
  <c r="G22" i="142"/>
  <c r="F21" i="142"/>
  <c r="E21" i="142"/>
  <c r="D21" i="142"/>
  <c r="C21" i="142"/>
  <c r="G20" i="142"/>
  <c r="H19" i="142"/>
  <c r="G19" i="142"/>
  <c r="H18" i="142"/>
  <c r="G18" i="142"/>
  <c r="H17" i="142"/>
  <c r="G17" i="142"/>
  <c r="H16" i="142"/>
  <c r="G16" i="142"/>
  <c r="H15" i="142"/>
  <c r="G15" i="142"/>
  <c r="H14" i="142"/>
  <c r="G14" i="142"/>
  <c r="H13" i="142"/>
  <c r="G13" i="142"/>
  <c r="H12" i="142"/>
  <c r="G12" i="142"/>
  <c r="F11" i="142"/>
  <c r="E11" i="142"/>
  <c r="D11" i="142"/>
  <c r="D7" i="158" s="1"/>
  <c r="H7" i="158" s="1"/>
  <c r="C11" i="142"/>
  <c r="C7" i="158" s="1"/>
  <c r="G7" i="158" s="1"/>
  <c r="H10" i="142"/>
  <c r="G10" i="142"/>
  <c r="H9" i="142"/>
  <c r="G9" i="142"/>
  <c r="H8" i="142"/>
  <c r="G8" i="142"/>
  <c r="H7" i="142"/>
  <c r="G7" i="142"/>
  <c r="A7" i="142"/>
  <c r="A8" i="142" s="1"/>
  <c r="A9" i="142" s="1"/>
  <c r="A10" i="142" s="1"/>
  <c r="A11" i="142" s="1"/>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F6" i="142"/>
  <c r="D6" i="142"/>
  <c r="D6" i="158" s="1"/>
  <c r="D41" i="158" s="1"/>
  <c r="D42" i="158" s="1"/>
  <c r="D45" i="158" s="1"/>
  <c r="C6" i="142"/>
  <c r="C6" i="158" s="1"/>
  <c r="G6" i="158" s="1"/>
  <c r="D7" i="139"/>
  <c r="E7" i="139"/>
  <c r="E6" i="139" s="1"/>
  <c r="E49" i="139" s="1"/>
  <c r="F7" i="139"/>
  <c r="G7" i="139"/>
  <c r="D13" i="139"/>
  <c r="E13" i="139"/>
  <c r="F13" i="139"/>
  <c r="G13" i="139"/>
  <c r="F20" i="139"/>
  <c r="G20" i="139"/>
  <c r="D24" i="139"/>
  <c r="E24" i="139"/>
  <c r="F24" i="139"/>
  <c r="G24" i="139"/>
  <c r="D32" i="139"/>
  <c r="E32" i="139"/>
  <c r="F32" i="139"/>
  <c r="G32" i="139"/>
  <c r="D42" i="139"/>
  <c r="E42" i="139"/>
  <c r="F42" i="139"/>
  <c r="G42" i="139"/>
  <c r="D46" i="139"/>
  <c r="E46" i="139"/>
  <c r="F46" i="139"/>
  <c r="G46" i="139"/>
  <c r="D7" i="138"/>
  <c r="E7" i="138"/>
  <c r="F7" i="138"/>
  <c r="G7" i="138"/>
  <c r="D14" i="138"/>
  <c r="E14" i="138"/>
  <c r="F14" i="138"/>
  <c r="G14" i="138"/>
  <c r="D19" i="138"/>
  <c r="E19" i="138"/>
  <c r="F19" i="138"/>
  <c r="G19" i="138"/>
  <c r="D28" i="138"/>
  <c r="E28" i="138"/>
  <c r="F28" i="138"/>
  <c r="G28" i="138"/>
  <c r="D34" i="138"/>
  <c r="E34" i="138"/>
  <c r="F34" i="138"/>
  <c r="G34" i="138"/>
  <c r="D7" i="137"/>
  <c r="E7" i="137"/>
  <c r="F7" i="137"/>
  <c r="G7" i="137"/>
  <c r="D14" i="137"/>
  <c r="E14" i="137"/>
  <c r="F14" i="137"/>
  <c r="G14" i="137"/>
  <c r="D26" i="137"/>
  <c r="E26" i="137"/>
  <c r="F26" i="137"/>
  <c r="F6" i="137" s="1"/>
  <c r="G26" i="137"/>
  <c r="F4" i="134"/>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40" i="134"/>
  <c r="D41" i="134"/>
  <c r="E41" i="134"/>
  <c r="F4" i="133"/>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D39" i="133"/>
  <c r="E39" i="133"/>
  <c r="C6" i="61"/>
  <c r="D6" i="61"/>
  <c r="A7" i="61"/>
  <c r="E7" i="61"/>
  <c r="A8" i="61"/>
  <c r="A9" i="61" s="1"/>
  <c r="E8" i="61"/>
  <c r="A10" i="61"/>
  <c r="E10" i="61"/>
  <c r="E12" i="61"/>
  <c r="E13" i="61"/>
  <c r="C15" i="61"/>
  <c r="D15" i="61"/>
  <c r="E16" i="61"/>
  <c r="C5" i="64"/>
  <c r="C22" i="64" s="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A9" i="116"/>
  <c r="A10" i="116" s="1"/>
  <c r="A11" i="116"/>
  <c r="A12" i="116" s="1"/>
  <c r="A13" i="116" s="1"/>
  <c r="A14" i="116" s="1"/>
  <c r="A15" i="116" s="1"/>
  <c r="A16" i="116" s="1"/>
  <c r="A17" i="116" s="1"/>
  <c r="A18" i="116" s="1"/>
  <c r="C13" i="116"/>
  <c r="C17" i="116" s="1"/>
  <c r="D13" i="116"/>
  <c r="D14" i="116"/>
  <c r="A7" i="109"/>
  <c r="A8" i="109" s="1"/>
  <c r="A9" i="109"/>
  <c r="A10" i="109" s="1"/>
  <c r="C11" i="109"/>
  <c r="E9" i="109" s="1"/>
  <c r="E11" i="109" s="1"/>
  <c r="C12" i="109"/>
  <c r="E12" i="109"/>
  <c r="C5" i="3"/>
  <c r="D5" i="3"/>
  <c r="E6" i="3"/>
  <c r="E7" i="3"/>
  <c r="E8" i="3"/>
  <c r="C11" i="3"/>
  <c r="E11" i="3"/>
  <c r="D11" i="3"/>
  <c r="E12" i="3"/>
  <c r="E13" i="3"/>
  <c r="E14" i="3"/>
  <c r="C15" i="3"/>
  <c r="E15" i="3" s="1"/>
  <c r="E16" i="3"/>
  <c r="E17" i="3"/>
  <c r="E18" i="3"/>
  <c r="E20" i="3"/>
  <c r="E21" i="3"/>
  <c r="E22" i="3"/>
  <c r="C5" i="23"/>
  <c r="D5" i="23"/>
  <c r="A6" i="23"/>
  <c r="A7" i="23" s="1"/>
  <c r="A8" i="23" s="1"/>
  <c r="A9" i="23" s="1"/>
  <c r="A10" i="23" s="1"/>
  <c r="A11" i="23" s="1"/>
  <c r="A12" i="23" s="1"/>
  <c r="A13" i="23" s="1"/>
  <c r="A14" i="23" s="1"/>
  <c r="A15" i="23" s="1"/>
  <c r="A16" i="23" s="1"/>
  <c r="A17" i="23" s="1"/>
  <c r="A18" i="23" s="1"/>
  <c r="A19" i="23" s="1"/>
  <c r="E6" i="23"/>
  <c r="C7" i="23"/>
  <c r="E7" i="23" s="1"/>
  <c r="D7" i="23"/>
  <c r="E8" i="23"/>
  <c r="E9" i="23"/>
  <c r="E10" i="23"/>
  <c r="E11" i="23"/>
  <c r="E12" i="23"/>
  <c r="C13" i="23"/>
  <c r="D13" i="23"/>
  <c r="E14" i="23"/>
  <c r="C15" i="23"/>
  <c r="D15" i="23"/>
  <c r="E16" i="23"/>
  <c r="E17" i="23"/>
  <c r="E18" i="23"/>
  <c r="I17" i="145"/>
  <c r="J6" i="145" s="1"/>
  <c r="D10" i="146"/>
  <c r="G62" i="150"/>
  <c r="F60" i="150"/>
  <c r="H60" i="150" s="1"/>
  <c r="H89" i="150"/>
  <c r="D12" i="146" l="1"/>
  <c r="D9" i="146" s="1"/>
  <c r="D5" i="146" s="1"/>
  <c r="D16" i="146" s="1"/>
  <c r="E13" i="23"/>
  <c r="D19" i="23"/>
  <c r="D34" i="3"/>
  <c r="E15" i="61"/>
  <c r="E6" i="138"/>
  <c r="D6" i="139"/>
  <c r="D49" i="139" s="1"/>
  <c r="G44" i="142"/>
  <c r="E6" i="144"/>
  <c r="H21" i="145" s="1"/>
  <c r="G11" i="141"/>
  <c r="G13" i="149"/>
  <c r="H9" i="149"/>
  <c r="H6" i="149"/>
  <c r="H6" i="150"/>
  <c r="F102" i="150"/>
  <c r="H62" i="150"/>
  <c r="C41" i="158"/>
  <c r="E42" i="158"/>
  <c r="E45" i="158" s="1"/>
  <c r="H6" i="158"/>
  <c r="G6" i="150"/>
  <c r="H27" i="150"/>
  <c r="E40" i="133"/>
  <c r="E43" i="133" s="1"/>
  <c r="F43" i="133" s="1"/>
  <c r="D40" i="133"/>
  <c r="D43" i="133" s="1"/>
  <c r="F41" i="134"/>
  <c r="F19" i="139"/>
  <c r="F6" i="139"/>
  <c r="F49" i="139" s="1"/>
  <c r="G6" i="139"/>
  <c r="G6" i="138"/>
  <c r="F6" i="138"/>
  <c r="F37" i="138" s="1"/>
  <c r="D6" i="138"/>
  <c r="D6" i="137"/>
  <c r="E6" i="137"/>
  <c r="E37" i="138" s="1"/>
  <c r="D18" i="116"/>
  <c r="D17" i="116"/>
  <c r="C7" i="141"/>
  <c r="J17" i="145"/>
  <c r="H17" i="145"/>
  <c r="N7" i="145"/>
  <c r="F17" i="145"/>
  <c r="M7" i="145"/>
  <c r="C6" i="144"/>
  <c r="D6" i="144"/>
  <c r="H79" i="150"/>
  <c r="H44" i="150"/>
  <c r="H32" i="150"/>
  <c r="H19" i="150"/>
  <c r="G19" i="150"/>
  <c r="H21" i="142"/>
  <c r="G11" i="142"/>
  <c r="H12" i="149"/>
  <c r="G43" i="159"/>
  <c r="C42" i="158"/>
  <c r="C45" i="158" s="1"/>
  <c r="G45" i="158" s="1"/>
  <c r="G89" i="150"/>
  <c r="H81" i="150"/>
  <c r="G68" i="150"/>
  <c r="H68" i="150"/>
  <c r="G60" i="150"/>
  <c r="G44" i="150"/>
  <c r="G32" i="150"/>
  <c r="C102" i="150"/>
  <c r="H25" i="142"/>
  <c r="C34" i="3"/>
  <c r="E34" i="3" s="1"/>
  <c r="E15" i="23"/>
  <c r="E5" i="23"/>
  <c r="G6" i="137"/>
  <c r="G8" i="141"/>
  <c r="D7" i="141"/>
  <c r="G7" i="141" s="1"/>
  <c r="D102" i="150"/>
  <c r="E79" i="150"/>
  <c r="G79" i="150" s="1"/>
  <c r="G81" i="150"/>
  <c r="F42" i="158"/>
  <c r="C12" i="149"/>
  <c r="C16" i="149" s="1"/>
  <c r="C19" i="23"/>
  <c r="E5" i="3"/>
  <c r="E6" i="61"/>
  <c r="E18" i="61" s="1"/>
  <c r="C18" i="61"/>
  <c r="F39" i="133"/>
  <c r="H11" i="142"/>
  <c r="G40" i="150"/>
  <c r="H41" i="158"/>
  <c r="D18" i="61"/>
  <c r="F59" i="142"/>
  <c r="I21" i="91"/>
  <c r="F12" i="149"/>
  <c r="F16" i="149" s="1"/>
  <c r="H16" i="149" s="1"/>
  <c r="G41" i="158"/>
  <c r="G21" i="142"/>
  <c r="H44" i="142"/>
  <c r="I10" i="91"/>
  <c r="D12" i="149"/>
  <c r="D16" i="149" s="1"/>
  <c r="G19" i="139"/>
  <c r="G49" i="139" s="1"/>
  <c r="E59" i="142"/>
  <c r="C17" i="145"/>
  <c r="D6" i="145" s="1"/>
  <c r="E12" i="149"/>
  <c r="E16" i="149" s="1"/>
  <c r="G6" i="149"/>
  <c r="G12" i="149" s="1"/>
  <c r="H6" i="142"/>
  <c r="G6" i="142"/>
  <c r="D59" i="142"/>
  <c r="C59" i="142"/>
  <c r="E19" i="23" l="1"/>
  <c r="C16" i="141"/>
  <c r="G16" i="141" s="1"/>
  <c r="C18" i="141"/>
  <c r="G18" i="141"/>
  <c r="F40" i="133"/>
  <c r="G37" i="138"/>
  <c r="D37" i="138"/>
  <c r="H102" i="150"/>
  <c r="G16" i="149"/>
  <c r="G42" i="158"/>
  <c r="H59" i="142"/>
  <c r="M17" i="145"/>
  <c r="H42" i="158"/>
  <c r="F45" i="158"/>
  <c r="H45" i="158" s="1"/>
  <c r="E102" i="150"/>
  <c r="G59" i="142"/>
  <c r="N6" i="145" l="1"/>
  <c r="D17" i="145"/>
  <c r="N17" i="145" s="1"/>
  <c r="G102" i="150"/>
</calcChain>
</file>

<file path=xl/comments1.xml><?xml version="1.0" encoding="utf-8"?>
<comments xmlns="http://schemas.openxmlformats.org/spreadsheetml/2006/main">
  <authors>
    <author>Ing. Gondárová Beata</author>
  </authors>
  <commentList>
    <comment ref="E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t>
        </r>
        <r>
          <rPr>
            <u/>
            <sz val="10"/>
            <color indexed="81"/>
            <rFont val="Tahoma"/>
            <family val="2"/>
            <charset val="238"/>
          </rPr>
          <t>zo všetkých zdrojov</t>
        </r>
        <r>
          <rPr>
            <sz val="10"/>
            <color indexed="81"/>
            <rFont val="Tahoma"/>
            <family val="2"/>
            <charset val="238"/>
          </rPr>
          <t xml:space="preserve">), prijatých do 31.8.2012 - </t>
        </r>
        <r>
          <rPr>
            <b/>
            <sz val="10"/>
            <color indexed="81"/>
            <rFont val="Tahoma"/>
            <family val="2"/>
            <charset val="238"/>
          </rPr>
          <t>nie</t>
        </r>
        <r>
          <rPr>
            <sz val="10"/>
            <color indexed="81"/>
            <rFont val="Tahoma"/>
            <family val="2"/>
            <charset val="238"/>
          </rPr>
          <t xml:space="preserve"> z účelovej dotácie (napr. štip.doktorandov platených z neúčelovej dotácie MŠVVaŠ, nebezpečn. príplatok, vyšší plat. stupeň)</t>
        </r>
      </text>
    </comment>
    <comment ref="F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(zo všetkých zdrojov), prijatých po 1.9.2012 na miestach nepridelených "ministerstvom"</t>
        </r>
      </text>
    </comment>
  </commentList>
</comments>
</file>

<file path=xl/sharedStrings.xml><?xml version="1.0" encoding="utf-8"?>
<sst xmlns="http://schemas.openxmlformats.org/spreadsheetml/2006/main" count="2043" uniqueCount="1446">
  <si>
    <t xml:space="preserve">pozn.1): rozdiel medzi údajom, vykazovaným v stĺpci T6_R18_SH a údajom v T5_R56_(SC+SD) uviesť v komentári  </t>
  </si>
  <si>
    <t xml:space="preserve">  - tvorba fondu z predaja alebo likvidácie majetku</t>
  </si>
  <si>
    <t xml:space="preserve">      - dohody o vykonaní práce - externí účitelia (účet 521 009)</t>
  </si>
  <si>
    <t xml:space="preserve">      - dohody o vykonaní práce, dohody o pracovnej činnosti
        (účet 521 010)</t>
  </si>
  <si>
    <t xml:space="preserve"> - OON [SUM(R58:R60)]</t>
  </si>
  <si>
    <t>Zákonné sociálne náklady (účet 527) [SUM(R64:R69)]</t>
  </si>
  <si>
    <t>- Iné ostatné  náklady (účet 549) [SUM(R77:R83)]</t>
  </si>
  <si>
    <t>T5_R56_SC+SD &gt;=&lt; T6_R18_SH
T5_R77_SC = T7_R1_SE
T5_R81_SC = T19_R2_SC</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</si>
  <si>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</si>
  <si>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</si>
  <si>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</si>
  <si>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</si>
  <si>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</si>
  <si>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</si>
  <si>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</si>
  <si>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</si>
  <si>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</si>
  <si>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</si>
  <si>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Účty v Štátnej pokladnici spolu [SUM(R2:R15)]</t>
  </si>
  <si>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</si>
  <si>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</si>
  <si>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</si>
  <si>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</si>
  <si>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</si>
  <si>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</si>
  <si>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</si>
  <si>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</si>
  <si>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</si>
  <si>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</si>
  <si>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</si>
  <si>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</si>
  <si>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</si>
  <si>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</si>
  <si>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</si>
  <si>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</si>
  <si>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T7_SC</t>
  </si>
  <si>
    <t xml:space="preserve">Ostatné sociálne náklady (účet 528)  </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</si>
  <si>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</si>
  <si>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T13_V3</t>
  </si>
  <si>
    <t>T13_V5</t>
  </si>
  <si>
    <t>T13_V4</t>
  </si>
  <si>
    <t>T13_V6</t>
  </si>
  <si>
    <t>T16_R17</t>
  </si>
  <si>
    <t>Kontrola</t>
  </si>
  <si>
    <t>Poznámky</t>
  </si>
  <si>
    <t>T1_V2</t>
  </si>
  <si>
    <t>T13_R13 = vybrané účty T16</t>
  </si>
  <si>
    <t>T16_R14</t>
  </si>
  <si>
    <t>Verejná vysoká škola tu uvedie zostatok finančných prostriedkov na účtoch, na ktoré uchádzači  počas procesu verejného obstarávania vkladajú finančnú zábezpeku.</t>
  </si>
  <si>
    <t>T16_ R15</t>
  </si>
  <si>
    <t>V tomto riadku uvedie verejná vysoká škola všetky ostatné zostatky bankových účtov v Štátnej pokladnici, ktoré neboli zaradené ani do jednej skupiny účtov.</t>
  </si>
  <si>
    <t>T16_R16</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</si>
  <si>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</si>
  <si>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</si>
  <si>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</si>
  <si>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</si>
  <si>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</si>
  <si>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</si>
  <si>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</si>
  <si>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</si>
  <si>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</si>
  <si>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</si>
  <si>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</si>
  <si>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</si>
  <si>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</si>
  <si>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</si>
  <si>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</si>
  <si>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T13_SG(SH)</t>
  </si>
  <si>
    <t>V stĺpci G uvedie vysoká škola objem nákladov na mzdy krytých z iných zdrojov ako je štátny rozpočet.</t>
  </si>
  <si>
    <t xml:space="preserve">Výdavky na sociálne štipendiá (§ 96 zákona) za kalendárny rok </t>
  </si>
  <si>
    <t>T9_R2</t>
  </si>
  <si>
    <t>z EÚ</t>
  </si>
  <si>
    <t>T16_R2:R14</t>
  </si>
  <si>
    <t>T16_V2</t>
  </si>
  <si>
    <t>Prostriedky zo zahraničných projektov na budúce aktivity</t>
  </si>
  <si>
    <t>Ostatné</t>
  </si>
  <si>
    <t xml:space="preserve">1) V stĺpcoch B a D sa uvádza prepočítaný počet študentov určený ako počet osobomesiacov, počas ktorých bolo poskytované sociálne štipendium </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</si>
  <si>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</si>
  <si>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</si>
  <si>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</si>
  <si>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</si>
  <si>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</si>
  <si>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</si>
  <si>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</si>
  <si>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</si>
  <si>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</si>
  <si>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</si>
  <si>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</si>
  <si>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</si>
  <si>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</si>
  <si>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</si>
  <si>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</si>
  <si>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</si>
  <si>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</si>
  <si>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ďalšie vzdelávanie  (účet 649 007)</t>
  </si>
  <si>
    <t>- kvalifikačné skúšky  (účet 649 008)</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</si>
  <si>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</si>
  <si>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</si>
  <si>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</si>
  <si>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</si>
  <si>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</si>
  <si>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</si>
  <si>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</si>
  <si>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chemikálie a ostatný materiál pre zabezpečenie experimentálnej výučby  (účet 501 002)</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</si>
  <si>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</si>
  <si>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</si>
  <si>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</si>
  <si>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</si>
  <si>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</si>
  <si>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</si>
  <si>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</si>
  <si>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</si>
  <si>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</si>
  <si>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</si>
  <si>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</si>
  <si>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</si>
  <si>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</si>
  <si>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</si>
  <si>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</si>
  <si>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</si>
  <si>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</si>
  <si>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dopravné služby (účet 518 012)</t>
  </si>
  <si>
    <t>- ostatné služby (účet 518 099)</t>
  </si>
  <si>
    <t xml:space="preserve"> - príspevok zamestnancom na stravovanie  (účet 527 002)</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</si>
  <si>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</si>
  <si>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</si>
  <si>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</si>
  <si>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</si>
  <si>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</si>
  <si>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</si>
  <si>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 xml:space="preserve"> - štipendiá z vlastných zdrojov - prospechové (549 007)</t>
  </si>
  <si>
    <t xml:space="preserve"> - iné analyticky sledované náklady (účet 549 005-006, 549 008-012)</t>
  </si>
  <si>
    <t>T11_R11</t>
  </si>
  <si>
    <t>R11_R8</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</si>
  <si>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</si>
  <si>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</si>
  <si>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</si>
  <si>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</si>
  <si>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</si>
  <si>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</si>
  <si>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Vnútroorganizačné prevody výnosov (účtová skupina 67)</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</si>
  <si>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</si>
  <si>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</si>
  <si>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</si>
  <si>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</si>
  <si>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</si>
  <si>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</si>
  <si>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</si>
  <si>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</si>
  <si>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</si>
  <si>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</si>
  <si>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</si>
  <si>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</si>
  <si>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</si>
  <si>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</si>
  <si>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</si>
  <si>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</si>
  <si>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</si>
  <si>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</si>
  <si>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</si>
  <si>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</si>
  <si>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</si>
  <si>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t xml:space="preserve">1) V R89-92 sa uvedú náklady účtované v súvislosti s tvorbou príslušného fondu.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</si>
  <si>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</si>
  <si>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</si>
  <si>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</si>
  <si>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</si>
  <si>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</si>
  <si>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</si>
  <si>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</si>
  <si>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</si>
  <si>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</si>
  <si>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Sumárny riadok osobitne financovaných súčastí verejnej vysokej školy (špecifiká).</t>
  </si>
  <si>
    <t>T8_R5</t>
  </si>
  <si>
    <t>Uvedie sa rozsah ubytovania študentov v osobomesiacoch. Napríklad, študent, ktorý býval v študentskom domove 10 mesiacov, prispeje do počtu osobomesiacov sumou 10.</t>
  </si>
  <si>
    <t>V stĺpci A uvedie vysoká škola nevyčerpanú dotáciu (+)/nedoplatok dotácie (-) na stravu študentov k 31. 12. príslušného kalendárneho roka.</t>
  </si>
  <si>
    <t>- ostatné bankové účty v Štátnej pokladnici 
  mimo účtov uvedených v R2:R14</t>
  </si>
  <si>
    <t xml:space="preserve">Čerpanie ostatných zdrojov prostredníctvom fondu reprodukcie </t>
  </si>
  <si>
    <t>Zákonné sociálne poistenie (účet 524)</t>
  </si>
  <si>
    <t>Zúčtovanie zákonných opravných položiek (účet 659)</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</si>
  <si>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</si>
  <si>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</si>
  <si>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</si>
  <si>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</si>
  <si>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</si>
  <si>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</si>
  <si>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</si>
  <si>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</si>
  <si>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</si>
  <si>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</si>
  <si>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 zostatok nevyčerpanej dotácie (+)/ nedoplatok dotácie (-) z predchádzajúcich rokov [R6_SB=R8_SA]</t>
  </si>
  <si>
    <t>- dotačný účet</t>
  </si>
  <si>
    <t>- zostatkový účet</t>
  </si>
  <si>
    <t>- distribučný účet</t>
  </si>
  <si>
    <t>spolufinanco-
vanie zo ŠR</t>
  </si>
  <si>
    <t xml:space="preserve">Počet študentov  poberajúcich štipendium </t>
  </si>
  <si>
    <t>Počet študentov  poberajúcich štipendium</t>
  </si>
  <si>
    <t>T10_V2</t>
  </si>
  <si>
    <t>T12_R5:R9</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</si>
  <si>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</si>
  <si>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</si>
  <si>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</si>
  <si>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</si>
  <si>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</si>
  <si>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</si>
  <si>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</si>
  <si>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</si>
  <si>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</si>
  <si>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</si>
  <si>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</si>
  <si>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</si>
  <si>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T7_SB</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</si>
  <si>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</si>
  <si>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</si>
  <si>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</si>
  <si>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</si>
  <si>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</si>
  <si>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</si>
  <si>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</si>
  <si>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</si>
  <si>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</si>
  <si>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</si>
  <si>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</si>
  <si>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</si>
  <si>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</si>
  <si>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</si>
  <si>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</si>
  <si>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</si>
  <si>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</si>
  <si>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</si>
  <si>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</si>
  <si>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</si>
  <si>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</si>
  <si>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</si>
  <si>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</si>
  <si>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</si>
  <si>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</si>
  <si>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</si>
  <si>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</si>
  <si>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</si>
  <si>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</si>
  <si>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Náklady účtovnej skupiny 54 okrem nákladov účtu 549 (účtovné skupiny 541 až 548)</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</si>
  <si>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</si>
  <si>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</si>
  <si>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</si>
  <si>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</si>
  <si>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</si>
  <si>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</si>
  <si>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</si>
  <si>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</si>
  <si>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</si>
  <si>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</si>
  <si>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</si>
  <si>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</si>
  <si>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</si>
  <si>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</si>
  <si>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t>Výnosy z krátkodobého finančného majetku  (účet 655)</t>
  </si>
  <si>
    <t>Zdroje na obstaranie a technické zhodnotenie dlhodobého majetku z úverov</t>
  </si>
  <si>
    <t xml:space="preserve">Dotácia na kapitálové výdavky zo štátneho rozpočtu </t>
  </si>
  <si>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</si>
  <si>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</si>
  <si>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</si>
  <si>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</si>
  <si>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</si>
  <si>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</si>
  <si>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</si>
  <si>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</si>
  <si>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V T13_R13 uvádzať krytie fondov len ak sú na fondy vytvorené osobitné bankové účty. 
Súvťažnosť vybraných účtov v R13 na údaje v T16 (účet štipendijného fondu, účet fondu reprodukcie).</t>
  </si>
  <si>
    <t xml:space="preserve">T18_V1 </t>
  </si>
  <si>
    <t xml:space="preserve">Počet študentov poberajúcich sociálne štipendium </t>
  </si>
  <si>
    <t xml:space="preserve">    - bežný účet pre študentské domovy</t>
  </si>
  <si>
    <t xml:space="preserve">    - bežný účet pre študentské jedálne</t>
  </si>
  <si>
    <t>Daň z príjmov (účtová skupina 59)</t>
  </si>
  <si>
    <t>- vysokoškolské podniky</t>
  </si>
  <si>
    <t>Ak má verejná vysoká škola zriadené účty aj mimo Štátnu pokladnicu (napr. dobiehajúce účty na riešenie zahraničných výskumných projektov), uvedie súhrnný údaj o nich v tomto riadku. V komentári uvedie podrobnejšiu charakteristiku týchto účtov.</t>
  </si>
  <si>
    <t>Výnos z dotácie zo štátneho rozpočtu na študentské domovy (bez zmluvných zariadení)</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</si>
  <si>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</si>
  <si>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</si>
  <si>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</si>
  <si>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</si>
  <si>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</si>
  <si>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</si>
  <si>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</si>
  <si>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</si>
  <si>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</si>
  <si>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</si>
  <si>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</si>
  <si>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</si>
  <si>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</si>
  <si>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</si>
  <si>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</si>
  <si>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</si>
  <si>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</si>
  <si>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</si>
  <si>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</si>
  <si>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</si>
  <si>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</si>
  <si>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</si>
  <si>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</si>
  <si>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</si>
  <si>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</si>
  <si>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</si>
  <si>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</si>
  <si>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t>Objem zdrojov</t>
  </si>
  <si>
    <t xml:space="preserve">Nákup ostatného dlhodobého majetku </t>
  </si>
  <si>
    <t>Ostatné fondy</t>
  </si>
  <si>
    <t>Účty mimo Štátnej pokladnice spolu</t>
  </si>
  <si>
    <t>T6_SA, SB, SC</t>
  </si>
  <si>
    <t>T16_R1</t>
  </si>
  <si>
    <t>Verejná vysoká škola tu uvedie zostatky finančných prostriedkov podľa jednotlivých skupín účtov.</t>
  </si>
  <si>
    <t>T16_R5</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</si>
  <si>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</si>
  <si>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</si>
  <si>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</si>
  <si>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</si>
  <si>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</si>
  <si>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</si>
  <si>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</si>
  <si>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</si>
  <si>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</si>
  <si>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</si>
  <si>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</si>
  <si>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</si>
  <si>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</si>
  <si>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</si>
  <si>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</si>
  <si>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Verejná vysoká škola tu uvedie zostatok finančných prostriedkov na bežných účtoch neuvedených v riadkoch R6:R8.</t>
  </si>
  <si>
    <t>Položka</t>
  </si>
  <si>
    <t>Rezervný fond</t>
  </si>
  <si>
    <t>Fond reprodukcie</t>
  </si>
  <si>
    <t>Štipendijný fond</t>
  </si>
  <si>
    <t>Návrh na prídel do štipendijného fondu</t>
  </si>
  <si>
    <t>Zmeny stavu zásob vlastnej výroby (účtová skupina 61)</t>
  </si>
  <si>
    <t>Aktivácia (účtová skupina 62)</t>
  </si>
  <si>
    <t>Pokuty a penále (účet 641+642)</t>
  </si>
  <si>
    <t>Platby za odpísané pohľadávky  (účet 643)</t>
  </si>
  <si>
    <t>Kurzové zisky  (účet 645)</t>
  </si>
  <si>
    <t>v tom:</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</si>
  <si>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</si>
  <si>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</si>
  <si>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</si>
  <si>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</si>
  <si>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</si>
  <si>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</si>
  <si>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</si>
  <si>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</si>
  <si>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</si>
  <si>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telekomunikačná technika  (713 003)</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</si>
  <si>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</si>
  <si>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</si>
  <si>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</si>
  <si>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</si>
  <si>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</si>
  <si>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</si>
  <si>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</si>
  <si>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</si>
  <si>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</si>
  <si>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</si>
  <si>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</si>
  <si>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</si>
  <si>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</si>
  <si>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</si>
  <si>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</si>
  <si>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</si>
  <si>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</si>
  <si>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</si>
  <si>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V riadku 2 uvedie vysoká škola celkový objem príjmov z dotácií z rozpočtu obcí a VÚC. V riadkoch R2a ... rozpíše podrobnejšie jednotlivé druhy týchto dotácií, každú na zvláštny riadok.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</si>
  <si>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</si>
  <si>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</si>
  <si>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</si>
  <si>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</si>
  <si>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</si>
  <si>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</si>
  <si>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</si>
  <si>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</si>
  <si>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</si>
  <si>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</si>
  <si>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</si>
  <si>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</si>
  <si>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</si>
  <si>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</si>
  <si>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</si>
  <si>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t>- tvorba fondu z výnosov z predaja majetku (účet 413 117)</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</si>
  <si>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</si>
  <si>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</si>
  <si>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</si>
  <si>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</si>
  <si>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</si>
  <si>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</si>
  <si>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</si>
  <si>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</si>
  <si>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</si>
  <si>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</si>
  <si>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T10_R10</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</si>
  <si>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</si>
  <si>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</si>
  <si>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</si>
  <si>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</si>
  <si>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</si>
  <si>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</si>
  <si>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</si>
  <si>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</si>
  <si>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</si>
  <si>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</si>
  <si>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</si>
  <si>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</si>
  <si>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</si>
  <si>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</si>
  <si>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</si>
  <si>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</si>
  <si>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</si>
  <si>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</si>
  <si>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</si>
  <si>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</si>
  <si>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</si>
  <si>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</si>
  <si>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</si>
  <si>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</si>
  <si>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</si>
  <si>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</si>
  <si>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</si>
  <si>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</si>
  <si>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</si>
  <si>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</si>
  <si>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</si>
  <si>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</si>
  <si>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</si>
  <si>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</si>
  <si>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</si>
  <si>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</si>
  <si>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</si>
  <si>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</si>
  <si>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</si>
  <si>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</si>
  <si>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</si>
  <si>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</si>
  <si>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</si>
  <si>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</si>
  <si>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</si>
  <si>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</si>
  <si>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</si>
  <si>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</si>
  <si>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</si>
  <si>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</si>
  <si>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</si>
  <si>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</si>
  <si>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</si>
  <si>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</si>
  <si>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</si>
  <si>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</si>
  <si>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</si>
  <si>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</si>
  <si>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</si>
  <si>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</si>
  <si>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</si>
  <si>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</si>
  <si>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</si>
  <si>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</si>
  <si>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</si>
  <si>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</si>
  <si>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</si>
  <si>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</si>
  <si>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</si>
  <si>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</si>
  <si>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</si>
  <si>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</si>
  <si>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</si>
  <si>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</si>
  <si>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</si>
  <si>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</si>
  <si>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</si>
  <si>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</si>
  <si>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</si>
  <si>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</si>
  <si>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</si>
  <si>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</si>
  <si>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</si>
  <si>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</si>
  <si>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</si>
  <si>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</si>
  <si>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</si>
  <si>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</si>
  <si>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</si>
  <si>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</si>
  <si>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</si>
  <si>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</si>
  <si>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</si>
  <si>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</si>
  <si>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</si>
  <si>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</si>
  <si>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</si>
  <si>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</si>
  <si>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</si>
  <si>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</si>
  <si>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</si>
  <si>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</si>
  <si>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</si>
  <si>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</si>
  <si>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</si>
  <si>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</si>
  <si>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</si>
  <si>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</si>
  <si>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</si>
  <si>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</si>
  <si>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</si>
  <si>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</si>
  <si>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</si>
  <si>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</si>
  <si>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</si>
  <si>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</si>
  <si>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</si>
  <si>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</si>
  <si>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</si>
  <si>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</si>
  <si>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</si>
  <si>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</si>
  <si>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</si>
  <si>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</si>
  <si>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</si>
  <si>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</si>
  <si>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Brutto</t>
  </si>
  <si>
    <t>Korekcia</t>
  </si>
  <si>
    <t>Netto</t>
  </si>
  <si>
    <t>Predch. účt. obdobie</t>
  </si>
  <si>
    <t>Strana aktív</t>
  </si>
  <si>
    <t>Tabuľka č. 24: Súvaha - Strana aktív</t>
  </si>
  <si>
    <t xml:space="preserve">   Oceniteľné práva 014-(074+091AÚ)</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</si>
  <si>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</si>
  <si>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</si>
  <si>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</si>
  <si>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</si>
  <si>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</si>
  <si>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</si>
  <si>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</si>
  <si>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</si>
  <si>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</si>
  <si>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</si>
  <si>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</si>
  <si>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</si>
  <si>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</si>
  <si>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</si>
  <si>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</si>
  <si>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</si>
  <si>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</si>
  <si>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</si>
  <si>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</si>
  <si>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</si>
  <si>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</si>
  <si>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</si>
  <si>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</si>
  <si>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</si>
  <si>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</si>
  <si>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</si>
  <si>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</si>
  <si>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</si>
  <si>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</si>
  <si>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</si>
  <si>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</si>
  <si>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</si>
  <si>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</si>
  <si>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</si>
  <si>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</si>
  <si>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</si>
  <si>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</si>
  <si>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</si>
  <si>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</si>
  <si>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</si>
  <si>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</si>
  <si>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</si>
  <si>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</si>
  <si>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</si>
  <si>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 xml:space="preserve"> Brutto
(v Eur)</t>
  </si>
  <si>
    <t>č. r.</t>
  </si>
  <si>
    <t>Bežné účtovné obdobie</t>
  </si>
  <si>
    <t>Bezprostredne predchádzajúce účtovné obdobie</t>
  </si>
  <si>
    <t>a</t>
  </si>
  <si>
    <t>b</t>
  </si>
  <si>
    <t>1.</t>
  </si>
  <si>
    <t>Nehmotné výsledky z vývojovej a obdob.činnosti 012 -(072 +091 AÚ)</t>
  </si>
  <si>
    <t>Software  013 - (073 + 091 AÚ)</t>
  </si>
  <si>
    <t>Oceniteľné práva  014 - (074 + 091 AÚ)</t>
  </si>
  <si>
    <t>Ostatný dlhodobý nehmotný majetok (018 + 019) - (078 + 079 + 091 AÚ)</t>
  </si>
  <si>
    <t>Poskytnuté preddavky na dlhodobý nehmotný majetok  (051) - (095 AÚ)</t>
  </si>
  <si>
    <t>2.</t>
  </si>
  <si>
    <t>Pozemky  (031)</t>
  </si>
  <si>
    <t>Umelecké diela a zbierky  (032)</t>
  </si>
  <si>
    <t>Stavby  (021) - (081 + 092 AÚ)</t>
  </si>
  <si>
    <t>Dopravné prostriedky  (023) - (083 + 092 AÚ)</t>
  </si>
  <si>
    <t>Pestovateľské celky trvalých porastov  (025) - (085 +092 AÚ)</t>
  </si>
  <si>
    <t>Základné stádo a ťažné zvieratá  (026) - (086 + 092 AÚ)</t>
  </si>
  <si>
    <t>Drobný dlhodobý hmotný majetok  (028) - (088 + 092 AÚ)</t>
  </si>
  <si>
    <t>Ostatný dlhodobý hmotný majetok  (029) - (089 + 092 AÚ)</t>
  </si>
  <si>
    <t>Obstaranie dlhodobého hmotného majetku  (042) - (094)</t>
  </si>
  <si>
    <t>Poskytnuté preddavky na dlhodobý hmot.majetok  (052) - (095 AÚ)</t>
  </si>
  <si>
    <t>3.</t>
  </si>
  <si>
    <t>Pôžičky podnikom v skupine a ostatné pôžičky  (066 + 067) - (096 AÚ)</t>
  </si>
  <si>
    <t>Obstaranie dlhodobého finančného majetku  (043) - (096 AÚ)</t>
  </si>
  <si>
    <t>Účtovné obdobie</t>
  </si>
  <si>
    <t>Zásoby   súčet r. 031 až 036</t>
  </si>
  <si>
    <t>Materiál (112 + 119) - (191)</t>
  </si>
  <si>
    <t>Nedokončená výroba a polotovary vlastnej výroby (121 + 122) - (192 + 193)</t>
  </si>
  <si>
    <t>Výrobky  (123) - (194)</t>
  </si>
  <si>
    <t>Zvieratá  (124) - (195)</t>
  </si>
  <si>
    <t>Tovar  (132 +139) - (196)</t>
  </si>
  <si>
    <t>Ostatné pohľadávky (315 AÚ -391 AÚ)</t>
  </si>
  <si>
    <t>Pohľadávky z obchodného styku  (311 AÚ až 314 AÚ) - 391 AÚ)</t>
  </si>
  <si>
    <t>Zúčtovanie so SP a zdravotnými poisťovňami (336)</t>
  </si>
  <si>
    <t>Daňové pohľadávky  (341 až 345)</t>
  </si>
  <si>
    <t>4.</t>
  </si>
  <si>
    <t>Pokladnica  (211 +213)</t>
  </si>
  <si>
    <t>Bankové účty s dobou viazanosti dlhšou ako 1 rok (221AÚ)</t>
  </si>
  <si>
    <t>Náklady budúcich období  (381)</t>
  </si>
  <si>
    <t>Príjmy budúcich období  (385)</t>
  </si>
  <si>
    <t>Strana pasív</t>
  </si>
  <si>
    <t>Oceňovacie rozdiely z precenenia majetku a záväzkov    (414)</t>
  </si>
  <si>
    <t>Oceňovacie rozdiely z precenenia kapitálových účastín   (415)</t>
  </si>
  <si>
    <t>Záväzky z obchodného styku   (321 až 326) okrem 323</t>
  </si>
  <si>
    <t>Bežné bankové úvery      (231 + 232 + 461 AÚ)</t>
  </si>
  <si>
    <t>T22_V1</t>
  </si>
  <si>
    <t>T23_V1</t>
  </si>
  <si>
    <t>T24_V1</t>
  </si>
  <si>
    <t>T25_V1</t>
  </si>
  <si>
    <t>Peňažné fondy tvorené podľa osobitného predpisu     (412)</t>
  </si>
  <si>
    <t>Rezervný fond                          (421)</t>
  </si>
  <si>
    <t>Ostatné fondy                          (427)</t>
  </si>
  <si>
    <t>Fondy tvorené zo zisku            (423)</t>
  </si>
  <si>
    <t>Rezervy zákonné                      (451AÚ)</t>
  </si>
  <si>
    <t>Ostatné rezervy                        (459AÚ)</t>
  </si>
  <si>
    <t>Krátkodobé  rezervy                (323+451AÚ+459AÚ)</t>
  </si>
  <si>
    <t>Záväzky zo sociálneho fondu     (472)</t>
  </si>
  <si>
    <t>Vydané dlhopisy                       (473)</t>
  </si>
  <si>
    <t>Záväzky z nájmu                       (474 AÚ)</t>
  </si>
  <si>
    <t>Dlhodobé prijaté preddavky      (475)</t>
  </si>
  <si>
    <t xml:space="preserve">Dlhodobé nevyfakturované dodávky       (476) </t>
  </si>
  <si>
    <t>Dlhodobé zmenky na úhradu                   (478)</t>
  </si>
  <si>
    <t>Záväzky voči zamestnancom    (331 +333)</t>
  </si>
  <si>
    <t>Zúčtovania so SP a zdravotnými poisťovňami         (336)</t>
  </si>
  <si>
    <t>Daňové záväzky                      (341 až 345)</t>
  </si>
  <si>
    <t>Záväzky z dôvodu finančných vzťahov k štátnemu rozpočtu a rozpočtom územnej j samosprávy       (346 +348)</t>
  </si>
  <si>
    <t>Záväzky voči účastníkom združení   (368)</t>
  </si>
  <si>
    <t>Spojovací účet pri združení   (396)</t>
  </si>
  <si>
    <t>Dlhodobé bankové úvery      (461 AÚ)</t>
  </si>
  <si>
    <t>Výdavky budúcich období       (383)</t>
  </si>
  <si>
    <t>Záväzky z upísaných nesplatených cenných papierov a vkladov (367)</t>
  </si>
  <si>
    <t>Obstaranie dlhodobého nehmotného majetku (041)-(093)</t>
  </si>
  <si>
    <t>Tabuľka č. 6 poskytuje informácie o počte a štruktúre zamestnancov a objeme nákladov na mzdy verejnej vysokej školy (bez odvodov).</t>
  </si>
  <si>
    <t>A. NEOBEŽNÝ MAJETOK SPOLU r. 002 + 009 + 021</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</si>
  <si>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</si>
  <si>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</si>
  <si>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</si>
  <si>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</si>
  <si>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</si>
  <si>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</si>
  <si>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</si>
  <si>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</si>
  <si>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</si>
  <si>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</si>
  <si>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</si>
  <si>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</si>
  <si>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</si>
  <si>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</si>
  <si>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</si>
  <si>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</si>
  <si>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</si>
  <si>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</si>
  <si>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</si>
  <si>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</si>
  <si>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</si>
  <si>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</si>
  <si>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</si>
  <si>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</si>
  <si>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</si>
  <si>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</si>
  <si>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</si>
  <si>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</si>
  <si>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</si>
  <si>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</si>
  <si>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</si>
  <si>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</si>
  <si>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</si>
  <si>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</si>
  <si>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</si>
  <si>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</si>
  <si>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</si>
  <si>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</si>
  <si>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</si>
  <si>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</si>
  <si>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</si>
  <si>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</si>
  <si>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</si>
  <si>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</si>
  <si>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</si>
  <si>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</si>
  <si>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</si>
  <si>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</si>
  <si>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</si>
  <si>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</si>
  <si>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</si>
  <si>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</si>
  <si>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</si>
  <si>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</si>
  <si>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</si>
  <si>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</si>
  <si>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</si>
  <si>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</si>
  <si>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</si>
  <si>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</si>
  <si>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</si>
  <si>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</si>
  <si>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</si>
  <si>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</si>
  <si>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</si>
  <si>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</si>
  <si>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</si>
  <si>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</si>
  <si>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</si>
  <si>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</si>
  <si>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</si>
  <si>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</si>
  <si>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</si>
  <si>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</si>
  <si>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</si>
  <si>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</si>
  <si>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</si>
  <si>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</si>
  <si>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</si>
  <si>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</si>
  <si>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</si>
  <si>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</si>
  <si>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</si>
  <si>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</si>
  <si>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</si>
  <si>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</si>
  <si>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</si>
  <si>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</si>
  <si>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</si>
  <si>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</si>
  <si>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</si>
  <si>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</si>
  <si>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</si>
  <si>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</si>
  <si>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</si>
  <si>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</si>
  <si>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</si>
  <si>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</si>
  <si>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</si>
  <si>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</si>
  <si>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</si>
  <si>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</si>
  <si>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</si>
  <si>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</si>
  <si>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</si>
  <si>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</si>
  <si>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</si>
  <si>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</si>
  <si>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</si>
  <si>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</si>
  <si>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</si>
  <si>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</si>
  <si>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</si>
  <si>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</si>
  <si>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</si>
  <si>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</si>
  <si>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</si>
  <si>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</si>
  <si>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</si>
  <si>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</si>
  <si>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</si>
  <si>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</si>
  <si>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</si>
  <si>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</si>
  <si>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</si>
  <si>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</si>
  <si>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</si>
  <si>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</si>
  <si>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</si>
  <si>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</si>
  <si>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</si>
  <si>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</si>
  <si>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</si>
  <si>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</si>
  <si>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</si>
  <si>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</si>
  <si>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</si>
  <si>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</si>
  <si>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</si>
  <si>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</si>
  <si>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</si>
  <si>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</si>
  <si>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</si>
  <si>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</si>
  <si>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</si>
  <si>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</si>
  <si>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</si>
  <si>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</si>
  <si>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</si>
  <si>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</si>
  <si>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</si>
  <si>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 týchto riadkoch uvedie verejná vysoká škola všetky osobitne financované súčasti (špecifiká), každú na zvláštny riadok.</t>
  </si>
  <si>
    <t>Základné imanie    (411)</t>
  </si>
  <si>
    <t>Fond reprodukcie   (413)</t>
  </si>
  <si>
    <t>- ostatné energie</t>
  </si>
  <si>
    <t>Samostatné hnuteľné veci a súbory hnuteľných vecí  (022) - (082 + 092 AÚ)</t>
  </si>
  <si>
    <r>
      <t xml:space="preserve">2) všetky údaje o výnosoch a nákladoch  sa uvádzajú </t>
    </r>
    <r>
      <rPr>
        <sz val="11"/>
        <rFont val="Times New Roman"/>
        <family val="1"/>
        <charset val="238"/>
      </rPr>
      <t>v Eur</t>
    </r>
  </si>
  <si>
    <r>
      <t xml:space="preserve">Príjem z dotácie na motivačné štipendiá z kapitoly MŠVVaŠ SR v kalendárnom roku </t>
    </r>
    <r>
      <rPr>
        <b/>
        <vertAlign val="superscript"/>
        <sz val="12"/>
        <rFont val="Times New Roman"/>
        <family val="1"/>
        <charset val="238"/>
      </rPr>
      <t>1)</t>
    </r>
    <r>
      <rPr>
        <sz val="12"/>
        <rFont val="Times New Roman"/>
        <family val="1"/>
        <charset val="238"/>
      </rPr>
      <t xml:space="preserve"> </t>
    </r>
  </si>
  <si>
    <t>Zamestnanci platení z dotácie MŠVVaŠ SR</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</si>
  <si>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</si>
  <si>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</si>
  <si>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</si>
  <si>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</si>
  <si>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</si>
  <si>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</si>
  <si>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</si>
  <si>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</si>
  <si>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</si>
  <si>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T7_R11</t>
  </si>
  <si>
    <t>T13_R1_SI(SJ) = výkazníctvo súvaha, časť Pasíva,  
riadky 064 + 065 + 069 + 071 
(k 1. 1.)
T13_R12_SI(SJ) = výkazníctvo súvaha, časť Pasíva,  
riadky 064 + 065 + 069 + 071 
(k 31. 12.)</t>
  </si>
  <si>
    <t>Príspevok z podielu zaplatenej dane (účet 665)</t>
  </si>
  <si>
    <t>- iné analyticky sledované náklady (účty 501 005-006, 501 013-018, 501 077)</t>
  </si>
  <si>
    <t>86a</t>
  </si>
  <si>
    <t>Vnútroorganizačné prevody (účtovná skupina 57)</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</si>
  <si>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</si>
  <si>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</si>
  <si>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</si>
  <si>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</si>
  <si>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</si>
  <si>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</si>
  <si>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</si>
  <si>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</si>
  <si>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</si>
  <si>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r>
      <t xml:space="preserve">Tabuľka č. 1 poskytuje informácie o celkovom objeme a programovej štruktúre príjmov na základe Zmluvy o poskytnutí  dotácií  zo štátneho rozpočtu prostredníctvom kapitoly MŠVVaŠ  na  programe  077.  Dotácie programov 021, 05T, 06K, resp. programov zo štrukturálnych fondov EÚ </t>
    </r>
    <r>
      <rPr>
        <b/>
        <u/>
        <sz val="12"/>
        <rFont val="Times New Roman"/>
        <family val="1"/>
        <charset val="238"/>
      </rPr>
      <t>nie sú</t>
    </r>
    <r>
      <rPr>
        <b/>
        <sz val="12"/>
        <rFont val="Times New Roman"/>
        <family val="1"/>
        <charset val="238"/>
      </rPr>
      <t xml:space="preserve"> súčasťou tejto zmluvy. </t>
    </r>
  </si>
  <si>
    <t>Poskytnuté príspevky z podielu zaplatenej dane</t>
  </si>
  <si>
    <t>Zost. cena predaného DNM a DHM</t>
  </si>
  <si>
    <t>Iné pohľadávky  (335 AÚ + 373 AÚ + 375 AÚ + 378 AÚ) - (391 AÚ)</t>
  </si>
  <si>
    <t>T4_R4</t>
  </si>
  <si>
    <t>Vysoká škola uvedie v samostatnom riadku objem výnosov zo školného za štúdium v externej forme štúdia</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</si>
  <si>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</si>
  <si>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</si>
  <si>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</si>
  <si>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</si>
  <si>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</si>
  <si>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</si>
  <si>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</si>
  <si>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Čerpanie z iných zdrojov</t>
  </si>
  <si>
    <t>T11_R10</t>
  </si>
  <si>
    <t>T11_R10a</t>
  </si>
  <si>
    <t>T11_R13</t>
  </si>
  <si>
    <t>T2_R3</t>
  </si>
  <si>
    <t>T11_SB_R10 = T1_SB_R15+T2_SB_R1
+T18_SB_R9</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</si>
  <si>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</si>
  <si>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</si>
  <si>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</si>
  <si>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</si>
  <si>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</si>
  <si>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</si>
  <si>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</si>
  <si>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</si>
  <si>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</si>
  <si>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T19_R1_SC + T20_R3_SB + T8_R1_SC  = T13_R11_SF</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</si>
  <si>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</si>
  <si>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</si>
  <si>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</si>
  <si>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</si>
  <si>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</si>
  <si>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t>Uvedie sa objem na obstaranie a technické zhodnotenie dlhodobého majetku z iných zdrojov v danom roku vrátane zostatkov na týchto zdrojoch (patria sem aj prostriedky zo zdroja 11E1- Finančný mechanizmus, EHP 11E3- Nórsky finančný mechanizmus a 121 – Všeobecná pokladničná správa vrátane ich zostatkov z predchádzajúcich rokov)</t>
  </si>
  <si>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</si>
  <si>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</si>
  <si>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</si>
  <si>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</si>
  <si>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</si>
  <si>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</si>
  <si>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</si>
  <si>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</si>
  <si>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</si>
  <si>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</si>
  <si>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</si>
  <si>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</si>
  <si>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</si>
  <si>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</si>
  <si>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 xml:space="preserve">T10_R14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</si>
  <si>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hlavného riešiteľa (údaje patria do T18). Do tejto tabuľky sa uvádzajú len dotácie z APVV pre spoluriešiteľa, ak hlavným riešiteľom je iná právnická osoba ako VVŠ. Nepatria sem prostriedky na zahraničné mobility na 05T 08 a 021 02 03.</t>
    </r>
  </si>
  <si>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11E3 a 121.</t>
    </r>
  </si>
  <si>
    <t>V T11_R10 sa uvádzajú kapitálové výdavky prijaté (cash) zo zdroja 111. Ide o dotácie z programu 077 (T1_SB_R15), z iných kapitol štátneho rozpočtu (T2_SB_R1), z kapitoly MŠVVaŠ mimo programu 077 a mimo prostriedkov z EÚ (T18_SB_R9).
 Výšku kapitálovej dotácie z iných kapitol žiadame osobitne uviesť do poznámky.</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</si>
  <si>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</si>
  <si>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</si>
  <si>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</si>
  <si>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Číslo účtu/Poznámka</t>
  </si>
  <si>
    <r>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na riešenie projektov </t>
    </r>
    <r>
      <rPr>
        <b/>
        <u/>
        <sz val="12"/>
        <rFont val="Times New Roman"/>
        <family val="1"/>
        <charset val="238"/>
      </rPr>
      <t>APVV pre spoluriešiteľov</t>
    </r>
    <r>
      <rPr>
        <sz val="12"/>
        <rFont val="Times New Roman"/>
        <family val="1"/>
        <charset val="238"/>
      </rPr>
      <t xml:space="preserve"> projektu, kde hlavným riešiteľom je iná právnická osoba ako VVŠ. 
</t>
    </r>
    <r>
      <rPr>
        <sz val="12"/>
        <color indexed="10"/>
        <rFont val="Times New Roman"/>
        <family val="1"/>
        <charset val="238"/>
      </rPr>
      <t/>
    </r>
  </si>
  <si>
    <t xml:space="preserve"> - štipendiá doktorandov  (účet 549 001, 549 016, 549 017)</t>
  </si>
  <si>
    <t>Príjem z dotácie poskytnutej na sociálne štipendiá v rámci dotačnej zmluvy z kapitoly     MŠVVaŠ k 31.12.</t>
  </si>
  <si>
    <t>T7_R10</t>
  </si>
  <si>
    <t>T7_SA</t>
  </si>
  <si>
    <r>
      <t xml:space="preserve">V stĺpci B sa uvedú náklady na štipendiá doktorandov </t>
    </r>
    <r>
      <rPr>
        <u/>
        <sz val="12"/>
        <rFont val="Times New Roman"/>
        <family val="1"/>
        <charset val="238"/>
      </rPr>
      <t>z neúčelovej</t>
    </r>
    <r>
      <rPr>
        <sz val="12"/>
        <rFont val="Times New Roman"/>
        <family val="1"/>
        <charset val="238"/>
      </rPr>
      <t xml:space="preserve"> dotácie na štipendiá. </t>
    </r>
  </si>
  <si>
    <t>- dary (účet 649 009) (646)</t>
  </si>
  <si>
    <t>T7_SD</t>
  </si>
  <si>
    <t>E=A+B+C+D</t>
  </si>
  <si>
    <t>Fond na podporu štúdia študentov so špecifickými potrebami</t>
  </si>
  <si>
    <t>Účtová trieda 5 spolu r.01 až r.37</t>
  </si>
  <si>
    <t>Pohľadávky voči účastníkom združení  (358 AÚ - 391 AÚ)</t>
  </si>
  <si>
    <t>Pohľadávky voči účastníkom združení  (358 AÚ -391 AÚ)</t>
  </si>
  <si>
    <t>Spojovací účet pri združení  (396-391 AÚ)</t>
  </si>
  <si>
    <t>Bankové účty  (221 AÚ + 261)</t>
  </si>
  <si>
    <t>Obstaranie krátkodobého finančného majetku (259-291 AÚ)</t>
  </si>
  <si>
    <t>C. ČASOVÉ ROZLÍŠENIE SPOLU        r. 058 a r. 059</t>
  </si>
  <si>
    <t xml:space="preserve"> MAJETOK SPOLU                           r.001 + 029 +057</t>
  </si>
  <si>
    <t>Finančné účty                                           r.052 až 056</t>
  </si>
  <si>
    <t>Krátkodobé pohľadávky                         r.043 až 050</t>
  </si>
  <si>
    <t>Dlhodobé pohľadávky                              r.038 až 041</t>
  </si>
  <si>
    <t>B. OBEŽNÝ MAJETOK SPOLU    r.030+037+042+051</t>
  </si>
  <si>
    <t>Dlhodobý nehmotný majetok                r.003 až 008</t>
  </si>
  <si>
    <t>Dlhodobý hmotný majetok                     r.010 až 020</t>
  </si>
  <si>
    <t>Dlhodobý finančný majetok                   r.022 až 028</t>
  </si>
  <si>
    <t>A. VLASTNÉ ZDROJE KRYTIA MAJETKU SPOLU         r.062+068+072+073</t>
  </si>
  <si>
    <t>Imanie a peňažné fondy                                       r.063 až 067</t>
  </si>
  <si>
    <t>Fondy tvorené zo zisku                                      r.069 až 071</t>
  </si>
  <si>
    <t>Nevysporiadaný výsledok hospodárenia minulých rokov          (+,- 428)</t>
  </si>
  <si>
    <t>Výsledok hospodárenia za účtovné obdobie       r. 060 -(r.062+068+072+074+101)</t>
  </si>
  <si>
    <t>B. Cudzie zdroje                                             r.075+079+087+097</t>
  </si>
  <si>
    <t>Rezervy                                                                r.076 až 078</t>
  </si>
  <si>
    <t>Dlhodobé  záväzky                                               r.080 až 086</t>
  </si>
  <si>
    <t>Krátkodobé záväzky                                            r.088 až 096</t>
  </si>
  <si>
    <t>Ostatné záväzky  (379 + 373 AÚ +474 AÚ + 479 AÚ)</t>
  </si>
  <si>
    <t>Bankové výpomoci a pôžičky                            r.098 až 100</t>
  </si>
  <si>
    <t>Prijaté krátkodobé finančné výpomoci   (241 + 249)</t>
  </si>
  <si>
    <t>C. ČASOVÉ ROZLÍŠENIE SPOLU                         r. 102 + 103</t>
  </si>
  <si>
    <t>Výnosy budúcich období         (384)</t>
  </si>
  <si>
    <r>
      <t xml:space="preserve">VLASTNÉ ZDROJE A CUDZIE ZDROJE SPOLU </t>
    </r>
    <r>
      <rPr>
        <b/>
        <sz val="11"/>
        <rFont val="Times New Roman"/>
        <family val="1"/>
        <charset val="238"/>
      </rPr>
      <t>r.061+074+101</t>
    </r>
  </si>
  <si>
    <t>Zvyšok prijatej kapitálovej dotácie zo štátneho rozpočtu používanej na kompenzáciu odpisov majetku z nej obstaraného</t>
  </si>
  <si>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</si>
  <si>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</si>
  <si>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</si>
  <si>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</si>
  <si>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1) v riadku 5 sa uvedie celkový fyzický počet študentov (pričom 1 študent sa počíta za 1 fyzickú osobu), ktorým bolo vyplatené motivačné štipendium v kalendárnom roku </t>
  </si>
  <si>
    <t xml:space="preserve">- za prijímacie konanie (§ 92 ods. 12 zákona) (účet 649 003) </t>
  </si>
  <si>
    <t xml:space="preserve">- za rigorózne konanie (§ 92 ods. 13 zákona) (účet 649 004) </t>
  </si>
  <si>
    <t xml:space="preserve">- za vydanie diplomu za rigorózne konanie (§ 92 ods. 14 zákona)  (účet 649 005) </t>
  </si>
  <si>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</si>
  <si>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T1_R15_SB ≤ T11_R10_SB,
T1_R12_SA = T8_R5_SC
T1_R13_SA = T20_R2_(SB)</t>
  </si>
  <si>
    <t xml:space="preserve">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
</t>
  </si>
  <si>
    <t>x</t>
  </si>
  <si>
    <t>Náklady spolu</t>
  </si>
  <si>
    <t>9a</t>
  </si>
  <si>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</si>
  <si>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</si>
  <si>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</si>
  <si>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T5_R90_(SA+AB)=T13_R5_SC
T5_R90_(SC+AD)=T13_R5_SD</t>
  </si>
  <si>
    <t>Náklady sú kontrolované na údaje z výkazníctva - tvorba fondu z predaného majetku</t>
  </si>
  <si>
    <t xml:space="preserve">T5_3
</t>
  </si>
  <si>
    <t>T13_V7</t>
  </si>
  <si>
    <t>T13_R5_SC=T5_R90_(SA+SC)
T13_R5_SD=T5_R90_(SC+SD)</t>
  </si>
  <si>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</si>
  <si>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</si>
  <si>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</si>
  <si>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</si>
  <si>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</si>
  <si>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</si>
  <si>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ostatný materiál (účet 501 099, 501 030, 501 599, 501 100)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</si>
  <si>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</si>
  <si>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</si>
  <si>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</si>
  <si>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</si>
  <si>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</si>
  <si>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</si>
  <si>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zahraničné cestovné  (účet 512 002, 512 003, 512 052)</t>
  </si>
  <si>
    <t>- telefón, fax  (účet 518 006, 518 056)</t>
  </si>
  <si>
    <t>- poštovné  (účet 518 008, 518 058)</t>
  </si>
  <si>
    <t>- odvoz odpadu  (účet 518 009, 518 059)</t>
  </si>
  <si>
    <t xml:space="preserve">- iné analyticky sledované náklady (účty 518 003, 518 013, 518 015-018, 518 020-030, 518 031-034, 518 040, 518 041,518 599) </t>
  </si>
  <si>
    <t xml:space="preserve"> - MZDY (účty 521 001-008, 521 012, 521 013, 581 003)</t>
  </si>
  <si>
    <t xml:space="preserve"> - odpisy DN a HM nadobudnutého z kapitálových dotácií zo ŠR 
(účet 551 100, 551 121, 551 123, 551 001, 551 003)</t>
  </si>
  <si>
    <t xml:space="preserve"> - ostatné náklady z účtovej skupiny 55 (účty 552, 553, 554, 557, 558, 559)</t>
  </si>
  <si>
    <t>- náklady na tvorbu fondu reprodukcie (účet 556 400) (z predaja majetku)</t>
  </si>
  <si>
    <t>Pozn.</t>
  </si>
  <si>
    <t>Podielové cenné papiere a podiely v obchodných spoločnostiach v ovládanej osobe  (061 - 096 AÚ)</t>
  </si>
  <si>
    <t>Podielové cenné papiere a podiely v obchodných spoločnostiach s podstatným vplyvom  (062 - 096 AÚ)</t>
  </si>
  <si>
    <t>Dlhové cenné papiere držané do splatnosti  (065 - 096 AÚ)</t>
  </si>
  <si>
    <t xml:space="preserve">Ostatný dlhodobý finančný majetok (069 - 096 AÚ) </t>
  </si>
  <si>
    <t>Poskytnuté preddavky na dlhodobý fin. majetok (053 - 096 AÚ)</t>
  </si>
  <si>
    <t>Pohľadávky z dôvodu finančných vzťahov k ŠR a rozpočtom územnej samosprávy (346+348)</t>
  </si>
  <si>
    <t>- poplatky spojené so štúdiom (účet 649 003-006)</t>
  </si>
  <si>
    <t>- iné analyticky sledované výnosy (účty 602 002-007, 602 011-18, 602 099, 602 199)</t>
  </si>
  <si>
    <t xml:space="preserve">T20_R2_SB+T20_R2_SC = T1_R13_SA </t>
  </si>
  <si>
    <t xml:space="preserve"> - odpisy ostatného DN a HM (účet 551 200, 221, 223, 400, 900, 921, 923)</t>
  </si>
  <si>
    <t xml:space="preserve"> - odpisy DN a HM nadobudnutého z kapitálových dotácií z EÚ (zo štrukturálnych fondov) (účet 551 300, 321, 323)</t>
  </si>
  <si>
    <t>(uviesť zoznam všetkých dotácií, každú na zvláštny riadok, napr. podprogram 026 05)</t>
  </si>
  <si>
    <t>Náklady
hlavnej činnosti
2014</t>
  </si>
  <si>
    <t>Poskytnuté prevádzkové preddavky  na zásoby (314 AÚ - 391 AÚ)</t>
  </si>
  <si>
    <t>Tabuľka č. 20 poskytuje informácie  o príjmoch a výdavkoch vysokej školy na motivačné štipendiá a o počte študentov, ktorí ich poberajú v zmysle § 96a  zákona.</t>
  </si>
  <si>
    <r>
      <t xml:space="preserve">Počet študentov, ktorým bolo priznané motivačné štipendium </t>
    </r>
    <r>
      <rPr>
        <b/>
        <vertAlign val="superscript"/>
        <sz val="12"/>
        <rFont val="Times New Roman"/>
        <family val="1"/>
        <charset val="238"/>
      </rPr>
      <t>1)</t>
    </r>
  </si>
  <si>
    <t>uvádzajú sa štipendiá vyplatené zo štátneho rozpočtu, kód v CRŠ: 1</t>
  </si>
  <si>
    <t>T8_R1</t>
  </si>
  <si>
    <t>T20_R3</t>
  </si>
  <si>
    <t>T19_V2</t>
  </si>
  <si>
    <t>Kód</t>
  </si>
  <si>
    <t>Názov</t>
  </si>
  <si>
    <t>Platné od</t>
  </si>
  <si>
    <t>bezpečnostný príplatok z UD MSSR</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</si>
  <si>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</si>
  <si>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</si>
  <si>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</si>
  <si>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</si>
  <si>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</si>
  <si>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</si>
  <si>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</si>
  <si>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</si>
  <si>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</si>
  <si>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</si>
  <si>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</si>
  <si>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NeúčelD MSSR</t>
  </si>
  <si>
    <t>základné z UD MSSR, po dizer. sk.</t>
  </si>
  <si>
    <t>základné z UD MSSR, pred dizer.sk.</t>
  </si>
  <si>
    <t>zvýšenie PhD. štipendia z UD MSSR</t>
  </si>
  <si>
    <t>Kódy z Centrálneho registra študentov</t>
  </si>
  <si>
    <t xml:space="preserve">Pohľadávky z obchodného styku (311 AÚ až 314 AÚ) - 391 AÚ) </t>
  </si>
  <si>
    <t>z účelovej dotácie MŠVVaŠ SR
(kódy 10, 11)</t>
  </si>
  <si>
    <t>DrŠ</t>
  </si>
  <si>
    <t xml:space="preserve">  - náklady na štipendiá vo výške 9. platovej triedy a 1. platového stupňa 
( v CRŠ kód 10 )</t>
  </si>
  <si>
    <t xml:space="preserve">  - náklady na štipendiá vo výške 10. platovej triedy a 1. platového stupňa 
( v CRŠ kód 11 )</t>
  </si>
  <si>
    <t>zvýšenie PhD. štipendia z Neúčel D MSSR</t>
  </si>
  <si>
    <t>T4_R3</t>
  </si>
  <si>
    <t>T4_R5</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</si>
  <si>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</si>
  <si>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</si>
  <si>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</si>
  <si>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</si>
  <si>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</si>
  <si>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</si>
  <si>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 za prekročenie štandardnej dĺžky štúdia v dennej forme (§ 92 ods. 6) (649 001)</t>
  </si>
  <si>
    <t>- za externú formu štúdia (§ 92 ods. 4) (649 020)</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</si>
  <si>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</si>
  <si>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</si>
  <si>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</si>
  <si>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</si>
  <si>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</si>
  <si>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</si>
  <si>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za vydanie dokladov o štúdiu a ich kópií (§ 92 ods. 15 zákona) (účet 649 006)</t>
  </si>
  <si>
    <t>93a</t>
  </si>
  <si>
    <t>- náklady na tvorbu fondu na podporu štúdia študentov so špecifickými potrebami 
  (účet 556 300)</t>
  </si>
  <si>
    <t>- fondu na podporu štúdia študentov so špecifickými potrebami 
  (účet 656 300)</t>
  </si>
  <si>
    <t>T4_R14</t>
  </si>
  <si>
    <t>T4_R15</t>
  </si>
  <si>
    <t>Návrh na prídel do štipendijného fondu na základe rozhodnutia VVŠ, ktorý sa musí rovnať minimálne objemu z riadku R14.</t>
  </si>
  <si>
    <t>Tabuľka č. 6a poskytuje informácie o počte a štruktúre žien a objeme nákladov na mzdy verejnej vysokej školy (bez odvodov).</t>
  </si>
  <si>
    <t xml:space="preserve">1) V R40-43 sa uvedú výnosy účtované v súvislosti s použitím  príslušného fondu.  </t>
  </si>
  <si>
    <t>Stav fondu k 1. 1. kalendárneho roku  v R1 sa  rovná stavu fondu k 31.12. predchádzajúceho roku v R12.</t>
  </si>
  <si>
    <t>T17_R8</t>
  </si>
  <si>
    <t>T4_R12,13</t>
  </si>
  <si>
    <t>T20_R2</t>
  </si>
  <si>
    <r>
      <t xml:space="preserve">Tabuľka č. 24a, 24b poskytuje informácie o súvahe  "Aktíva"- sumár za VVŠ. </t>
    </r>
    <r>
      <rPr>
        <sz val="12"/>
        <rFont val="Times New Roman"/>
        <family val="1"/>
        <charset val="238"/>
      </rPr>
      <t xml:space="preserve"> Údaje sa uvádzajú s presnosťou na dve desatinné miesta.</t>
    </r>
  </si>
  <si>
    <r>
      <t xml:space="preserve">Tabuľka č. 25 poskytuje informácie o súvahe "Pasíva" - sumár za VVŠ.  </t>
    </r>
    <r>
      <rPr>
        <sz val="12"/>
        <rFont val="Times New Roman"/>
        <family val="1"/>
        <charset val="238"/>
      </rPr>
      <t>Údaje sa uvádzajú s presnosťou na dve desatinné miesta.</t>
    </r>
  </si>
  <si>
    <r>
      <t>K=A+C+E+</t>
    </r>
    <r>
      <rPr>
        <sz val="12"/>
        <color indexed="10"/>
        <rFont val="Times New Roman"/>
        <family val="1"/>
        <charset val="238"/>
      </rPr>
      <t>G</t>
    </r>
    <r>
      <rPr>
        <sz val="12"/>
        <color indexed="8"/>
        <rFont val="Times New Roman"/>
        <family val="1"/>
        <charset val="238"/>
      </rPr>
      <t>+I</t>
    </r>
  </si>
  <si>
    <r>
      <t>L=B+D+F+</t>
    </r>
    <r>
      <rPr>
        <sz val="12"/>
        <color indexed="10"/>
        <rFont val="Times New Roman"/>
        <family val="1"/>
        <charset val="238"/>
      </rPr>
      <t>H</t>
    </r>
    <r>
      <rPr>
        <sz val="12"/>
        <color indexed="8"/>
        <rFont val="Times New Roman"/>
        <family val="1"/>
        <charset val="238"/>
      </rPr>
      <t>+J</t>
    </r>
  </si>
  <si>
    <t>501 Spotreba materiálu</t>
  </si>
  <si>
    <t>502 Spotreba energie</t>
  </si>
  <si>
    <t>504 Predaný tovar</t>
  </si>
  <si>
    <t>511 Opravy a udržiavanie</t>
  </si>
  <si>
    <t>512 Cestovné</t>
  </si>
  <si>
    <t>513 Náklady na reprezentáciu</t>
  </si>
  <si>
    <t>518 Ostatné služby</t>
  </si>
  <si>
    <t>521 Mzdové náklady</t>
  </si>
  <si>
    <t>524 Zákonné sociálne poistenie a zdravotné poistenie</t>
  </si>
  <si>
    <t>525 Ostatné sociálne poistenie</t>
  </si>
  <si>
    <t>527 Zákonné sociálne náklady</t>
  </si>
  <si>
    <t>528 Ostatné sociálne náklady</t>
  </si>
  <si>
    <t>531 Daň z motorových vozidiel</t>
  </si>
  <si>
    <t>532 Daň z nehnuteľností</t>
  </si>
  <si>
    <t>538 Ostatné dane a poplatky</t>
  </si>
  <si>
    <t>541 Zmluvné pokuty a penále</t>
  </si>
  <si>
    <t>542 Ostatné pokuty a penále</t>
  </si>
  <si>
    <t>543 Odpísanie pohľadávky</t>
  </si>
  <si>
    <t>544 Úroky</t>
  </si>
  <si>
    <t>545 Kurzové straty</t>
  </si>
  <si>
    <t>546 Dary</t>
  </si>
  <si>
    <t>547 Osobitné náklady</t>
  </si>
  <si>
    <t>548 Manká a škody</t>
  </si>
  <si>
    <t>549 Iné ostatné náklady</t>
  </si>
  <si>
    <t>551 Odpisy dlhodobého nehmotného majetku a dlhodobého hmot</t>
  </si>
  <si>
    <t>552 Zostatková cena predaného dlhodobého nehmotného majetku</t>
  </si>
  <si>
    <t>553 Predané cenné papiere</t>
  </si>
  <si>
    <t>554 Predaný materiál</t>
  </si>
  <si>
    <t>555 Náklady na krátkodobý finančný majetok</t>
  </si>
  <si>
    <t>556 Tvorba fondov</t>
  </si>
  <si>
    <t>557 Náklady na precenenie cenných papierov</t>
  </si>
  <si>
    <t>558 Tvorba a zúčtovanie opravných položiek</t>
  </si>
  <si>
    <t>561 Poskytnuté príspevky organizačným zložkám</t>
  </si>
  <si>
    <t>562 Poskytnuté príspevky iným účtovným jednotkám</t>
  </si>
  <si>
    <t>563 Poskytnuté príspevky fyzickým osobám</t>
  </si>
  <si>
    <t>565 Poskytnuté príspevky z podielu zaplatenej dane</t>
  </si>
  <si>
    <t>567 Poskytnuté príspevky z verejnej zbierky</t>
  </si>
  <si>
    <t>Účtová trieda 5 spolu r. 01 až r. 37</t>
  </si>
  <si>
    <t>601 Tržby za vlastné výrobky</t>
  </si>
  <si>
    <t>602 Tržby z predaja služieb</t>
  </si>
  <si>
    <t>604 Tržby za predaný tovar</t>
  </si>
  <si>
    <t>611 Zmena stavu zásob nedokončenej výroby</t>
  </si>
  <si>
    <t>612 Zmena stavu zásob polotovarov</t>
  </si>
  <si>
    <t>613 Zmena stavu zásob výrobkov</t>
  </si>
  <si>
    <t>614 Zmena stavu zásob zvierat</t>
  </si>
  <si>
    <t>621 Aktivácia materiálu a tovaru</t>
  </si>
  <si>
    <t>622 Aktivácia vnútroorganizačných služieb</t>
  </si>
  <si>
    <t>623 Aktivácia dlhodobého nehmotného majetku</t>
  </si>
  <si>
    <t>624 Aktivácia dlhodobého hmotného majetku</t>
  </si>
  <si>
    <t>641 Zmluvné pokuty a penále</t>
  </si>
  <si>
    <t>642 Ostatné pokuty a penále</t>
  </si>
  <si>
    <t>643 Platby za odpísané pohľadávky</t>
  </si>
  <si>
    <t>644 Úroky</t>
  </si>
  <si>
    <t>645 Kurzové zisky</t>
  </si>
  <si>
    <t>646 Prijaté dary</t>
  </si>
  <si>
    <t>647 Osobitné výnosy</t>
  </si>
  <si>
    <t>648 Zákonné poplatky</t>
  </si>
  <si>
    <t>649 Iné ostatné výnosy</t>
  </si>
  <si>
    <t>651 Tržby z predaja dlhodobého nehmotného majetku</t>
  </si>
  <si>
    <t>652 Výnosy z dlhodobého finančného majetku</t>
  </si>
  <si>
    <t>653 Tržby z predaja cenných papierov a podielov</t>
  </si>
  <si>
    <t>654 Tržby z predaja materiálu</t>
  </si>
  <si>
    <t>655 Výnosy z krátkodobého finančného majetku</t>
  </si>
  <si>
    <t>656 Výnosy z použitia fondu</t>
  </si>
  <si>
    <t>657 Výnosy z precenenia cenných papierov</t>
  </si>
  <si>
    <t>658 Výnosy z nájmu majetku</t>
  </si>
  <si>
    <t>661 Prijaté príspevky od organizačných zložiek</t>
  </si>
  <si>
    <t>662 Prijaté príspevky od iných organizácií</t>
  </si>
  <si>
    <t>663 Prijaté príspevky od fyzických osôb</t>
  </si>
  <si>
    <t>664 Prijaté členské príspevky</t>
  </si>
  <si>
    <t>665 Príspevky z podielu zaplatenej dane</t>
  </si>
  <si>
    <t>667 Prijaté príspevky z verejných zbierok</t>
  </si>
  <si>
    <t>691 Dotácie</t>
  </si>
  <si>
    <t>Účtová trieda 6 spolu r. 39 až r. 73</t>
  </si>
  <si>
    <t>Výsledok hospodárenia pred zdanením r. 74 - r. 38</t>
  </si>
  <si>
    <t>591 Daň z príjmov</t>
  </si>
  <si>
    <t>595 Dodatočné odvody dane z príjmov</t>
  </si>
  <si>
    <t>Výsledok hospodárenia po zdanení (r. 75 - (r. 76 + r. 77) )</t>
  </si>
  <si>
    <t>- za vydanie dokladov o absolvovaní štúdia v štátnom jazyku a v jazyku požadovanom študentom a ich kópií  (§ 92 ods. 15 zákona) (účet 649 024)</t>
  </si>
  <si>
    <r>
      <t xml:space="preserve"> - za uznávanie rovnocennosti dokladov o štúdiu (§ 92 ods. 15 zákona) (účet 649 025) </t>
    </r>
    <r>
      <rPr>
        <vertAlign val="superscript"/>
        <sz val="12"/>
        <rFont val="Times New Roman"/>
        <family val="1"/>
        <charset val="238"/>
      </rPr>
      <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</si>
  <si>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</si>
  <si>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2014 a 2015</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</si>
  <si>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2014 a 2015 </t>
    </r>
  </si>
  <si>
    <r>
      <t xml:space="preserve">Ostatné dlhodobé záväzky </t>
    </r>
    <r>
      <rPr>
        <sz val="9"/>
        <rFont val="Times New Roman"/>
        <family val="1"/>
        <charset val="238"/>
      </rPr>
      <t xml:space="preserve"> </t>
    </r>
    <r>
      <rPr>
        <sz val="12"/>
        <rFont val="Times New Roman"/>
        <family val="1"/>
        <charset val="238"/>
      </rPr>
      <t>(373 AÚ+ 479 AÚ)</t>
    </r>
  </si>
  <si>
    <r>
      <t>Rozdiel 201</t>
    </r>
    <r>
      <rPr>
        <b/>
        <sz val="14"/>
        <color rgb="FFFF0000"/>
        <rFont val="Times New Roman"/>
        <family val="1"/>
        <charset val="238"/>
      </rPr>
      <t>5</t>
    </r>
    <r>
      <rPr>
        <b/>
        <sz val="14"/>
        <rFont val="Times New Roman"/>
        <family val="1"/>
      </rPr>
      <t>-201</t>
    </r>
    <r>
      <rPr>
        <b/>
        <sz val="14"/>
        <color rgb="FFFF0000"/>
        <rFont val="Times New Roman"/>
        <family val="1"/>
        <charset val="238"/>
      </rPr>
      <t>4</t>
    </r>
  </si>
  <si>
    <t>Rozdiel 2015-2014</t>
  </si>
  <si>
    <t xml:space="preserve">*) </t>
  </si>
  <si>
    <t>Odpisy, predaný majetok a opravné položky (účtová skupina 55) [SUM(R85:R92)]</t>
  </si>
  <si>
    <t>Čerpanie kapitálovej dotácie v roku 2015
zo štátneho rozpočtu</t>
  </si>
  <si>
    <t xml:space="preserve">Čerpanie bežnej dotácie v roku 2015 prostredníctvom fondu reprodukcie </t>
  </si>
  <si>
    <t>Výnosy
v hlavnej činnosti
2014</t>
  </si>
  <si>
    <t>Náklady
hlavnej činnosti
2015</t>
  </si>
  <si>
    <t>Tabuľka č. 3: Výnosy verejnej vysokej školy v rokoch 2014 a 2015</t>
  </si>
  <si>
    <t>T3a_V1</t>
  </si>
  <si>
    <t xml:space="preserve">Riadky 12, 13 sa v roku  2014 nevypĺňajú a údaje z nich sa uvádzajú do riadku 11, v roku 2015 sa vypĺňajú. </t>
  </si>
  <si>
    <t>T5a_V1</t>
  </si>
  <si>
    <t>T6a_V1</t>
  </si>
  <si>
    <t>T3_R21_SA (SC) = T4_R1_SA (SB),
T3_R22_SA (SC) = T4_R7_SA (SB)</t>
  </si>
  <si>
    <t>T4_R1_SA (SB) = T3_R21_SA (SC),
T4_R7_SA (SB) = T3_R22_SA (SC) 
T4_R15_SA (SB) =   T13_R9_SE (SF)</t>
  </si>
  <si>
    <t>Údaje v T4 sú kontrolované na údaje z T3, a to na výnosy z hlavnej činnosti - školné (T3_R21), poplatky spojené so štúdiom (T3_R22). 
Údaj  v R15 - návrh na prídel do štipendijného fondu musí byť minimálne vo výške vykazovanom na riadku R10 - základ pre prídel do štipendijného fondu.</t>
  </si>
  <si>
    <t>T13_R9_SF = T4_R15_SB</t>
  </si>
  <si>
    <t>Súvzťažnosť tvorby štipendijného fondu z výnosov zo školného v T13_R9_SF na T4_R15_SB.</t>
  </si>
  <si>
    <t>V prípade, že časť dotácie škola posúva na zmluvné zariadenia, uveďe to do poznámky pod tabuľkou.</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</si>
  <si>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</si>
  <si>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</si>
  <si>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</si>
  <si>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 xml:space="preserve">Nevyčerpaná účelová dotácia (+) / nedoplatok účelovej dotácie (-) za rok 2014 </t>
  </si>
  <si>
    <t>v januári  2016 za december 2015</t>
  </si>
  <si>
    <t xml:space="preserve"> na miestach pridelených MŠVVaŠ SR
pred 1.9. 2012</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</si>
  <si>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</si>
  <si>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</si>
  <si>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</si>
  <si>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z toho PČ (jednou sumou z R15,SG)</t>
  </si>
  <si>
    <t>Tabuľka č. 17: Príjmy verejnej vysokej školy z prostriedkov EÚ a z prostriedkov na ich spolufinancovanie 
zo štátneho rozpočtu z kapitoly MŠVVaŠ SR a z iných kapitol štátneho rozpočtu v roku 2015</t>
  </si>
  <si>
    <t>Tabuľka č. 16: Štruktúra a stav finančných prostriedkov na bankových účtoch verejnej vysokej školy
   k 31. decembru 2015</t>
  </si>
  <si>
    <t>Tabuľka č. 13: Stav a vývoj finančných fondov verejnej vysokej školy v rokoch 2014 a 2015</t>
  </si>
  <si>
    <t>Tabuľka č. 12: Výdavky verejnej vysokej školy na obstaranie a technické zhodnotenie dlhodobého majetku v roku 2015</t>
  </si>
  <si>
    <t>Stav účtu k 31.12.2015</t>
  </si>
  <si>
    <t>Tabuľka č. 11: Zdroje verejnej vysokej školy na obstaranie a technické zhodnotenie dlhodobého  majetku v rokoch 2014 a 2015</t>
  </si>
  <si>
    <r>
      <t xml:space="preserve">  - náklady na časť štipendia prevyšujúce 9. platovú triedu a 1. platový stupeň   </t>
    </r>
    <r>
      <rPr>
        <i/>
        <sz val="12"/>
        <rFont val="Times New Roman"/>
        <family val="1"/>
        <charset val="238"/>
      </rPr>
      <t>(kód 16)</t>
    </r>
  </si>
  <si>
    <r>
      <t xml:space="preserve">  - náklady na časť štipendia prevyšujúce 10. platovú triedu a 1. platový stupeň </t>
    </r>
    <r>
      <rPr>
        <i/>
        <sz val="12"/>
        <rFont val="Times New Roman"/>
        <family val="1"/>
        <charset val="238"/>
      </rPr>
      <t xml:space="preserve"> (kód 16)</t>
    </r>
  </si>
  <si>
    <t xml:space="preserve">Tabuľka č. 7: Náklady verejnej vysokej školy na štipendiá interných doktorandov v roku 2015 </t>
  </si>
  <si>
    <t xml:space="preserve">Tabuľka č. 19: Štipendiá z vlastných zdrojov podľa § 97 zákona v rokoch 2014 a 2015 </t>
  </si>
  <si>
    <t xml:space="preserve">Tabuľka č. 20: Motivačné štipendiá  v rokoch 2014 a 2015 (v zmysle § 96a  zákona )  </t>
  </si>
  <si>
    <r>
      <t>Nevyčerpaná dotácia (+) / nedoplatok dotácie (-) k 31. 12. kalendárneho roka</t>
    </r>
    <r>
      <rPr>
        <b/>
        <vertAlign val="superscript"/>
        <sz val="12"/>
        <rFont val="Times New Roman"/>
        <family val="1"/>
        <charset val="238"/>
      </rPr>
      <t xml:space="preserve">1) </t>
    </r>
    <r>
      <rPr>
        <b/>
        <sz val="12"/>
        <rFont val="Times New Roman"/>
        <family val="1"/>
        <charset val="238"/>
      </rPr>
      <t xml:space="preserve">  [R1+R2-R3]                       </t>
    </r>
  </si>
  <si>
    <t>T16_R18_SB = výkazníctvo, súvaha, časť Aktíva, riadok 053,</t>
  </si>
  <si>
    <t>T11_R2_SA (SB) = T13_R2_SC (SD)</t>
  </si>
  <si>
    <t>T1 = dotačná zmluva na 2015</t>
  </si>
  <si>
    <t>Stav štipendijného fondu k 31. 12. uvedený v R12_SF nemá byť nižší ako súčet zostatku nevyčerpanej dotácie na sociálne štipendiá v T8_R6_SC a na motivačné štipendiá v T20_R4_(SB).</t>
  </si>
  <si>
    <t>T13_R12_SF ≥T8_R6_SC + T20_R4_(SB)</t>
  </si>
  <si>
    <t>Ak položke požadovanej v tabuľke zodpovedá podľa predpísanej analytickej evidencie na príslušnom syntetickom  účte  nejaký špecifikcký kód (napríklad kód ekonomickej klasifikácie), uvedie sa tento kód za názvom položky.</t>
  </si>
  <si>
    <t>Tabuľka č. 7 poskytuje informácie o  počte interných doktorandov, o nákladoch vysokej školy na štipendiá doktorandov a o ich krytí výnosmi.</t>
  </si>
  <si>
    <r>
      <t xml:space="preserve">Uvedie sa nevyčerpaná účelová dotácia (+) resp. nedoplatok účelovej dotácie (-) na štipendiá  doktorandov za rok 2015. Nevyčerpaná účelová dotácia znamená, že vysoká škola obdržala vyššiu dotáciu ako boli jej náklady na štipendiá doktorandov </t>
    </r>
    <r>
      <rPr>
        <b/>
        <sz val="12"/>
        <rFont val="Times New Roman"/>
        <family val="1"/>
        <charset val="238"/>
      </rPr>
      <t>(podľa stavu v CRŠ)</t>
    </r>
    <r>
      <rPr>
        <sz val="12"/>
        <rFont val="Times New Roman"/>
        <family val="1"/>
        <charset val="238"/>
      </rPr>
      <t xml:space="preserve">, vrátane výplaty štipendií v januári 2016 za december 2015. </t>
    </r>
    <r>
      <rPr>
        <b/>
        <sz val="12"/>
        <rFont val="Times New Roman"/>
        <family val="1"/>
        <charset val="238"/>
      </rPr>
      <t>Nevyčerpaná účelová dotácia z roku 2015 bude zúčtovaná v roku 2016.</t>
    </r>
  </si>
  <si>
    <r>
      <t xml:space="preserve">V stĺpci A škola  uvedie náklady na štipendiá doktorandov, ktoré mala na doktorandov na miestach pridelených ministerstvom  </t>
    </r>
    <r>
      <rPr>
        <u/>
        <sz val="12"/>
        <rFont val="Times New Roman"/>
        <family val="1"/>
        <charset val="238"/>
      </rPr>
      <t>z</t>
    </r>
    <r>
      <rPr>
        <sz val="12"/>
        <rFont val="Times New Roman"/>
        <family val="1"/>
        <charset val="238"/>
      </rPr>
      <t xml:space="preserve"> </t>
    </r>
    <r>
      <rPr>
        <u/>
        <sz val="12"/>
        <rFont val="Times New Roman"/>
        <family val="1"/>
        <charset val="238"/>
      </rPr>
      <t>účelovej</t>
    </r>
    <r>
      <rPr>
        <sz val="12"/>
        <rFont val="Times New Roman"/>
        <family val="1"/>
        <charset val="238"/>
      </rPr>
      <t xml:space="preserve"> dotácie. </t>
    </r>
  </si>
  <si>
    <t>V stĺpci SA, resp. SC sa uvedú výdavky z dotácie na sociálne štipendiá poskytnuté študentom v danom kalendárnom roku, uvedené v Centrálnom registri študentov pod kódom 1.</t>
  </si>
  <si>
    <t>Uvedie sa objem prijatej kapitálovej dotácie z prostriedkov EÚ vrátane spolufinancovania (účet 346005 – 346008 strana DAL,  napr. zdroje 11S1, 11S2, 11T1, 11T2, (všetky zdroje EŠF na ktorých VVŠ účtuje, aj všetky analytické účty) okrem 11E1, 11E3 a 121 – viď riadok 13)</t>
  </si>
  <si>
    <t>T13_SG(SH) uvádzajte tvorbu fondu podľa §16a bod d) zákona 131/2002 Z.z.,  t.j. fondu na podporu štúdia študentov so špecifickými potrebami</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</si>
  <si>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</si>
  <si>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</si>
  <si>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</si>
  <si>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t>V stĺpci SB sa uvedú príjmy z dotácie na mot. štipendiá poskytnuté študentom v danom kalendárnom roku, uvedené v Centrálnom registri študentov s kódom 19.
V stĺpci SC sa uvedú príjmy z dotácie na mot. štipendiá poskytnuté študentom v danom kalendárnom roku, uvedené v Centrálnom registri študentov s kódmi 4, 5, 6, 7, 8.</t>
  </si>
  <si>
    <t>V stĺpci SB sa uvedú výdavky z dotácie na mot. štipendiá poskytnuté študentom v danom kalendárnom roku, uvedené v Centrálnom registri študentov s kódom 19.
V stĺpci SC sa uvedú výdavky z dotácie na mot. štipendiá poskytnuté študentom v danom kalendárnom roku, uvedené v Centrálnom registri študentov s kódmi 4, 5, 6, 7, 8.</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</si>
  <si>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</si>
  <si>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T3a_V</t>
  </si>
  <si>
    <t>motivačné štipendiá podľa § 96a</t>
  </si>
  <si>
    <t>2) uvádzajú sa len motivačné štipendiá vyplatené podľa § 96a, ods.1, písm. a) (kód CRŠ 19)</t>
  </si>
  <si>
    <t>3) uvádzajú sa len motivačné štipendiá vyplatené podľa § 96a, ods.1, písm. b) (kódy v  CRŠ: 4, 5, 6, 7, 8)</t>
  </si>
  <si>
    <r>
      <rPr>
        <b/>
        <sz val="12"/>
        <rFont val="Times New Roman"/>
        <family val="1"/>
        <charset val="238"/>
      </rPr>
      <t>B</t>
    </r>
    <r>
      <rPr>
        <vertAlign val="superscript"/>
        <sz val="12"/>
        <rFont val="Times New Roman"/>
        <family val="1"/>
        <charset val="238"/>
      </rPr>
      <t>2)</t>
    </r>
  </si>
  <si>
    <r>
      <t>C</t>
    </r>
    <r>
      <rPr>
        <vertAlign val="superscript"/>
        <sz val="12"/>
        <rFont val="Times New Roman"/>
        <family val="1"/>
        <charset val="238"/>
      </rPr>
      <t>3)</t>
    </r>
  </si>
  <si>
    <r>
      <t xml:space="preserve">mot. štipendiá podľa 
§ 96a, ods.1, písm. a)
</t>
    </r>
    <r>
      <rPr>
        <b/>
        <sz val="12"/>
        <rFont val="Times New Roman"/>
        <family val="1"/>
        <charset val="238"/>
      </rPr>
      <t>(kód v CRŠ: 19)</t>
    </r>
  </si>
  <si>
    <r>
      <t xml:space="preserve">mot. štipendiá podľa 
§ 96a, ods.1, písm. b)
</t>
    </r>
    <r>
      <rPr>
        <b/>
        <sz val="12"/>
        <rFont val="Times New Roman"/>
        <family val="1"/>
        <charset val="238"/>
      </rPr>
      <t>(kódy v  CRŠ: 4, 5, 6, 7, 8)</t>
    </r>
  </si>
  <si>
    <t xml:space="preserve"> - za cudzojazyčné štúdium dennou formou (§ 92 ods. 8 a 9) (649 002, 649 023)</t>
  </si>
  <si>
    <t xml:space="preserve">- školné  (účet 649 001, 649 002, 649 020, 649 023, 649 026)                                                     </t>
  </si>
  <si>
    <t>- za súbežné štúdium v dennej forme  (§ 92 ods. 5, 649 026)</t>
  </si>
  <si>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</si>
  <si>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</si>
  <si>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</si>
  <si>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</si>
  <si>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</si>
  <si>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</si>
  <si>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</si>
  <si>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L= G+H+I+J+K</t>
  </si>
  <si>
    <t>T5a_V</t>
  </si>
  <si>
    <t>*) v roku 2015 požadujeme poplatky za vydanie dokladov podľa § 92 ods. 15 zákona rozčleniť do 3 analytík, tak ako je uvedené v R11, R12, R13</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</si>
  <si>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</si>
  <si>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</si>
  <si>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</si>
  <si>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</si>
  <si>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</si>
  <si>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</si>
  <si>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Názov verejnej vysokej školy: UPJŠ v Košiciach, Šrobárova 2
Názov fakulty:</t>
  </si>
  <si>
    <t>Názov verejnej vysokej školy: UPJŠ v Košiciach, Šrobárova 2</t>
  </si>
  <si>
    <t>Názov verejnej vysokej školy:  UPJŠ v Košiciach, Šrobárova 2</t>
  </si>
  <si>
    <t xml:space="preserve">Názov verejnej vysokej školy: UPJŠ v Košiciach, Šrobárova 2
Názov fakulty: </t>
  </si>
  <si>
    <t>MK SR pre Univerzitnú knižnicu</t>
  </si>
  <si>
    <t>MZ SR projekt Rezident</t>
  </si>
  <si>
    <t>1c</t>
  </si>
  <si>
    <t>APVV pre spoluriešiteľov</t>
  </si>
  <si>
    <t>1d</t>
  </si>
  <si>
    <t>STU Bratislava- NMR zmluva o spolupráci</t>
  </si>
  <si>
    <t>Višehradský fond</t>
  </si>
  <si>
    <t>príspevok od mesta Košice na Univerzutu bez hraníc</t>
  </si>
  <si>
    <t>príspevok od SAV na Botanikiádu</t>
  </si>
  <si>
    <t>Sophie-Agencia de Salut Barcelona</t>
  </si>
  <si>
    <t>Univ.Medisch centrum Groningen</t>
  </si>
  <si>
    <t>4c</t>
  </si>
  <si>
    <t>Masarykova univerzita Brno Erasmus</t>
  </si>
  <si>
    <t>4d</t>
  </si>
  <si>
    <t>World Healt Organisat Geneve</t>
  </si>
  <si>
    <t>4e</t>
  </si>
  <si>
    <t>4f</t>
  </si>
  <si>
    <t>FP-7 CELIM prof.Miškovský</t>
  </si>
  <si>
    <t>7.RP Dublin University projekt SAILS doc.Kireš</t>
  </si>
  <si>
    <t>4g</t>
  </si>
  <si>
    <t>4h</t>
  </si>
  <si>
    <t xml:space="preserve">7.RP Martin Luther univ. Halle projekt Erasmus+acr.SciVis </t>
  </si>
  <si>
    <t>7.RP Martin Luther univ. Halle projekt SciCamp</t>
  </si>
  <si>
    <t>4i</t>
  </si>
  <si>
    <t>4j</t>
  </si>
  <si>
    <t>4k</t>
  </si>
  <si>
    <t>4l</t>
  </si>
  <si>
    <t>4m</t>
  </si>
  <si>
    <t>Socrates</t>
  </si>
  <si>
    <t>Erasmus</t>
  </si>
  <si>
    <t xml:space="preserve">Erasmus+ projekt KoWist Hochschule für Angewandte Wissenschaften, Nemecko.
</t>
  </si>
  <si>
    <t>projekt 526773-LLP-1-2014241 UK ERASMUS of Oxford</t>
  </si>
  <si>
    <t>Universitet Bremen projekt SNIPE</t>
  </si>
  <si>
    <t>SK6581800000007000241949 Dotačný účet LF, SK7481800000007000241690 Dotačný účet PF, SK7081800000007000241762 Dotačný účet Práv.F, SK9581800000007000241797 Dotačný účet FVS, SK4881800000007000241770 Dotačný účet R</t>
  </si>
  <si>
    <t>SK7981800000007000137519 Zostatkový účet LF, SK5781800000007000137527 Zostatkový účet PF,  SK1081800000007000137500 Zost.dot.Práv.F, SK1381800000007000137543 Zost.dot.FVS, SK3581800000007000137535 Zost.dot.R</t>
  </si>
  <si>
    <t>SK6881800000007000152655 Distribučný účet, R</t>
  </si>
  <si>
    <t xml:space="preserve">SK7381800000007000078360 BUN LF,
SK2881800000007000078491BUN PF KE, 
SK6981800000007000078432 BUN Práv.F KE, 
SK5881800000007000086002 BUN FVS KE, 
SK6481800000007000074351BUN R UPJŠ
</t>
  </si>
  <si>
    <t>SK3681800000007000436471 BU Cardpay HČ ŠJ</t>
  </si>
  <si>
    <t xml:space="preserve">SK4581800000007000078379 ŠF LF, 
SK6581800000007000078504 ŠF PF KE, 
SK4781800000007000078440 ŠF Právn.F KE, 
SK8381800000007000086037 ŠF FVS KE, 
SK8081800000007000252349 ŠF Rekt.UPJŠ KE
</t>
  </si>
  <si>
    <t xml:space="preserve">SK1681800000007000078416 PČ LF, 
SK6881800000007000078547 PČ PF, 
SK5081800000007000078483 PČ Práv.F, 
SK3981800000007000086053 PČ FVS, 
SK1181800000007000074335 PČ R UPJŠ
</t>
  </si>
  <si>
    <t xml:space="preserve">SK9881800000007000078395 SF LF KE, 
SK2181800000007000078520 SF PF KE, 
SK9481800000007000078467 SF PrávF KE,
SK0881800000007000086029 SFFVS KE, 
SK8681800000007000074343 SF UPJŠ KE
</t>
  </si>
  <si>
    <t>SK3681800000007000252365 BU F.Repr.Rekt. UPJŠ</t>
  </si>
  <si>
    <t>SK1581800000007000467307 Zábezpeka,R</t>
  </si>
  <si>
    <t>SK1481800000007000535904 Erasmus + acr.SciVis,
SK44 81800000007000540893 Commenius SciCamp,
SK3881800000007000440315 7RP SAILS,
SK9881800000007000464261 CELIM, 
SK1281800000007000371719 MonInterFluoProt , 
SK3081800000007000373335 Establish
SK68 8180 0000 0070 0054 7833 BU H2020-ALT, PF UPJŠ</t>
  </si>
  <si>
    <t xml:space="preserve">SK918100000007000078424 Devízový -USD LF,
</t>
  </si>
  <si>
    <t xml:space="preserve">SK2381800000007000078387 Dary a granty LF,
SK4381800000007000078512 Dary a granty PF,
SK1981800000007000078459 Dary a granty PrávF,
SK3681800000007000086010 Dary a granty FVS, 
SK5481800000007000099751 Dary a granty R, 
SK1081800000007000439752 AŠF EU CEX Cezis,
SK1981800000007000406125 ESF CEX Biomed LF,
SK7981800000007000358776 BÚ-MVP CCV, PF, 
SK8281800000007000368034 ESF Doktorand, pf, 
SK0781800000007000368026 ESF MoVeS,FVS,
SK3681800000007000386419 AŠF EU MŠ SR Probio, 
SK6281800000007000455015 AŠF  KVARK, PF, 
SK8681800000007000454389 AŠF IRES, PF, 
SK2681800000007000464296 ESF SOFOS, PF, 
SK2981800000007000476270 RIFIV, PF, 
SK9581800000007000467710 BU Technikom, UPJŠ KE,
SK7781800000007000470362 Medipark, 
SK34818000000070000214959 Devízový -EUR FVS
SK0581800000007000497848 AŠF EU MŠ SR Platon,
SK3281800000007000388916 BU Mikromatel, 
SK8981800000007000074386 Socrates, R
</t>
  </si>
  <si>
    <t xml:space="preserve">Názov verejnej vysokej školy:  UPJŠ v Košiciach
Názov fakulty:  </t>
  </si>
  <si>
    <t>Botanická záhrada</t>
  </si>
  <si>
    <r>
      <t>T21_R1_</t>
    </r>
    <r>
      <rPr>
        <b/>
        <sz val="12"/>
        <rFont val="Times New Roman"/>
        <family val="1"/>
        <charset val="238"/>
      </rPr>
      <t>SA</t>
    </r>
    <r>
      <rPr>
        <sz val="12"/>
        <rFont val="Times New Roman"/>
        <family val="1"/>
        <charset val="238"/>
      </rPr>
      <t xml:space="preserve"> + T11_R10_SB - T5_R85_SC = T21_R1_</t>
    </r>
    <r>
      <rPr>
        <b/>
        <sz val="12"/>
        <rFont val="Times New Roman"/>
        <family val="1"/>
        <charset val="238"/>
      </rPr>
      <t>SG</t>
    </r>
  </si>
  <si>
    <r>
      <t>T21_R1_</t>
    </r>
    <r>
      <rPr>
        <b/>
        <sz val="12"/>
        <rFont val="Times New Roman"/>
        <family val="1"/>
        <charset val="238"/>
      </rPr>
      <t>SB</t>
    </r>
    <r>
      <rPr>
        <sz val="12"/>
        <rFont val="Times New Roman"/>
        <family val="1"/>
        <charset val="238"/>
      </rPr>
      <t xml:space="preserve"> + T11_R10a_SB - T5_R86a_SC = T21_R1_</t>
    </r>
    <r>
      <rPr>
        <b/>
        <sz val="12"/>
        <rFont val="Times New Roman"/>
        <family val="1"/>
        <charset val="238"/>
      </rPr>
      <t>SH</t>
    </r>
  </si>
  <si>
    <t xml:space="preserve">poznámka : údaj v  R1_SC je oproti údajom z CRŠ kod 1 nižší o hodnotu 580,00 € z dôvodu vratiek neoprávnene vyplatených sociálnych štipendií za rok 2014, ktoré v CRŠ v roku 2015 nie je možné zadať. </t>
  </si>
  <si>
    <t>pozn.1): rozdiel medzi údajom, vykazovaným v stĺpci T6_R18_SH a údajom v T5_R56_(SC+SD) tvorí rozdiel výšky tvorby rezervy na nevyčerpanú dovolenku za rok 2015 a čerpanou rezervou z roku 2014 v celkovej čiastke 4 586,26 €.</t>
  </si>
  <si>
    <t xml:space="preserve">R4_SD vykazuje rozdiel voči T5_R86_SC+SD vo výške 196 099,00 € nakoľko je v T5_R86_SC+SD zahrnutý aj odpis majetku obstaraného z kapitálovej dotácie zo zahraničných projektov  (účet HK 384130) a darovaného majetku účtovaný
 na účte HK 551400  (prostredníctvom účtu HK 384009) avšak podľa Metodiky sa z takého odpisu netvorí fond reprodukcie. </t>
  </si>
  <si>
    <t>OK, Sev.</t>
  </si>
  <si>
    <t>OK, Pejk.</t>
  </si>
  <si>
    <t xml:space="preserve">V R3_SC = motivačné štipendium vo výške 300,00 Eur (100 €x3) sme nahrali do CRŠ 11.4.2016. </t>
  </si>
  <si>
    <t>Poznámka: Rozdiel oproti výkazníctvu predstavujú transféry v čiastke  7 053 330,42 Eur, a to: verejnej vysokej škole na podpoložke 721003 v čiastke 6 746 117,72 Eur  a rozpočtovej organizácii na finančnej podpoložke 721002  v čiastke 307 212,70 Eur. Transféry boli v roku  2015  realizované z dôvodu spoločného riešenia projektu Medipark, financovaného z prostriedkov EÚ.</t>
  </si>
  <si>
    <t>- ostatné výnosy (účty 649 012, 649 018-019, 649 021-022, 649 024-025, 649 098 - 099)+670</t>
  </si>
  <si>
    <t xml:space="preserve"> - ostatné iné náklady (účet 549 098, 549 099, 549 013, 549 599)+570</t>
  </si>
  <si>
    <t>Hlavná nezdaňovaná činnosť</t>
  </si>
  <si>
    <t>Zdaňovaná činnosť</t>
  </si>
  <si>
    <t>Stav k 31. 12. 2014</t>
  </si>
  <si>
    <t>Stav k 31. 12. 2015</t>
  </si>
  <si>
    <t>V R1_SG je zohľadnená vratka KD v sume 298,08 €</t>
  </si>
  <si>
    <t>V R1_SH je zohľadnená vratka KD v sume 34 334,28 € a prevod partnerom SAV a TUKE v sume 7 053 330,42 €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</si>
  <si>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 xml:space="preserve">v rokoch 2014 a 2015 </t>
    </r>
  </si>
  <si>
    <r>
      <t xml:space="preserve">Zvyšok prijatej kapitálovej dotácie </t>
    </r>
    <r>
      <rPr>
        <b/>
        <sz val="10"/>
        <rFont val="Times New Roman"/>
        <family val="1"/>
        <charset val="238"/>
      </rPr>
      <t>z prostriedkov EÚ (štrukturálnych fondov)</t>
    </r>
    <r>
      <rPr>
        <b/>
        <sz val="12"/>
        <rFont val="Times New Roman"/>
        <family val="1"/>
        <charset val="238"/>
      </rPr>
      <t xml:space="preserve"> používanej na kompenzáciu odpisov majetku z nej obstaraného</t>
    </r>
  </si>
  <si>
    <t xml:space="preserve">Tabuľka č. 22: Výnosy verejnej vysokej školy v roku 2015 v oblasti sociálnej podpory študentov </t>
  </si>
  <si>
    <r>
      <t>Výnosy
hlavnej činnosti
2015</t>
    </r>
    <r>
      <rPr>
        <sz val="12"/>
        <rFont val="Times New Roman"/>
        <family val="1"/>
        <charset val="238"/>
      </rPr>
      <t xml:space="preserve"> </t>
    </r>
  </si>
  <si>
    <t xml:space="preserve">Tabuľka č .23:  Náklady verejnej vysokej školy  v roku 2015 v oblasti sociálnej podpory študentov </t>
  </si>
  <si>
    <r>
      <t>Rozdiel 2015-2014</t>
    </r>
    <r>
      <rPr>
        <sz val="12"/>
        <rFont val="Times New Roman"/>
        <family val="1"/>
        <charset val="238"/>
      </rPr>
      <t xml:space="preserve"> </t>
    </r>
  </si>
  <si>
    <r>
      <t>Tabuľka č. 24a: Súvaha k 31. 12. 201</t>
    </r>
    <r>
      <rPr>
        <b/>
        <sz val="14"/>
        <rFont val="Times New Roman"/>
        <family val="1"/>
        <charset val="238"/>
      </rPr>
      <t>5</t>
    </r>
    <r>
      <rPr>
        <b/>
        <sz val="14"/>
        <rFont val="Times New Roman"/>
        <family val="1"/>
      </rPr>
      <t xml:space="preserve"> - Strana aktív 1. časť</t>
    </r>
  </si>
  <si>
    <r>
      <t>Tabuľka č. 24b: Súvaha k 31. 12. 201</t>
    </r>
    <r>
      <rPr>
        <b/>
        <sz val="14"/>
        <rFont val="Times New Roman"/>
        <family val="1"/>
        <charset val="238"/>
      </rPr>
      <t>5</t>
    </r>
    <r>
      <rPr>
        <b/>
        <sz val="14"/>
        <rFont val="Times New Roman"/>
        <family val="1"/>
      </rPr>
      <t xml:space="preserve"> - Strana aktív 2. časť </t>
    </r>
  </si>
  <si>
    <r>
      <t>Tabuľka č. 25: Súvaha k 31.12. 201</t>
    </r>
    <r>
      <rPr>
        <b/>
        <sz val="14"/>
        <rFont val="Times New Roman"/>
        <family val="1"/>
        <charset val="238"/>
      </rPr>
      <t>5</t>
    </r>
    <r>
      <rPr>
        <b/>
        <sz val="14"/>
        <rFont val="Times New Roman"/>
        <family val="1"/>
      </rPr>
      <t xml:space="preserve"> - Strana pasív </t>
    </r>
  </si>
  <si>
    <r>
      <t xml:space="preserve">Štipendiá z vlastných zdrojov vysokej školy (§ 97 zákona) spolu </t>
    </r>
    <r>
      <rPr>
        <sz val="12"/>
        <rFont val="Times New Roman"/>
        <family val="1"/>
      </rPr>
      <t xml:space="preserve">[R2+R5+R8+R11] </t>
    </r>
  </si>
  <si>
    <r>
      <t xml:space="preserve">- prospechové </t>
    </r>
    <r>
      <rPr>
        <sz val="12"/>
        <rFont val="Times New Roman"/>
        <family val="1"/>
      </rPr>
      <t xml:space="preserve">[R3+R4] </t>
    </r>
  </si>
  <si>
    <r>
      <t xml:space="preserve">  - poskytované mesačne </t>
    </r>
    <r>
      <rPr>
        <vertAlign val="superscript"/>
        <sz val="12"/>
        <rFont val="Times New Roman"/>
        <family val="1"/>
      </rPr>
      <t>1)</t>
    </r>
  </si>
  <si>
    <r>
      <t xml:space="preserve">-  za dosiahnutie vynikajúceho výsledku v oblasti štúdia </t>
    </r>
    <r>
      <rPr>
        <sz val="12"/>
        <rFont val="Times New Roman"/>
        <family val="1"/>
      </rPr>
      <t xml:space="preserve">[R6+R7] </t>
    </r>
  </si>
  <si>
    <r>
      <t xml:space="preserve">- za umeleckú alebo športovú činnosť </t>
    </r>
    <r>
      <rPr>
        <sz val="12"/>
        <rFont val="Times New Roman"/>
        <family val="1"/>
      </rPr>
      <t xml:space="preserve">[R9+R10]  </t>
    </r>
    <r>
      <rPr>
        <b/>
        <sz val="12"/>
        <rFont val="Times New Roman"/>
        <family val="1"/>
      </rPr>
      <t xml:space="preserve">                                                     </t>
    </r>
  </si>
  <si>
    <r>
      <t xml:space="preserve">- na sociálnu podporu </t>
    </r>
    <r>
      <rPr>
        <sz val="12"/>
        <rFont val="Times New Roman"/>
        <family val="1"/>
      </rPr>
      <t>[R12+R13]</t>
    </r>
  </si>
  <si>
    <r>
      <t xml:space="preserve">Počet študentov poberajúcich  štipendiá z vlastných zdrojov </t>
    </r>
    <r>
      <rPr>
        <b/>
        <vertAlign val="superscript"/>
        <sz val="12"/>
        <rFont val="Times New Roman"/>
        <family val="1"/>
      </rPr>
      <t>2</t>
    </r>
    <r>
      <rPr>
        <b/>
        <sz val="12"/>
        <rFont val="Times New Roman"/>
        <family val="1"/>
      </rPr>
      <t xml:space="preserve">) </t>
    </r>
  </si>
  <si>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t>
    </r>
  </si>
  <si>
    <r>
      <t>Tabuľka č. 18: Príjmy z dotácií verejnej vysokej škole zo štátneho rozpočtu z kapitoly MŠVVaŠ SR 
poskytnuté mimo programu 077 a mimo príjmov z prostriedkov EÚ (zo štrukturálnych fondov) v roku 2015</t>
    </r>
    <r>
      <rPr>
        <sz val="14"/>
        <rFont val="Times New Roman"/>
        <family val="1"/>
        <charset val="238"/>
      </rPr>
      <t xml:space="preserve"> 
</t>
    </r>
  </si>
  <si>
    <r>
      <t>Spolu</t>
    </r>
    <r>
      <rPr>
        <sz val="12"/>
        <rFont val="Times New Roman"/>
        <family val="1"/>
        <charset val="238"/>
      </rPr>
      <t xml:space="preserve"> [R1+R6+R7+R8]</t>
    </r>
  </si>
  <si>
    <t>zdroj 11S  + 13S spolu</t>
  </si>
  <si>
    <r>
      <t xml:space="preserve">zdroj 11S1; </t>
    </r>
    <r>
      <rPr>
        <b/>
        <sz val="12"/>
        <rFont val="Times New Roman"/>
        <family val="1"/>
      </rPr>
      <t>13S1</t>
    </r>
  </si>
  <si>
    <r>
      <t xml:space="preserve">zdroj 11S2; </t>
    </r>
    <r>
      <rPr>
        <b/>
        <sz val="12"/>
        <rFont val="Times New Roman"/>
        <family val="1"/>
      </rPr>
      <t>13S2</t>
    </r>
  </si>
  <si>
    <t>zdroj 11T  + 13T spolu</t>
  </si>
  <si>
    <r>
      <t xml:space="preserve">zdroj 11T1; </t>
    </r>
    <r>
      <rPr>
        <b/>
        <sz val="12"/>
        <rFont val="Times New Roman"/>
        <family val="1"/>
      </rPr>
      <t>13T1</t>
    </r>
  </si>
  <si>
    <r>
      <t xml:space="preserve">zdroj 11T2; </t>
    </r>
    <r>
      <rPr>
        <b/>
        <sz val="12"/>
        <rFont val="Times New Roman"/>
        <family val="1"/>
      </rPr>
      <t>13T2</t>
    </r>
  </si>
  <si>
    <r>
      <t xml:space="preserve">Dotácie z kapitoly MŠVVaŠ SR spolu </t>
    </r>
    <r>
      <rPr>
        <sz val="12"/>
        <rFont val="Times New Roman"/>
        <family val="1"/>
      </rPr>
      <t>[R1+R4]</t>
    </r>
  </si>
  <si>
    <r>
      <t xml:space="preserve">Dotácie z iných kapitol spolu </t>
    </r>
    <r>
      <rPr>
        <sz val="12"/>
        <rFont val="Times New Roman"/>
        <family val="1"/>
      </rPr>
      <t>[SUM(R9:Ra...)]</t>
    </r>
  </si>
  <si>
    <r>
      <t>Dotácie z prostriedkov EÚ spolu</t>
    </r>
    <r>
      <rPr>
        <sz val="12"/>
        <rFont val="Times New Roman"/>
        <family val="1"/>
      </rPr>
      <t xml:space="preserve"> [R7+R8]</t>
    </r>
  </si>
  <si>
    <r>
      <t xml:space="preserve">Čerpanie kapitálovej dotácie v roku 2015
</t>
    </r>
    <r>
      <rPr>
        <b/>
        <sz val="11"/>
        <rFont val="Times New Roman"/>
        <family val="1"/>
      </rPr>
      <t>z prostriedkov EÚ (štrukturálnych fondov)</t>
    </r>
  </si>
  <si>
    <t>Tabuľka č. 8: Údaje o systéme sociálnej podpory - časť  sociálne štipendiá  (§ 96 zákona) 
za roky 2014 a 2015</t>
  </si>
  <si>
    <r>
      <t xml:space="preserve">Počet študentov poberajúcich sociálne štipendiá  </t>
    </r>
    <r>
      <rPr>
        <b/>
        <vertAlign val="superscript"/>
        <sz val="14"/>
        <rFont val="Times New Roman"/>
        <family val="1"/>
        <charset val="238"/>
      </rPr>
      <t>2)</t>
    </r>
  </si>
  <si>
    <t>na miestach nepridelených MŠVVaŠ SR do 31.8.2012
 kódy (12 - 17)</t>
  </si>
  <si>
    <t>na miestach nepridelených MŠVVaŠ SR po 1.9.2012 
kódy (12 - 17)</t>
  </si>
  <si>
    <t>z neúčelovej dotácie MŠVVaŠ SR</t>
  </si>
  <si>
    <r>
      <t xml:space="preserve">Náklady na štipendiá interných doktorandov (R2+R5) </t>
    </r>
    <r>
      <rPr>
        <b/>
        <vertAlign val="superscript"/>
        <sz val="12"/>
        <rFont val="Times New Roman"/>
        <family val="1"/>
        <charset val="238"/>
      </rPr>
      <t>1)</t>
    </r>
  </si>
  <si>
    <r>
      <t xml:space="preserve">  - náklady na štipendiá interných doktorandov pred dizertačnou skúškou 
(v zmysle § 54 ods. 18 písm. a) zákona </t>
    </r>
    <r>
      <rPr>
        <u/>
        <sz val="12"/>
        <rFont val="Times New Roman"/>
        <family val="1"/>
        <charset val="238"/>
      </rPr>
      <t>spolu</t>
    </r>
    <r>
      <rPr>
        <sz val="12"/>
        <rFont val="Times New Roman"/>
        <family val="1"/>
        <charset val="238"/>
      </rPr>
      <t xml:space="preserve"> (SUM(R3:R4))</t>
    </r>
  </si>
  <si>
    <r>
      <t xml:space="preserve">  - náklady na štipendiá interných doktorandov po dizertačnej skúške 
(v zmysle § 54 ods. 18 písm. b) zákona</t>
    </r>
    <r>
      <rPr>
        <u/>
        <sz val="12"/>
        <rFont val="Times New Roman"/>
        <family val="1"/>
        <charset val="238"/>
      </rPr>
      <t xml:space="preserve"> spolu</t>
    </r>
    <r>
      <rPr>
        <sz val="12"/>
        <rFont val="Times New Roman"/>
        <family val="1"/>
        <charset val="238"/>
      </rPr>
      <t xml:space="preserve"> (SUM(R6:R7))</t>
    </r>
  </si>
  <si>
    <t>Dotácia na štipendiá doktorandov poskytnutá v rámci dotačnej zmluvy v roku 2015</t>
  </si>
  <si>
    <t xml:space="preserve">Nevyčerpaná účelová dotácia (+) / nedoplatok účelovej dotácie (-) za rok 2015 </t>
  </si>
  <si>
    <t>Počet osobomesiacov za rok 2015</t>
  </si>
  <si>
    <t>1) V prípade, že ešte niektorá VVŠ vypláca doktorandské štipendiá pozadu (ako "mzdy zamestancom"), výška nákladov vykazovaná k 31.12.2015 zohľadnuje aj úhradu štipendií doktorandov, vyplatených</t>
  </si>
  <si>
    <t xml:space="preserve">Kategória zamestnancov - žien
</t>
  </si>
  <si>
    <t>Tabuľka č. 6a: Zamestnanci a náklady na mzdy verejnej vysokej školy v roku 2015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</si>
  <si>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201</t>
    </r>
    <r>
      <rPr>
        <b/>
        <sz val="12"/>
        <rFont val="Times New Roman"/>
        <family val="1"/>
        <charset val="238"/>
      </rPr>
      <t>5</t>
    </r>
  </si>
  <si>
    <r>
      <t xml:space="preserve">Pre účely výpočtu počtu zamestnancov bola použitá metóda </t>
    </r>
    <r>
      <rPr>
        <sz val="12"/>
        <rFont val="Tahoma"/>
        <family val="2"/>
        <charset val="238"/>
      </rPr>
      <t xml:space="preserve">- </t>
    </r>
    <r>
      <rPr>
        <b/>
        <sz val="10"/>
        <rFont val="Tahoma"/>
        <family val="2"/>
        <charset val="238"/>
      </rPr>
      <t>Priemerný evidenčný počet zamestnancov - prepočítaný počet</t>
    </r>
    <r>
      <rPr>
        <sz val="10"/>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</si>
  <si>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Tabuľka č. 6: Zamestnanci a náklady na mzdy verejnej vysokej školy v roku 2015</t>
  </si>
  <si>
    <r>
      <t>Priemerný evidenčný prepočítaný počet zamestnancov za rok 201</t>
    </r>
    <r>
      <rPr>
        <b/>
        <sz val="12"/>
        <rFont val="Times New Roman"/>
        <family val="1"/>
        <charset val="238"/>
      </rPr>
      <t>5</t>
    </r>
  </si>
  <si>
    <t>Tabuľka č. 5: Náklady verejnej vysokej školy v rokoch 2014 a 2015</t>
  </si>
  <si>
    <r>
      <t>Spotreba materiálu (účet 501)</t>
    </r>
    <r>
      <rPr>
        <sz val="12"/>
        <rFont val="Times New Roman"/>
        <family val="1"/>
        <charset val="238"/>
      </rPr>
      <t xml:space="preserve"> [SUM(R2:R13)]</t>
    </r>
  </si>
  <si>
    <r>
      <t>Spotreba energie (účet 502)</t>
    </r>
    <r>
      <rPr>
        <sz val="12"/>
        <rFont val="Times New Roman"/>
        <family val="1"/>
        <charset val="238"/>
      </rPr>
      <t xml:space="preserve"> [SUM(R15:R20)]</t>
    </r>
  </si>
  <si>
    <r>
      <t>Predaný tovar (účet 504)</t>
    </r>
    <r>
      <rPr>
        <sz val="12"/>
        <rFont val="Times New Roman"/>
        <family val="1"/>
        <charset val="238"/>
      </rPr>
      <t xml:space="preserve"> [SUM(R23:R26)]</t>
    </r>
  </si>
  <si>
    <r>
      <t>Opravy a udržiavanie (účet 511)</t>
    </r>
    <r>
      <rPr>
        <sz val="12"/>
        <rFont val="Times New Roman"/>
        <family val="1"/>
        <charset val="238"/>
      </rPr>
      <t xml:space="preserve"> [SUM(R28:R34)]</t>
    </r>
  </si>
  <si>
    <r>
      <t>Cestovné (účet 512)</t>
    </r>
    <r>
      <rPr>
        <sz val="12"/>
        <rFont val="Times New Roman"/>
        <family val="1"/>
        <charset val="238"/>
      </rPr>
      <t xml:space="preserve"> [SUM(R36:R37)]</t>
    </r>
  </si>
  <si>
    <r>
      <t>Ostatné služby (účet 518)</t>
    </r>
    <r>
      <rPr>
        <sz val="12"/>
        <rFont val="Times New Roman"/>
        <family val="1"/>
        <charset val="238"/>
      </rPr>
      <t xml:space="preserve"> [SUM(R40:R54)]</t>
    </r>
  </si>
  <si>
    <r>
      <t>Mzdové náklady (účet 521)</t>
    </r>
    <r>
      <rPr>
        <sz val="12"/>
        <rFont val="Times New Roman"/>
        <family val="1"/>
        <charset val="238"/>
      </rPr>
      <t xml:space="preserve">  [SUM(R56:R57)]</t>
    </r>
  </si>
  <si>
    <r>
      <t>Ostatné náklady (účtová skupina 54)</t>
    </r>
    <r>
      <rPr>
        <sz val="12"/>
        <rFont val="Times New Roman"/>
        <family val="1"/>
        <charset val="238"/>
      </rPr>
      <t xml:space="preserve"> [R75+ R76]</t>
    </r>
  </si>
  <si>
    <r>
      <t>Poskytnuté príspevky</t>
    </r>
    <r>
      <rPr>
        <sz val="12"/>
        <rFont val="Times New Roman"/>
        <family val="1"/>
        <charset val="238"/>
      </rPr>
      <t xml:space="preserve"> </t>
    </r>
    <r>
      <rPr>
        <b/>
        <sz val="12"/>
        <rFont val="Times New Roman"/>
        <family val="1"/>
        <charset val="238"/>
      </rPr>
      <t>(účtová skupina 56)</t>
    </r>
  </si>
  <si>
    <r>
      <t xml:space="preserve">Spolu </t>
    </r>
    <r>
      <rPr>
        <sz val="12"/>
        <rFont val="Times New Roman"/>
        <family val="1"/>
        <charset val="238"/>
      </rPr>
      <t>[R1+R14+R21+R22+R27+R35+R38+R39+R55+SUM (R61:R63) +SUM (R70:R74)+R84+R93+R94]</t>
    </r>
  </si>
  <si>
    <t>v R90 ide o náklady na tvorbu FR z predaja majetku = T11R5=T13R5</t>
  </si>
  <si>
    <t xml:space="preserve">Tabuľka č. 4: Výnosy verejnej vysokej školy zo školného a z poplatkov spojených so štúdiom  
v rokoch 2014 a 2015 </t>
  </si>
  <si>
    <r>
      <t>Výnosy zo školného</t>
    </r>
    <r>
      <rPr>
        <sz val="12"/>
        <rFont val="Times New Roman"/>
        <family val="1"/>
        <charset val="238"/>
      </rPr>
      <t xml:space="preserve">  [sum(R2:R6)]</t>
    </r>
  </si>
  <si>
    <r>
      <t xml:space="preserve"> - cudzinci podľa prechodných ustanovení </t>
    </r>
    <r>
      <rPr>
        <vertAlign val="superscript"/>
        <sz val="12"/>
        <rFont val="Times New Roman"/>
        <family val="1"/>
        <charset val="238"/>
      </rPr>
      <t>1)</t>
    </r>
  </si>
  <si>
    <r>
      <t>Výnosy z poplatkov spojených so štúdiom</t>
    </r>
    <r>
      <rPr>
        <sz val="12"/>
        <rFont val="Times New Roman"/>
        <family val="1"/>
        <charset val="238"/>
      </rPr>
      <t xml:space="preserve"> [SUM (R8:R13)]</t>
    </r>
  </si>
  <si>
    <r>
      <t>Rozdiel 201</t>
    </r>
    <r>
      <rPr>
        <b/>
        <sz val="14"/>
        <rFont val="Times New Roman"/>
        <family val="1"/>
        <charset val="238"/>
      </rPr>
      <t>5</t>
    </r>
    <r>
      <rPr>
        <b/>
        <sz val="14"/>
        <rFont val="Times New Roman"/>
        <family val="1"/>
      </rPr>
      <t>-201</t>
    </r>
    <r>
      <rPr>
        <b/>
        <sz val="14"/>
        <rFont val="Times New Roman"/>
        <family val="1"/>
        <charset val="238"/>
      </rPr>
      <t>4</t>
    </r>
  </si>
  <si>
    <r>
      <t xml:space="preserve">Tržby za vlastné výrobky (účet 601) </t>
    </r>
    <r>
      <rPr>
        <sz val="12"/>
        <rFont val="Times New Roman"/>
        <family val="1"/>
        <charset val="238"/>
      </rPr>
      <t>[SUM(R2:R5)]</t>
    </r>
  </si>
  <si>
    <r>
      <t>Tržby z predaja služieb (účet 602)</t>
    </r>
    <r>
      <rPr>
        <sz val="12"/>
        <rFont val="Times New Roman"/>
        <family val="1"/>
        <charset val="238"/>
      </rPr>
      <t xml:space="preserve"> [SUM(R7:R10)] </t>
    </r>
  </si>
  <si>
    <r>
      <t>Úroky (účet 644)</t>
    </r>
    <r>
      <rPr>
        <sz val="12"/>
        <rFont val="Times New Roman"/>
        <family val="1"/>
        <charset val="238"/>
      </rPr>
      <t xml:space="preserve"> [R17+R18]</t>
    </r>
  </si>
  <si>
    <r>
      <t>Iné ostatné výnosy (účet 649)</t>
    </r>
    <r>
      <rPr>
        <sz val="12"/>
        <rFont val="Times New Roman"/>
        <family val="1"/>
        <charset val="238"/>
      </rPr>
      <t xml:space="preserve"> [SUM(R21:R33)]</t>
    </r>
  </si>
  <si>
    <r>
      <t xml:space="preserve">Výnosy z použitia fondov (účet 656) [SUM(R40:R44)]  </t>
    </r>
    <r>
      <rPr>
        <b/>
        <vertAlign val="superscript"/>
        <sz val="12"/>
        <rFont val="Times New Roman"/>
        <family val="1"/>
        <charset val="238"/>
      </rPr>
      <t xml:space="preserve"> 1)</t>
    </r>
  </si>
  <si>
    <r>
      <t>- fondu reprodukcie (účet 656 400)</t>
    </r>
    <r>
      <rPr>
        <vertAlign val="superscript"/>
        <sz val="12"/>
        <rFont val="Times New Roman"/>
        <family val="1"/>
        <charset val="238"/>
      </rPr>
      <t xml:space="preserve"> 2)</t>
    </r>
  </si>
  <si>
    <r>
      <t xml:space="preserve">Spolu </t>
    </r>
    <r>
      <rPr>
        <sz val="12"/>
        <rFont val="Times New Roman"/>
        <family val="1"/>
        <charset val="238"/>
      </rPr>
      <t>[R1+R6+SUM(R11:R16)+R19+R20+SUM(R34:R39)+SUM(R45:49</t>
    </r>
    <r>
      <rPr>
        <strike/>
        <sz val="12"/>
        <rFont val="Times New Roman"/>
        <family val="1"/>
        <charset val="238"/>
      </rPr>
      <t>51</t>
    </r>
    <r>
      <rPr>
        <sz val="12"/>
        <rFont val="Times New Roman"/>
        <family val="1"/>
        <charset val="238"/>
      </rPr>
      <t>)+51]</t>
    </r>
  </si>
  <si>
    <t>Vysvetlivky k tabuľkám výročnej správy o hospodárení verejnej vysokej školy za rok 2015</t>
  </si>
  <si>
    <r>
      <t xml:space="preserve">Niektoré polia tabuliek sa počítajú alebo inak odvodzujú z iných polí. Tieto polia sú označené 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</si>
  <si>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r>
      <t xml:space="preserve">Ak nie je uvedené inak, všetky údaje o výške finančných prostriedkov  z roku 2014 a 2015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</si>
  <si>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t>V riadku 1 až 15 sa uvádzajú príjmy na programe 077 podľa programovej štruktúry na rok 2015.</t>
  </si>
  <si>
    <r>
      <t xml:space="preserve">V riadku 4 uvedie vysoká škola celkový objem príjmov </t>
    </r>
    <r>
      <rPr>
        <b/>
        <sz val="12"/>
        <rFont val="Times New Roman"/>
        <family val="1"/>
        <charset val="238"/>
      </rPr>
      <t xml:space="preserve">zo zahraničných zdrojov (zo zahraničných účtov) </t>
    </r>
    <r>
      <rPr>
        <sz val="12"/>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</si>
  <si>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Tabuľka č. 3 poskytuje informácie o objeme a štruktúre výnosov  verejnej vysokej školy v rokoch 2014 a 2015.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</si>
  <si>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Údaje vychádzajú z platného analytického členenia účtov   na rok 2015.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</si>
  <si>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t>Minimálna výška prídelu do štipendijného fondu v roku 2014 a 2015 je 20 % príjmov zo školného.</t>
  </si>
  <si>
    <r>
      <t xml:space="preserve">Tabuľka č. 5 poskytuje informácie o objeme a štruktúre nákladov verejnej vysokej školy v rokoch 2014 a  2015.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</si>
  <si>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2015.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</si>
  <si>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 xml:space="preserve">V riadkoch 2 až 6 uvedie vysoká škola vysokoškolských učiteľov zaradených vo </t>
    </r>
    <r>
      <rPr>
        <u/>
        <sz val="12"/>
        <rFont val="Times New Roman"/>
        <family val="1"/>
        <charset val="238"/>
      </rPr>
      <t>funkciách</t>
    </r>
    <r>
      <rPr>
        <sz val="12"/>
        <rFont val="Times New Roman"/>
        <family val="1"/>
        <charset val="238"/>
      </rPr>
      <t xml:space="preserve">  profesor (vrátane hosťujúcich profesorov), docent, odborný asistent, asistent a lektor.</t>
    </r>
  </si>
  <si>
    <t xml:space="preserve">V stĺpcoch A, B, C uvedie vysoká škola priemerný evidenčný prepočítaný počet zamestnancov za rok 2015 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</si>
  <si>
    <t>V stĺpci B uvedie vysoká škola priemerný evidenčný prepočítaný počet zamestnancov za rok 2015 platených z dotácie MŠVVaŠ SR, t.j. z prostriedkov uvedených v stĺpci F.</t>
  </si>
  <si>
    <t xml:space="preserve">V stĺpci C uvedie vysoká škola priemerný evidenčný prepočítaný počet zamestnancov za rok 2015 platených z iných zdrojov, t. j.  z prostriedkov uvedených v stĺpci G. Príklad: Zamestnanci platení z podnikateľskej činnosti. </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</si>
  <si>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</si>
  <si>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Uvedie sa počet osobomesiacov, v ktorých bolo doktorandom poskytované štipendium. 
Napríklad: Ak doktorand poberal štipendium 12 mesiacov (celý rok), prispeje do tohto súčtu číslom 12 (SA).
Nový doktorand, ktorý začal poberať štipendium od 1. septembra 2015, prispeje do tohto súčtu číslom 4 (SD).
V stĺpci A sa uvedú údaje dotýkajúce sa interných doktorandov financovaných z účelovej dotácie. 
V stĺpci D budú údaje zodpovedajúce interným doktorandom  (prijatých na štúdium po 1.9.2012) na miestach nepridelených MŠVVaŠ.</t>
  </si>
  <si>
    <t>V stĺpci C sa uvedú náklady na štipendiá doktorandov (prijatých na štúdium do 31.8.2012),  na miestach nepridelených MŠVVaŠ SR.</t>
  </si>
  <si>
    <t>V stĺpci D sa uvedú náklady na štipendiá doktorandov (prijatých na štúdium po 1.9.2012),  na miestach nepridelených MŠVVaŠ SR.</t>
  </si>
  <si>
    <t xml:space="preserve">Príspevok na jedno jedlo zo štátneho rozpočtu bol po celý rok  2015 vo výške  1 euro. </t>
  </si>
  <si>
    <r>
      <t xml:space="preserve">Uvedú sa </t>
    </r>
    <r>
      <rPr>
        <b/>
        <sz val="12"/>
        <rFont val="Times New Roman"/>
        <family val="1"/>
        <charset val="238"/>
      </rPr>
      <t xml:space="preserve">len náklady na jedlá </t>
    </r>
    <r>
      <rPr>
        <sz val="12"/>
        <rFont val="Times New Roman"/>
        <family val="1"/>
        <charset val="238"/>
      </rPr>
      <t xml:space="preserve">vydané študentom v kalendárnom roku </t>
    </r>
    <r>
      <rPr>
        <b/>
        <sz val="12"/>
        <rFont val="Times New Roman"/>
        <family val="1"/>
        <charset val="238"/>
      </rPr>
      <t>vo vlastných jedálňach a stravovacích zariadeniach</t>
    </r>
    <r>
      <rPr>
        <sz val="12"/>
        <rFont val="Times New Roman"/>
        <family val="1"/>
        <charset val="238"/>
      </rPr>
      <t>.</t>
    </r>
  </si>
  <si>
    <r>
      <t xml:space="preserve">Uveďte počet  vydaných jedál študentom </t>
    </r>
    <r>
      <rPr>
        <vertAlign val="superscript"/>
        <sz val="12"/>
        <rFont val="Times New Roman"/>
        <family val="1"/>
        <charset val="238"/>
      </rPr>
      <t xml:space="preserve"> </t>
    </r>
    <r>
      <rPr>
        <sz val="12"/>
        <rFont val="Times New Roman"/>
        <family val="1"/>
        <charset val="238"/>
      </rPr>
      <t xml:space="preserve">v kalendárnom roku  </t>
    </r>
    <r>
      <rPr>
        <b/>
        <sz val="12"/>
        <rFont val="Times New Roman"/>
        <family val="1"/>
        <charset val="238"/>
      </rPr>
      <t>spolu vo vlastných jedálňach a  stravovacích zariadeniach</t>
    </r>
    <r>
      <rPr>
        <sz val="12"/>
        <rFont val="Times New Roman"/>
        <family val="1"/>
        <charset val="238"/>
      </rPr>
      <t>.</t>
    </r>
  </si>
  <si>
    <r>
      <t xml:space="preserve">Uveďte počet  vydaných jedál študentom </t>
    </r>
    <r>
      <rPr>
        <vertAlign val="superscript"/>
        <sz val="12"/>
        <rFont val="Times New Roman"/>
        <family val="1"/>
        <charset val="238"/>
      </rPr>
      <t xml:space="preserve"> </t>
    </r>
    <r>
      <rPr>
        <sz val="12"/>
        <rFont val="Times New Roman"/>
        <family val="1"/>
        <charset val="238"/>
      </rPr>
      <t xml:space="preserve">v kalendárnom roku  </t>
    </r>
    <r>
      <rPr>
        <b/>
        <sz val="12"/>
        <rFont val="Times New Roman"/>
        <family val="1"/>
        <charset val="238"/>
      </rPr>
      <t>spolu  v prenajatých stravovacích zariadeniach</t>
    </r>
    <r>
      <rPr>
        <sz val="12"/>
        <rFont val="Times New Roman"/>
        <family val="1"/>
        <charset val="238"/>
      </rPr>
      <t>.</t>
    </r>
  </si>
  <si>
    <t>Uvedie sa objem prijatej kapitálovej dotácie z rozpočtu kapitoly MŠVVaŠ SR a z iných rozpočtových kapitol v roku 2015 zo zdroja 111 (kapitálová dotácia, ktorá bola verejnej vysokej škole poukázaná na účet (cash) v sledovanom období,  účet 346002 - strana DAL)</t>
  </si>
  <si>
    <t>Uvedie sa zostatok kapitálovej dotácie na obstaranie a technické zhodnotenie dlhodobého majetku (nevyčerpané finančné  prostriedky k 31. 12. 2014 (stĺpec SA v R11), resp. k 31. 12. 2015 (stĺpec SB v R11) na zdrojoch 131x, 13S1, 13S2, 13T1,13T2.....(zostatky zo ŠR aj zo ŠF)</t>
  </si>
  <si>
    <t>Tabuľka č. 12 poskytuje informácie o štruktúre a objeme výdavkov, ktoré verejná vysoká škola  použila na obstaranie a technické zhodnotenie dlhodobého majetku v roku 2015.</t>
  </si>
  <si>
    <t>T12_SE</t>
  </si>
  <si>
    <t xml:space="preserve">Výdavky na obstaranie majetku kryté v priebehu roku 2015 z úveru. Pri čerpaní týchto prostriedkov uviesť v komentári aj rok získania úveru. </t>
  </si>
  <si>
    <t>Tabuľka č. 13 poskytuje informácie o stave a vývoji finančných fondov verejnej vysokej školy v rokoch 2014 a 2015.</t>
  </si>
  <si>
    <t>Uvedú sa sumárne stavy ostatných  fondov, ktoré vysoká škola vytvorila za roky 2014 a 2015 v zmysle §16a ods. 1 zákona č. 131/2002 Z. z. o vysokých školách v znení neskorších predpisov.</t>
  </si>
  <si>
    <t>Tabuľka č. 16 poskytuje informácie o objeme a štruktúre finančných prostriedkov na bankových účtoch verejnej vysokej školy  k 31. 12. 2015 v členení podľa jednotlivých skupín účtov. Celkový objem finančných prostriedkov za všetky účty v Štátnej pokladnici musí byť v súlade s údajmi, ktoré vykazuje Štátna pokladnica za každého klienta ŠP osobitne. V stĺpci C vysoká škola uvedie osobitne, okrem prípadných poznámok, aj čísla všetkých účtov (s názvami) zahrnutých v príslušnom riadku vrátane kódu banky.</t>
  </si>
  <si>
    <t xml:space="preserve">Ak má VVŠ finančné prostriedky zaúčtované na účte 261 - peniaze na ceste, z dôvodu kontroly stavu na bankových účtoch k 31. 12. 2015 na údaje zo súvahy, uvedie ich v tomto riadku. </t>
  </si>
  <si>
    <t xml:space="preserve">Tabuľka č. 17 obsahuje informácie o celkovom objeme príjmov z dotácií, poskytnutých verejnej vysokej škole v roku 2015 z prostriedkov EÚ (štrukturálnych fondov), vrátane spolufinancovania zo štátneho rozpočtu. Osobitne sa sledujú dotácie, poskytnuté z  MŠVVaŠ SR a osobitne dotácie z iných kapitol štátneho rozpočtu. </t>
  </si>
  <si>
    <t xml:space="preserve">Ak VVŠ obdržala finančné prostriedky aj z inej kapitoly štátneho rozpočtu, uvádzajú sa osobitne. Tieto dotácie sa evidujú na zdrojoch podľa platnej rozpočtovej klasifikácie na rok 2015 a nie sú súčasťou dotácií, vykazovaných v T2_R1.  </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</si>
  <si>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2015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2015. </t>
    </r>
  </si>
  <si>
    <t>Tabuľka č.19 poskytuje informácie o objeme a štruktúre štipendií  vyplácaných verejnou vysokou školou z vlastných zdrojov podľa § 97 zákona. Neobsahuje (2015) údaje o "normálnych" štipendiách vyplatených doktorandom.</t>
  </si>
  <si>
    <r>
      <t xml:space="preserve">Tabuľka č. 22 poskytuje informácie o výkaze ziskov a strát sumár za VVŠ 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</si>
  <si>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Súvzťažnosti tabuliek výročnej správy o hospodárení verejnej vysokej školy za rok 2015</t>
  </si>
  <si>
    <t>Bežná a kapitálová dotácia je kontrolovaná na Zmluvu o poskytnutí  dotácií  zo štátneho rozpočtu prostredníctvom kapitoly MŠVVaŠ (ďalej len "dotačná zmluva") na  programe  077 na rok 2015 a jej dodatky.</t>
  </si>
  <si>
    <t xml:space="preserve">Bežná a kapitálová dotácia z programu 077 je kontrolovaná na "dotačnú zmluvu" na rok 2015 a jej dodatky. Dotácie na kapitálové výdavky sa kontrolujú aj na T11, sociálne a motivačné štipendiá na T8 a T20.  
</t>
  </si>
  <si>
    <r>
      <t xml:space="preserve">Výnosy sú kontrolované na údaje z výkazníctva - výkaz ziskov a strát, časť </t>
    </r>
    <r>
      <rPr>
        <b/>
        <sz val="12"/>
        <rFont val="Times New Roman"/>
        <family val="1"/>
        <charset val="238"/>
      </rPr>
      <t>výnosy</t>
    </r>
    <r>
      <rPr>
        <sz val="12"/>
        <rFont val="Times New Roman"/>
        <family val="1"/>
        <charset val="238"/>
      </rPr>
      <t xml:space="preserve">. 
Údaje v T3 z roku 2014  a údaje z roku 2015 sa uvádzajú v eurách s presnosťou na dve desatinné miestá ( </t>
    </r>
    <r>
      <rPr>
        <i/>
        <sz val="12"/>
        <rFont val="Times New Roman"/>
        <family val="1"/>
        <charset val="238"/>
      </rPr>
      <t>pričom zobrazenie tabuliek je nastavené na Eur)</t>
    </r>
    <r>
      <rPr>
        <sz val="12"/>
        <rFont val="Times New Roman"/>
        <family val="1"/>
        <charset val="238"/>
      </rPr>
      <t>. 
Výnosy zo školného, resp. z poplatkov  spojených so štúdiom za hlavnú činnosť v T3_R21, R22 sa taktiež kontrolujú na T4_R1_SB a T4_R7_SB.</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</si>
  <si>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2014 a údaje z roku 2015 sa uvádzajú v eurách.
Za oblasť miezd sú údaje za rok 2015 - účet 521 (R55)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 sa kontrolujú na údaje z T7_R1_SF. 
Prospechové štipendiá z vlastných zdrojov z T5_R81_SC sa kontrolujú na údaje v T19_R2_SC. </t>
    </r>
  </si>
  <si>
    <t>T6_R1..R6, R7, R9, R13, R14, R16, R17 = Škol 2-04 za 2015, 
T6_R15a.. = dotačná zmluva na 2015, špecifiká</t>
  </si>
  <si>
    <r>
      <t>Údaje v riadkoch R1:R6, R7, R9, R13, R14, R16, R17  sú kontrolované s údajmi v štatistickom výkaze Škol (MŠ SR) 2-04 za rok 2015. 
Údaje v riadkoch 15a ... (špecifiká) sú kontrolované na rozpis dotácie v roku 2015.</t>
    </r>
    <r>
      <rPr>
        <b/>
        <sz val="12"/>
        <rFont val="Times New Roman"/>
        <family val="1"/>
        <charset val="238"/>
      </rPr>
      <t xml:space="preserve"> </t>
    </r>
    <r>
      <rPr>
        <u/>
        <sz val="12"/>
        <rFont val="Times New Roman"/>
        <family val="1"/>
        <charset val="238"/>
      </rPr>
      <t>Rozdiel medzi údajom v T6_R18_SH a údajmi v T5_R56_SC+SD (Mzdy) je potrebné vyčísliť s komentárom uviesť v poznámke pod tabuľkou T6.</t>
    </r>
  </si>
  <si>
    <t xml:space="preserve"> T7_R1_SD = T5_R77_SC,
 T7_R9_SA = dotačná zmluva na 2015_účelové prostriedky na štipendiá doktorandov </t>
  </si>
  <si>
    <r>
      <t xml:space="preserve">Údaje v R1_SD za rok 2015 sú kontrolované na T5_R77_SC a údaje v R9_SA na poskytnutú </t>
    </r>
    <r>
      <rPr>
        <u/>
        <sz val="12"/>
        <rFont val="Times New Roman"/>
        <family val="1"/>
        <charset val="238"/>
      </rPr>
      <t>účelovú</t>
    </r>
    <r>
      <rPr>
        <sz val="12"/>
        <rFont val="Times New Roman"/>
        <family val="1"/>
        <charset val="238"/>
      </rPr>
      <t xml:space="preserve"> dotáciu na štipendiá doktorandov podľa dotačnej zmluvy. </t>
    </r>
  </si>
  <si>
    <t>T8_R5_SA (SC) = "dotačná zmluva" na rok 2014 (2015), podprogram 077 15 01 - účelové prostriedky na sociálne štipendiá</t>
  </si>
  <si>
    <t>Údaje  sú kontrolované na  dotačné zmluvy a na účelovú dotáciu na rok 2014, 2015 v zmysle databázy VVŠ.
Údaje v T8_R1_SC by sa mali rovnať údajom z CRŠ kód 1.</t>
  </si>
  <si>
    <t>T8_R4_SA = zostatok k 31.12.2014
T8_R6_SA = T8_R4_SC 
T8_R1_SA (SC)  ≤ T13_R11_SE (SF)</t>
  </si>
  <si>
    <t>Údaj v T8_R4_SA predstavuje zostatok nevyčerpanej dotácie z predchádzajúceho roka, t. j. k 31. 12. 2014 .  
Údaj v T8_R6_SA (SC) predstavuje zostatok nevyčerpanej dotácie k 31. 12. príslušného roka (2014, resp. 2015) a ich hodnoty sa vypočítajú z ostatných uvedených údajov. Zostatok nevyčerpanej dotácie k 31. 12. 2014 je totožný  s údajmi vykazovanými v tabuľke T8 výročnej správy za rok 2014.</t>
  </si>
  <si>
    <t>T9_R1 = štatistické výkazy MŠVVaŠ SR 2014(2015)</t>
  </si>
  <si>
    <t>Údaje o lôžkovej kapacite v T9_R1 sa kontrolujú na štatistické výkazy MŠVVaŠ SR  ( posielané na CVTI SR) 2014 (2015).</t>
  </si>
  <si>
    <t>T9_R6_SA (SB) = "dotačná zmluva" 2015(2014)_účelové prostriedky na študentské domovy</t>
  </si>
  <si>
    <t>T10_R7_SA (SB) = dotačná zmluva 2014 (2015)_účelová dotácia na študentské jedálne</t>
  </si>
  <si>
    <t>Údaje v R7_SA (SB) sú kontrolované na  dotačné zmluvy a na účelovú dotáciu na rok 2014, 2015 v zmysle databázy VVŠ.</t>
  </si>
  <si>
    <t>T10_R12 = štatistické výkazy MŠVVaŠ SR 2014 (2015)</t>
  </si>
  <si>
    <t>Údaje sa kontrolujú na štatistické údaje MŠVVaŠ SR zasielané CVTI SR.</t>
  </si>
  <si>
    <r>
      <t xml:space="preserve">Údaje v T11_R2 - tvorba fondu reprodukcie za roky 2014 a 2015 sa musia rovnať údajom v T13_R2_SC (SD). 
</t>
    </r>
    <r>
      <rPr>
        <strike/>
        <sz val="12"/>
        <rFont val="Times New Roman"/>
        <family val="1"/>
        <charset val="238"/>
      </rPr>
      <t/>
    </r>
  </si>
  <si>
    <t>T11_SB_R10a = T17_SC+SD_R10,  (nie R21a)</t>
  </si>
  <si>
    <t>T12_R15_SG = výkazníctvo 2015, kategória 700, všetky zdroje</t>
  </si>
  <si>
    <r>
      <t xml:space="preserve">Údaje v R15,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rFont val="Times New Roman"/>
        <family val="1"/>
        <charset val="238"/>
      </rPr>
      <t xml:space="preserve"> spolu</t>
    </r>
    <r>
      <rPr>
        <sz val="12"/>
        <rFont val="Times New Roman"/>
        <family val="1"/>
        <charset val="238"/>
      </rPr>
      <t xml:space="preserve">. Ak tieto udaje nie sú v súlade, je potrebné v poznámke vysvetliť dôvod. </t>
    </r>
  </si>
  <si>
    <t>T13_R2_SC (SD) = T11_R2_SA (SB) 
T13_R8_SF ≥ T8_R5_SC + T20_R2_SB
T13_R13_SD = T16_R13_SB
T13_R13_SF = T16_R10_SB</t>
  </si>
  <si>
    <r>
      <t xml:space="preserve">Stavy fondov k 1.1. a k 31.12.2015 za </t>
    </r>
    <r>
      <rPr>
        <b/>
        <sz val="12"/>
        <rFont val="Times New Roman"/>
        <family val="1"/>
        <charset val="238"/>
      </rPr>
      <t>všetky fondy spolu</t>
    </r>
    <r>
      <rPr>
        <sz val="12"/>
        <rFont val="Times New Roman"/>
        <family val="1"/>
        <charset val="238"/>
      </rPr>
      <t xml:space="preserve"> sa kontrolujú na výkazníctvo, súvaha - časť Pasíva, riadky 064 + 065 + 069 + 070 + 071 "netto" 
Stavy fondov k 1.1.sa rovnajú stavom fondov k 31.12. predchádzajúceho roka.</t>
    </r>
  </si>
  <si>
    <t>Tvorba fondu reprodukcie z odpisov v roku 2015 sa rovná odpisom ostatného DN a HM za rok 2015 (T5_R86_SC+SD)</t>
  </si>
  <si>
    <r>
      <t xml:space="preserve">Globálna hodnota na bankových účtoch z R18 sa kontroluje na Súvahu, časť Aktíva, r. 053.
Ak nie je údaj v R2 (dotačný účet) k 31. 12. 2015 </t>
    </r>
    <r>
      <rPr>
        <b/>
        <u/>
        <sz val="12"/>
        <rFont val="Times New Roman"/>
        <family val="1"/>
        <charset val="238"/>
      </rPr>
      <t>vynulovaný,  je potrebné doplniť vysvetlenie v stĺpci C.</t>
    </r>
  </si>
  <si>
    <t xml:space="preserve">Údaje v T17 sú kontrolované na hodnoty z výkazníctva, finančné prostriedky z EÚ (vrátane spolufinancovania zo štátneho rozpočtu), zabezpečované prostredníctvom MŠVVaŠ SR v roku 2015. </t>
  </si>
  <si>
    <t xml:space="preserve">Údaje v T18_R1 sú kontrolované na  rozpis bežnej a kapitálovej dotácie na programe 06K v roku 2015 poskytnuté vysokým školám mimo "dotačnej zmluvy" prostredníctvom  APVV resp. SVaT. 
Údaje v T18_R7 a R8 sú kontrolované na rozpis bežnej dotácie na podrograme 05T 08 a prvku 021 02 03 v roku 2015, poskytnuté vysokým školám mimo "dotačnej zmluvy" prostredníctvom sekcie medzinárodnej spolupráce.
</t>
  </si>
  <si>
    <t>Údaje sú kontrolované na dotačnú zmluvu na 2015 a na rozpis účelových dotácií na podprograme 077 15 02. 
Výška dotácií na motivačné štipendiá z T20_R2_SA(SB) sa musí rovnať celkovému objemu dotácií, uvedenom v T1_R13_SA .
Súvzťažnosť s T13 - stav a vývoj finančných fondov, stĺpce SE,SF. 
Údaje T20_R3_SB by sa mali rovnať  súčtu kódov 4, 5, 6, 7, 8, 19 z CRŠ.</t>
  </si>
  <si>
    <t xml:space="preserve">T21_R1_SF  = výkazníctvo 2014 súvaha, časť pasíva, riadok 103, predchádzajúce účtovné obdobie
T21_R1_SL = výkazníctvo 2015, súvaha, časť pasíva, riadok 103, bežné účtovné obdobie </t>
  </si>
  <si>
    <t xml:space="preserve">Celková hodnota účtu 384 za rok 2014 a 2015, uvedená v T21_SF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(2014), resp. SI (2015). 
Údaje za rok 2013 musia byť totožné s údajmi, ktoré VVŠ predložili k výsledkom hospodárenia VVŠ za rok 2013. </t>
  </si>
  <si>
    <t xml:space="preserve">V stĺpci SG sa zvyšok prijatej kapitálovej dotácie, používanej na kompenzáciu odpisov za rok 2015  rovná súčtu zvyšku prijatej kapitálovej dotácie na kompenzáciu odpisov z roku 2014 (stĺpec SA) a výšky kapitálovej dotácie (2014) z T11_R10_SB, zníženému o odpisy, vykazované v T5_R85_SC. </t>
  </si>
  <si>
    <t xml:space="preserve">V stĺpci SH sa zvyšok prijatej kapitálovej dotácie, používanej na kompenzáciu odpisov za rok 2015  rovná súčtu zvyšku prijatej kapitálovej dotácie na kompenzáciu odpisov z roku 2014 (stĺpec SB) a výšky kapitálovej dotácie (2014) z T11_R10a_SB, zníženému o odpisy, vykazované v T5_R86a_SC. </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</si>
  <si>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t>
    </r>
    <r>
      <rPr>
        <b/>
        <sz val="14"/>
        <rFont val="Times New Roman"/>
        <family val="1"/>
        <charset val="238"/>
      </rPr>
      <t xml:space="preserve">5  </t>
    </r>
    <r>
      <rPr>
        <b/>
        <sz val="14"/>
        <rFont val="Times New Roman"/>
        <family val="1"/>
      </rPr>
      <t xml:space="preserve">na programe 077 </t>
    </r>
  </si>
  <si>
    <t>Tabuľka č. 2: Príjmy verejnej vysokej školy v roku 2015 majúce charakter dotácie okrem príjmov z dotácií 
 z  kapitoly MŠVVaŠ SR a okrem  prostriedkov EÚ  (štrukturálnych  fondov)</t>
  </si>
  <si>
    <r>
      <t xml:space="preserve">Dotácie z kapitol štátneho rozpočtu okrem kapitoly MŠVVaŠ SR </t>
    </r>
    <r>
      <rPr>
        <sz val="12"/>
        <rFont val="Times New Roman"/>
        <family val="1"/>
        <charset val="238"/>
      </rPr>
      <t xml:space="preserve"> (na zdroji 111) [SUM(R1a:R1...)]</t>
    </r>
  </si>
  <si>
    <r>
      <t>Dotácie z rozpočtov obcí a z rozpočtov vyšších územných celkov</t>
    </r>
    <r>
      <rPr>
        <sz val="12"/>
        <rFont val="Times New Roman"/>
        <family val="1"/>
        <charset val="238"/>
      </rPr>
      <t xml:space="preserve"> [SUM(R2a:R2...)]</t>
    </r>
  </si>
  <si>
    <r>
      <t>Ostatné domáce príjmy s charakterom dotácie</t>
    </r>
    <r>
      <rPr>
        <sz val="12"/>
        <rFont val="Times New Roman"/>
        <family val="1"/>
        <charset val="238"/>
      </rPr>
      <t xml:space="preserve"> [SUM(R3a:R3...)]</t>
    </r>
  </si>
  <si>
    <r>
      <t>Príjmy zo zahraničia majúce charakter dotácie</t>
    </r>
    <r>
      <rPr>
        <sz val="12"/>
        <rFont val="Times New Roman"/>
        <family val="1"/>
        <charset val="238"/>
      </rPr>
      <t xml:space="preserve"> [SUM(R4a:R4...)]</t>
    </r>
  </si>
  <si>
    <r>
      <t>Spolu</t>
    </r>
    <r>
      <rPr>
        <sz val="12"/>
        <rFont val="Times New Roman"/>
        <family val="1"/>
        <charset val="238"/>
      </rPr>
      <t xml:space="preserve"> [R1+R2+R3+R4]</t>
    </r>
  </si>
  <si>
    <r>
      <t>Tabuľka č. 5a: Náklady verejnej vysokej školy v rokoch 201</t>
    </r>
    <r>
      <rPr>
        <b/>
        <sz val="14"/>
        <color rgb="FFFF0000"/>
        <rFont val="Times New Roman"/>
        <family val="1"/>
        <charset val="238"/>
      </rPr>
      <t>4</t>
    </r>
    <r>
      <rPr>
        <b/>
        <sz val="14"/>
        <rFont val="Times New Roman"/>
        <family val="1"/>
        <charset val="238"/>
      </rPr>
      <t xml:space="preserve"> a 201</t>
    </r>
    <r>
      <rPr>
        <b/>
        <sz val="14"/>
        <color rgb="FFFF0000"/>
        <rFont val="Times New Roman"/>
        <family val="1"/>
        <charset val="238"/>
      </rPr>
      <t>5</t>
    </r>
    <r>
      <rPr>
        <b/>
        <sz val="14"/>
        <rFont val="Times New Roman"/>
        <family val="1"/>
        <charset val="238"/>
      </rPr>
      <t xml:space="preserve"> podľa </t>
    </r>
    <r>
      <rPr>
        <b/>
        <u/>
        <sz val="14"/>
        <rFont val="Times New Roman"/>
        <family val="1"/>
        <charset val="238"/>
      </rPr>
      <t>Výkazu ziskov a strát  Úč NUJ2- 01 Náklady</t>
    </r>
  </si>
  <si>
    <r>
      <t>Tabuľka č. 3a: Výnosy verejnej vysokej školy v rokoch 201</t>
    </r>
    <r>
      <rPr>
        <b/>
        <sz val="14"/>
        <color rgb="FFFF0000"/>
        <rFont val="Times New Roman"/>
        <family val="1"/>
        <charset val="238"/>
      </rPr>
      <t xml:space="preserve">4 </t>
    </r>
    <r>
      <rPr>
        <b/>
        <sz val="14"/>
        <rFont val="Times New Roman"/>
        <family val="1"/>
        <charset val="238"/>
      </rPr>
      <t>a 201</t>
    </r>
    <r>
      <rPr>
        <b/>
        <sz val="14"/>
        <color rgb="FFFF0000"/>
        <rFont val="Times New Roman"/>
        <family val="1"/>
        <charset val="238"/>
      </rPr>
      <t>5</t>
    </r>
    <r>
      <rPr>
        <b/>
        <sz val="14"/>
        <rFont val="Times New Roman"/>
        <family val="1"/>
        <charset val="238"/>
      </rPr>
      <t xml:space="preserve"> podľa </t>
    </r>
    <r>
      <rPr>
        <b/>
        <u/>
        <sz val="14"/>
        <rFont val="Times New Roman"/>
        <family val="1"/>
        <charset val="238"/>
      </rPr>
      <t xml:space="preserve">Výkazu ziskov a strát  Úč NUJ2- 01  Výnosy  </t>
    </r>
  </si>
  <si>
    <t>Tabuľka č. 5a poskytuje ucelenú informáciu o nákladoch verejnej vysokej školy v členení na hlavnú nezdaňovanú a zdaňovanú činnosť v rokoch 2014 a 2015  z hľadiska členenia účtov podľa Výkazu ziskov a strát Úč NUJ 2- 01 - Náklady</t>
  </si>
  <si>
    <t xml:space="preserve">Tabuľka č. 3a poskytuje ucelenú informáciu o výnosoch verejnej vysokej školy v členení na hlavnú nezdaňovanú a zdaňovanú činnosť v rokoch 2014 a 2015  z hľadiska členenia účtov podľa Výkazu ziskov a strát Úč NUJ 2- 01 - Výnosy </t>
  </si>
  <si>
    <t>Výnosy sú kontrolované na údaje z výkazníctva - výkaz ziskov a strát, časť výnosy. (V IS SOFIA nájdete výkaz v časti  Účtovníctvo - Štvrťročné výkazy pre MiFi - /VVS/ODP_DANE - Podklad pre DzP PO a Výsledovku.)</t>
  </si>
  <si>
    <t>Náklady sú kontrolované na údaje z výkazníctva - výkaz ziskov a strát, časť náklady.  (V IS SOFIA nájdete výkaz v časti  Účtovníctvo - Štvrťročné výkazy pre MiFi - /VVS/ODP_DANE - Podklad pre DzP PO a Výsledovku.)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</si>
</sst>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 _S_k_-;\-* #,##0\ _S_k_-;_-* &quot;-&quot;\ _S_k_-;_-@_-"/>
    <numFmt numFmtId="165" formatCode="_-* #,##0.00\ _S_k_-;\-* #,##0.00\ _S_k_-;_-* &quot;-&quot;??\ _S_k_-;_-@_-"/>
    <numFmt numFmtId="166" formatCode="#,##0_ ;[Red]\-#,##0\ "/>
    <numFmt numFmtId="167" formatCode="#,##0.00_ ;[Red]\-#,##0.00\ "/>
    <numFmt numFmtId="168" formatCode="#,##0_ ;\-#,##0\ "/>
  </numFmts>
  <fonts count="96"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u/>
      <sz val="12"/>
      <name val="Times New Roman"/>
      <family val="1"/>
      <charset val="238"/>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9"/>
      <name val="Arial"/>
      <family val="2"/>
      <charset val="238"/>
    </font>
    <font>
      <sz val="9"/>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z val="11"/>
      <name val="Times New Roman"/>
      <family val="1"/>
    </font>
    <font>
      <b/>
      <sz val="10"/>
      <name val="Arial"/>
      <family val="2"/>
      <charset val="238"/>
    </font>
    <font>
      <sz val="8"/>
      <color indexed="81"/>
      <name val="Tahoma"/>
      <family val="2"/>
      <charset val="238"/>
    </font>
    <font>
      <b/>
      <sz val="8"/>
      <color indexed="81"/>
      <name val="Tahoma"/>
      <family val="2"/>
      <charset val="238"/>
    </font>
    <font>
      <sz val="12"/>
      <color indexed="8"/>
      <name val="Times New Roman"/>
      <family val="1"/>
    </font>
    <font>
      <b/>
      <vertAlign val="superscript"/>
      <sz val="12"/>
      <name val="Times New Roman"/>
      <family val="1"/>
    </font>
    <font>
      <b/>
      <sz val="11"/>
      <name val="Times New Roman"/>
      <family val="1"/>
    </font>
    <font>
      <sz val="10"/>
      <color indexed="81"/>
      <name val="Tahoma"/>
      <family val="2"/>
      <charset val="238"/>
    </font>
    <font>
      <u/>
      <sz val="10"/>
      <color indexed="81"/>
      <name val="Tahoma"/>
      <family val="2"/>
      <charset val="238"/>
    </font>
    <font>
      <b/>
      <sz val="10"/>
      <color indexed="81"/>
      <name val="Tahoma"/>
      <family val="2"/>
      <charset val="238"/>
    </font>
    <font>
      <sz val="12"/>
      <color theme="1"/>
      <name val="Times New Roman"/>
      <family val="2"/>
      <charset val="238"/>
    </font>
    <font>
      <sz val="12"/>
      <color theme="1"/>
      <name val="Times New Roman"/>
      <family val="1"/>
      <charset val="238"/>
    </font>
    <font>
      <sz val="12"/>
      <color rgb="FFFF0000"/>
      <name val="Times New Roman"/>
      <family val="1"/>
    </font>
    <font>
      <b/>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6"/>
      <color rgb="FFFF0000"/>
      <name val="Times New Roman"/>
      <family val="1"/>
      <charset val="238"/>
    </font>
    <font>
      <b/>
      <sz val="14"/>
      <color rgb="FFFF0000"/>
      <name val="Times New Roman"/>
      <family val="1"/>
      <charset val="238"/>
    </font>
    <font>
      <vertAlign val="superscript"/>
      <sz val="11"/>
      <name val="Times New Roman"/>
      <family val="1"/>
      <charset val="238"/>
    </font>
    <font>
      <b/>
      <sz val="11"/>
      <color rgb="FFFF0000"/>
      <name val="Times New Roman"/>
      <family val="1"/>
    </font>
    <font>
      <sz val="10"/>
      <color indexed="8"/>
      <name val="Times New Roman"/>
      <family val="1"/>
      <charset val="238"/>
    </font>
    <font>
      <sz val="10"/>
      <color rgb="FF000000"/>
      <name val="Arial"/>
      <family val="2"/>
      <charset val="238"/>
    </font>
    <font>
      <b/>
      <sz val="10"/>
      <name val="Times New Roman"/>
      <family val="1"/>
    </font>
    <font>
      <sz val="14"/>
      <name val="Times New Roman"/>
      <family val="1"/>
      <charset val="238"/>
    </font>
    <font>
      <i/>
      <sz val="12"/>
      <name val="Times New Roman"/>
      <family val="1"/>
    </font>
    <font>
      <sz val="10"/>
      <name val="Tahoma"/>
      <family val="2"/>
      <charset val="238"/>
    </font>
    <font>
      <sz val="12"/>
      <name val="Tahoma"/>
      <family val="2"/>
      <charset val="238"/>
    </font>
    <font>
      <b/>
      <sz val="10"/>
      <name val="Tahoma"/>
      <family val="2"/>
      <charset val="238"/>
    </font>
    <font>
      <b/>
      <sz val="16"/>
      <name val="Times New Roman"/>
      <family val="1"/>
      <charset val="238"/>
    </font>
    <font>
      <sz val="10"/>
      <name val="Arial"/>
      <family val="2"/>
    </font>
    <font>
      <b/>
      <sz val="12"/>
      <name val="Arial"/>
      <family val="2"/>
      <charset val="238"/>
    </font>
    <font>
      <b/>
      <u/>
      <sz val="14"/>
      <name val="Times New Roman"/>
      <family val="1"/>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8"/>
      </left>
      <right style="thin">
        <color indexed="8"/>
      </right>
      <top style="thin">
        <color indexed="8"/>
      </top>
      <bottom/>
      <diagonal/>
    </border>
  </borders>
  <cellStyleXfs count="91">
    <xf numFmtId="0" fontId="0"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165" fontId="1" fillId="0" borderId="0" applyFont="0" applyFill="0" applyBorder="0" applyAlignment="0" applyProtection="0"/>
    <xf numFmtId="165" fontId="17" fillId="0" borderId="0" applyFont="0" applyFill="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2" applyNumberFormat="0" applyFill="0" applyAlignment="0" applyProtection="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21" borderId="5" applyNumberFormat="0" applyAlignment="0" applyProtection="0"/>
    <xf numFmtId="0" fontId="46" fillId="7" borderId="1" applyNumberFormat="0" applyAlignment="0" applyProtection="0"/>
    <xf numFmtId="0" fontId="47" fillId="0" borderId="6" applyNumberFormat="0" applyFill="0" applyAlignment="0" applyProtection="0"/>
    <xf numFmtId="0" fontId="48" fillId="22" borderId="0" applyNumberFormat="0" applyBorder="0" applyAlignment="0" applyProtection="0"/>
    <xf numFmtId="0" fontId="17" fillId="0" borderId="0"/>
    <xf numFmtId="0" fontId="73" fillId="0" borderId="0"/>
    <xf numFmtId="0" fontId="17" fillId="0" borderId="0"/>
    <xf numFmtId="0" fontId="17" fillId="0" borderId="0"/>
    <xf numFmtId="0" fontId="57" fillId="0" borderId="0"/>
    <xf numFmtId="0" fontId="21" fillId="0" borderId="0"/>
    <xf numFmtId="0" fontId="49" fillId="0" borderId="0"/>
    <xf numFmtId="0" fontId="39" fillId="23" borderId="7" applyNumberFormat="0" applyFont="0" applyAlignment="0" applyProtection="0"/>
    <xf numFmtId="0" fontId="50" fillId="20" borderId="8" applyNumberFormat="0" applyAlignment="0" applyProtection="0"/>
    <xf numFmtId="4" fontId="12" fillId="22" borderId="9" applyNumberFormat="0" applyProtection="0">
      <alignment vertical="center"/>
    </xf>
    <xf numFmtId="4" fontId="13" fillId="24" borderId="9" applyNumberFormat="0" applyProtection="0">
      <alignment vertical="center"/>
    </xf>
    <xf numFmtId="4" fontId="12" fillId="24" borderId="9" applyNumberFormat="0" applyProtection="0">
      <alignment horizontal="left" vertical="center" indent="1"/>
    </xf>
    <xf numFmtId="0" fontId="12" fillId="24" borderId="9" applyNumberFormat="0" applyProtection="0">
      <alignment horizontal="left" vertical="top" indent="1"/>
    </xf>
    <xf numFmtId="4" fontId="14" fillId="3" borderId="9" applyNumberFormat="0" applyProtection="0">
      <alignment horizontal="right" vertical="center"/>
    </xf>
    <xf numFmtId="4" fontId="14" fillId="9" borderId="9" applyNumberFormat="0" applyProtection="0">
      <alignment horizontal="right" vertical="center"/>
    </xf>
    <xf numFmtId="4" fontId="14" fillId="17" borderId="9" applyNumberFormat="0" applyProtection="0">
      <alignment horizontal="right" vertical="center"/>
    </xf>
    <xf numFmtId="4" fontId="14" fillId="11" borderId="9" applyNumberFormat="0" applyProtection="0">
      <alignment horizontal="right" vertical="center"/>
    </xf>
    <xf numFmtId="4" fontId="14" fillId="15" borderId="9" applyNumberFormat="0" applyProtection="0">
      <alignment horizontal="right" vertical="center"/>
    </xf>
    <xf numFmtId="4" fontId="14" fillId="19" borderId="9" applyNumberFormat="0" applyProtection="0">
      <alignment horizontal="right" vertical="center"/>
    </xf>
    <xf numFmtId="4" fontId="14" fillId="18" borderId="9" applyNumberFormat="0" applyProtection="0">
      <alignment horizontal="right" vertical="center"/>
    </xf>
    <xf numFmtId="4" fontId="14" fillId="25" borderId="9" applyNumberFormat="0" applyProtection="0">
      <alignment horizontal="right" vertical="center"/>
    </xf>
    <xf numFmtId="4" fontId="14" fillId="10" borderId="9" applyNumberFormat="0" applyProtection="0">
      <alignment horizontal="right" vertical="center"/>
    </xf>
    <xf numFmtId="4" fontId="12" fillId="26" borderId="10" applyNumberFormat="0" applyProtection="0">
      <alignment horizontal="left" vertical="center" indent="1"/>
    </xf>
    <xf numFmtId="4" fontId="14" fillId="27" borderId="0" applyNumberFormat="0" applyProtection="0">
      <alignment horizontal="left" vertical="center" indent="1"/>
    </xf>
    <xf numFmtId="4" fontId="15" fillId="28" borderId="0" applyNumberFormat="0" applyProtection="0">
      <alignment horizontal="left" vertical="center" indent="1"/>
    </xf>
    <xf numFmtId="4" fontId="14" fillId="29" borderId="9" applyNumberFormat="0" applyProtection="0">
      <alignment horizontal="right" vertical="center"/>
    </xf>
    <xf numFmtId="4" fontId="16" fillId="27" borderId="0" applyNumberFormat="0" applyProtection="0">
      <alignment horizontal="left" vertical="center" indent="1"/>
    </xf>
    <xf numFmtId="4" fontId="16" fillId="30" borderId="0" applyNumberFormat="0" applyProtection="0">
      <alignment horizontal="left" vertical="center" indent="1"/>
    </xf>
    <xf numFmtId="0" fontId="17" fillId="28" borderId="9" applyNumberFormat="0" applyProtection="0">
      <alignment horizontal="left" vertical="center" indent="1"/>
    </xf>
    <xf numFmtId="0" fontId="17" fillId="28" borderId="9" applyNumberFormat="0" applyProtection="0">
      <alignment horizontal="left" vertical="top" indent="1"/>
    </xf>
    <xf numFmtId="0" fontId="17" fillId="30" borderId="9" applyNumberFormat="0" applyProtection="0">
      <alignment horizontal="left" vertical="center" indent="1"/>
    </xf>
    <xf numFmtId="0" fontId="17" fillId="30" borderId="9" applyNumberFormat="0" applyProtection="0">
      <alignment horizontal="left" vertical="top" indent="1"/>
    </xf>
    <xf numFmtId="0" fontId="17" fillId="31" borderId="9" applyNumberFormat="0" applyProtection="0">
      <alignment horizontal="left" vertical="center" indent="1"/>
    </xf>
    <xf numFmtId="0" fontId="17" fillId="31" borderId="9" applyNumberFormat="0" applyProtection="0">
      <alignment horizontal="left" vertical="top" indent="1"/>
    </xf>
    <xf numFmtId="0" fontId="17" fillId="32" borderId="9" applyNumberFormat="0" applyProtection="0">
      <alignment horizontal="left" vertical="center" indent="1"/>
    </xf>
    <xf numFmtId="0" fontId="17" fillId="32" borderId="9" applyNumberFormat="0" applyProtection="0">
      <alignment horizontal="left" vertical="top" indent="1"/>
    </xf>
    <xf numFmtId="4" fontId="12" fillId="30" borderId="0" applyNumberFormat="0" applyProtection="0">
      <alignment horizontal="left" vertical="center" indent="1"/>
    </xf>
    <xf numFmtId="4" fontId="14" fillId="33" borderId="9" applyNumberFormat="0" applyProtection="0">
      <alignment vertical="center"/>
    </xf>
    <xf numFmtId="4" fontId="18" fillId="33" borderId="9" applyNumberFormat="0" applyProtection="0">
      <alignment vertical="center"/>
    </xf>
    <xf numFmtId="4" fontId="14" fillId="33" borderId="9" applyNumberFormat="0" applyProtection="0">
      <alignment horizontal="left" vertical="center" indent="1"/>
    </xf>
    <xf numFmtId="0" fontId="14" fillId="33" borderId="9" applyNumberFormat="0" applyProtection="0">
      <alignment horizontal="left" vertical="top" indent="1"/>
    </xf>
    <xf numFmtId="4" fontId="14" fillId="27" borderId="9" applyNumberFormat="0" applyProtection="0">
      <alignment horizontal="right" vertical="center"/>
    </xf>
    <xf numFmtId="4" fontId="18" fillId="27" borderId="9" applyNumberFormat="0" applyProtection="0">
      <alignment horizontal="right" vertical="center"/>
    </xf>
    <xf numFmtId="4" fontId="14" fillId="29" borderId="9" applyNumberFormat="0" applyProtection="0">
      <alignment horizontal="left" vertical="center" indent="1"/>
    </xf>
    <xf numFmtId="0" fontId="14" fillId="30" borderId="9" applyNumberFormat="0" applyProtection="0">
      <alignment horizontal="left" vertical="top" indent="1"/>
    </xf>
    <xf numFmtId="4" fontId="19" fillId="34" borderId="0" applyNumberFormat="0" applyProtection="0">
      <alignment horizontal="left" vertical="center" indent="1"/>
    </xf>
    <xf numFmtId="4" fontId="20" fillId="27" borderId="9" applyNumberFormat="0" applyProtection="0">
      <alignment horizontal="right" vertical="center"/>
    </xf>
    <xf numFmtId="0" fontId="51" fillId="0" borderId="0" applyNumberFormat="0" applyFill="0" applyBorder="0" applyAlignment="0" applyProtection="0"/>
    <xf numFmtId="0" fontId="52" fillId="0" borderId="11" applyNumberFormat="0" applyFill="0" applyAlignment="0" applyProtection="0"/>
    <xf numFmtId="0" fontId="53" fillId="0" borderId="0" applyNumberFormat="0" applyFill="0" applyBorder="0" applyAlignment="0" applyProtection="0"/>
    <xf numFmtId="0" fontId="85" fillId="0" borderId="0"/>
    <xf numFmtId="0" fontId="85" fillId="0" borderId="0"/>
  </cellStyleXfs>
  <cellXfs count="944">
    <xf numFmtId="0" fontId="0" fillId="0" borderId="0" xfId="0"/>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3" fillId="0" borderId="13" xfId="0" applyNumberFormat="1" applyFont="1" applyFill="1" applyBorder="1" applyAlignment="1">
      <alignment horizontal="lef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3" fontId="6" fillId="0" borderId="14" xfId="0" applyNumberFormat="1" applyFont="1" applyFill="1" applyBorder="1" applyAlignment="1">
      <alignment horizontal="center" vertical="center" wrapText="1"/>
    </xf>
    <xf numFmtId="49" fontId="6" fillId="0" borderId="13" xfId="0" applyNumberFormat="1" applyFont="1" applyFill="1" applyBorder="1" applyAlignment="1">
      <alignment horizontal="left" vertical="center" wrapText="1" inden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3" xfId="0" applyFont="1" applyFill="1" applyBorder="1" applyAlignment="1">
      <alignment horizontal="left" vertical="center" wrapText="1" indent="1"/>
    </xf>
    <xf numFmtId="0" fontId="7" fillId="0" borderId="0" xfId="0" applyFont="1"/>
    <xf numFmtId="1" fontId="3" fillId="0" borderId="13"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indent="1"/>
    </xf>
    <xf numFmtId="0" fontId="7" fillId="0" borderId="0" xfId="0" applyFont="1" applyFill="1" applyAlignment="1">
      <alignment vertical="center" wrapText="1"/>
    </xf>
    <xf numFmtId="0" fontId="7" fillId="0" borderId="0" xfId="0" applyFont="1" applyFill="1" applyAlignment="1">
      <alignment horizontal="left" vertical="center" wrapText="1" indent="1"/>
    </xf>
    <xf numFmtId="0" fontId="7" fillId="0" borderId="0" xfId="0" applyFont="1" applyFill="1" applyAlignment="1">
      <alignment horizontal="left" vertical="center" wrapText="1" indent="3"/>
    </xf>
    <xf numFmtId="0" fontId="7" fillId="0" borderId="0" xfId="0" applyFont="1" applyFill="1" applyAlignment="1">
      <alignment horizontal="left" vertical="center" wrapText="1" indent="2"/>
    </xf>
    <xf numFmtId="0" fontId="6" fillId="0" borderId="17" xfId="0" applyFont="1" applyFill="1" applyBorder="1" applyAlignment="1">
      <alignment horizontal="left" vertical="center" wrapText="1" indent="1"/>
    </xf>
    <xf numFmtId="0" fontId="3" fillId="0" borderId="0" xfId="0" applyFont="1" applyFill="1" applyAlignment="1">
      <alignment vertical="center" wrapText="1"/>
    </xf>
    <xf numFmtId="0" fontId="28" fillId="0" borderId="0" xfId="0" applyFont="1" applyFill="1" applyAlignment="1">
      <alignment vertical="center" wrapText="1"/>
    </xf>
    <xf numFmtId="0" fontId="6" fillId="0" borderId="23" xfId="0" applyFont="1" applyFill="1" applyBorder="1" applyAlignment="1">
      <alignment horizontal="center" vertical="center" wrapText="1"/>
    </xf>
    <xf numFmtId="0" fontId="6" fillId="0" borderId="0" xfId="0" applyFont="1" applyFill="1" applyAlignment="1">
      <alignment vertical="center" wrapText="1"/>
    </xf>
    <xf numFmtId="49" fontId="7" fillId="0" borderId="13" xfId="0" applyNumberFormat="1" applyFont="1" applyFill="1" applyBorder="1" applyAlignment="1">
      <alignment horizontal="left" vertical="center" wrapText="1" indent="1"/>
    </xf>
    <xf numFmtId="0" fontId="7"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8" fillId="0" borderId="13" xfId="0" applyFont="1" applyFill="1" applyBorder="1" applyAlignment="1">
      <alignment horizontal="left" vertical="center" wrapText="1" indent="1"/>
    </xf>
    <xf numFmtId="3" fontId="6" fillId="0" borderId="30" xfId="43" applyNumberFormat="1" applyFont="1" applyFill="1" applyBorder="1" applyAlignment="1">
      <alignment horizontal="center" vertical="center" wrapText="1"/>
    </xf>
    <xf numFmtId="0" fontId="6" fillId="0" borderId="30" xfId="43" applyNumberFormat="1" applyFont="1" applyFill="1" applyBorder="1" applyAlignment="1">
      <alignment horizontal="center" vertical="center" wrapText="1"/>
    </xf>
    <xf numFmtId="167" fontId="56" fillId="35" borderId="13" xfId="75" quotePrefix="1" applyNumberFormat="1" applyFont="1" applyFill="1" applyBorder="1" applyAlignment="1" applyProtection="1">
      <alignment horizontal="left" vertical="center" wrapText="1" indent="1"/>
      <protection locked="0"/>
    </xf>
    <xf numFmtId="167" fontId="55" fillId="35" borderId="13" xfId="83" quotePrefix="1" applyNumberFormat="1" applyFont="1" applyFill="1" applyBorder="1" applyAlignment="1" applyProtection="1">
      <alignment horizontal="left" vertical="center" wrapText="1" indent="1"/>
      <protection locked="0"/>
    </xf>
    <xf numFmtId="167" fontId="55" fillId="35" borderId="13" xfId="82" quotePrefix="1" applyNumberFormat="1" applyFont="1" applyFill="1" applyBorder="1" applyProtection="1">
      <alignment horizontal="left" vertical="center" indent="1"/>
      <protection locked="0"/>
    </xf>
    <xf numFmtId="0" fontId="7" fillId="0" borderId="13" xfId="0" applyFont="1" applyBorder="1"/>
    <xf numFmtId="167" fontId="56" fillId="35" borderId="13" xfId="50" quotePrefix="1" applyNumberFormat="1" applyFont="1" applyFill="1" applyBorder="1">
      <alignment horizontal="left" vertical="center" indent="1"/>
    </xf>
    <xf numFmtId="167" fontId="56" fillId="35" borderId="13" xfId="50" applyNumberFormat="1" applyFont="1" applyFill="1" applyBorder="1">
      <alignment horizontal="left" vertical="center" indent="1"/>
    </xf>
    <xf numFmtId="167" fontId="55" fillId="35" borderId="13" xfId="82" applyNumberFormat="1" applyFont="1" applyFill="1" applyBorder="1" applyAlignment="1" applyProtection="1">
      <alignment vertical="center"/>
      <protection locked="0"/>
    </xf>
    <xf numFmtId="167" fontId="56" fillId="35" borderId="13" xfId="82" quotePrefix="1" applyNumberFormat="1" applyFont="1" applyFill="1" applyBorder="1" applyProtection="1">
      <alignment horizontal="left" vertical="center" indent="1"/>
      <protection locked="0"/>
    </xf>
    <xf numFmtId="167" fontId="55" fillId="35" borderId="13" xfId="83" applyNumberFormat="1" applyFont="1" applyFill="1" applyBorder="1" applyAlignment="1" applyProtection="1">
      <alignment horizontal="left" vertical="center" wrapText="1" indent="1"/>
      <protection locked="0"/>
    </xf>
    <xf numFmtId="49" fontId="6" fillId="0" borderId="13" xfId="41" applyNumberFormat="1" applyFont="1" applyFill="1" applyBorder="1" applyAlignment="1">
      <alignment horizontal="center"/>
    </xf>
    <xf numFmtId="164" fontId="6" fillId="0" borderId="13" xfId="28" applyNumberFormat="1" applyFont="1" applyFill="1" applyBorder="1" applyProtection="1">
      <protection locked="0"/>
    </xf>
    <xf numFmtId="49" fontId="7" fillId="0" borderId="13" xfId="41" applyNumberFormat="1" applyFont="1" applyFill="1" applyBorder="1" applyAlignment="1">
      <alignment horizontal="center"/>
    </xf>
    <xf numFmtId="0" fontId="6" fillId="0" borderId="15" xfId="41" applyFont="1" applyFill="1" applyBorder="1" applyAlignment="1">
      <alignment vertical="center" wrapText="1"/>
    </xf>
    <xf numFmtId="0" fontId="6" fillId="0" borderId="13" xfId="41" applyFont="1" applyFill="1" applyBorder="1" applyAlignment="1">
      <alignment vertical="center" wrapText="1"/>
    </xf>
    <xf numFmtId="0" fontId="6" fillId="0" borderId="43" xfId="0" applyFont="1" applyFill="1" applyBorder="1" applyAlignment="1">
      <alignment horizontal="center" vertical="center" wrapText="1"/>
    </xf>
    <xf numFmtId="0" fontId="7" fillId="0" borderId="44" xfId="0" applyFont="1" applyFill="1" applyBorder="1" applyAlignment="1">
      <alignment horizontal="left" vertical="center" wrapText="1" indent="1"/>
    </xf>
    <xf numFmtId="0" fontId="7" fillId="0" borderId="46" xfId="0" applyFont="1" applyFill="1" applyBorder="1" applyAlignment="1">
      <alignment horizontal="left" vertical="center" wrapText="1" indent="1"/>
    </xf>
    <xf numFmtId="0" fontId="7" fillId="0" borderId="45" xfId="0" applyFont="1" applyFill="1" applyBorder="1" applyAlignment="1">
      <alignment horizontal="left" vertical="center" wrapText="1" indent="1"/>
    </xf>
    <xf numFmtId="0" fontId="6" fillId="0" borderId="47" xfId="43" applyNumberFormat="1" applyFont="1" applyFill="1" applyBorder="1" applyAlignment="1">
      <alignment horizontal="center" vertical="center" wrapText="1"/>
    </xf>
    <xf numFmtId="0" fontId="23" fillId="0" borderId="15" xfId="41" applyFont="1" applyFill="1" applyBorder="1" applyAlignment="1">
      <alignment horizontal="left" indent="1"/>
    </xf>
    <xf numFmtId="3" fontId="23" fillId="0" borderId="31" xfId="28" applyNumberFormat="1" applyFont="1" applyFill="1" applyBorder="1" applyAlignment="1">
      <alignment horizontal="center"/>
    </xf>
    <xf numFmtId="3" fontId="23" fillId="0" borderId="36" xfId="28" applyNumberFormat="1" applyFont="1" applyFill="1" applyBorder="1" applyAlignment="1">
      <alignment horizontal="center"/>
    </xf>
    <xf numFmtId="0" fontId="63" fillId="0" borderId="14" xfId="0" applyFont="1" applyFill="1" applyBorder="1" applyAlignment="1">
      <alignment horizontal="center" vertical="center" wrapText="1"/>
    </xf>
    <xf numFmtId="49" fontId="6" fillId="0" borderId="25" xfId="41" applyNumberFormat="1" applyFont="1" applyFill="1" applyBorder="1" applyAlignment="1">
      <alignment horizontal="center"/>
    </xf>
    <xf numFmtId="0" fontId="23" fillId="0" borderId="44" xfId="0" applyFont="1" applyFill="1" applyBorder="1" applyAlignment="1">
      <alignment horizontal="left" vertical="center" wrapText="1" indent="1"/>
    </xf>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3" fillId="0" borderId="0" xfId="0" applyFont="1" applyFill="1" applyBorder="1" applyAlignment="1">
      <alignment vertical="center"/>
    </xf>
    <xf numFmtId="3" fontId="3" fillId="0" borderId="13" xfId="39" applyNumberFormat="1" applyFont="1" applyFill="1" applyBorder="1" applyAlignment="1">
      <alignment horizontal="center" wrapText="1"/>
    </xf>
    <xf numFmtId="0" fontId="3" fillId="0" borderId="0" xfId="39" applyFont="1" applyFill="1" applyAlignment="1">
      <alignment horizontal="center"/>
    </xf>
    <xf numFmtId="0" fontId="3" fillId="0" borderId="0" xfId="39" applyFont="1" applyFill="1"/>
    <xf numFmtId="0" fontId="3" fillId="0" borderId="0" xfId="39" applyFont="1" applyFill="1" applyBorder="1" applyAlignment="1">
      <alignment horizontal="center" vertical="center" wrapText="1"/>
    </xf>
    <xf numFmtId="49" fontId="2" fillId="0" borderId="0" xfId="39" applyNumberFormat="1" applyFont="1" applyFill="1" applyBorder="1" applyAlignment="1">
      <alignment horizontal="left" vertical="top" wrapText="1" indent="1"/>
    </xf>
    <xf numFmtId="3" fontId="6" fillId="0" borderId="0" xfId="39" applyNumberFormat="1" applyFont="1" applyFill="1" applyBorder="1" applyAlignment="1">
      <alignment horizontal="right" vertical="center" wrapText="1" indent="1"/>
    </xf>
    <xf numFmtId="0" fontId="3" fillId="0" borderId="20" xfId="0"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38" xfId="39" applyNumberFormat="1" applyFont="1" applyFill="1" applyBorder="1" applyAlignment="1">
      <alignment horizontal="center" wrapText="1"/>
    </xf>
    <xf numFmtId="49" fontId="3" fillId="0" borderId="13" xfId="39" applyNumberFormat="1" applyFont="1" applyFill="1" applyBorder="1" applyAlignment="1">
      <alignment horizontal="left" vertical="center" wrapText="1" indent="1"/>
    </xf>
    <xf numFmtId="0" fontId="7" fillId="0" borderId="15" xfId="41" applyFont="1" applyFill="1" applyBorder="1" applyAlignment="1">
      <alignment horizontal="left" indent="1"/>
    </xf>
    <xf numFmtId="0" fontId="7" fillId="0" borderId="21" xfId="41" applyFont="1" applyFill="1" applyBorder="1" applyAlignment="1">
      <alignment horizontal="left" indent="1"/>
    </xf>
    <xf numFmtId="0" fontId="3" fillId="0" borderId="15" xfId="39" applyFont="1" applyFill="1" applyBorder="1" applyAlignment="1">
      <alignment horizontal="center" vertical="center" wrapText="1"/>
    </xf>
    <xf numFmtId="0" fontId="3" fillId="0" borderId="16" xfId="39" applyFont="1" applyFill="1" applyBorder="1" applyAlignment="1">
      <alignment horizontal="center" vertical="center" wrapText="1"/>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49" fontId="3" fillId="0" borderId="19" xfId="0" applyNumberFormat="1" applyFont="1" applyFill="1" applyBorder="1" applyAlignment="1">
      <alignment horizontal="left" vertical="center" wrapText="1" indent="1"/>
    </xf>
    <xf numFmtId="0" fontId="6" fillId="0" borderId="44" xfId="0" applyFont="1" applyFill="1" applyBorder="1" applyAlignment="1">
      <alignment horizontal="left" vertical="center" wrapText="1" indent="1"/>
    </xf>
    <xf numFmtId="0" fontId="14" fillId="0" borderId="66" xfId="82" quotePrefix="1" applyNumberFormat="1" applyFill="1" applyBorder="1" applyProtection="1">
      <alignment horizontal="left" vertical="center" indent="1"/>
    </xf>
    <xf numFmtId="0" fontId="14" fillId="0" borderId="67" xfId="82" quotePrefix="1" applyNumberFormat="1" applyFill="1" applyBorder="1" applyProtection="1">
      <alignment horizontal="left" vertical="center" indent="1"/>
    </xf>
    <xf numFmtId="3" fontId="6" fillId="0" borderId="33" xfId="0" applyNumberFormat="1" applyFont="1" applyFill="1" applyBorder="1" applyAlignment="1">
      <alignment horizontal="center" vertical="center" wrapText="1"/>
    </xf>
    <xf numFmtId="3" fontId="6" fillId="0" borderId="68" xfId="0" applyNumberFormat="1" applyFont="1" applyFill="1" applyBorder="1" applyAlignment="1">
      <alignment horizontal="center" vertical="center" wrapText="1"/>
    </xf>
    <xf numFmtId="3" fontId="6" fillId="0" borderId="51" xfId="0" applyNumberFormat="1" applyFont="1" applyFill="1" applyBorder="1" applyAlignment="1">
      <alignment horizontal="center" vertical="center" wrapText="1"/>
    </xf>
    <xf numFmtId="3" fontId="6" fillId="0" borderId="69" xfId="0" applyNumberFormat="1" applyFont="1" applyFill="1" applyBorder="1" applyAlignment="1">
      <alignment horizontal="center" vertical="center" wrapText="1"/>
    </xf>
    <xf numFmtId="0" fontId="14" fillId="0" borderId="70" xfId="82" quotePrefix="1" applyNumberFormat="1" applyFill="1" applyBorder="1" applyProtection="1">
      <alignment horizontal="left" vertical="center" indent="1"/>
    </xf>
    <xf numFmtId="0" fontId="14" fillId="0" borderId="71" xfId="82" quotePrefix="1" applyNumberFormat="1" applyFill="1" applyBorder="1" applyProtection="1">
      <alignment horizontal="left" vertical="center" indent="1"/>
    </xf>
    <xf numFmtId="49" fontId="76" fillId="0" borderId="50" xfId="0" applyNumberFormat="1" applyFont="1" applyFill="1" applyBorder="1" applyAlignment="1">
      <alignment horizontal="left" vertical="top" wrapText="1"/>
    </xf>
    <xf numFmtId="49" fontId="3" fillId="0" borderId="13" xfId="0" applyNumberFormat="1" applyFont="1" applyFill="1" applyBorder="1" applyAlignment="1">
      <alignment horizontal="left" vertical="top" wrapText="1" indent="1"/>
    </xf>
    <xf numFmtId="49" fontId="2" fillId="0" borderId="13" xfId="0" applyNumberFormat="1" applyFont="1" applyFill="1" applyBorder="1" applyAlignment="1">
      <alignment horizontal="left" vertical="top" wrapText="1" indent="1"/>
    </xf>
    <xf numFmtId="49" fontId="2" fillId="0" borderId="13" xfId="0" applyNumberFormat="1" applyFont="1" applyFill="1" applyBorder="1" applyAlignment="1">
      <alignment vertical="center" wrapText="1"/>
    </xf>
    <xf numFmtId="49" fontId="77"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7" fillId="0" borderId="13" xfId="0" applyNumberFormat="1" applyFont="1" applyFill="1" applyBorder="1" applyAlignment="1">
      <alignment vertical="center" wrapText="1"/>
    </xf>
    <xf numFmtId="49" fontId="6" fillId="0" borderId="17" xfId="0" applyNumberFormat="1" applyFont="1" applyFill="1" applyBorder="1" applyAlignment="1">
      <alignment vertical="center" wrapText="1"/>
    </xf>
    <xf numFmtId="0" fontId="3" fillId="0" borderId="81" xfId="0" applyFont="1" applyFill="1" applyBorder="1" applyAlignment="1">
      <alignment horizontal="center" vertical="center" wrapText="1"/>
    </xf>
    <xf numFmtId="0" fontId="3" fillId="0" borderId="81" xfId="0" applyFont="1" applyFill="1" applyBorder="1" applyAlignment="1">
      <alignment horizontal="right" vertical="center" wrapText="1" indent="1"/>
    </xf>
    <xf numFmtId="0" fontId="6" fillId="0" borderId="65" xfId="0" applyFont="1" applyFill="1" applyBorder="1" applyAlignment="1">
      <alignment horizontal="center" vertical="center" wrapText="1"/>
    </xf>
    <xf numFmtId="0" fontId="7" fillId="0" borderId="20" xfId="0" applyFont="1" applyFill="1" applyBorder="1" applyAlignment="1">
      <alignment horizontal="left" vertical="center" wrapText="1" indent="1"/>
    </xf>
    <xf numFmtId="0" fontId="7" fillId="0" borderId="28" xfId="0" applyFont="1" applyFill="1" applyBorder="1" applyAlignment="1">
      <alignment horizontal="left" vertical="center" wrapText="1" indent="1"/>
    </xf>
    <xf numFmtId="0" fontId="7" fillId="0" borderId="44" xfId="0" applyNumberFormat="1" applyFont="1" applyFill="1" applyBorder="1" applyAlignment="1">
      <alignment horizontal="left" vertical="center" wrapText="1" indent="1"/>
    </xf>
    <xf numFmtId="0" fontId="7" fillId="0" borderId="44" xfId="0" applyFont="1" applyFill="1" applyBorder="1" applyAlignment="1">
      <alignment vertical="center" wrapText="1"/>
    </xf>
    <xf numFmtId="0" fontId="7" fillId="0" borderId="73" xfId="0" applyNumberFormat="1" applyFont="1" applyFill="1" applyBorder="1" applyAlignment="1">
      <alignment horizontal="left" vertical="center" wrapText="1" indent="1"/>
    </xf>
    <xf numFmtId="4" fontId="6" fillId="0" borderId="13" xfId="0" applyNumberFormat="1" applyFont="1" applyFill="1" applyBorder="1" applyAlignment="1">
      <alignment horizontal="center" vertical="center" wrapText="1"/>
    </xf>
    <xf numFmtId="4" fontId="6" fillId="0" borderId="17" xfId="0" applyNumberFormat="1" applyFont="1" applyFill="1" applyBorder="1" applyAlignment="1">
      <alignment horizontal="right" vertical="center" wrapText="1" indent="1"/>
    </xf>
    <xf numFmtId="4" fontId="3" fillId="0" borderId="13" xfId="0" applyNumberFormat="1" applyFont="1" applyFill="1" applyBorder="1" applyAlignment="1">
      <alignment horizontal="center" vertical="center" wrapText="1"/>
    </xf>
    <xf numFmtId="4" fontId="3" fillId="0" borderId="13" xfId="39" applyNumberFormat="1" applyFont="1" applyFill="1" applyBorder="1" applyAlignment="1">
      <alignment horizontal="right" vertical="center" wrapText="1" indent="1"/>
    </xf>
    <xf numFmtId="4" fontId="3" fillId="0" borderId="38" xfId="39" applyNumberFormat="1" applyFont="1" applyFill="1" applyBorder="1" applyAlignment="1">
      <alignment horizontal="right" vertical="center" wrapText="1" indent="1"/>
    </xf>
    <xf numFmtId="4" fontId="2" fillId="0" borderId="13" xfId="0" applyNumberFormat="1" applyFont="1" applyFill="1" applyBorder="1" applyAlignment="1">
      <alignment horizontal="center" vertical="center" wrapText="1"/>
    </xf>
    <xf numFmtId="167" fontId="69" fillId="0" borderId="13" xfId="0" applyNumberFormat="1" applyFont="1" applyFill="1" applyBorder="1" applyAlignment="1">
      <alignment horizontal="center" vertical="center" wrapText="1"/>
    </xf>
    <xf numFmtId="167" fontId="78"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right" vertical="center" wrapText="1" indent="1"/>
    </xf>
    <xf numFmtId="4" fontId="3" fillId="0" borderId="19" xfId="0" applyNumberFormat="1" applyFont="1" applyFill="1" applyBorder="1" applyAlignment="1">
      <alignment horizontal="right" vertical="center" wrapText="1" indent="1"/>
    </xf>
    <xf numFmtId="4" fontId="3" fillId="0" borderId="17" xfId="0" applyNumberFormat="1" applyFont="1" applyFill="1" applyBorder="1" applyAlignment="1">
      <alignment horizontal="center" vertical="center" wrapText="1"/>
    </xf>
    <xf numFmtId="3" fontId="7" fillId="0" borderId="0" xfId="44" applyNumberFormat="1" applyFont="1" applyFill="1" applyBorder="1" applyAlignment="1">
      <alignment vertical="center"/>
    </xf>
    <xf numFmtId="3" fontId="7" fillId="0" borderId="0" xfId="44" applyNumberFormat="1" applyFont="1" applyFill="1" applyBorder="1" applyAlignment="1">
      <alignment vertical="center" wrapText="1"/>
    </xf>
    <xf numFmtId="4" fontId="3" fillId="0" borderId="0" xfId="0" applyNumberFormat="1" applyFont="1" applyFill="1" applyBorder="1"/>
    <xf numFmtId="4" fontId="23" fillId="0" borderId="0" xfId="0" applyNumberFormat="1" applyFont="1" applyFill="1" applyBorder="1" applyAlignment="1">
      <alignment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9" fontId="3" fillId="0" borderId="0" xfId="0" applyNumberFormat="1" applyFont="1" applyFill="1" applyAlignment="1">
      <alignment horizontal="left" wrapText="1" indent="1"/>
    </xf>
    <xf numFmtId="49" fontId="3" fillId="0" borderId="0" xfId="0" applyNumberFormat="1" applyFont="1" applyFill="1" applyAlignment="1">
      <alignment horizontal="left" wrapText="1"/>
    </xf>
    <xf numFmtId="0" fontId="3" fillId="0" borderId="0" xfId="0" applyFont="1" applyFill="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3" xfId="0" applyNumberFormat="1" applyFont="1" applyFill="1" applyBorder="1" applyAlignment="1">
      <alignment horizontal="right" vertical="center" wrapText="1" indent="1"/>
    </xf>
    <xf numFmtId="4" fontId="2" fillId="0" borderId="17" xfId="0" applyNumberFormat="1" applyFont="1" applyFill="1" applyBorder="1" applyAlignment="1" applyProtection="1">
      <alignment horizontal="right" vertical="center" wrapText="1" indent="1"/>
    </xf>
    <xf numFmtId="3" fontId="2" fillId="0" borderId="18" xfId="0" applyNumberFormat="1" applyFont="1" applyFill="1" applyBorder="1" applyAlignment="1">
      <alignment horizontal="right" vertical="center" wrapText="1" inden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left" vertical="center" wrapText="1" indent="1"/>
    </xf>
    <xf numFmtId="0" fontId="3" fillId="0" borderId="75"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left" vertical="center" wrapText="1" indent="1"/>
    </xf>
    <xf numFmtId="0" fontId="2" fillId="0" borderId="0" xfId="0" applyFont="1" applyFill="1"/>
    <xf numFmtId="4" fontId="6" fillId="0" borderId="13" xfId="0" applyNumberFormat="1" applyFont="1" applyFill="1" applyBorder="1" applyAlignment="1">
      <alignment horizontal="right" vertical="center" wrapText="1" indent="1"/>
    </xf>
    <xf numFmtId="3" fontId="6" fillId="0" borderId="14" xfId="0" applyNumberFormat="1" applyFont="1" applyFill="1" applyBorder="1" applyAlignment="1">
      <alignment horizontal="right" vertical="center" wrapText="1" indent="1"/>
    </xf>
    <xf numFmtId="0" fontId="7" fillId="0" borderId="13" xfId="0" applyFont="1" applyFill="1" applyBorder="1" applyAlignment="1">
      <alignment horizontal="left" vertical="top" wrapText="1" indent="1"/>
    </xf>
    <xf numFmtId="4" fontId="7" fillId="0" borderId="13" xfId="0" applyNumberFormat="1" applyFont="1" applyFill="1" applyBorder="1" applyAlignment="1">
      <alignment horizontal="right" vertical="center" wrapText="1" indent="1"/>
    </xf>
    <xf numFmtId="3" fontId="6" fillId="0" borderId="26" xfId="0" applyNumberFormat="1" applyFont="1" applyFill="1" applyBorder="1" applyAlignment="1">
      <alignment horizontal="right" vertical="center" wrapText="1" indent="1"/>
    </xf>
    <xf numFmtId="4" fontId="2" fillId="0" borderId="17" xfId="0" applyNumberFormat="1" applyFont="1" applyFill="1" applyBorder="1" applyAlignment="1">
      <alignment horizontal="right" vertical="center" wrapText="1" indent="1"/>
    </xf>
    <xf numFmtId="3" fontId="6" fillId="0" borderId="18" xfId="0" applyNumberFormat="1" applyFont="1" applyFill="1" applyBorder="1" applyAlignment="1">
      <alignment horizontal="right" vertical="center" wrapText="1" indent="1"/>
    </xf>
    <xf numFmtId="0" fontId="8" fillId="0" borderId="0" xfId="0" applyFont="1" applyFill="1" applyAlignment="1">
      <alignment horizontal="center" vertical="center"/>
    </xf>
    <xf numFmtId="0" fontId="8" fillId="0" borderId="0" xfId="0" applyFont="1" applyFill="1" applyAlignment="1">
      <alignment horizontal="left" indent="1"/>
    </xf>
    <xf numFmtId="0" fontId="8" fillId="0" borderId="0" xfId="0" applyFont="1" applyFill="1"/>
    <xf numFmtId="0" fontId="3" fillId="0" borderId="0" xfId="0" applyFont="1" applyFill="1" applyAlignment="1">
      <alignment horizontal="center" vertical="center"/>
    </xf>
    <xf numFmtId="4" fontId="3" fillId="0" borderId="0" xfId="0" applyNumberFormat="1" applyFont="1" applyFill="1" applyAlignment="1">
      <alignment vertical="center"/>
    </xf>
    <xf numFmtId="0" fontId="2" fillId="0" borderId="15" xfId="0" applyFont="1" applyFill="1" applyBorder="1" applyAlignment="1">
      <alignment horizontal="center" vertical="center" wrapText="1"/>
    </xf>
    <xf numFmtId="3" fontId="6" fillId="0" borderId="13" xfId="0" applyNumberFormat="1" applyFont="1" applyFill="1" applyBorder="1" applyAlignment="1">
      <alignment horizontal="right" vertical="center" wrapText="1" indent="1"/>
    </xf>
    <xf numFmtId="3" fontId="6" fillId="0" borderId="13" xfId="0" applyNumberFormat="1" applyFont="1" applyFill="1" applyBorder="1" applyAlignment="1">
      <alignment horizontal="right" vertical="center" indent="1"/>
    </xf>
    <xf numFmtId="3" fontId="6" fillId="0" borderId="14" xfId="0" applyNumberFormat="1" applyFont="1" applyFill="1" applyBorder="1" applyAlignment="1">
      <alignment horizontal="right" vertical="center" indent="1"/>
    </xf>
    <xf numFmtId="3" fontId="6" fillId="0" borderId="13" xfId="0" applyNumberFormat="1" applyFont="1" applyFill="1" applyBorder="1" applyAlignment="1">
      <alignment vertical="center" wrapText="1"/>
    </xf>
    <xf numFmtId="4" fontId="6" fillId="0" borderId="13" xfId="0" applyNumberFormat="1" applyFont="1" applyFill="1" applyBorder="1" applyAlignment="1">
      <alignment vertical="center" wrapText="1"/>
    </xf>
    <xf numFmtId="3" fontId="6" fillId="0" borderId="17" xfId="0" applyNumberFormat="1" applyFont="1" applyFill="1" applyBorder="1" applyAlignment="1">
      <alignment horizontal="right" vertical="center" indent="1"/>
    </xf>
    <xf numFmtId="3" fontId="6" fillId="0" borderId="18" xfId="0" applyNumberFormat="1" applyFont="1" applyFill="1" applyBorder="1" applyAlignment="1">
      <alignment horizontal="right" vertical="center" indent="1"/>
    </xf>
    <xf numFmtId="0" fontId="3" fillId="0" borderId="0" xfId="0" applyFont="1" applyFill="1" applyAlignment="1">
      <alignment vertical="center"/>
    </xf>
    <xf numFmtId="0" fontId="80" fillId="0" borderId="0" xfId="0" applyFont="1" applyFill="1"/>
    <xf numFmtId="49" fontId="2" fillId="0" borderId="24" xfId="0" applyNumberFormat="1" applyFont="1" applyFill="1" applyBorder="1" applyAlignment="1">
      <alignment horizontal="left" vertical="center" wrapText="1" indent="1"/>
    </xf>
    <xf numFmtId="0" fontId="2" fillId="0" borderId="32" xfId="0" applyFont="1" applyFill="1" applyBorder="1" applyAlignment="1">
      <alignment horizontal="center" vertical="center" wrapText="1"/>
    </xf>
    <xf numFmtId="0" fontId="2" fillId="0" borderId="34" xfId="0" applyFont="1" applyFill="1" applyBorder="1" applyAlignment="1">
      <alignment horizontal="center" vertical="center" wrapText="1"/>
    </xf>
    <xf numFmtId="4" fontId="3" fillId="0" borderId="27" xfId="0" applyNumberFormat="1" applyFont="1" applyFill="1" applyBorder="1" applyAlignment="1">
      <alignment vertical="center"/>
    </xf>
    <xf numFmtId="4" fontId="3" fillId="0" borderId="20" xfId="0" applyNumberFormat="1" applyFont="1" applyFill="1" applyBorder="1" applyAlignment="1">
      <alignment vertical="center"/>
    </xf>
    <xf numFmtId="4" fontId="3" fillId="0" borderId="15" xfId="0" applyNumberFormat="1" applyFont="1" applyFill="1" applyBorder="1" applyAlignment="1">
      <alignment vertical="center"/>
    </xf>
    <xf numFmtId="4" fontId="3" fillId="0" borderId="14" xfId="0" applyNumberFormat="1" applyFont="1" applyFill="1" applyBorder="1" applyAlignment="1">
      <alignment vertical="center"/>
    </xf>
    <xf numFmtId="3" fontId="6" fillId="0" borderId="15" xfId="0" applyNumberFormat="1" applyFont="1" applyFill="1" applyBorder="1" applyAlignment="1">
      <alignment horizontal="right" vertical="center" wrapText="1" indent="1"/>
    </xf>
    <xf numFmtId="4" fontId="3" fillId="0" borderId="49" xfId="0" applyNumberFormat="1" applyFont="1" applyFill="1" applyBorder="1" applyAlignment="1">
      <alignment vertical="center"/>
    </xf>
    <xf numFmtId="4" fontId="3" fillId="0" borderId="35" xfId="0" applyNumberFormat="1" applyFont="1" applyFill="1" applyBorder="1" applyAlignment="1">
      <alignment vertical="center"/>
    </xf>
    <xf numFmtId="4" fontId="3" fillId="0" borderId="21" xfId="0" applyNumberFormat="1" applyFont="1" applyFill="1" applyBorder="1" applyAlignment="1">
      <alignment vertical="center"/>
    </xf>
    <xf numFmtId="4" fontId="3" fillId="0" borderId="26" xfId="0" applyNumberFormat="1" applyFont="1" applyFill="1" applyBorder="1" applyAlignment="1">
      <alignment vertical="center"/>
    </xf>
    <xf numFmtId="3" fontId="6" fillId="0" borderId="21" xfId="0" applyNumberFormat="1" applyFont="1" applyFill="1" applyBorder="1" applyAlignment="1">
      <alignment horizontal="right" vertical="center" wrapText="1" indent="1"/>
    </xf>
    <xf numFmtId="4" fontId="2" fillId="0" borderId="47" xfId="0" applyNumberFormat="1" applyFont="1" applyFill="1" applyBorder="1" applyAlignment="1">
      <alignment horizontal="right" vertical="center" wrapText="1" indent="1"/>
    </xf>
    <xf numFmtId="4" fontId="2" fillId="0" borderId="55" xfId="0" applyNumberFormat="1" applyFont="1" applyFill="1" applyBorder="1" applyAlignment="1">
      <alignment horizontal="right" vertical="center" wrapText="1" indent="1"/>
    </xf>
    <xf numFmtId="4" fontId="2" fillId="0" borderId="30" xfId="0" applyNumberFormat="1" applyFont="1" applyFill="1" applyBorder="1" applyAlignment="1">
      <alignment horizontal="right" vertical="center" wrapText="1" indent="1"/>
    </xf>
    <xf numFmtId="4" fontId="2" fillId="0" borderId="36" xfId="0" applyNumberFormat="1" applyFont="1" applyFill="1" applyBorder="1" applyAlignment="1">
      <alignment horizontal="right" vertical="center" wrapText="1" indent="1"/>
    </xf>
    <xf numFmtId="3" fontId="6" fillId="0" borderId="30" xfId="0" applyNumberFormat="1" applyFont="1" applyFill="1" applyBorder="1" applyAlignment="1">
      <alignment horizontal="right" vertical="center" wrapText="1" indent="1"/>
    </xf>
    <xf numFmtId="3" fontId="6" fillId="0" borderId="36" xfId="0" applyNumberFormat="1" applyFont="1" applyFill="1" applyBorder="1" applyAlignment="1">
      <alignment horizontal="right" vertical="center" wrapText="1" indent="1"/>
    </xf>
    <xf numFmtId="4" fontId="2" fillId="0" borderId="62" xfId="0" applyNumberFormat="1" applyFont="1" applyFill="1" applyBorder="1" applyAlignment="1">
      <alignment horizontal="right" vertical="center" wrapText="1" indent="1"/>
    </xf>
    <xf numFmtId="4" fontId="2" fillId="0" borderId="64" xfId="0" applyNumberFormat="1" applyFont="1" applyFill="1" applyBorder="1" applyAlignment="1">
      <alignment horizontal="right" vertical="center" wrapText="1" indent="1"/>
    </xf>
    <xf numFmtId="4" fontId="3" fillId="0" borderId="22" xfId="0" applyNumberFormat="1" applyFont="1" applyFill="1" applyBorder="1" applyAlignment="1">
      <alignment vertical="center"/>
    </xf>
    <xf numFmtId="3" fontId="6" fillId="0" borderId="22" xfId="0" applyNumberFormat="1" applyFont="1" applyFill="1" applyBorder="1" applyAlignment="1">
      <alignment horizontal="right" vertical="center" wrapText="1" indent="1"/>
    </xf>
    <xf numFmtId="3" fontId="6" fillId="0" borderId="34" xfId="0" applyNumberFormat="1" applyFont="1" applyFill="1" applyBorder="1" applyAlignment="1">
      <alignment horizontal="right" vertical="center" wrapText="1" indent="1"/>
    </xf>
    <xf numFmtId="4" fontId="2" fillId="0" borderId="39" xfId="0" applyNumberFormat="1" applyFont="1" applyFill="1" applyBorder="1" applyAlignment="1">
      <alignment horizontal="right" vertical="center" wrapText="1" indent="1"/>
    </xf>
    <xf numFmtId="4" fontId="2" fillId="0" borderId="63" xfId="0" applyNumberFormat="1" applyFont="1" applyFill="1" applyBorder="1" applyAlignment="1">
      <alignment horizontal="right" vertical="center" wrapText="1" indent="1"/>
    </xf>
    <xf numFmtId="4" fontId="2" fillId="0" borderId="16" xfId="0" applyNumberFormat="1" applyFont="1" applyFill="1" applyBorder="1" applyAlignment="1">
      <alignment horizontal="right" vertical="center" wrapText="1" indent="1"/>
    </xf>
    <xf numFmtId="4" fontId="2" fillId="0" borderId="40" xfId="0" applyNumberFormat="1" applyFont="1" applyFill="1" applyBorder="1" applyAlignment="1">
      <alignment horizontal="right" vertical="center" wrapText="1" indent="1"/>
    </xf>
    <xf numFmtId="3" fontId="6" fillId="0" borderId="16" xfId="0" applyNumberFormat="1" applyFont="1" applyFill="1" applyBorder="1" applyAlignment="1">
      <alignment horizontal="right" vertical="center" wrapText="1" indent="1"/>
    </xf>
    <xf numFmtId="0" fontId="7" fillId="0" borderId="0" xfId="0" applyFont="1" applyFill="1"/>
    <xf numFmtId="3" fontId="62" fillId="0" borderId="0" xfId="0" applyNumberFormat="1" applyFont="1" applyFill="1"/>
    <xf numFmtId="4" fontId="7" fillId="0" borderId="38" xfId="0" applyNumberFormat="1" applyFont="1" applyFill="1" applyBorder="1" applyAlignment="1">
      <alignment horizontal="right" vertical="center" wrapText="1" indent="1"/>
    </xf>
    <xf numFmtId="4" fontId="6" fillId="0" borderId="38" xfId="0" applyNumberFormat="1" applyFont="1" applyFill="1" applyBorder="1" applyAlignment="1">
      <alignment horizontal="right" vertical="center" wrapText="1" indent="1"/>
    </xf>
    <xf numFmtId="4" fontId="7" fillId="0" borderId="13" xfId="0" applyNumberFormat="1" applyFont="1" applyFill="1" applyBorder="1" applyAlignment="1">
      <alignment horizontal="center" vertical="center" wrapText="1"/>
    </xf>
    <xf numFmtId="49" fontId="7" fillId="0" borderId="0" xfId="0" applyNumberFormat="1" applyFont="1" applyFill="1" applyAlignment="1">
      <alignment horizontal="left" vertical="center"/>
    </xf>
    <xf numFmtId="3" fontId="7" fillId="0" borderId="13" xfId="0" applyNumberFormat="1" applyFont="1" applyFill="1" applyBorder="1" applyAlignment="1">
      <alignment horizontal="right" vertical="center" wrapText="1" indent="1"/>
    </xf>
    <xf numFmtId="3" fontId="7" fillId="0" borderId="14" xfId="0" applyNumberFormat="1" applyFont="1" applyFill="1" applyBorder="1" applyAlignment="1">
      <alignment horizontal="right" vertical="center" wrapText="1" indent="1"/>
    </xf>
    <xf numFmtId="4" fontId="3" fillId="0" borderId="13" xfId="0" applyNumberFormat="1" applyFont="1" applyFill="1" applyBorder="1" applyAlignment="1">
      <alignment horizontal="right" vertical="center" wrapText="1"/>
    </xf>
    <xf numFmtId="4" fontId="3" fillId="0" borderId="0" xfId="0" applyNumberFormat="1" applyFont="1" applyFill="1"/>
    <xf numFmtId="3" fontId="6" fillId="0" borderId="17" xfId="0" applyNumberFormat="1" applyFont="1" applyFill="1" applyBorder="1" applyAlignment="1">
      <alignment horizontal="right" vertical="center" wrapText="1" indent="1"/>
    </xf>
    <xf numFmtId="0" fontId="8" fillId="0" borderId="15" xfId="0" applyFont="1" applyFill="1" applyBorder="1" applyAlignment="1">
      <alignment horizontal="center" vertical="center"/>
    </xf>
    <xf numFmtId="0" fontId="2" fillId="0" borderId="23" xfId="0" applyFont="1" applyFill="1" applyBorder="1" applyAlignment="1">
      <alignment horizontal="center" vertical="center" wrapText="1"/>
    </xf>
    <xf numFmtId="0" fontId="3" fillId="0" borderId="33" xfId="0" applyFont="1" applyFill="1" applyBorder="1" applyAlignment="1">
      <alignment horizontal="center" vertical="center"/>
    </xf>
    <xf numFmtId="4" fontId="3" fillId="0" borderId="23" xfId="0" applyNumberFormat="1" applyFont="1" applyFill="1" applyBorder="1"/>
    <xf numFmtId="0" fontId="3" fillId="0" borderId="24" xfId="0" applyFont="1" applyFill="1" applyBorder="1"/>
    <xf numFmtId="4" fontId="3" fillId="0" borderId="41" xfId="0" applyNumberFormat="1" applyFont="1" applyFill="1" applyBorder="1"/>
    <xf numFmtId="4" fontId="3" fillId="0" borderId="65" xfId="0" applyNumberFormat="1" applyFont="1" applyFill="1" applyBorder="1"/>
    <xf numFmtId="3" fontId="6" fillId="0" borderId="23" xfId="0" applyNumberFormat="1" applyFont="1" applyFill="1" applyBorder="1" applyAlignment="1">
      <alignment horizontal="right" vertical="center" wrapText="1" indent="1"/>
    </xf>
    <xf numFmtId="3" fontId="6" fillId="0" borderId="24" xfId="0" applyNumberFormat="1" applyFont="1" applyFill="1" applyBorder="1" applyAlignment="1">
      <alignment horizontal="right" vertical="center" wrapText="1" indent="1"/>
    </xf>
    <xf numFmtId="4" fontId="3" fillId="0" borderId="15" xfId="0" applyNumberFormat="1" applyFont="1" applyFill="1" applyBorder="1"/>
    <xf numFmtId="0" fontId="3" fillId="0" borderId="14" xfId="0" applyFont="1" applyFill="1" applyBorder="1"/>
    <xf numFmtId="4" fontId="3" fillId="0" borderId="27" xfId="0" applyNumberFormat="1" applyFont="1" applyFill="1" applyBorder="1"/>
    <xf numFmtId="4" fontId="3" fillId="0" borderId="20" xfId="0" applyNumberFormat="1" applyFont="1" applyFill="1" applyBorder="1"/>
    <xf numFmtId="4" fontId="3" fillId="0" borderId="21" xfId="0" applyNumberFormat="1" applyFont="1" applyFill="1" applyBorder="1"/>
    <xf numFmtId="0" fontId="3" fillId="0" borderId="26" xfId="0" applyFont="1" applyFill="1" applyBorder="1"/>
    <xf numFmtId="4" fontId="3" fillId="0" borderId="49" xfId="0" applyNumberFormat="1" applyFont="1" applyFill="1" applyBorder="1"/>
    <xf numFmtId="4" fontId="3" fillId="0" borderId="35" xfId="0" applyNumberFormat="1" applyFont="1" applyFill="1" applyBorder="1"/>
    <xf numFmtId="0" fontId="10" fillId="0" borderId="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0" xfId="0" applyFont="1" applyFill="1" applyAlignment="1">
      <alignment vertical="center" wrapText="1"/>
    </xf>
    <xf numFmtId="0" fontId="2" fillId="0" borderId="61" xfId="0" applyFont="1" applyFill="1" applyBorder="1" applyAlignment="1">
      <alignment horizontal="center" vertical="center" wrapText="1"/>
    </xf>
    <xf numFmtId="0" fontId="2" fillId="0" borderId="0" xfId="0" applyFont="1" applyFill="1" applyBorder="1" applyAlignment="1">
      <alignment vertical="center" wrapText="1"/>
    </xf>
    <xf numFmtId="4" fontId="6" fillId="0" borderId="20" xfId="0" applyNumberFormat="1" applyFont="1" applyFill="1" applyBorder="1" applyAlignment="1">
      <alignment horizontal="right" vertical="center" wrapText="1" indent="1"/>
    </xf>
    <xf numFmtId="3" fontId="6" fillId="0" borderId="44" xfId="0" applyNumberFormat="1" applyFont="1" applyFill="1" applyBorder="1" applyAlignment="1">
      <alignment horizontal="right" vertical="center" wrapText="1" indent="1"/>
    </xf>
    <xf numFmtId="0" fontId="3" fillId="0" borderId="0" xfId="0" applyFont="1" applyFill="1" applyBorder="1" applyAlignment="1">
      <alignment vertical="center" wrapText="1"/>
    </xf>
    <xf numFmtId="4" fontId="3" fillId="0" borderId="13" xfId="27" applyNumberFormat="1" applyFont="1" applyFill="1" applyBorder="1" applyAlignment="1">
      <alignment horizontal="right" vertical="center" wrapText="1" indent="1"/>
    </xf>
    <xf numFmtId="4" fontId="6" fillId="0" borderId="28" xfId="0" applyNumberFormat="1" applyFont="1" applyFill="1" applyBorder="1" applyAlignment="1">
      <alignment horizontal="right" vertical="center" wrapText="1" indent="1"/>
    </xf>
    <xf numFmtId="3" fontId="6" fillId="0" borderId="60" xfId="0" applyNumberFormat="1" applyFont="1" applyFill="1" applyBorder="1" applyAlignment="1">
      <alignment horizontal="right" vertical="center" wrapText="1" indent="1"/>
    </xf>
    <xf numFmtId="49" fontId="3" fillId="0" borderId="0" xfId="0" applyNumberFormat="1" applyFont="1" applyFill="1" applyBorder="1" applyAlignment="1">
      <alignment vertical="center" wrapText="1"/>
    </xf>
    <xf numFmtId="49" fontId="3" fillId="0" borderId="54" xfId="0" applyNumberFormat="1" applyFont="1" applyFill="1" applyBorder="1" applyAlignment="1"/>
    <xf numFmtId="49" fontId="3" fillId="0" borderId="27" xfId="0" applyNumberFormat="1" applyFont="1" applyFill="1" applyBorder="1" applyAlignment="1"/>
    <xf numFmtId="0" fontId="2" fillId="0" borderId="12" xfId="0" applyFont="1" applyFill="1" applyBorder="1" applyAlignment="1">
      <alignment horizontal="center" vertical="center" wrapText="1"/>
    </xf>
    <xf numFmtId="3" fontId="6" fillId="0" borderId="67" xfId="0" applyNumberFormat="1" applyFont="1" applyFill="1" applyBorder="1" applyAlignment="1">
      <alignment horizontal="right" vertical="center" wrapText="1" indent="1"/>
    </xf>
    <xf numFmtId="3" fontId="6" fillId="0" borderId="20" xfId="0" applyNumberFormat="1" applyFont="1" applyFill="1" applyBorder="1" applyAlignment="1">
      <alignment horizontal="right" vertical="center" wrapText="1" indent="1"/>
    </xf>
    <xf numFmtId="3" fontId="6" fillId="0" borderId="89" xfId="0" applyNumberFormat="1" applyFont="1" applyFill="1" applyBorder="1" applyAlignment="1">
      <alignment horizontal="right" vertical="center" wrapText="1" indent="1"/>
    </xf>
    <xf numFmtId="49" fontId="3" fillId="0" borderId="20" xfId="0" applyNumberFormat="1" applyFont="1" applyFill="1" applyBorder="1" applyAlignment="1">
      <alignment horizontal="left"/>
    </xf>
    <xf numFmtId="0" fontId="6" fillId="0" borderId="20" xfId="40" applyFont="1" applyFill="1" applyBorder="1" applyAlignment="1">
      <alignment horizontal="center" vertical="center" wrapText="1"/>
    </xf>
    <xf numFmtId="4" fontId="6" fillId="0" borderId="14" xfId="0" applyNumberFormat="1" applyFont="1" applyFill="1" applyBorder="1" applyAlignment="1">
      <alignment horizontal="right" vertical="center" wrapText="1" indent="1"/>
    </xf>
    <xf numFmtId="0" fontId="7" fillId="0" borderId="13" xfId="40" applyFont="1" applyFill="1" applyBorder="1" applyAlignment="1">
      <alignment horizontal="left" vertical="center" wrapText="1" indent="1"/>
    </xf>
    <xf numFmtId="4" fontId="3" fillId="0" borderId="17" xfId="0" applyNumberFormat="1" applyFont="1" applyFill="1" applyBorder="1" applyAlignment="1">
      <alignment horizontal="right" vertical="center" wrapText="1" indent="1"/>
    </xf>
    <xf numFmtId="4" fontId="6" fillId="0" borderId="18" xfId="0" applyNumberFormat="1" applyFont="1" applyFill="1" applyBorder="1" applyAlignment="1">
      <alignment horizontal="right" vertical="center" wrapText="1" indent="1"/>
    </xf>
    <xf numFmtId="0" fontId="6" fillId="0" borderId="0"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13" xfId="0" applyFont="1" applyFill="1" applyBorder="1" applyAlignment="1">
      <alignment horizontal="left" vertical="center" wrapText="1"/>
    </xf>
    <xf numFmtId="4" fontId="7" fillId="0" borderId="14" xfId="0" applyNumberFormat="1" applyFont="1" applyFill="1" applyBorder="1" applyAlignment="1">
      <alignment horizontal="center" vertical="center" wrapText="1"/>
    </xf>
    <xf numFmtId="4" fontId="6" fillId="0" borderId="27" xfId="0" applyNumberFormat="1" applyFont="1" applyFill="1" applyBorder="1" applyAlignment="1">
      <alignment horizontal="right" vertical="center" wrapText="1" indent="1"/>
    </xf>
    <xf numFmtId="3" fontId="7" fillId="0" borderId="17"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0" fontId="0" fillId="0" borderId="0" xfId="0" applyFill="1" applyBorder="1"/>
    <xf numFmtId="0" fontId="30" fillId="0" borderId="0" xfId="0" applyFont="1" applyFill="1" applyBorder="1"/>
    <xf numFmtId="4" fontId="7" fillId="0" borderId="14" xfId="0" applyNumberFormat="1" applyFont="1" applyFill="1" applyBorder="1" applyAlignment="1">
      <alignment horizontal="right" vertical="center" wrapText="1" indent="1"/>
    </xf>
    <xf numFmtId="0" fontId="1" fillId="0" borderId="0" xfId="0" applyFont="1" applyFill="1" applyBorder="1"/>
    <xf numFmtId="4" fontId="3" fillId="0" borderId="14" xfId="0" applyNumberFormat="1" applyFont="1" applyFill="1" applyBorder="1" applyAlignment="1">
      <alignment horizontal="center" vertical="center" wrapText="1"/>
    </xf>
    <xf numFmtId="4" fontId="3" fillId="0" borderId="14" xfId="0" applyNumberFormat="1" applyFont="1" applyFill="1" applyBorder="1" applyAlignment="1">
      <alignment horizontal="right" vertical="center" wrapText="1" indent="1"/>
    </xf>
    <xf numFmtId="4" fontId="3" fillId="0" borderId="18" xfId="0" applyNumberFormat="1" applyFont="1" applyFill="1" applyBorder="1" applyAlignment="1">
      <alignment horizontal="center" vertical="center" wrapText="1"/>
    </xf>
    <xf numFmtId="0" fontId="29" fillId="0" borderId="0" xfId="39" applyFont="1" applyFill="1" applyAlignment="1">
      <alignment horizontal="center" vertical="center" wrapText="1"/>
    </xf>
    <xf numFmtId="0" fontId="2" fillId="0" borderId="15" xfId="39" applyFont="1" applyFill="1" applyBorder="1" applyAlignment="1">
      <alignment horizontal="center" vertical="center" wrapText="1"/>
    </xf>
    <xf numFmtId="49" fontId="2" fillId="0" borderId="13" xfId="39" applyNumberFormat="1" applyFont="1" applyFill="1" applyBorder="1" applyAlignment="1">
      <alignment horizontal="center" vertical="center" wrapText="1"/>
    </xf>
    <xf numFmtId="0" fontId="2" fillId="0" borderId="13" xfId="39" applyFont="1" applyFill="1" applyBorder="1" applyAlignment="1">
      <alignment horizontal="center" vertical="center" wrapText="1"/>
    </xf>
    <xf numFmtId="0" fontId="2" fillId="0" borderId="14" xfId="39" applyFont="1" applyFill="1" applyBorder="1" applyAlignment="1">
      <alignment horizontal="center" vertical="center" wrapText="1"/>
    </xf>
    <xf numFmtId="0" fontId="3" fillId="0" borderId="15" xfId="39" applyFont="1" applyFill="1" applyBorder="1" applyAlignment="1">
      <alignment horizontal="center" wrapText="1"/>
    </xf>
    <xf numFmtId="49" fontId="2" fillId="0" borderId="13" xfId="39" applyNumberFormat="1" applyFont="1" applyFill="1" applyBorder="1" applyAlignment="1">
      <alignment vertical="top" wrapText="1"/>
    </xf>
    <xf numFmtId="49" fontId="2" fillId="0" borderId="13" xfId="39" applyNumberFormat="1" applyFont="1" applyFill="1" applyBorder="1" applyAlignment="1">
      <alignment horizontal="left" vertical="center" wrapText="1" indent="1"/>
    </xf>
    <xf numFmtId="4" fontId="6" fillId="0" borderId="13" xfId="39" applyNumberFormat="1" applyFont="1" applyFill="1" applyBorder="1" applyAlignment="1">
      <alignment horizontal="right" vertical="center" wrapText="1" indent="1"/>
    </xf>
    <xf numFmtId="4" fontId="6" fillId="0" borderId="38" xfId="39" applyNumberFormat="1" applyFont="1" applyFill="1" applyBorder="1" applyAlignment="1">
      <alignment horizontal="right" vertical="center" wrapText="1" indent="1"/>
    </xf>
    <xf numFmtId="49" fontId="7" fillId="0" borderId="13" xfId="39" applyNumberFormat="1" applyFont="1" applyFill="1" applyBorder="1" applyAlignment="1">
      <alignment horizontal="left" vertical="center" wrapText="1" indent="1"/>
    </xf>
    <xf numFmtId="4" fontId="7" fillId="0" borderId="38" xfId="39" applyNumberFormat="1" applyFont="1" applyFill="1" applyBorder="1" applyAlignment="1">
      <alignment horizontal="right" vertical="center" wrapText="1" indent="1"/>
    </xf>
    <xf numFmtId="49" fontId="2" fillId="0" borderId="17" xfId="39" applyNumberFormat="1" applyFont="1" applyFill="1" applyBorder="1" applyAlignment="1">
      <alignment horizontal="left" vertical="center" wrapText="1" indent="1"/>
    </xf>
    <xf numFmtId="4" fontId="6" fillId="0" borderId="17" xfId="39" applyNumberFormat="1" applyFont="1" applyFill="1" applyBorder="1" applyAlignment="1">
      <alignment horizontal="right" vertical="center" wrapText="1" indent="1"/>
    </xf>
    <xf numFmtId="4" fontId="6" fillId="0" borderId="40" xfId="39" applyNumberFormat="1" applyFont="1" applyFill="1" applyBorder="1" applyAlignment="1">
      <alignment horizontal="right" vertical="center" wrapText="1" indent="1"/>
    </xf>
    <xf numFmtId="0" fontId="7" fillId="0" borderId="0" xfId="39" applyFont="1" applyFill="1" applyAlignment="1">
      <alignment horizontal="center"/>
    </xf>
    <xf numFmtId="0" fontId="7" fillId="0" borderId="0" xfId="39" applyFont="1" applyFill="1"/>
    <xf numFmtId="49" fontId="7" fillId="0" borderId="0" xfId="39" applyNumberFormat="1" applyFont="1" applyFill="1"/>
    <xf numFmtId="49" fontId="3" fillId="0" borderId="0" xfId="39" applyNumberFormat="1" applyFont="1" applyFill="1"/>
    <xf numFmtId="0" fontId="28" fillId="0" borderId="0" xfId="0" applyFont="1" applyFill="1" applyBorder="1" applyAlignment="1">
      <alignment horizontal="left"/>
    </xf>
    <xf numFmtId="0" fontId="28" fillId="0" borderId="0" xfId="0" applyFont="1" applyFill="1" applyBorder="1" applyAlignment="1">
      <alignment horizontal="left" vertical="center"/>
    </xf>
    <xf numFmtId="49" fontId="2" fillId="0" borderId="13" xfId="0" applyNumberFormat="1" applyFont="1" applyFill="1" applyBorder="1" applyAlignment="1">
      <alignment vertical="top" wrapText="1"/>
    </xf>
    <xf numFmtId="4" fontId="2" fillId="0" borderId="14" xfId="0" applyNumberFormat="1" applyFont="1" applyFill="1" applyBorder="1" applyAlignment="1">
      <alignment horizontal="right" vertical="center" wrapText="1" indent="1"/>
    </xf>
    <xf numFmtId="0" fontId="7" fillId="0" borderId="16" xfId="0" applyFont="1" applyFill="1" applyBorder="1" applyAlignment="1">
      <alignment horizontal="center" vertical="center" wrapText="1"/>
    </xf>
    <xf numFmtId="4" fontId="2" fillId="0" borderId="18" xfId="0" applyNumberFormat="1" applyFont="1" applyFill="1" applyBorder="1" applyAlignment="1">
      <alignment horizontal="right" vertical="center" wrapText="1" indent="1"/>
    </xf>
    <xf numFmtId="49" fontId="3" fillId="0" borderId="0" xfId="0" applyNumberFormat="1" applyFont="1" applyFill="1" applyBorder="1"/>
    <xf numFmtId="0" fontId="3" fillId="0" borderId="0" xfId="0" applyFont="1" applyFill="1" applyBorder="1" applyAlignment="1">
      <alignment wrapText="1"/>
    </xf>
    <xf numFmtId="167" fontId="3" fillId="0" borderId="0" xfId="0" applyNumberFormat="1" applyFont="1" applyFill="1" applyBorder="1" applyAlignment="1">
      <alignment wrapText="1"/>
    </xf>
    <xf numFmtId="167" fontId="3" fillId="0" borderId="0" xfId="0" applyNumberFormat="1" applyFont="1" applyFill="1" applyBorder="1"/>
    <xf numFmtId="167" fontId="69" fillId="0" borderId="13" xfId="0" applyNumberFormat="1" applyFont="1" applyFill="1" applyBorder="1" applyAlignment="1">
      <alignment vertical="center" wrapText="1"/>
    </xf>
    <xf numFmtId="166" fontId="69" fillId="0" borderId="13" xfId="0" applyNumberFormat="1" applyFont="1" applyFill="1" applyBorder="1" applyAlignment="1">
      <alignment vertical="center" wrapText="1"/>
    </xf>
    <xf numFmtId="166" fontId="69" fillId="0" borderId="14" xfId="0" applyNumberFormat="1" applyFont="1" applyFill="1" applyBorder="1" applyAlignment="1">
      <alignment vertical="center" wrapText="1"/>
    </xf>
    <xf numFmtId="167" fontId="63" fillId="0" borderId="13" xfId="0" applyNumberFormat="1" applyFont="1" applyFill="1" applyBorder="1" applyAlignment="1">
      <alignment vertical="center" wrapText="1"/>
    </xf>
    <xf numFmtId="167" fontId="63" fillId="0" borderId="13" xfId="0" applyNumberFormat="1" applyFont="1" applyFill="1" applyBorder="1" applyAlignment="1">
      <alignment vertical="top" wrapText="1"/>
    </xf>
    <xf numFmtId="167" fontId="79" fillId="0" borderId="13" xfId="0" applyNumberFormat="1" applyFont="1" applyFill="1" applyBorder="1" applyAlignment="1">
      <alignment vertical="center" wrapText="1"/>
    </xf>
    <xf numFmtId="167" fontId="83" fillId="0" borderId="13" xfId="0" applyNumberFormat="1" applyFont="1" applyFill="1" applyBorder="1" applyAlignment="1">
      <alignment horizontal="center" vertical="center" wrapText="1"/>
    </xf>
    <xf numFmtId="167" fontId="54" fillId="0" borderId="13" xfId="0" applyNumberFormat="1" applyFont="1" applyFill="1" applyBorder="1" applyAlignment="1">
      <alignment vertical="center" wrapText="1"/>
    </xf>
    <xf numFmtId="167" fontId="63" fillId="0" borderId="17" xfId="0" applyNumberFormat="1" applyFont="1" applyFill="1" applyBorder="1" applyAlignment="1">
      <alignment vertical="center"/>
    </xf>
    <xf numFmtId="166" fontId="69" fillId="0" borderId="17" xfId="0" applyNumberFormat="1" applyFont="1" applyFill="1" applyBorder="1" applyAlignment="1">
      <alignment vertical="center" wrapText="1"/>
    </xf>
    <xf numFmtId="166" fontId="69" fillId="0" borderId="18" xfId="0" applyNumberFormat="1" applyFont="1" applyFill="1" applyBorder="1" applyAlignment="1">
      <alignment vertical="center" wrapText="1"/>
    </xf>
    <xf numFmtId="0" fontId="6" fillId="0" borderId="15" xfId="0" applyFont="1" applyFill="1" applyBorder="1" applyAlignment="1">
      <alignment horizontal="left" vertical="center" wrapText="1" indent="1"/>
    </xf>
    <xf numFmtId="0" fontId="6" fillId="0" borderId="14" xfId="0" applyFont="1" applyFill="1" applyBorder="1" applyAlignment="1">
      <alignment horizontal="right" vertical="center" wrapText="1" indent="1"/>
    </xf>
    <xf numFmtId="0" fontId="84" fillId="0" borderId="90" xfId="0" applyFont="1" applyFill="1" applyBorder="1" applyAlignment="1">
      <alignment horizontal="left" vertical="center" wrapText="1"/>
    </xf>
    <xf numFmtId="0" fontId="7" fillId="0" borderId="14" xfId="0" applyFont="1" applyFill="1" applyBorder="1" applyAlignment="1">
      <alignment horizontal="left" vertical="center" wrapText="1" indent="1"/>
    </xf>
    <xf numFmtId="0" fontId="6" fillId="0" borderId="19" xfId="0" applyFont="1" applyFill="1" applyBorder="1" applyAlignment="1">
      <alignment horizontal="left" vertical="center" wrapText="1" indent="1"/>
    </xf>
    <xf numFmtId="4" fontId="7" fillId="0" borderId="19" xfId="0" applyNumberFormat="1" applyFont="1" applyFill="1" applyBorder="1" applyAlignment="1">
      <alignment horizontal="right" vertical="center" wrapText="1" indent="1"/>
    </xf>
    <xf numFmtId="0" fontId="7" fillId="0" borderId="26" xfId="0" applyFont="1" applyFill="1" applyBorder="1" applyAlignment="1">
      <alignment horizontal="left" vertical="center" wrapText="1" indent="1"/>
    </xf>
    <xf numFmtId="0" fontId="7" fillId="0" borderId="18" xfId="0" applyFont="1" applyFill="1" applyBorder="1" applyAlignment="1">
      <alignment horizontal="right" vertical="center" wrapText="1" indent="1"/>
    </xf>
    <xf numFmtId="0" fontId="7"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15" xfId="42" applyFont="1" applyFill="1" applyBorder="1" applyAlignment="1">
      <alignment horizontal="center" vertical="center" wrapText="1"/>
    </xf>
    <xf numFmtId="4" fontId="3" fillId="0" borderId="13" xfId="42" applyNumberFormat="1" applyFont="1" applyFill="1" applyBorder="1" applyAlignment="1">
      <alignment horizontal="right" vertical="center" wrapText="1" indent="1"/>
    </xf>
    <xf numFmtId="4" fontId="3" fillId="0" borderId="13" xfId="42" applyNumberFormat="1" applyFont="1" applyFill="1" applyBorder="1" applyAlignment="1">
      <alignment horizontal="center" vertical="center" wrapText="1"/>
    </xf>
    <xf numFmtId="0" fontId="3" fillId="0" borderId="13" xfId="42" applyFont="1" applyFill="1" applyBorder="1" applyAlignment="1">
      <alignment horizontal="left" vertical="top" wrapText="1" indent="1"/>
    </xf>
    <xf numFmtId="4" fontId="3" fillId="0" borderId="19" xfId="42" applyNumberFormat="1" applyFont="1" applyFill="1" applyBorder="1" applyAlignment="1">
      <alignment horizontal="right" vertical="center" wrapText="1" indent="1"/>
    </xf>
    <xf numFmtId="0" fontId="3" fillId="0" borderId="19" xfId="42" applyFont="1" applyFill="1" applyBorder="1" applyAlignment="1">
      <alignment horizontal="left" vertical="top" wrapText="1" indent="1"/>
    </xf>
    <xf numFmtId="0" fontId="3" fillId="0" borderId="16" xfId="42" applyFont="1" applyFill="1" applyBorder="1" applyAlignment="1">
      <alignment horizontal="center" vertical="center" wrapText="1"/>
    </xf>
    <xf numFmtId="4" fontId="2" fillId="0" borderId="17" xfId="42" applyNumberFormat="1" applyFont="1" applyFill="1" applyBorder="1" applyAlignment="1">
      <alignment horizontal="right" vertical="center" wrapText="1" indent="1"/>
    </xf>
    <xf numFmtId="0" fontId="2" fillId="0" borderId="13" xfId="0" applyFont="1" applyFill="1" applyBorder="1" applyAlignment="1">
      <alignment horizontal="left" vertical="center" wrapText="1" indent="1"/>
    </xf>
    <xf numFmtId="4" fontId="6" fillId="0" borderId="19" xfId="0" applyNumberFormat="1" applyFont="1" applyFill="1" applyBorder="1" applyAlignment="1">
      <alignment horizontal="right" vertical="center" wrapText="1" indent="1"/>
    </xf>
    <xf numFmtId="0" fontId="3" fillId="0" borderId="21" xfId="0" applyFont="1" applyFill="1" applyBorder="1" applyAlignment="1">
      <alignment horizontal="center" vertical="center" wrapText="1"/>
    </xf>
    <xf numFmtId="4" fontId="3" fillId="0" borderId="26" xfId="0" applyNumberFormat="1" applyFont="1" applyFill="1" applyBorder="1" applyAlignment="1">
      <alignment horizontal="right" vertical="center" wrapText="1" indent="1"/>
    </xf>
    <xf numFmtId="4" fontId="3" fillId="0" borderId="18" xfId="0" applyNumberFormat="1" applyFont="1" applyFill="1" applyBorder="1" applyAlignment="1">
      <alignment horizontal="right" vertical="center" wrapText="1" indent="1"/>
    </xf>
    <xf numFmtId="4" fontId="3" fillId="0" borderId="0" xfId="0" applyNumberFormat="1" applyFont="1" applyFill="1" applyAlignment="1">
      <alignment vertical="center" wrapText="1"/>
    </xf>
    <xf numFmtId="0" fontId="2" fillId="0" borderId="22" xfId="39" applyFont="1" applyFill="1" applyBorder="1" applyAlignment="1">
      <alignment horizontal="center" vertical="center" wrapText="1"/>
    </xf>
    <xf numFmtId="49" fontId="2" fillId="0" borderId="37" xfId="39" applyNumberFormat="1" applyFont="1" applyFill="1" applyBorder="1" applyAlignment="1">
      <alignment horizontal="center" vertical="center" wrapText="1"/>
    </xf>
    <xf numFmtId="0" fontId="6" fillId="0" borderId="13" xfId="39" applyFont="1" applyFill="1" applyBorder="1" applyAlignment="1">
      <alignment horizontal="center" vertical="center" wrapText="1"/>
    </xf>
    <xf numFmtId="49" fontId="2" fillId="0" borderId="20" xfId="39" applyNumberFormat="1" applyFont="1" applyFill="1" applyBorder="1" applyAlignment="1">
      <alignment horizontal="center" vertical="center" wrapText="1"/>
    </xf>
    <xf numFmtId="0" fontId="7" fillId="0" borderId="32" xfId="39" applyFont="1" applyFill="1" applyBorder="1" applyAlignment="1">
      <alignment horizontal="center" vertical="center" wrapText="1"/>
    </xf>
    <xf numFmtId="0" fontId="7" fillId="0" borderId="38" xfId="39" applyFont="1" applyFill="1" applyBorder="1" applyAlignment="1">
      <alignment horizontal="center" vertical="center" wrapText="1"/>
    </xf>
    <xf numFmtId="0" fontId="7" fillId="0" borderId="54" xfId="39" applyFont="1" applyFill="1" applyBorder="1" applyAlignment="1">
      <alignment horizontal="center" vertical="center" wrapText="1"/>
    </xf>
    <xf numFmtId="0" fontId="6" fillId="0" borderId="14" xfId="39" applyFont="1" applyFill="1" applyBorder="1" applyAlignment="1">
      <alignment horizontal="center" vertical="center" wrapText="1"/>
    </xf>
    <xf numFmtId="0" fontId="3" fillId="0" borderId="22" xfId="39" applyFont="1" applyFill="1" applyBorder="1" applyAlignment="1">
      <alignment horizontal="center" vertical="center" wrapText="1"/>
    </xf>
    <xf numFmtId="0" fontId="6" fillId="0" borderId="37" xfId="39" applyFont="1" applyFill="1" applyBorder="1" applyAlignment="1">
      <alignment horizontal="left" vertical="center" wrapText="1" indent="1"/>
    </xf>
    <xf numFmtId="4" fontId="3" fillId="0" borderId="29" xfId="39" applyNumberFormat="1" applyFont="1" applyFill="1" applyBorder="1" applyAlignment="1">
      <alignment horizontal="right" vertical="center" wrapText="1" indent="1"/>
    </xf>
    <xf numFmtId="4" fontId="7" fillId="0" borderId="32" xfId="39" applyNumberFormat="1" applyFont="1" applyFill="1" applyBorder="1" applyAlignment="1">
      <alignment horizontal="center" vertical="center" wrapText="1"/>
    </xf>
    <xf numFmtId="4" fontId="6" fillId="0" borderId="56" xfId="39" applyNumberFormat="1" applyFont="1" applyFill="1" applyBorder="1" applyAlignment="1">
      <alignment horizontal="right" vertical="center" wrapText="1" indent="1"/>
    </xf>
    <xf numFmtId="14" fontId="75" fillId="0" borderId="0" xfId="39" applyNumberFormat="1" applyFont="1" applyFill="1" applyAlignment="1">
      <alignment vertical="center" wrapText="1"/>
    </xf>
    <xf numFmtId="0" fontId="75" fillId="0" borderId="0" xfId="39" applyFont="1" applyFill="1" applyAlignment="1">
      <alignment vertical="center" wrapText="1"/>
    </xf>
    <xf numFmtId="0" fontId="3" fillId="0" borderId="0" xfId="39" applyFont="1" applyFill="1" applyAlignment="1">
      <alignment vertical="center" wrapText="1"/>
    </xf>
    <xf numFmtId="0" fontId="6" fillId="0" borderId="20" xfId="39" applyFont="1" applyFill="1" applyBorder="1" applyAlignment="1">
      <alignment horizontal="left" vertical="center" wrapText="1" indent="1"/>
    </xf>
    <xf numFmtId="4" fontId="3" fillId="0" borderId="32" xfId="39" applyNumberFormat="1" applyFont="1" applyFill="1" applyBorder="1" applyAlignment="1">
      <alignment horizontal="right" vertical="center" wrapText="1" indent="1"/>
    </xf>
    <xf numFmtId="4" fontId="3" fillId="0" borderId="56" xfId="39" applyNumberFormat="1" applyFont="1" applyFill="1" applyBorder="1" applyAlignment="1">
      <alignment horizontal="right" vertical="center" wrapText="1" indent="1"/>
    </xf>
    <xf numFmtId="3" fontId="3" fillId="0" borderId="0" xfId="39" applyNumberFormat="1" applyFont="1" applyFill="1"/>
    <xf numFmtId="3" fontId="75" fillId="0" borderId="0" xfId="39" applyNumberFormat="1" applyFont="1" applyFill="1"/>
    <xf numFmtId="4" fontId="6" fillId="0" borderId="27" xfId="39" applyNumberFormat="1" applyFont="1" applyFill="1" applyBorder="1" applyAlignment="1">
      <alignment horizontal="right" vertical="center" wrapText="1" indent="1"/>
    </xf>
    <xf numFmtId="0" fontId="3" fillId="0" borderId="57" xfId="39" applyFont="1" applyFill="1" applyBorder="1" applyAlignment="1">
      <alignment horizontal="center" vertical="center" wrapText="1"/>
    </xf>
    <xf numFmtId="0" fontId="6" fillId="0" borderId="59" xfId="39" applyFont="1" applyFill="1" applyBorder="1" applyAlignment="1">
      <alignment horizontal="left" vertical="center" wrapText="1" indent="1"/>
    </xf>
    <xf numFmtId="4" fontId="3" fillId="0" borderId="17" xfId="39" applyNumberFormat="1" applyFont="1" applyFill="1" applyBorder="1" applyAlignment="1">
      <alignment horizontal="right" vertical="center" wrapText="1" indent="1"/>
    </xf>
    <xf numFmtId="4" fontId="3" fillId="0" borderId="86" xfId="39" applyNumberFormat="1" applyFont="1" applyFill="1" applyBorder="1" applyAlignment="1">
      <alignment horizontal="right" vertical="center" wrapText="1" indent="1"/>
    </xf>
    <xf numFmtId="4" fontId="3" fillId="0" borderId="58" xfId="39" applyNumberFormat="1" applyFont="1" applyFill="1" applyBorder="1" applyAlignment="1">
      <alignment horizontal="right" vertical="center" wrapText="1" indent="1"/>
    </xf>
    <xf numFmtId="0" fontId="6" fillId="0" borderId="0" xfId="39" applyFont="1" applyFill="1" applyBorder="1" applyAlignment="1">
      <alignment horizontal="left" vertical="center" wrapText="1" indent="1"/>
    </xf>
    <xf numFmtId="4" fontId="3" fillId="0" borderId="0" xfId="39" applyNumberFormat="1" applyFont="1" applyFill="1" applyBorder="1" applyAlignment="1">
      <alignment horizontal="right" vertical="center" wrapText="1" indent="1"/>
    </xf>
    <xf numFmtId="0" fontId="23" fillId="0" borderId="20" xfId="39" applyFont="1" applyFill="1" applyBorder="1" applyAlignment="1">
      <alignment vertical="center"/>
    </xf>
    <xf numFmtId="0" fontId="23" fillId="0" borderId="54" xfId="39" applyFont="1" applyFill="1" applyBorder="1" applyAlignment="1">
      <alignment vertical="center"/>
    </xf>
    <xf numFmtId="49" fontId="82" fillId="0" borderId="54" xfId="39" applyNumberFormat="1" applyFont="1" applyFill="1" applyBorder="1"/>
    <xf numFmtId="0" fontId="23" fillId="0" borderId="27" xfId="39" applyFont="1" applyFill="1" applyBorder="1"/>
    <xf numFmtId="49" fontId="32" fillId="0" borderId="0" xfId="39" applyNumberFormat="1" applyFont="1" applyFill="1"/>
    <xf numFmtId="3" fontId="6" fillId="0" borderId="0" xfId="44" applyNumberFormat="1" applyFont="1" applyFill="1" applyBorder="1" applyAlignment="1">
      <alignment vertical="center" wrapText="1"/>
    </xf>
    <xf numFmtId="0" fontId="6" fillId="0" borderId="13" xfId="44" applyFont="1" applyFill="1" applyBorder="1" applyAlignment="1">
      <alignment horizontal="center" vertical="center" wrapText="1"/>
    </xf>
    <xf numFmtId="0" fontId="6" fillId="0" borderId="14" xfId="44" applyFont="1" applyFill="1" applyBorder="1" applyAlignment="1">
      <alignment horizontal="center" vertical="center" wrapText="1"/>
    </xf>
    <xf numFmtId="3" fontId="6" fillId="0" borderId="0" xfId="44" applyNumberFormat="1" applyFont="1" applyFill="1" applyBorder="1" applyAlignment="1">
      <alignment horizontal="center" vertical="center" wrapText="1"/>
    </xf>
    <xf numFmtId="3" fontId="7" fillId="0" borderId="15" xfId="44" applyNumberFormat="1" applyFont="1" applyFill="1" applyBorder="1" applyAlignment="1">
      <alignment vertical="center" wrapText="1"/>
    </xf>
    <xf numFmtId="3" fontId="7" fillId="0" borderId="13" xfId="44" applyNumberFormat="1" applyFont="1" applyFill="1" applyBorder="1" applyAlignment="1">
      <alignment horizontal="center" vertical="center" wrapText="1"/>
    </xf>
    <xf numFmtId="3" fontId="7" fillId="0" borderId="0" xfId="44" applyNumberFormat="1" applyFont="1" applyFill="1" applyBorder="1" applyAlignment="1">
      <alignment horizontal="center" vertical="center" wrapText="1"/>
    </xf>
    <xf numFmtId="3" fontId="7" fillId="0" borderId="14" xfId="44" applyNumberFormat="1" applyFont="1" applyFill="1" applyBorder="1" applyAlignment="1">
      <alignment horizontal="center" vertical="center" wrapText="1"/>
    </xf>
    <xf numFmtId="3" fontId="7" fillId="0" borderId="16" xfId="44" applyNumberFormat="1" applyFont="1" applyFill="1" applyBorder="1" applyAlignment="1">
      <alignment horizontal="center" vertical="center" wrapText="1"/>
    </xf>
    <xf numFmtId="4" fontId="6" fillId="0" borderId="17" xfId="44" applyNumberFormat="1" applyFont="1" applyFill="1" applyBorder="1" applyAlignment="1">
      <alignment horizontal="right" vertical="center" wrapText="1" indent="1"/>
    </xf>
    <xf numFmtId="4" fontId="6" fillId="0" borderId="18" xfId="44" applyNumberFormat="1" applyFont="1" applyFill="1" applyBorder="1" applyAlignment="1">
      <alignment horizontal="right" vertical="center" wrapText="1" indent="1"/>
    </xf>
    <xf numFmtId="3" fontId="7" fillId="0" borderId="0" xfId="44" applyNumberFormat="1" applyFont="1" applyFill="1" applyBorder="1" applyAlignment="1">
      <alignment horizontal="right" vertical="center" wrapText="1"/>
    </xf>
    <xf numFmtId="4" fontId="7" fillId="0" borderId="0" xfId="44" applyNumberFormat="1" applyFont="1" applyFill="1" applyBorder="1" applyAlignment="1">
      <alignment vertical="center" wrapText="1"/>
    </xf>
    <xf numFmtId="0" fontId="7" fillId="0" borderId="0" xfId="43" applyFont="1" applyFill="1" applyAlignment="1">
      <alignment vertical="center" wrapText="1"/>
    </xf>
    <xf numFmtId="0" fontId="6" fillId="0" borderId="31" xfId="43" applyFont="1" applyFill="1" applyBorder="1" applyAlignment="1">
      <alignment horizontal="center" vertical="center" wrapText="1"/>
    </xf>
    <xf numFmtId="0" fontId="6" fillId="0" borderId="55" xfId="43" applyFont="1" applyFill="1" applyBorder="1" applyAlignment="1">
      <alignment horizontal="center" vertical="center" wrapText="1"/>
    </xf>
    <xf numFmtId="0" fontId="6" fillId="0" borderId="72" xfId="43" applyFont="1" applyFill="1" applyBorder="1" applyAlignment="1">
      <alignment horizontal="center" vertical="center" wrapText="1"/>
    </xf>
    <xf numFmtId="0" fontId="6" fillId="0" borderId="0" xfId="43" applyFont="1" applyFill="1" applyAlignment="1">
      <alignment horizontal="center" vertical="center" wrapText="1"/>
    </xf>
    <xf numFmtId="0" fontId="23" fillId="0" borderId="22" xfId="41" applyFont="1" applyFill="1" applyBorder="1" applyAlignment="1">
      <alignment horizontal="left" indent="1"/>
    </xf>
    <xf numFmtId="0" fontId="23" fillId="0" borderId="29" xfId="41" applyFont="1" applyFill="1" applyBorder="1"/>
    <xf numFmtId="49" fontId="23" fillId="0" borderId="37" xfId="41" applyNumberFormat="1" applyFont="1" applyFill="1" applyBorder="1" applyAlignment="1">
      <alignment horizontal="center"/>
    </xf>
    <xf numFmtId="3" fontId="7" fillId="0" borderId="29" xfId="43" applyNumberFormat="1" applyFont="1" applyFill="1" applyBorder="1" applyAlignment="1">
      <alignment horizontal="right" vertical="center" wrapText="1" indent="1"/>
    </xf>
    <xf numFmtId="3" fontId="7" fillId="0" borderId="37" xfId="43" applyNumberFormat="1" applyFont="1" applyFill="1" applyBorder="1" applyAlignment="1">
      <alignment horizontal="right" vertical="center" wrapText="1" indent="1"/>
    </xf>
    <xf numFmtId="3" fontId="2" fillId="0" borderId="43" xfId="0" applyNumberFormat="1" applyFont="1" applyFill="1" applyBorder="1" applyAlignment="1">
      <alignment horizontal="right" vertical="center" wrapText="1" indent="1"/>
    </xf>
    <xf numFmtId="0" fontId="23" fillId="0" borderId="13" xfId="41" applyFont="1" applyFill="1" applyBorder="1"/>
    <xf numFmtId="49" fontId="23" fillId="0" borderId="20" xfId="41" applyNumberFormat="1" applyFont="1" applyFill="1" applyBorder="1" applyAlignment="1">
      <alignment horizontal="center"/>
    </xf>
    <xf numFmtId="3" fontId="7" fillId="0" borderId="13" xfId="43" applyNumberFormat="1" applyFont="1" applyFill="1" applyBorder="1" applyAlignment="1">
      <alignment horizontal="right" vertical="center" wrapText="1" indent="1"/>
    </xf>
    <xf numFmtId="3" fontId="7" fillId="0" borderId="20" xfId="43" applyNumberFormat="1" applyFont="1" applyFill="1" applyBorder="1" applyAlignment="1">
      <alignment horizontal="right" vertical="center" wrapText="1" indent="1"/>
    </xf>
    <xf numFmtId="3" fontId="2" fillId="0" borderId="46" xfId="0" applyNumberFormat="1" applyFont="1" applyFill="1" applyBorder="1" applyAlignment="1">
      <alignment horizontal="right" vertical="center" wrapText="1" indent="1"/>
    </xf>
    <xf numFmtId="0" fontId="23" fillId="0" borderId="13" xfId="41" applyFont="1" applyFill="1" applyBorder="1" applyAlignment="1">
      <alignment vertical="center"/>
    </xf>
    <xf numFmtId="0" fontId="1" fillId="0" borderId="0" xfId="0" applyFont="1" applyFill="1"/>
    <xf numFmtId="3" fontId="7" fillId="0" borderId="35" xfId="43" applyNumberFormat="1" applyFont="1" applyFill="1" applyBorder="1" applyAlignment="1">
      <alignment horizontal="right" vertical="center" wrapText="1" indent="1"/>
    </xf>
    <xf numFmtId="49" fontId="54" fillId="0" borderId="20" xfId="41" applyNumberFormat="1" applyFont="1" applyFill="1" applyBorder="1" applyAlignment="1">
      <alignment horizontal="center"/>
    </xf>
    <xf numFmtId="3" fontId="2" fillId="0" borderId="37" xfId="0" applyNumberFormat="1" applyFont="1" applyFill="1" applyBorder="1" applyAlignment="1">
      <alignment horizontal="right" vertical="center" wrapText="1" indent="1"/>
    </xf>
    <xf numFmtId="3" fontId="2" fillId="0" borderId="20" xfId="0" applyNumberFormat="1" applyFont="1" applyFill="1" applyBorder="1" applyAlignment="1">
      <alignment horizontal="right" vertical="center" wrapText="1" indent="1"/>
    </xf>
    <xf numFmtId="3" fontId="2" fillId="0" borderId="13" xfId="0" applyNumberFormat="1" applyFont="1" applyFill="1" applyBorder="1" applyAlignment="1">
      <alignment horizontal="right" vertical="center" wrapText="1" indent="1"/>
    </xf>
    <xf numFmtId="3" fontId="2" fillId="0" borderId="52" xfId="0" applyNumberFormat="1" applyFont="1" applyFill="1" applyBorder="1" applyAlignment="1">
      <alignment horizontal="right" vertical="center" wrapText="1" indent="1"/>
    </xf>
    <xf numFmtId="49" fontId="54" fillId="0" borderId="28" xfId="41" applyNumberFormat="1" applyFont="1" applyFill="1" applyBorder="1" applyAlignment="1">
      <alignment horizontal="center"/>
    </xf>
    <xf numFmtId="3" fontId="2" fillId="0" borderId="59" xfId="0" applyNumberFormat="1" applyFont="1" applyFill="1" applyBorder="1" applyAlignment="1">
      <alignment horizontal="right" vertical="center" wrapText="1" indent="1"/>
    </xf>
    <xf numFmtId="3" fontId="2" fillId="0" borderId="73" xfId="0" applyNumberFormat="1" applyFont="1" applyFill="1" applyBorder="1" applyAlignment="1">
      <alignment horizontal="right" vertical="center" wrapText="1" indent="1"/>
    </xf>
    <xf numFmtId="0" fontId="7" fillId="0" borderId="22" xfId="41" applyFont="1" applyFill="1" applyBorder="1" applyAlignment="1">
      <alignment horizontal="left" indent="1"/>
    </xf>
    <xf numFmtId="0" fontId="7" fillId="0" borderId="29" xfId="41" applyFont="1" applyFill="1" applyBorder="1"/>
    <xf numFmtId="49" fontId="7" fillId="0" borderId="37" xfId="41" applyNumberFormat="1" applyFont="1" applyFill="1" applyBorder="1" applyAlignment="1">
      <alignment horizontal="center"/>
    </xf>
    <xf numFmtId="0" fontId="7" fillId="0" borderId="13" xfId="41" applyFont="1" applyFill="1" applyBorder="1"/>
    <xf numFmtId="49" fontId="7" fillId="0" borderId="20" xfId="41" applyNumberFormat="1" applyFont="1" applyFill="1" applyBorder="1" applyAlignment="1">
      <alignment horizontal="center"/>
    </xf>
    <xf numFmtId="3" fontId="2" fillId="0" borderId="44" xfId="0" applyNumberFormat="1" applyFont="1" applyFill="1" applyBorder="1" applyAlignment="1">
      <alignment horizontal="right" vertical="center" wrapText="1" indent="1"/>
    </xf>
    <xf numFmtId="3" fontId="7" fillId="0" borderId="19" xfId="43" applyNumberFormat="1" applyFont="1" applyFill="1" applyBorder="1" applyAlignment="1">
      <alignment horizontal="right" vertical="center" wrapText="1" indent="1"/>
    </xf>
    <xf numFmtId="0" fontId="7" fillId="0" borderId="19" xfId="41" applyFont="1" applyFill="1" applyBorder="1"/>
    <xf numFmtId="49" fontId="7" fillId="0" borderId="35" xfId="41" applyNumberFormat="1" applyFont="1" applyFill="1" applyBorder="1" applyAlignment="1">
      <alignment horizontal="center"/>
    </xf>
    <xf numFmtId="3" fontId="2" fillId="0" borderId="45" xfId="0" applyNumberFormat="1" applyFont="1" applyFill="1" applyBorder="1" applyAlignment="1">
      <alignment horizontal="right" vertical="center" wrapText="1" indent="1"/>
    </xf>
    <xf numFmtId="49" fontId="54" fillId="0" borderId="55" xfId="41" applyNumberFormat="1" applyFont="1" applyFill="1" applyBorder="1" applyAlignment="1">
      <alignment horizontal="center" vertical="center"/>
    </xf>
    <xf numFmtId="3" fontId="2" fillId="0" borderId="31" xfId="0" applyNumberFormat="1" applyFont="1" applyFill="1" applyBorder="1" applyAlignment="1">
      <alignment horizontal="right" vertical="center" wrapText="1" indent="1"/>
    </xf>
    <xf numFmtId="3" fontId="2" fillId="0" borderId="55" xfId="0" applyNumberFormat="1" applyFont="1" applyFill="1" applyBorder="1" applyAlignment="1">
      <alignment horizontal="right" vertical="center" wrapText="1" indent="1"/>
    </xf>
    <xf numFmtId="3" fontId="2" fillId="0" borderId="72" xfId="0" applyNumberFormat="1" applyFont="1" applyFill="1" applyBorder="1" applyAlignment="1">
      <alignment horizontal="right" vertical="center" wrapText="1" indent="1"/>
    </xf>
    <xf numFmtId="168" fontId="6" fillId="0" borderId="24" xfId="41" applyNumberFormat="1" applyFont="1" applyFill="1" applyBorder="1" applyAlignment="1" applyProtection="1">
      <alignment horizontal="center" vertical="center" wrapText="1"/>
    </xf>
    <xf numFmtId="168" fontId="6" fillId="0" borderId="19" xfId="41" applyNumberFormat="1" applyFont="1" applyFill="1" applyBorder="1" applyAlignment="1" applyProtection="1">
      <alignment horizontal="center" vertical="center"/>
    </xf>
    <xf numFmtId="168" fontId="6" fillId="0" borderId="26" xfId="41" applyNumberFormat="1" applyFont="1" applyFill="1" applyBorder="1" applyAlignment="1" applyProtection="1">
      <alignment horizontal="center" vertical="center"/>
    </xf>
    <xf numFmtId="0" fontId="7" fillId="0" borderId="31" xfId="41" applyFont="1" applyFill="1" applyBorder="1" applyAlignment="1" applyProtection="1">
      <alignment horizontal="center"/>
    </xf>
    <xf numFmtId="168" fontId="7" fillId="0" borderId="55" xfId="41" applyNumberFormat="1" applyFont="1" applyFill="1" applyBorder="1" applyAlignment="1" applyProtection="1">
      <alignment horizontal="center"/>
    </xf>
    <xf numFmtId="168" fontId="7" fillId="0" borderId="31" xfId="41" applyNumberFormat="1" applyFont="1" applyFill="1" applyBorder="1" applyAlignment="1" applyProtection="1">
      <alignment horizontal="center"/>
    </xf>
    <xf numFmtId="168" fontId="7" fillId="0" borderId="36" xfId="41" applyNumberFormat="1" applyFont="1" applyFill="1" applyBorder="1" applyAlignment="1" applyProtection="1">
      <alignment horizontal="center"/>
    </xf>
    <xf numFmtId="49" fontId="6" fillId="0" borderId="29" xfId="41" applyNumberFormat="1" applyFont="1" applyFill="1" applyBorder="1" applyAlignment="1" applyProtection="1">
      <alignment horizontal="center"/>
    </xf>
    <xf numFmtId="3" fontId="2" fillId="0" borderId="29" xfId="0" applyNumberFormat="1" applyFont="1" applyFill="1" applyBorder="1" applyAlignment="1">
      <alignment horizontal="right" vertical="center" wrapText="1" indent="1"/>
    </xf>
    <xf numFmtId="3" fontId="2" fillId="0" borderId="34" xfId="0" applyNumberFormat="1" applyFont="1" applyFill="1" applyBorder="1" applyAlignment="1">
      <alignment horizontal="right" vertical="center" wrapText="1" indent="1"/>
    </xf>
    <xf numFmtId="0" fontId="6" fillId="0" borderId="21" xfId="41" applyFont="1" applyFill="1" applyBorder="1" applyAlignment="1" applyProtection="1">
      <alignment horizontal="center" wrapText="1"/>
    </xf>
    <xf numFmtId="0" fontId="6" fillId="0" borderId="32" xfId="41" applyFont="1" applyFill="1" applyBorder="1" applyAlignment="1" applyProtection="1">
      <alignment wrapText="1"/>
    </xf>
    <xf numFmtId="49" fontId="6" fillId="0" borderId="13" xfId="41" applyNumberFormat="1" applyFont="1" applyFill="1" applyBorder="1" applyAlignment="1" applyProtection="1">
      <alignment horizontal="center"/>
    </xf>
    <xf numFmtId="0" fontId="7" fillId="0" borderId="27" xfId="41" applyFont="1" applyFill="1" applyBorder="1" applyAlignment="1" applyProtection="1">
      <alignment wrapText="1"/>
    </xf>
    <xf numFmtId="49" fontId="7" fillId="0" borderId="13" xfId="41" applyNumberFormat="1" applyFont="1" applyFill="1" applyBorder="1" applyAlignment="1" applyProtection="1">
      <alignment horizontal="center"/>
    </xf>
    <xf numFmtId="3" fontId="7" fillId="0" borderId="14" xfId="43" applyNumberFormat="1" applyFont="1" applyFill="1" applyBorder="1" applyAlignment="1">
      <alignment horizontal="right" vertical="center" wrapText="1" indent="1"/>
    </xf>
    <xf numFmtId="0" fontId="6" fillId="0" borderId="13" xfId="41" applyFont="1" applyFill="1" applyBorder="1" applyAlignment="1" applyProtection="1">
      <alignment wrapText="1"/>
    </xf>
    <xf numFmtId="0" fontId="6" fillId="0" borderId="33" xfId="41" applyFont="1" applyFill="1" applyBorder="1" applyAlignment="1" applyProtection="1">
      <alignment vertical="top" wrapText="1"/>
    </xf>
    <xf numFmtId="0" fontId="7" fillId="0" borderId="13" xfId="41" applyFont="1" applyFill="1" applyBorder="1" applyAlignment="1" applyProtection="1">
      <alignment wrapText="1"/>
    </xf>
    <xf numFmtId="0" fontId="6" fillId="0" borderId="22" xfId="41" applyFont="1" applyFill="1" applyBorder="1" applyAlignment="1" applyProtection="1">
      <alignment vertical="top" wrapText="1"/>
    </xf>
    <xf numFmtId="0" fontId="6" fillId="0" borderId="16" xfId="41" applyFont="1" applyFill="1" applyBorder="1" applyAlignment="1" applyProtection="1">
      <alignment vertical="top" wrapText="1"/>
    </xf>
    <xf numFmtId="49" fontId="7" fillId="0" borderId="17" xfId="41" applyNumberFormat="1" applyFont="1" applyFill="1" applyBorder="1" applyAlignment="1" applyProtection="1">
      <alignment horizontal="center"/>
    </xf>
    <xf numFmtId="3" fontId="7" fillId="0" borderId="17" xfId="43" applyNumberFormat="1" applyFont="1" applyFill="1" applyBorder="1" applyAlignment="1">
      <alignment horizontal="right" vertical="center" wrapText="1" indent="1"/>
    </xf>
    <xf numFmtId="3" fontId="7" fillId="0" borderId="18" xfId="43" applyNumberFormat="1" applyFont="1" applyFill="1" applyBorder="1" applyAlignment="1">
      <alignment horizontal="right" vertical="center" wrapText="1" indent="1"/>
    </xf>
    <xf numFmtId="168" fontId="58" fillId="0" borderId="0" xfId="41" applyNumberFormat="1" applyFont="1" applyFill="1" applyProtection="1"/>
    <xf numFmtId="4" fontId="7" fillId="0" borderId="17" xfId="0" applyNumberFormat="1" applyFont="1" applyFill="1" applyBorder="1" applyAlignment="1">
      <alignment horizontal="right" vertical="center" wrapText="1" indent="1"/>
    </xf>
    <xf numFmtId="0" fontId="1" fillId="0" borderId="0" xfId="0" applyNumberFormat="1" applyFont="1" applyFill="1" applyAlignment="1">
      <alignment vertical="center" wrapText="1"/>
    </xf>
    <xf numFmtId="0" fontId="1" fillId="0" borderId="0" xfId="41" applyFont="1" applyFill="1" applyProtection="1"/>
    <xf numFmtId="0" fontId="7" fillId="0" borderId="13" xfId="41" applyFont="1" applyFill="1" applyBorder="1" applyAlignment="1" applyProtection="1">
      <alignment vertical="center" wrapText="1"/>
    </xf>
    <xf numFmtId="0" fontId="7" fillId="0" borderId="17" xfId="41" applyFont="1" applyFill="1" applyBorder="1" applyAlignment="1" applyProtection="1">
      <alignment wrapText="1"/>
    </xf>
    <xf numFmtId="0" fontId="1" fillId="0" borderId="0" xfId="41" applyFont="1" applyFill="1" applyAlignment="1" applyProtection="1">
      <alignment wrapText="1"/>
    </xf>
    <xf numFmtId="0" fontId="1" fillId="0" borderId="0" xfId="41" applyFont="1" applyFill="1" applyAlignment="1" applyProtection="1">
      <alignment horizontal="center"/>
    </xf>
    <xf numFmtId="0" fontId="1" fillId="0" borderId="0" xfId="41" applyFont="1" applyFill="1"/>
    <xf numFmtId="0" fontId="23" fillId="0" borderId="31" xfId="41" applyFont="1" applyFill="1" applyBorder="1" applyAlignment="1">
      <alignment horizontal="center"/>
    </xf>
    <xf numFmtId="164" fontId="6" fillId="0" borderId="25" xfId="28" applyNumberFormat="1" applyFont="1" applyFill="1" applyBorder="1"/>
    <xf numFmtId="3" fontId="2" fillId="0" borderId="25" xfId="0" applyNumberFormat="1" applyFont="1" applyFill="1" applyBorder="1" applyAlignment="1">
      <alignment horizontal="right" vertical="center" wrapText="1" indent="1"/>
    </xf>
    <xf numFmtId="3" fontId="2" fillId="0" borderId="24" xfId="0" applyNumberFormat="1" applyFont="1" applyFill="1" applyBorder="1" applyAlignment="1">
      <alignment horizontal="right" vertical="center" wrapText="1" indent="1"/>
    </xf>
    <xf numFmtId="0" fontId="1" fillId="0" borderId="0" xfId="41" applyFont="1" applyFill="1" applyBorder="1" applyAlignment="1"/>
    <xf numFmtId="0" fontId="1" fillId="0" borderId="0" xfId="41" applyFont="1" applyFill="1" applyAlignment="1"/>
    <xf numFmtId="0" fontId="6" fillId="0" borderId="21" xfId="41" applyFont="1" applyFill="1" applyBorder="1" applyAlignment="1">
      <alignment vertical="center" wrapText="1"/>
    </xf>
    <xf numFmtId="164" fontId="6" fillId="0" borderId="13" xfId="28" applyNumberFormat="1" applyFont="1" applyFill="1" applyBorder="1"/>
    <xf numFmtId="0" fontId="7" fillId="0" borderId="13" xfId="41" applyFont="1" applyFill="1" applyBorder="1" applyAlignment="1">
      <alignment vertical="center" wrapText="1"/>
    </xf>
    <xf numFmtId="164" fontId="7" fillId="0" borderId="13" xfId="28" applyNumberFormat="1" applyFont="1" applyFill="1" applyBorder="1" applyProtection="1">
      <protection locked="0"/>
    </xf>
    <xf numFmtId="3" fontId="3" fillId="0" borderId="29" xfId="0" applyNumberFormat="1" applyFont="1" applyFill="1" applyBorder="1" applyAlignment="1">
      <alignment horizontal="right" vertical="center" wrapText="1" indent="1"/>
    </xf>
    <xf numFmtId="3" fontId="3" fillId="0" borderId="34" xfId="0" applyNumberFormat="1" applyFont="1" applyFill="1" applyBorder="1" applyAlignment="1">
      <alignment horizontal="right" vertical="center" wrapText="1" indent="1"/>
    </xf>
    <xf numFmtId="0" fontId="6" fillId="0" borderId="33" xfId="41" applyFont="1" applyFill="1" applyBorder="1" applyAlignment="1">
      <alignment horizontal="center" vertical="center" wrapText="1"/>
    </xf>
    <xf numFmtId="0" fontId="6" fillId="0" borderId="15" xfId="41" applyFont="1" applyFill="1" applyBorder="1" applyAlignment="1">
      <alignment horizontal="center" vertical="center" wrapText="1"/>
    </xf>
    <xf numFmtId="0" fontId="6" fillId="0" borderId="13" xfId="41" applyFont="1" applyFill="1" applyBorder="1" applyAlignment="1">
      <alignment horizontal="left" vertical="center" wrapText="1"/>
    </xf>
    <xf numFmtId="3" fontId="6" fillId="0" borderId="13" xfId="28" applyNumberFormat="1" applyFont="1" applyFill="1" applyBorder="1" applyAlignment="1">
      <alignment horizontal="right"/>
    </xf>
    <xf numFmtId="3" fontId="6" fillId="0" borderId="14" xfId="28" applyNumberFormat="1" applyFont="1" applyFill="1" applyBorder="1" applyAlignment="1">
      <alignment horizontal="right"/>
    </xf>
    <xf numFmtId="0" fontId="6" fillId="0" borderId="29" xfId="41" applyFont="1" applyFill="1" applyBorder="1" applyAlignment="1">
      <alignment vertical="center" wrapText="1"/>
    </xf>
    <xf numFmtId="0" fontId="7" fillId="0" borderId="29" xfId="41" applyFont="1" applyFill="1" applyBorder="1" applyAlignment="1">
      <alignment vertical="center" wrapText="1"/>
    </xf>
    <xf numFmtId="164" fontId="7" fillId="0" borderId="13" xfId="28" applyNumberFormat="1" applyFont="1" applyFill="1" applyBorder="1"/>
    <xf numFmtId="49" fontId="6" fillId="0" borderId="17" xfId="41" applyNumberFormat="1" applyFont="1" applyFill="1" applyBorder="1" applyAlignment="1">
      <alignment horizontal="center"/>
    </xf>
    <xf numFmtId="164" fontId="7" fillId="0" borderId="17" xfId="28" applyNumberFormat="1" applyFont="1" applyFill="1" applyBorder="1"/>
    <xf numFmtId="3" fontId="2" fillId="0" borderId="17" xfId="0" applyNumberFormat="1" applyFont="1" applyFill="1" applyBorder="1" applyAlignment="1">
      <alignment horizontal="right" vertical="center" wrapText="1" indent="1"/>
    </xf>
    <xf numFmtId="0" fontId="7" fillId="0" borderId="0" xfId="41" applyFont="1" applyFill="1"/>
    <xf numFmtId="0" fontId="7" fillId="0" borderId="0" xfId="41" applyFont="1" applyFill="1" applyAlignment="1">
      <alignment horizontal="center"/>
    </xf>
    <xf numFmtId="3" fontId="7" fillId="0" borderId="0" xfId="41" applyNumberFormat="1" applyFont="1" applyFill="1" applyAlignment="1">
      <alignment horizontal="right"/>
    </xf>
    <xf numFmtId="3" fontId="7" fillId="0" borderId="0" xfId="41" applyNumberFormat="1" applyFont="1" applyFill="1"/>
    <xf numFmtId="3" fontId="1" fillId="0" borderId="0" xfId="41" applyNumberFormat="1" applyFont="1" applyFill="1" applyAlignment="1">
      <alignment horizontal="right"/>
    </xf>
    <xf numFmtId="3" fontId="1" fillId="0" borderId="0" xfId="41" applyNumberFormat="1" applyFont="1" applyFill="1"/>
    <xf numFmtId="3" fontId="6" fillId="0" borderId="34" xfId="41" applyNumberFormat="1" applyFont="1" applyFill="1" applyBorder="1" applyAlignment="1">
      <alignment horizontal="center" vertical="center" wrapText="1"/>
    </xf>
    <xf numFmtId="3" fontId="6" fillId="0" borderId="19" xfId="41" applyNumberFormat="1" applyFont="1" applyFill="1" applyBorder="1" applyAlignment="1">
      <alignment horizontal="center" vertical="center"/>
    </xf>
    <xf numFmtId="3" fontId="6" fillId="0" borderId="26" xfId="41" applyNumberFormat="1" applyFont="1" applyFill="1" applyBorder="1" applyAlignment="1">
      <alignment horizontal="center" vertical="center"/>
    </xf>
    <xf numFmtId="0" fontId="7" fillId="0" borderId="31" xfId="41" applyFont="1" applyFill="1" applyBorder="1" applyAlignment="1">
      <alignment horizontal="center" vertical="center"/>
    </xf>
    <xf numFmtId="3" fontId="7" fillId="0" borderId="31" xfId="41" applyNumberFormat="1" applyFont="1" applyFill="1" applyBorder="1" applyAlignment="1">
      <alignment horizontal="center" vertical="center"/>
    </xf>
    <xf numFmtId="3" fontId="7" fillId="0" borderId="36" xfId="41" applyNumberFormat="1" applyFont="1" applyFill="1" applyBorder="1" applyAlignment="1">
      <alignment horizontal="center" vertical="center"/>
    </xf>
    <xf numFmtId="49" fontId="6" fillId="0" borderId="29" xfId="41" applyNumberFormat="1" applyFont="1" applyFill="1" applyBorder="1" applyAlignment="1">
      <alignment horizontal="center" vertical="center"/>
    </xf>
    <xf numFmtId="0" fontId="6" fillId="0" borderId="21" xfId="41" applyFont="1" applyFill="1" applyBorder="1" applyAlignment="1">
      <alignment horizontal="center" vertical="center" wrapText="1"/>
    </xf>
    <xf numFmtId="49" fontId="6" fillId="0" borderId="13" xfId="41" applyNumberFormat="1" applyFont="1" applyFill="1" applyBorder="1" applyAlignment="1">
      <alignment horizontal="center" vertical="center"/>
    </xf>
    <xf numFmtId="49" fontId="7" fillId="0" borderId="20" xfId="41" applyNumberFormat="1" applyFont="1" applyFill="1" applyBorder="1" applyAlignment="1">
      <alignment horizontal="center" vertical="center"/>
    </xf>
    <xf numFmtId="3" fontId="6" fillId="0" borderId="13" xfId="41" applyNumberFormat="1" applyFont="1" applyFill="1" applyBorder="1" applyAlignment="1"/>
    <xf numFmtId="3" fontId="6" fillId="0" borderId="27" xfId="41" applyNumberFormat="1" applyFont="1" applyFill="1" applyBorder="1" applyAlignment="1"/>
    <xf numFmtId="3" fontId="6" fillId="0" borderId="38" xfId="41" applyNumberFormat="1" applyFont="1" applyFill="1" applyBorder="1" applyAlignment="1"/>
    <xf numFmtId="49" fontId="6" fillId="0" borderId="20" xfId="41" applyNumberFormat="1" applyFont="1" applyFill="1" applyBorder="1" applyAlignment="1">
      <alignment horizontal="center" vertical="center"/>
    </xf>
    <xf numFmtId="3" fontId="2" fillId="0" borderId="38" xfId="0" applyNumberFormat="1" applyFont="1" applyFill="1" applyBorder="1" applyAlignment="1">
      <alignment horizontal="right" vertical="center" wrapText="1" indent="1"/>
    </xf>
    <xf numFmtId="0" fontId="6" fillId="0" borderId="22" xfId="41" applyFont="1" applyFill="1" applyBorder="1" applyAlignment="1">
      <alignment horizontal="center" vertical="center" wrapText="1"/>
    </xf>
    <xf numFmtId="0" fontId="7" fillId="0" borderId="19" xfId="41" applyFont="1" applyFill="1" applyBorder="1" applyAlignment="1">
      <alignment wrapText="1"/>
    </xf>
    <xf numFmtId="49" fontId="7" fillId="0" borderId="35" xfId="41" applyNumberFormat="1" applyFont="1" applyFill="1" applyBorder="1" applyAlignment="1">
      <alignment horizontal="center" vertical="center"/>
    </xf>
    <xf numFmtId="3" fontId="6" fillId="0" borderId="17" xfId="41" applyNumberFormat="1" applyFont="1" applyFill="1" applyBorder="1" applyAlignment="1"/>
    <xf numFmtId="3" fontId="6" fillId="0" borderId="39" xfId="41" applyNumberFormat="1" applyFont="1" applyFill="1" applyBorder="1" applyAlignment="1"/>
    <xf numFmtId="3" fontId="6" fillId="0" borderId="40" xfId="41" applyNumberFormat="1" applyFont="1" applyFill="1" applyBorder="1" applyAlignment="1"/>
    <xf numFmtId="49" fontId="6" fillId="0" borderId="55" xfId="41" applyNumberFormat="1" applyFont="1" applyFill="1" applyBorder="1" applyAlignment="1">
      <alignment horizontal="center" vertical="center"/>
    </xf>
    <xf numFmtId="3" fontId="2" fillId="0" borderId="36" xfId="0" applyNumberFormat="1" applyFont="1" applyFill="1" applyBorder="1" applyAlignment="1">
      <alignment horizontal="right" vertical="center" wrapText="1" indent="1"/>
    </xf>
    <xf numFmtId="49" fontId="7" fillId="0" borderId="37" xfId="41" applyNumberFormat="1" applyFont="1" applyFill="1" applyBorder="1" applyAlignment="1">
      <alignment horizontal="center" vertical="center"/>
    </xf>
    <xf numFmtId="3" fontId="6" fillId="0" borderId="25" xfId="41" applyNumberFormat="1" applyFont="1" applyFill="1" applyBorder="1" applyAlignment="1"/>
    <xf numFmtId="3" fontId="6" fillId="0" borderId="41" xfId="41" applyNumberFormat="1" applyFont="1" applyFill="1" applyBorder="1" applyAlignment="1"/>
    <xf numFmtId="3" fontId="6" fillId="0" borderId="42" xfId="41" applyNumberFormat="1" applyFont="1" applyFill="1" applyBorder="1" applyAlignment="1"/>
    <xf numFmtId="0" fontId="7" fillId="0" borderId="19" xfId="41" applyFont="1" applyFill="1" applyBorder="1" applyAlignment="1">
      <alignment vertical="center" wrapText="1"/>
    </xf>
    <xf numFmtId="49" fontId="7" fillId="0" borderId="55" xfId="41" applyNumberFormat="1" applyFont="1" applyFill="1" applyBorder="1" applyAlignment="1">
      <alignment horizontal="center" vertical="center"/>
    </xf>
    <xf numFmtId="0" fontId="1" fillId="0" borderId="0" xfId="41" applyFont="1" applyFill="1" applyAlignment="1">
      <alignment wrapText="1"/>
    </xf>
    <xf numFmtId="0" fontId="1" fillId="0" borderId="0" xfId="41" applyFont="1" applyFill="1" applyAlignment="1">
      <alignment horizontal="center"/>
    </xf>
    <xf numFmtId="3" fontId="58" fillId="0" borderId="0" xfId="41" applyNumberFormat="1" applyFont="1" applyFill="1"/>
    <xf numFmtId="0" fontId="2" fillId="0" borderId="17" xfId="0" applyFont="1" applyFill="1" applyBorder="1" applyAlignment="1">
      <alignment horizontal="left" vertical="center" wrapText="1" indent="1"/>
    </xf>
    <xf numFmtId="0" fontId="2" fillId="0" borderId="81" xfId="0" applyFont="1" applyFill="1" applyBorder="1" applyAlignment="1">
      <alignment horizontal="left" vertical="center" wrapText="1" indent="1"/>
    </xf>
    <xf numFmtId="4" fontId="2" fillId="0" borderId="81" xfId="0" applyNumberFormat="1" applyFont="1" applyFill="1" applyBorder="1" applyAlignment="1">
      <alignment horizontal="center" vertical="center" wrapText="1"/>
    </xf>
    <xf numFmtId="0" fontId="2" fillId="0" borderId="81" xfId="0" applyFont="1" applyFill="1" applyBorder="1" applyAlignment="1">
      <alignment horizontal="center" vertical="center" wrapText="1"/>
    </xf>
    <xf numFmtId="0" fontId="10" fillId="0" borderId="0" xfId="0" applyFont="1" applyFill="1" applyAlignment="1">
      <alignment horizontal="center" vertical="center" wrapText="1"/>
    </xf>
    <xf numFmtId="0" fontId="6" fillId="0" borderId="15" xfId="0" applyFont="1" applyFill="1" applyBorder="1" applyAlignment="1">
      <alignment horizontal="center" vertical="center" wrapText="1"/>
    </xf>
    <xf numFmtId="0" fontId="6" fillId="0" borderId="0" xfId="0" applyFont="1" applyFill="1"/>
    <xf numFmtId="0" fontId="7" fillId="0" borderId="0" xfId="0" applyFont="1" applyFill="1" applyAlignment="1">
      <alignment vertical="top" wrapText="1"/>
    </xf>
    <xf numFmtId="0" fontId="7" fillId="0" borderId="0" xfId="0" applyFont="1" applyFill="1" applyAlignment="1"/>
    <xf numFmtId="0" fontId="7" fillId="0" borderId="16" xfId="0" applyFont="1" applyFill="1" applyBorder="1" applyAlignment="1">
      <alignment horizontal="center" vertical="center"/>
    </xf>
    <xf numFmtId="0" fontId="6" fillId="0" borderId="17" xfId="0" applyFont="1" applyFill="1" applyBorder="1" applyAlignment="1">
      <alignment horizontal="left" wrapText="1" indent="1"/>
    </xf>
    <xf numFmtId="0" fontId="7" fillId="0" borderId="0" xfId="0" applyFont="1" applyFill="1" applyAlignment="1">
      <alignment horizontal="center" vertical="center"/>
    </xf>
    <xf numFmtId="0" fontId="7" fillId="0" borderId="0" xfId="0" applyFont="1" applyFill="1" applyBorder="1" applyAlignment="1">
      <alignment vertical="center" wrapText="1"/>
    </xf>
    <xf numFmtId="0" fontId="62" fillId="0" borderId="0" xfId="0" applyFont="1" applyFill="1" applyAlignment="1">
      <alignment horizontal="left" vertical="center" indent="1"/>
    </xf>
    <xf numFmtId="0" fontId="3" fillId="0" borderId="0" xfId="0" applyFont="1" applyFill="1" applyBorder="1" applyAlignment="1">
      <alignment horizontal="left" vertical="center"/>
    </xf>
    <xf numFmtId="49" fontId="2" fillId="0" borderId="13" xfId="42" applyNumberFormat="1" applyFont="1" applyFill="1" applyBorder="1" applyAlignment="1">
      <alignment horizontal="left" vertical="center" wrapText="1" indent="1"/>
    </xf>
    <xf numFmtId="4" fontId="2" fillId="0" borderId="13" xfId="42" applyNumberFormat="1" applyFont="1" applyFill="1" applyBorder="1" applyAlignment="1">
      <alignment horizontal="right" vertical="center" wrapText="1" indent="1"/>
    </xf>
    <xf numFmtId="3" fontId="2" fillId="0" borderId="13" xfId="42" applyNumberFormat="1" applyFont="1" applyFill="1" applyBorder="1" applyAlignment="1">
      <alignment horizontal="right" vertical="center" wrapText="1" indent="1"/>
    </xf>
    <xf numFmtId="3" fontId="2" fillId="0" borderId="14" xfId="42" applyNumberFormat="1" applyFont="1" applyFill="1" applyBorder="1" applyAlignment="1">
      <alignment horizontal="right" vertical="center" wrapText="1" indent="1"/>
    </xf>
    <xf numFmtId="49" fontId="3" fillId="0" borderId="13" xfId="42" applyNumberFormat="1" applyFont="1" applyFill="1" applyBorder="1" applyAlignment="1">
      <alignment horizontal="left" vertical="center" wrapText="1" indent="1"/>
    </xf>
    <xf numFmtId="3" fontId="2" fillId="0" borderId="14" xfId="42" applyNumberFormat="1" applyFont="1" applyFill="1" applyBorder="1" applyAlignment="1">
      <alignment horizontal="center" vertical="center" wrapText="1"/>
    </xf>
    <xf numFmtId="3" fontId="2" fillId="0" borderId="13" xfId="42" applyNumberFormat="1" applyFont="1" applyFill="1" applyBorder="1" applyAlignment="1">
      <alignment horizontal="center" vertical="center" wrapText="1"/>
    </xf>
    <xf numFmtId="49" fontId="2" fillId="0" borderId="17" xfId="42" applyNumberFormat="1" applyFont="1" applyFill="1" applyBorder="1" applyAlignment="1">
      <alignment horizontal="left" vertical="center" wrapText="1" indent="1"/>
    </xf>
    <xf numFmtId="3" fontId="2" fillId="0" borderId="17" xfId="42" applyNumberFormat="1" applyFont="1" applyFill="1" applyBorder="1" applyAlignment="1">
      <alignment horizontal="right" vertical="center" wrapText="1" indent="1"/>
    </xf>
    <xf numFmtId="3" fontId="2" fillId="0" borderId="18" xfId="42" applyNumberFormat="1" applyFont="1" applyFill="1" applyBorder="1" applyAlignment="1">
      <alignment horizontal="right" vertical="center" wrapText="1" indent="1"/>
    </xf>
    <xf numFmtId="0" fontId="2" fillId="0" borderId="13" xfId="0" applyFont="1" applyFill="1" applyBorder="1" applyAlignment="1">
      <alignment horizontal="left" vertical="center" wrapText="1"/>
    </xf>
    <xf numFmtId="0" fontId="3" fillId="0" borderId="13" xfId="0" applyFont="1" applyFill="1" applyBorder="1" applyAlignment="1">
      <alignment horizontal="left" vertical="center" wrapText="1" indent="1"/>
    </xf>
    <xf numFmtId="0" fontId="2" fillId="0" borderId="86" xfId="0" applyFont="1" applyFill="1" applyBorder="1" applyAlignment="1">
      <alignment horizontal="left" vertical="center" wrapText="1" indent="1"/>
    </xf>
    <xf numFmtId="4" fontId="2" fillId="0" borderId="82" xfId="0" applyNumberFormat="1" applyFont="1" applyFill="1" applyBorder="1" applyAlignment="1">
      <alignment horizontal="right" vertical="center" wrapText="1" indent="1"/>
    </xf>
    <xf numFmtId="3" fontId="2" fillId="0" borderId="53" xfId="0" applyNumberFormat="1" applyFont="1" applyFill="1" applyBorder="1" applyAlignment="1">
      <alignment horizontal="right" vertical="center" wrapText="1" indent="1"/>
    </xf>
    <xf numFmtId="0" fontId="88" fillId="0" borderId="0" xfId="0" applyFont="1" applyFill="1" applyBorder="1"/>
    <xf numFmtId="49" fontId="88" fillId="0" borderId="29" xfId="0" applyNumberFormat="1" applyFont="1" applyFill="1" applyBorder="1" applyAlignment="1">
      <alignment horizontal="left" indent="1"/>
    </xf>
    <xf numFmtId="167" fontId="88" fillId="0" borderId="29" xfId="0" applyNumberFormat="1" applyFont="1" applyFill="1" applyBorder="1" applyAlignment="1">
      <alignment horizontal="center"/>
    </xf>
    <xf numFmtId="4" fontId="88" fillId="0" borderId="29" xfId="0" applyNumberFormat="1" applyFont="1" applyFill="1" applyBorder="1" applyAlignment="1">
      <alignment horizontal="right" vertical="center" wrapText="1" indent="1"/>
    </xf>
    <xf numFmtId="0" fontId="6" fillId="0" borderId="22" xfId="0" applyFont="1" applyFill="1" applyBorder="1" applyAlignment="1">
      <alignment vertical="center" wrapText="1"/>
    </xf>
    <xf numFmtId="49" fontId="7" fillId="0" borderId="0" xfId="0" applyNumberFormat="1" applyFont="1" applyFill="1" applyBorder="1" applyAlignment="1">
      <alignment vertical="center" wrapText="1"/>
    </xf>
    <xf numFmtId="49" fontId="7" fillId="0" borderId="0" xfId="0" applyNumberFormat="1" applyFont="1" applyFill="1" applyAlignment="1">
      <alignment vertical="center" wrapText="1"/>
    </xf>
    <xf numFmtId="0" fontId="7" fillId="0" borderId="0" xfId="40" applyFont="1" applyFill="1"/>
    <xf numFmtId="0" fontId="6" fillId="0" borderId="13" xfId="40" applyFont="1" applyFill="1" applyBorder="1" applyAlignment="1">
      <alignment horizontal="center" vertical="center" wrapText="1"/>
    </xf>
    <xf numFmtId="0" fontId="6" fillId="0" borderId="22" xfId="40" applyFont="1" applyFill="1" applyBorder="1" applyAlignment="1">
      <alignment vertical="center"/>
    </xf>
    <xf numFmtId="0" fontId="6" fillId="0" borderId="29" xfId="40" applyFont="1" applyFill="1" applyBorder="1" applyAlignment="1">
      <alignment vertical="center"/>
    </xf>
    <xf numFmtId="0" fontId="6" fillId="0" borderId="29" xfId="40" applyFont="1" applyFill="1" applyBorder="1" applyAlignment="1">
      <alignment horizontal="center" vertical="center"/>
    </xf>
    <xf numFmtId="0" fontId="6" fillId="0" borderId="37" xfId="40" applyFont="1" applyFill="1" applyBorder="1" applyAlignment="1">
      <alignment horizontal="center" vertical="center"/>
    </xf>
    <xf numFmtId="0" fontId="6" fillId="0" borderId="34" xfId="40" applyFont="1" applyFill="1" applyBorder="1" applyAlignment="1">
      <alignment horizontal="center" vertical="center"/>
    </xf>
    <xf numFmtId="0" fontId="7" fillId="0" borderId="0" xfId="40" applyFont="1" applyFill="1" applyAlignment="1">
      <alignment horizontal="right"/>
    </xf>
    <xf numFmtId="0" fontId="7" fillId="0" borderId="15" xfId="40" applyFont="1" applyFill="1" applyBorder="1" applyAlignment="1">
      <alignment horizontal="center" vertical="center"/>
    </xf>
    <xf numFmtId="0" fontId="6" fillId="0" borderId="13" xfId="40" applyFont="1" applyFill="1" applyBorder="1" applyAlignment="1">
      <alignment horizontal="left" vertical="center" indent="1"/>
    </xf>
    <xf numFmtId="4" fontId="7" fillId="0" borderId="0" xfId="40" applyNumberFormat="1" applyFont="1" applyFill="1"/>
    <xf numFmtId="4" fontId="7" fillId="0" borderId="20" xfId="0" applyNumberFormat="1" applyFont="1" applyFill="1" applyBorder="1" applyAlignment="1">
      <alignment horizontal="right" vertical="center" wrapText="1" indent="1"/>
    </xf>
    <xf numFmtId="0" fontId="7" fillId="0" borderId="13" xfId="40" applyFont="1" applyFill="1" applyBorder="1" applyAlignment="1">
      <alignment horizontal="left" vertical="center" indent="1"/>
    </xf>
    <xf numFmtId="0" fontId="7" fillId="0" borderId="16" xfId="40" applyFont="1" applyFill="1" applyBorder="1" applyAlignment="1">
      <alignment horizontal="center" vertical="center"/>
    </xf>
    <xf numFmtId="0" fontId="7" fillId="0" borderId="17" xfId="40" applyFont="1" applyFill="1" applyBorder="1" applyAlignment="1">
      <alignment horizontal="left" vertical="center" indent="1"/>
    </xf>
    <xf numFmtId="4" fontId="7" fillId="0" borderId="17" xfId="0" applyNumberFormat="1" applyFont="1" applyFill="1" applyBorder="1" applyAlignment="1">
      <alignment horizontal="center" vertical="center" wrapText="1"/>
    </xf>
    <xf numFmtId="0" fontId="7" fillId="0" borderId="35" xfId="40" applyFont="1" applyFill="1" applyBorder="1"/>
    <xf numFmtId="0" fontId="7" fillId="0" borderId="48" xfId="40" applyFont="1" applyFill="1" applyBorder="1"/>
    <xf numFmtId="0" fontId="7" fillId="0" borderId="49" xfId="40" applyFont="1" applyFill="1" applyBorder="1"/>
    <xf numFmtId="0" fontId="7" fillId="0" borderId="37" xfId="40" applyFont="1" applyFill="1" applyBorder="1" applyAlignment="1">
      <alignment horizontal="left"/>
    </xf>
    <xf numFmtId="0" fontId="7" fillId="0" borderId="52" xfId="40" applyFont="1" applyFill="1" applyBorder="1"/>
    <xf numFmtId="0" fontId="7" fillId="0" borderId="32" xfId="40" applyFont="1" applyFill="1" applyBorder="1"/>
    <xf numFmtId="0" fontId="3" fillId="0" borderId="88" xfId="0" applyFont="1" applyFill="1" applyBorder="1" applyAlignment="1">
      <alignment horizontal="center" vertical="center" wrapText="1"/>
    </xf>
    <xf numFmtId="0" fontId="89" fillId="0" borderId="0" xfId="0" applyFont="1" applyFill="1" applyAlignment="1">
      <alignment vertical="center"/>
    </xf>
    <xf numFmtId="0" fontId="7" fillId="0" borderId="15" xfId="0" applyFont="1" applyFill="1" applyBorder="1" applyAlignment="1">
      <alignment horizontal="center" vertical="center"/>
    </xf>
    <xf numFmtId="49" fontId="6" fillId="0" borderId="13" xfId="0" applyNumberFormat="1" applyFont="1" applyFill="1" applyBorder="1" applyAlignment="1">
      <alignment horizontal="left" vertical="top" wrapText="1"/>
    </xf>
    <xf numFmtId="49" fontId="6" fillId="0" borderId="13" xfId="0" applyNumberFormat="1" applyFont="1" applyFill="1" applyBorder="1" applyAlignment="1">
      <alignment horizontal="left" vertical="top" wrapText="1" indent="1"/>
    </xf>
    <xf numFmtId="49" fontId="7" fillId="0" borderId="13" xfId="0" applyNumberFormat="1" applyFont="1" applyFill="1" applyBorder="1" applyAlignment="1">
      <alignment horizontal="left" vertical="top" wrapText="1" indent="1"/>
    </xf>
    <xf numFmtId="49" fontId="7" fillId="0" borderId="13" xfId="0" applyNumberFormat="1" applyFont="1" applyFill="1" applyBorder="1" applyAlignment="1">
      <alignment horizontal="left" wrapText="1" indent="1"/>
    </xf>
    <xf numFmtId="49" fontId="7" fillId="0" borderId="13" xfId="0" applyNumberFormat="1" applyFont="1" applyFill="1" applyBorder="1" applyAlignment="1">
      <alignment horizontal="left" vertical="center" wrapText="1"/>
    </xf>
    <xf numFmtId="4" fontId="7" fillId="0" borderId="13" xfId="0" applyNumberFormat="1" applyFont="1" applyFill="1" applyBorder="1" applyAlignment="1">
      <alignment horizontal="right" vertical="center" wrapText="1"/>
    </xf>
    <xf numFmtId="0" fontId="7" fillId="0" borderId="0" xfId="0" applyFont="1" applyFill="1" applyAlignment="1">
      <alignment vertical="center"/>
    </xf>
    <xf numFmtId="4" fontId="7" fillId="0" borderId="0" xfId="0" applyNumberFormat="1" applyFont="1" applyFill="1"/>
    <xf numFmtId="49" fontId="6" fillId="0" borderId="17" xfId="0" applyNumberFormat="1" applyFont="1" applyFill="1" applyBorder="1" applyAlignment="1">
      <alignment horizontal="left" vertical="top" wrapText="1" indent="1"/>
    </xf>
    <xf numFmtId="49" fontId="7" fillId="0" borderId="0" xfId="0" applyNumberFormat="1" applyFont="1" applyFill="1" applyAlignment="1">
      <alignment horizontal="left" wrapText="1"/>
    </xf>
    <xf numFmtId="167" fontId="7" fillId="0" borderId="0" xfId="0" applyNumberFormat="1" applyFont="1" applyFill="1"/>
    <xf numFmtId="49" fontId="8" fillId="0" borderId="13" xfId="0" applyNumberFormat="1" applyFont="1" applyFill="1" applyBorder="1" applyAlignment="1">
      <alignment horizontal="left" vertical="top" wrapText="1" indent="1"/>
    </xf>
    <xf numFmtId="49" fontId="6" fillId="0" borderId="13" xfId="0" applyNumberFormat="1" applyFont="1" applyFill="1" applyBorder="1" applyAlignment="1">
      <alignment horizontal="center" vertical="center" wrapText="1"/>
    </xf>
    <xf numFmtId="0" fontId="7" fillId="0" borderId="0" xfId="0" applyFont="1" applyFill="1" applyAlignment="1">
      <alignment wrapText="1"/>
    </xf>
    <xf numFmtId="3" fontId="7" fillId="0" borderId="0" xfId="0" applyNumberFormat="1" applyFont="1" applyFill="1"/>
    <xf numFmtId="4" fontId="6" fillId="0" borderId="40" xfId="0" applyNumberFormat="1" applyFont="1" applyFill="1" applyBorder="1" applyAlignment="1">
      <alignment horizontal="right" vertical="center" wrapText="1" indent="1"/>
    </xf>
    <xf numFmtId="0" fontId="7" fillId="0" borderId="0" xfId="0" applyFont="1" applyFill="1" applyAlignment="1">
      <alignment horizontal="left" vertical="center"/>
    </xf>
    <xf numFmtId="49" fontId="7" fillId="0" borderId="0" xfId="0" applyNumberFormat="1" applyFont="1" applyFill="1" applyAlignment="1">
      <alignment horizontal="left" vertical="center" wrapText="1"/>
    </xf>
    <xf numFmtId="49" fontId="7" fillId="0" borderId="0" xfId="0" applyNumberFormat="1" applyFont="1" applyFill="1"/>
    <xf numFmtId="0" fontId="92" fillId="0" borderId="0" xfId="0" applyFont="1" applyFill="1"/>
    <xf numFmtId="0" fontId="93" fillId="0" borderId="15" xfId="82" quotePrefix="1" applyNumberFormat="1" applyFont="1" applyFill="1" applyBorder="1">
      <alignment horizontal="left" vertical="center" indent="1"/>
    </xf>
    <xf numFmtId="0" fontId="93" fillId="0" borderId="14" xfId="82" quotePrefix="1" applyNumberFormat="1" applyFont="1" applyFill="1" applyBorder="1">
      <alignment horizontal="left" vertical="center" indent="1"/>
    </xf>
    <xf numFmtId="0" fontId="93" fillId="0" borderId="21" xfId="82" quotePrefix="1" applyNumberFormat="1" applyFont="1" applyFill="1" applyBorder="1">
      <alignment horizontal="left" vertical="center" indent="1"/>
    </xf>
    <xf numFmtId="0" fontId="93" fillId="0" borderId="26" xfId="82" quotePrefix="1" applyNumberFormat="1" applyFont="1" applyFill="1" applyBorder="1">
      <alignment horizontal="left" vertical="center" indent="1"/>
    </xf>
    <xf numFmtId="0" fontId="93" fillId="0" borderId="30" xfId="82" quotePrefix="1" applyNumberFormat="1" applyFont="1" applyFill="1" applyBorder="1">
      <alignment horizontal="left" vertical="center" indent="1"/>
    </xf>
    <xf numFmtId="0" fontId="93" fillId="0" borderId="36" xfId="82" quotePrefix="1" applyNumberFormat="1" applyFont="1" applyFill="1" applyBorder="1">
      <alignment horizontal="left" vertical="center" indent="1"/>
    </xf>
    <xf numFmtId="0" fontId="93" fillId="0" borderId="22" xfId="82" quotePrefix="1" applyNumberFormat="1" applyFont="1" applyFill="1" applyBorder="1">
      <alignment horizontal="left" vertical="center" indent="1"/>
    </xf>
    <xf numFmtId="0" fontId="93" fillId="0" borderId="34" xfId="82" quotePrefix="1" applyNumberFormat="1" applyFont="1" applyFill="1" applyBorder="1">
      <alignment horizontal="left" vertical="center" indent="1"/>
    </xf>
    <xf numFmtId="0" fontId="93" fillId="0" borderId="16" xfId="82" quotePrefix="1" applyNumberFormat="1" applyFont="1" applyFill="1" applyBorder="1">
      <alignment horizontal="left" vertical="center" indent="1"/>
    </xf>
    <xf numFmtId="0" fontId="93" fillId="0" borderId="18" xfId="82" quotePrefix="1" applyNumberFormat="1" applyFont="1" applyFill="1" applyBorder="1">
      <alignment horizontal="left" vertical="center" indent="1"/>
    </xf>
    <xf numFmtId="3" fontId="7" fillId="0" borderId="13" xfId="0" applyNumberFormat="1" applyFont="1" applyFill="1" applyBorder="1" applyAlignment="1">
      <alignment vertical="center" wrapText="1"/>
    </xf>
    <xf numFmtId="4" fontId="7" fillId="0" borderId="13" xfId="0" applyNumberFormat="1" applyFont="1" applyFill="1" applyBorder="1" applyAlignment="1">
      <alignment vertical="center" wrapText="1"/>
    </xf>
    <xf numFmtId="0" fontId="7" fillId="0" borderId="15" xfId="0" applyFont="1" applyFill="1" applyBorder="1" applyAlignment="1">
      <alignment horizontal="center" vertical="top"/>
    </xf>
    <xf numFmtId="4" fontId="7" fillId="0" borderId="13" xfId="0" applyNumberFormat="1" applyFont="1" applyFill="1" applyBorder="1" applyAlignment="1">
      <alignment vertical="center"/>
    </xf>
    <xf numFmtId="3" fontId="7" fillId="0" borderId="13" xfId="0" applyNumberFormat="1" applyFont="1" applyFill="1" applyBorder="1" applyAlignment="1">
      <alignment vertical="center"/>
    </xf>
    <xf numFmtId="0" fontId="7" fillId="0" borderId="0" xfId="0" applyFont="1" applyFill="1" applyBorder="1" applyAlignment="1">
      <alignment horizontal="left" vertical="center" wrapText="1" indent="1"/>
    </xf>
    <xf numFmtId="0" fontId="6" fillId="0" borderId="0" xfId="0" applyFont="1" applyFill="1" applyAlignment="1">
      <alignment horizontal="left" vertical="center"/>
    </xf>
    <xf numFmtId="3" fontId="7" fillId="0" borderId="13" xfId="0" applyNumberFormat="1" applyFont="1" applyFill="1" applyBorder="1" applyAlignment="1">
      <alignment horizontal="center" vertical="center" wrapText="1"/>
    </xf>
    <xf numFmtId="49" fontId="6" fillId="0" borderId="13" xfId="0" applyNumberFormat="1" applyFont="1" applyFill="1" applyBorder="1" applyAlignment="1">
      <alignment horizontal="left" vertical="center" indent="1"/>
    </xf>
    <xf numFmtId="49" fontId="7" fillId="0" borderId="19" xfId="0" applyNumberFormat="1" applyFont="1" applyFill="1" applyBorder="1" applyAlignment="1">
      <alignment horizontal="left" vertical="center" wrapText="1" indent="1"/>
    </xf>
    <xf numFmtId="3" fontId="7" fillId="0" borderId="19" xfId="0" applyNumberFormat="1" applyFont="1" applyFill="1" applyBorder="1" applyAlignment="1">
      <alignment vertical="center" wrapText="1"/>
    </xf>
    <xf numFmtId="0" fontId="7" fillId="0" borderId="0" xfId="0" applyFont="1" applyFill="1" applyAlignment="1">
      <alignment horizontal="justify"/>
    </xf>
    <xf numFmtId="4" fontId="7" fillId="0" borderId="0" xfId="0" applyNumberFormat="1" applyFont="1" applyFill="1" applyAlignment="1">
      <alignment horizontal="right" vertical="center" indent="1"/>
    </xf>
    <xf numFmtId="49" fontId="7" fillId="0" borderId="0" xfId="0" applyNumberFormat="1" applyFont="1" applyFill="1" applyAlignment="1">
      <alignment horizontal="left" wrapText="1" indent="1"/>
    </xf>
    <xf numFmtId="167" fontId="7" fillId="0" borderId="0" xfId="0" applyNumberFormat="1" applyFont="1" applyFill="1" applyAlignment="1">
      <alignment horizontal="right" vertical="center" indent="1"/>
    </xf>
    <xf numFmtId="3" fontId="7" fillId="0" borderId="0" xfId="0" applyNumberFormat="1" applyFont="1" applyFill="1" applyBorder="1" applyAlignment="1">
      <alignment vertical="center" wrapText="1"/>
    </xf>
    <xf numFmtId="0" fontId="7" fillId="0" borderId="0" xfId="0" applyFont="1" applyFill="1" applyBorder="1" applyAlignment="1">
      <alignment vertical="center"/>
    </xf>
    <xf numFmtId="3" fontId="7" fillId="0" borderId="0" xfId="0" applyNumberFormat="1" applyFont="1" applyFill="1" applyAlignment="1">
      <alignment vertical="center"/>
    </xf>
    <xf numFmtId="4" fontId="7" fillId="0" borderId="0" xfId="0" applyNumberFormat="1" applyFont="1" applyFill="1" applyAlignment="1">
      <alignment vertical="center"/>
    </xf>
    <xf numFmtId="0" fontId="7" fillId="0" borderId="0" xfId="0" applyFont="1" applyFill="1" applyAlignment="1">
      <alignment horizontal="left" vertical="center" wrapText="1"/>
    </xf>
    <xf numFmtId="0" fontId="94" fillId="0" borderId="0" xfId="0" applyFont="1" applyFill="1"/>
    <xf numFmtId="0" fontId="1" fillId="0" borderId="0" xfId="0" applyFont="1" applyFill="1" applyAlignment="1">
      <alignment wrapText="1"/>
    </xf>
    <xf numFmtId="49" fontId="7" fillId="0" borderId="44" xfId="0" applyNumberFormat="1" applyFont="1" applyFill="1" applyBorder="1" applyAlignment="1">
      <alignment horizontal="left" vertical="center" wrapText="1" indent="1"/>
    </xf>
    <xf numFmtId="0" fontId="1" fillId="0" borderId="0" xfId="0" applyFont="1" applyFill="1" applyAlignment="1">
      <alignment horizontal="center" vertical="center"/>
    </xf>
    <xf numFmtId="0" fontId="7" fillId="0" borderId="15" xfId="0" applyFont="1" applyFill="1" applyBorder="1" applyAlignment="1">
      <alignment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6" xfId="0" applyFont="1" applyFill="1" applyBorder="1" applyAlignment="1">
      <alignment horizontal="center" vertical="center"/>
    </xf>
    <xf numFmtId="0" fontId="7" fillId="0" borderId="22" xfId="0" applyFont="1" applyFill="1" applyBorder="1" applyAlignment="1">
      <alignment horizontal="right" vertical="center" wrapText="1" indent="1"/>
    </xf>
    <xf numFmtId="0" fontId="7" fillId="0" borderId="29" xfId="0" applyFont="1" applyFill="1" applyBorder="1" applyAlignment="1">
      <alignment vertical="center" wrapText="1"/>
    </xf>
    <xf numFmtId="14" fontId="7" fillId="0" borderId="34" xfId="0" applyNumberFormat="1" applyFont="1" applyFill="1" applyBorder="1" applyAlignment="1">
      <alignment horizontal="center" vertical="center" wrapText="1"/>
    </xf>
    <xf numFmtId="0" fontId="7" fillId="0" borderId="15" xfId="0" applyFont="1" applyFill="1" applyBorder="1" applyAlignment="1">
      <alignment horizontal="right" vertical="center" wrapText="1" indent="1"/>
    </xf>
    <xf numFmtId="0" fontId="7" fillId="0" borderId="13" xfId="0" applyFont="1" applyFill="1" applyBorder="1" applyAlignment="1">
      <alignment vertical="center" wrapText="1"/>
    </xf>
    <xf numFmtId="14" fontId="7" fillId="0" borderId="14" xfId="0" applyNumberFormat="1" applyFont="1" applyFill="1" applyBorder="1" applyAlignment="1">
      <alignment horizontal="center" vertical="center" wrapText="1"/>
    </xf>
    <xf numFmtId="0" fontId="7" fillId="0" borderId="16" xfId="0" applyFont="1" applyFill="1" applyBorder="1" applyAlignment="1">
      <alignment horizontal="right" vertical="center" wrapText="1" indent="1"/>
    </xf>
    <xf numFmtId="14" fontId="7" fillId="0" borderId="18" xfId="0" applyNumberFormat="1" applyFont="1" applyFill="1" applyBorder="1" applyAlignment="1">
      <alignment horizontal="center" vertical="center" wrapText="1"/>
    </xf>
    <xf numFmtId="0" fontId="6" fillId="0" borderId="13" xfId="0" applyFont="1" applyFill="1" applyBorder="1" applyAlignment="1">
      <alignment horizontal="left" vertical="top" wrapText="1" indent="1"/>
    </xf>
    <xf numFmtId="0" fontId="7" fillId="0" borderId="21" xfId="0" applyFont="1" applyFill="1" applyBorder="1" applyAlignment="1">
      <alignment horizontal="center" vertical="center"/>
    </xf>
    <xf numFmtId="0" fontId="7" fillId="0" borderId="19" xfId="0" applyFont="1" applyFill="1" applyBorder="1" applyAlignment="1">
      <alignment horizontal="left" vertical="top" wrapText="1" indent="1"/>
    </xf>
    <xf numFmtId="0" fontId="7" fillId="0" borderId="0" xfId="0" applyFont="1" applyFill="1" applyAlignment="1">
      <alignment horizontal="left" indent="1"/>
    </xf>
    <xf numFmtId="0" fontId="7" fillId="0" borderId="0" xfId="0" applyFont="1" applyFill="1" applyAlignment="1">
      <alignment horizontal="left" vertical="center" wrapText="1"/>
    </xf>
    <xf numFmtId="0" fontId="7" fillId="0" borderId="61" xfId="0" applyFont="1" applyBorder="1" applyAlignment="1">
      <alignment vertical="center" wrapText="1"/>
    </xf>
    <xf numFmtId="0" fontId="7" fillId="0" borderId="44" xfId="39" applyFont="1" applyFill="1" applyBorder="1" applyAlignment="1">
      <alignment vertical="center" wrapText="1"/>
    </xf>
    <xf numFmtId="0" fontId="4" fillId="0" borderId="30" xfId="0" applyFont="1" applyFill="1" applyBorder="1" applyAlignment="1">
      <alignment horizontal="center" vertical="center" wrapText="1"/>
    </xf>
    <xf numFmtId="0" fontId="64" fillId="0" borderId="31" xfId="0" applyFont="1" applyFill="1" applyBorder="1"/>
    <xf numFmtId="0" fontId="64" fillId="0" borderId="36" xfId="0" applyFont="1" applyFill="1" applyBorder="1"/>
    <xf numFmtId="0" fontId="6" fillId="0" borderId="84" xfId="0" applyFont="1" applyFill="1" applyBorder="1" applyAlignment="1">
      <alignment horizontal="left" vertical="center" wrapText="1" indent="1"/>
    </xf>
    <xf numFmtId="0" fontId="6" fillId="0" borderId="52" xfId="0" applyFont="1" applyFill="1" applyBorder="1" applyAlignment="1">
      <alignment horizontal="left" vertical="center" wrapText="1" indent="1"/>
    </xf>
    <xf numFmtId="0" fontId="6" fillId="0" borderId="56" xfId="0" applyFont="1" applyFill="1" applyBorder="1" applyAlignment="1">
      <alignment horizontal="left" vertical="center" wrapText="1" inden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6" fillId="0" borderId="22" xfId="0" applyFont="1" applyFill="1" applyBorder="1" applyAlignment="1">
      <alignment horizontal="left" vertical="center" wrapText="1" indent="1"/>
    </xf>
    <xf numFmtId="0" fontId="6" fillId="0" borderId="29" xfId="0" applyFont="1" applyFill="1" applyBorder="1" applyAlignment="1">
      <alignment horizontal="left" vertical="center" wrapText="1" indent="1"/>
    </xf>
    <xf numFmtId="0" fontId="6" fillId="0" borderId="34" xfId="0" applyFont="1" applyFill="1" applyBorder="1" applyAlignment="1">
      <alignment horizontal="left" vertical="center" wrapText="1" indent="1"/>
    </xf>
    <xf numFmtId="49" fontId="7" fillId="0" borderId="35" xfId="0" applyNumberFormat="1" applyFont="1" applyFill="1" applyBorder="1" applyAlignment="1">
      <alignment horizontal="left" wrapText="1"/>
    </xf>
    <xf numFmtId="49" fontId="7" fillId="0" borderId="48" xfId="0" applyNumberFormat="1" applyFont="1" applyFill="1" applyBorder="1" applyAlignment="1">
      <alignment horizontal="left" wrapText="1"/>
    </xf>
    <xf numFmtId="49" fontId="7" fillId="0" borderId="49" xfId="0" applyNumberFormat="1" applyFont="1" applyFill="1" applyBorder="1" applyAlignment="1">
      <alignment horizontal="left" wrapText="1"/>
    </xf>
    <xf numFmtId="49" fontId="7" fillId="0" borderId="37" xfId="0" applyNumberFormat="1" applyFont="1" applyFill="1" applyBorder="1" applyAlignment="1">
      <alignment horizontal="left" wrapText="1"/>
    </xf>
    <xf numFmtId="49" fontId="7" fillId="0" borderId="52" xfId="0" applyNumberFormat="1" applyFont="1" applyFill="1" applyBorder="1" applyAlignment="1">
      <alignment horizontal="left" wrapText="1"/>
    </xf>
    <xf numFmtId="49" fontId="7" fillId="0" borderId="32" xfId="0" applyNumberFormat="1" applyFont="1" applyFill="1" applyBorder="1" applyAlignment="1">
      <alignment horizontal="left" wrapText="1"/>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6" xfId="0" applyFont="1" applyFill="1" applyBorder="1" applyAlignment="1">
      <alignment horizontal="center" vertical="center"/>
    </xf>
    <xf numFmtId="0" fontId="6" fillId="0" borderId="15"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0" fontId="10" fillId="0" borderId="20"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3" xfId="39" applyFont="1" applyBorder="1" applyAlignment="1">
      <alignment horizontal="center" vertical="center"/>
    </xf>
    <xf numFmtId="0" fontId="10" fillId="0" borderId="25" xfId="39" applyFont="1" applyBorder="1" applyAlignment="1">
      <alignment horizontal="center" vertical="center"/>
    </xf>
    <xf numFmtId="0" fontId="10" fillId="0" borderId="24" xfId="39" applyFont="1" applyBorder="1" applyAlignment="1">
      <alignment horizontal="center" vertical="center"/>
    </xf>
    <xf numFmtId="0" fontId="6" fillId="0" borderId="67" xfId="0" applyFont="1" applyFill="1" applyBorder="1" applyAlignment="1">
      <alignment horizontal="left" vertical="center" wrapText="1" indent="1"/>
    </xf>
    <xf numFmtId="0" fontId="6" fillId="0" borderId="54" xfId="0" applyFont="1" applyFill="1" applyBorder="1" applyAlignment="1">
      <alignment horizontal="left" vertical="center" wrapText="1" indent="1"/>
    </xf>
    <xf numFmtId="0" fontId="6" fillId="0" borderId="48" xfId="0" applyFont="1" applyFill="1" applyBorder="1" applyAlignment="1">
      <alignment horizontal="left" vertical="center" wrapText="1" indent="1"/>
    </xf>
    <xf numFmtId="0" fontId="6" fillId="0" borderId="77" xfId="0" applyFont="1" applyFill="1" applyBorder="1" applyAlignment="1">
      <alignment horizontal="left" vertical="center" wrapText="1" indent="1"/>
    </xf>
    <xf numFmtId="0" fontId="2" fillId="0" borderId="15" xfId="0" applyFont="1" applyFill="1" applyBorder="1" applyAlignment="1">
      <alignment horizontal="center" vertical="center" wrapText="1"/>
    </xf>
    <xf numFmtId="0" fontId="2" fillId="0" borderId="21" xfId="0"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42"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80" xfId="0" applyFont="1" applyFill="1" applyBorder="1" applyAlignment="1">
      <alignment horizontal="center" vertical="center"/>
    </xf>
    <xf numFmtId="0" fontId="6" fillId="0" borderId="66" xfId="0" applyFont="1" applyFill="1" applyBorder="1" applyAlignment="1">
      <alignment horizontal="left" vertical="center" wrapText="1" indent="1"/>
    </xf>
    <xf numFmtId="0" fontId="6" fillId="0" borderId="81" xfId="0" applyFont="1" applyFill="1" applyBorder="1" applyAlignment="1">
      <alignment horizontal="left" vertical="center" wrapText="1" indent="1"/>
    </xf>
    <xf numFmtId="0" fontId="6" fillId="0" borderId="42" xfId="0" applyFont="1" applyFill="1" applyBorder="1" applyAlignment="1">
      <alignment horizontal="left" vertical="center" wrapText="1" indent="1"/>
    </xf>
    <xf numFmtId="0" fontId="10" fillId="0" borderId="13" xfId="0" applyFont="1" applyFill="1" applyBorder="1" applyAlignment="1">
      <alignment horizontal="center" vertical="center"/>
    </xf>
    <xf numFmtId="0" fontId="10" fillId="0" borderId="78" xfId="39" applyFont="1" applyBorder="1" applyAlignment="1">
      <alignment horizontal="center" vertical="center"/>
    </xf>
    <xf numFmtId="0" fontId="10" fillId="0" borderId="79" xfId="39" applyFont="1" applyBorder="1" applyAlignment="1">
      <alignment horizontal="center" vertical="center"/>
    </xf>
    <xf numFmtId="0" fontId="10" fillId="0" borderId="80" xfId="39" applyFont="1" applyBorder="1" applyAlignment="1">
      <alignment horizontal="center" vertical="center"/>
    </xf>
    <xf numFmtId="0" fontId="6" fillId="0" borderId="74" xfId="0" applyFont="1" applyFill="1" applyBorder="1" applyAlignment="1">
      <alignment horizontal="left" vertical="center" wrapText="1" indent="1"/>
    </xf>
    <xf numFmtId="0" fontId="6" fillId="0" borderId="75" xfId="0" applyFont="1" applyFill="1" applyBorder="1" applyAlignment="1">
      <alignment horizontal="left" vertical="center" wrapText="1" indent="1"/>
    </xf>
    <xf numFmtId="0" fontId="6" fillId="0" borderId="76" xfId="0" applyFont="1" applyFill="1" applyBorder="1" applyAlignment="1">
      <alignment horizontal="left" vertical="center" wrapText="1" inden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49" fontId="2" fillId="0" borderId="80" xfId="0" applyNumberFormat="1"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25" xfId="0" applyFont="1" applyFill="1" applyBorder="1" applyAlignment="1">
      <alignment horizontal="center" vertical="center"/>
    </xf>
    <xf numFmtId="0" fontId="89" fillId="0" borderId="0" xfId="0" applyFont="1" applyFill="1" applyAlignment="1">
      <alignment horizontal="left" vertical="center" wrapText="1"/>
    </xf>
    <xf numFmtId="0" fontId="2" fillId="0" borderId="29" xfId="0" applyFont="1" applyFill="1" applyBorder="1" applyAlignment="1">
      <alignment horizontal="center" vertical="center" wrapText="1"/>
    </xf>
    <xf numFmtId="0" fontId="2" fillId="0" borderId="13" xfId="0" applyFont="1" applyFill="1" applyBorder="1" applyAlignment="1">
      <alignment horizontal="center" vertical="center" wrapText="1"/>
    </xf>
    <xf numFmtId="49" fontId="7" fillId="0" borderId="20" xfId="0" applyNumberFormat="1" applyFont="1" applyFill="1" applyBorder="1" applyAlignment="1">
      <alignment horizontal="left"/>
    </xf>
    <xf numFmtId="49" fontId="7" fillId="0" borderId="54" xfId="0" applyNumberFormat="1" applyFont="1" applyFill="1" applyBorder="1" applyAlignment="1">
      <alignment horizontal="left"/>
    </xf>
    <xf numFmtId="49" fontId="7" fillId="0" borderId="27" xfId="0" applyNumberFormat="1" applyFont="1" applyFill="1" applyBorder="1" applyAlignment="1">
      <alignment horizontal="left"/>
    </xf>
    <xf numFmtId="49" fontId="2" fillId="0" borderId="29"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2" xfId="0" applyFont="1" applyFill="1" applyBorder="1" applyAlignment="1">
      <alignment horizontal="center" vertical="center" textRotation="90" wrapText="1"/>
    </xf>
    <xf numFmtId="0" fontId="2" fillId="0" borderId="15" xfId="0" applyFont="1" applyFill="1" applyBorder="1" applyAlignment="1">
      <alignment horizontal="center" vertical="center" textRotation="90"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46" xfId="0" applyFont="1" applyFill="1" applyBorder="1" applyAlignment="1">
      <alignment horizontal="center" vertical="center" wrapText="1"/>
    </xf>
    <xf numFmtId="49" fontId="3" fillId="0" borderId="20" xfId="0" applyNumberFormat="1" applyFont="1" applyFill="1" applyBorder="1" applyAlignment="1">
      <alignment horizontal="left"/>
    </xf>
    <xf numFmtId="49" fontId="3" fillId="0" borderId="54" xfId="0" applyNumberFormat="1" applyFont="1" applyFill="1" applyBorder="1" applyAlignment="1">
      <alignment horizontal="left"/>
    </xf>
    <xf numFmtId="49" fontId="3" fillId="0" borderId="27" xfId="0" applyNumberFormat="1" applyFont="1" applyFill="1" applyBorder="1" applyAlignment="1">
      <alignment horizontal="left"/>
    </xf>
    <xf numFmtId="0" fontId="6" fillId="0" borderId="61" xfId="39" applyFont="1" applyFill="1" applyBorder="1" applyAlignment="1">
      <alignment horizontal="center" vertical="center" wrapText="1"/>
    </xf>
    <xf numFmtId="0" fontId="6" fillId="0" borderId="46" xfId="39" applyFont="1" applyFill="1" applyBorder="1" applyAlignment="1">
      <alignment horizontal="center" vertical="center" wrapText="1"/>
    </xf>
    <xf numFmtId="0" fontId="6" fillId="0" borderId="12" xfId="39" applyFont="1" applyFill="1" applyBorder="1" applyAlignment="1">
      <alignment horizontal="center" vertical="center" wrapText="1"/>
    </xf>
    <xf numFmtId="0" fontId="6" fillId="0" borderId="84" xfId="39" applyFont="1" applyFill="1" applyBorder="1" applyAlignment="1">
      <alignment horizontal="center" vertical="center" wrapText="1"/>
    </xf>
    <xf numFmtId="0" fontId="6" fillId="0" borderId="71" xfId="40" applyFont="1" applyFill="1" applyBorder="1" applyAlignment="1">
      <alignment horizontal="center" vertical="center"/>
    </xf>
    <xf numFmtId="0" fontId="6" fillId="0" borderId="62" xfId="40" applyFont="1" applyFill="1" applyBorder="1" applyAlignment="1">
      <alignment horizontal="center" vertical="center"/>
    </xf>
    <xf numFmtId="0" fontId="6" fillId="0" borderId="64" xfId="40" applyFont="1" applyFill="1" applyBorder="1" applyAlignment="1">
      <alignment horizontal="center" vertical="center"/>
    </xf>
    <xf numFmtId="0" fontId="6" fillId="0" borderId="26" xfId="40" applyFont="1" applyFill="1" applyBorder="1" applyAlignment="1">
      <alignment horizontal="center" vertical="center" wrapText="1"/>
    </xf>
    <xf numFmtId="0" fontId="6" fillId="0" borderId="68" xfId="40" applyFont="1" applyFill="1" applyBorder="1" applyAlignment="1">
      <alignment horizontal="center" vertical="center" wrapText="1"/>
    </xf>
    <xf numFmtId="0" fontId="6" fillId="0" borderId="34" xfId="40" applyFont="1" applyFill="1" applyBorder="1" applyAlignment="1">
      <alignment horizontal="center" vertical="center" wrapText="1"/>
    </xf>
    <xf numFmtId="0" fontId="6" fillId="0" borderId="74" xfId="40" applyFont="1" applyFill="1" applyBorder="1" applyAlignment="1">
      <alignment horizontal="left" vertical="center" wrapText="1" indent="1"/>
    </xf>
    <xf numFmtId="0" fontId="6" fillId="0" borderId="75" xfId="40" applyFont="1" applyFill="1" applyBorder="1" applyAlignment="1">
      <alignment horizontal="left" vertical="center" wrapText="1" indent="1"/>
    </xf>
    <xf numFmtId="0" fontId="6" fillId="0" borderId="76" xfId="40" applyFont="1" applyFill="1" applyBorder="1" applyAlignment="1">
      <alignment horizontal="left" vertical="center" wrapText="1" indent="1"/>
    </xf>
    <xf numFmtId="0" fontId="6" fillId="0" borderId="15" xfId="40" applyFont="1" applyFill="1" applyBorder="1" applyAlignment="1">
      <alignment horizontal="center" vertical="center" wrapText="1"/>
    </xf>
    <xf numFmtId="0" fontId="6" fillId="0" borderId="19" xfId="40" applyFont="1" applyFill="1" applyBorder="1" applyAlignment="1">
      <alignment horizontal="center" vertical="center"/>
    </xf>
    <xf numFmtId="0" fontId="6" fillId="0" borderId="69" xfId="40" applyFont="1" applyFill="1" applyBorder="1" applyAlignment="1">
      <alignment horizontal="center" vertical="center"/>
    </xf>
    <xf numFmtId="0" fontId="6" fillId="0" borderId="29" xfId="40" applyFont="1" applyFill="1" applyBorder="1" applyAlignment="1">
      <alignment horizontal="center" vertical="center"/>
    </xf>
    <xf numFmtId="0" fontId="6" fillId="0" borderId="20" xfId="40" applyFont="1" applyFill="1" applyBorder="1" applyAlignment="1">
      <alignment horizontal="center" vertical="center" wrapText="1"/>
    </xf>
    <xf numFmtId="0" fontId="6" fillId="0" borderId="54" xfId="40" applyFont="1" applyFill="1" applyBorder="1" applyAlignment="1">
      <alignment horizontal="center" vertical="center" wrapText="1"/>
    </xf>
    <xf numFmtId="0" fontId="6" fillId="0" borderId="20" xfId="40" applyFont="1" applyFill="1" applyBorder="1" applyAlignment="1">
      <alignment horizontal="center" vertical="center"/>
    </xf>
    <xf numFmtId="0" fontId="6" fillId="0" borderId="27" xfId="40" applyFont="1" applyFill="1" applyBorder="1" applyAlignment="1">
      <alignment horizontal="center" vertical="center"/>
    </xf>
    <xf numFmtId="0" fontId="6" fillId="0" borderId="19" xfId="40" applyFont="1" applyFill="1" applyBorder="1" applyAlignment="1">
      <alignment horizontal="center" vertical="center" wrapText="1"/>
    </xf>
    <xf numFmtId="0" fontId="6" fillId="0" borderId="69" xfId="40" applyFont="1" applyFill="1" applyBorder="1" applyAlignment="1">
      <alignment horizontal="center" vertical="center" wrapText="1"/>
    </xf>
    <xf numFmtId="0" fontId="6" fillId="0" borderId="29" xfId="4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left" vertical="center" wrapText="1"/>
    </xf>
    <xf numFmtId="0" fontId="23" fillId="0" borderId="35"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49"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52" xfId="0" applyFont="1" applyFill="1" applyBorder="1" applyAlignment="1">
      <alignment horizontal="left" vertical="center"/>
    </xf>
    <xf numFmtId="0" fontId="23" fillId="0" borderId="32" xfId="0" applyFont="1" applyFill="1" applyBorder="1" applyAlignment="1">
      <alignment horizontal="left" vertical="center"/>
    </xf>
    <xf numFmtId="0" fontId="10" fillId="0" borderId="78" xfId="0"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38" xfId="0" applyFont="1" applyFill="1" applyBorder="1" applyAlignment="1">
      <alignment horizontal="center" vertical="center" wrapText="1"/>
    </xf>
    <xf numFmtId="49" fontId="6" fillId="0" borderId="49" xfId="0" applyNumberFormat="1" applyFont="1" applyFill="1" applyBorder="1" applyAlignment="1">
      <alignment horizontal="center" vertical="center" wrapText="1"/>
    </xf>
    <xf numFmtId="49" fontId="6" fillId="0" borderId="32"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41" xfId="0" applyFont="1" applyFill="1" applyBorder="1" applyAlignment="1">
      <alignment horizontal="left" vertical="center" wrapText="1" indent="1"/>
    </xf>
    <xf numFmtId="0" fontId="6" fillId="0" borderId="8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3" fillId="0" borderId="37"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38" xfId="0" applyFont="1" applyFill="1" applyBorder="1" applyAlignment="1">
      <alignment horizontal="left" vertical="center" wrapText="1" indent="1"/>
    </xf>
    <xf numFmtId="0" fontId="23" fillId="0" borderId="37" xfId="39" applyFont="1" applyFill="1" applyBorder="1" applyAlignment="1">
      <alignment horizontal="left" vertical="center"/>
    </xf>
    <xf numFmtId="0" fontId="23" fillId="0" borderId="52" xfId="39" applyFont="1" applyFill="1" applyBorder="1" applyAlignment="1">
      <alignment horizontal="left" vertical="center"/>
    </xf>
    <xf numFmtId="0" fontId="23" fillId="0" borderId="32" xfId="39" applyFont="1" applyFill="1" applyBorder="1" applyAlignment="1">
      <alignment horizontal="left" vertical="center"/>
    </xf>
    <xf numFmtId="0" fontId="4" fillId="0" borderId="78" xfId="39" applyFont="1" applyFill="1" applyBorder="1" applyAlignment="1">
      <alignment horizontal="center" vertical="center" wrapText="1"/>
    </xf>
    <xf numFmtId="0" fontId="4" fillId="0" borderId="79" xfId="39" applyFont="1" applyFill="1" applyBorder="1" applyAlignment="1">
      <alignment horizontal="center" vertical="center"/>
    </xf>
    <xf numFmtId="0" fontId="4" fillId="0" borderId="80" xfId="39" applyFont="1" applyFill="1" applyBorder="1" applyAlignment="1">
      <alignment horizontal="center" vertical="center"/>
    </xf>
    <xf numFmtId="0" fontId="6" fillId="0" borderId="23" xfId="39" applyFont="1" applyFill="1" applyBorder="1" applyAlignment="1">
      <alignment horizontal="left" vertical="center" wrapText="1" indent="1"/>
    </xf>
    <xf numFmtId="0" fontId="6" fillId="0" borderId="25" xfId="39" applyFont="1" applyFill="1" applyBorder="1" applyAlignment="1">
      <alignment horizontal="left" vertical="center" wrapText="1" indent="1"/>
    </xf>
    <xf numFmtId="0" fontId="6" fillId="0" borderId="24" xfId="39" applyFont="1" applyFill="1" applyBorder="1" applyAlignment="1">
      <alignment horizontal="left" vertical="center" wrapText="1" indent="1"/>
    </xf>
    <xf numFmtId="0" fontId="23" fillId="0" borderId="35" xfId="39" applyFont="1" applyFill="1" applyBorder="1" applyAlignment="1">
      <alignment horizontal="left" vertical="center"/>
    </xf>
    <xf numFmtId="0" fontId="23" fillId="0" borderId="48" xfId="39" applyFont="1" applyFill="1" applyBorder="1" applyAlignment="1">
      <alignment horizontal="left" vertical="center"/>
    </xf>
    <xf numFmtId="0" fontId="23" fillId="0" borderId="49" xfId="39" applyFont="1" applyFill="1" applyBorder="1" applyAlignment="1">
      <alignment horizontal="left" vertical="center"/>
    </xf>
    <xf numFmtId="0" fontId="23" fillId="0" borderId="50" xfId="39" applyFont="1" applyFill="1" applyBorder="1" applyAlignment="1">
      <alignment horizontal="left" vertical="center"/>
    </xf>
    <xf numFmtId="0" fontId="23" fillId="0" borderId="0" xfId="39" applyFont="1" applyFill="1" applyBorder="1" applyAlignment="1">
      <alignment horizontal="left" vertical="center"/>
    </xf>
    <xf numFmtId="0" fontId="23" fillId="0" borderId="51" xfId="39" applyFont="1" applyFill="1" applyBorder="1" applyAlignment="1">
      <alignment horizontal="left" vertical="center"/>
    </xf>
    <xf numFmtId="0" fontId="4" fillId="0" borderId="3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2" fillId="0" borderId="38" xfId="0" applyFont="1" applyFill="1" applyBorder="1" applyAlignment="1">
      <alignment horizontal="center" vertical="center" wrapText="1"/>
    </xf>
    <xf numFmtId="49" fontId="3" fillId="0" borderId="0" xfId="0" applyNumberFormat="1" applyFont="1" applyFill="1" applyBorder="1" applyAlignment="1">
      <alignment horizontal="left" wrapText="1"/>
    </xf>
    <xf numFmtId="49" fontId="2" fillId="0" borderId="34"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2" fillId="0" borderId="66" xfId="0" applyFont="1" applyFill="1" applyBorder="1" applyAlignment="1">
      <alignment horizontal="left" vertical="center" wrapText="1" indent="1"/>
    </xf>
    <xf numFmtId="0" fontId="2" fillId="0" borderId="81" xfId="0" applyFont="1" applyFill="1" applyBorder="1" applyAlignment="1">
      <alignment horizontal="left" vertical="center" wrapText="1" indent="1"/>
    </xf>
    <xf numFmtId="0" fontId="2" fillId="0" borderId="42" xfId="0" applyFont="1" applyFill="1" applyBorder="1" applyAlignment="1">
      <alignment horizontal="left" vertical="center" wrapText="1" indent="1"/>
    </xf>
    <xf numFmtId="0" fontId="2" fillId="0" borderId="22" xfId="0" applyFont="1" applyFill="1" applyBorder="1" applyAlignment="1">
      <alignment horizontal="center"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23" fillId="0" borderId="0" xfId="0" applyFont="1" applyFill="1" applyBorder="1" applyAlignment="1">
      <alignment horizontal="left" wrapText="1"/>
    </xf>
    <xf numFmtId="0" fontId="4" fillId="0" borderId="7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69"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0" fontId="76" fillId="0" borderId="1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4" fillId="0" borderId="30" xfId="42" applyFont="1" applyFill="1" applyBorder="1" applyAlignment="1">
      <alignment horizontal="center" vertical="center" wrapText="1"/>
    </xf>
    <xf numFmtId="0" fontId="4" fillId="0" borderId="31" xfId="42" applyFont="1" applyFill="1" applyBorder="1" applyAlignment="1">
      <alignment horizontal="center" vertical="center" wrapText="1"/>
    </xf>
    <xf numFmtId="0" fontId="4" fillId="0" borderId="36" xfId="42" applyFont="1" applyFill="1" applyBorder="1" applyAlignment="1">
      <alignment horizontal="center" vertical="center" wrapText="1"/>
    </xf>
    <xf numFmtId="0" fontId="2" fillId="0" borderId="34"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5"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49"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52" xfId="0" applyFont="1" applyFill="1" applyBorder="1" applyAlignment="1">
      <alignment horizontal="left" vertical="center"/>
    </xf>
    <xf numFmtId="0" fontId="29" fillId="0" borderId="32" xfId="0" applyFont="1" applyFill="1" applyBorder="1" applyAlignment="1">
      <alignment horizontal="left" vertical="center"/>
    </xf>
    <xf numFmtId="0" fontId="2" fillId="0" borderId="41" xfId="0" applyFont="1" applyFill="1" applyBorder="1" applyAlignment="1">
      <alignment horizontal="left" vertical="center" wrapText="1" indent="1"/>
    </xf>
    <xf numFmtId="0" fontId="4" fillId="0" borderId="79" xfId="39" applyFont="1" applyFill="1" applyBorder="1" applyAlignment="1">
      <alignment horizontal="center" vertical="center" wrapText="1"/>
    </xf>
    <xf numFmtId="0" fontId="4" fillId="0" borderId="83" xfId="39" applyFont="1" applyFill="1" applyBorder="1" applyAlignment="1">
      <alignment horizontal="center" vertical="center" wrapText="1"/>
    </xf>
    <xf numFmtId="0" fontId="4" fillId="0" borderId="80" xfId="39" applyFont="1" applyFill="1" applyBorder="1" applyAlignment="1">
      <alignment horizontal="center" vertical="center" wrapText="1"/>
    </xf>
    <xf numFmtId="0" fontId="6" fillId="0" borderId="65" xfId="39" applyFont="1" applyFill="1" applyBorder="1" applyAlignment="1">
      <alignment horizontal="left" vertical="center" wrapText="1" indent="1"/>
    </xf>
    <xf numFmtId="0" fontId="6" fillId="0" borderId="52" xfId="39" applyFont="1" applyFill="1" applyBorder="1" applyAlignment="1">
      <alignment horizontal="center" vertical="center" wrapText="1"/>
    </xf>
    <xf numFmtId="0" fontId="6" fillId="0" borderId="56" xfId="39" applyFont="1" applyFill="1" applyBorder="1" applyAlignment="1">
      <alignment horizontal="center" vertical="center" wrapText="1"/>
    </xf>
    <xf numFmtId="0" fontId="23" fillId="0" borderId="13" xfId="39" applyFont="1" applyFill="1" applyBorder="1" applyAlignment="1">
      <alignment horizontal="left" vertical="center" wrapText="1"/>
    </xf>
    <xf numFmtId="0" fontId="3" fillId="0" borderId="52" xfId="39" applyFont="1" applyFill="1" applyBorder="1" applyAlignment="1">
      <alignment horizontal="left" vertical="center" wrapText="1"/>
    </xf>
    <xf numFmtId="3" fontId="10" fillId="0" borderId="71" xfId="44" applyNumberFormat="1" applyFont="1" applyFill="1" applyBorder="1" applyAlignment="1">
      <alignment horizontal="center" vertical="center" wrapText="1"/>
    </xf>
    <xf numFmtId="3" fontId="10" fillId="0" borderId="62" xfId="44" applyNumberFormat="1" applyFont="1" applyFill="1" applyBorder="1" applyAlignment="1">
      <alignment horizontal="center" vertical="center" wrapText="1"/>
    </xf>
    <xf numFmtId="3" fontId="10" fillId="0" borderId="64" xfId="44" applyNumberFormat="1" applyFont="1" applyFill="1" applyBorder="1" applyAlignment="1">
      <alignment horizontal="center" vertical="center" wrapText="1"/>
    </xf>
    <xf numFmtId="3" fontId="6" fillId="0" borderId="0" xfId="44" applyNumberFormat="1" applyFont="1" applyFill="1" applyBorder="1" applyAlignment="1">
      <alignment horizontal="left" vertical="center" wrapText="1"/>
    </xf>
    <xf numFmtId="3" fontId="6" fillId="0" borderId="22" xfId="44" applyNumberFormat="1" applyFont="1" applyFill="1" applyBorder="1" applyAlignment="1">
      <alignment horizontal="center" vertical="center" wrapText="1"/>
    </xf>
    <xf numFmtId="3" fontId="6" fillId="0" borderId="15" xfId="44" applyNumberFormat="1"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54" fillId="0" borderId="15" xfId="41" applyFont="1" applyFill="1" applyBorder="1" applyAlignment="1"/>
    <xf numFmtId="0" fontId="54" fillId="0" borderId="13" xfId="41" applyFont="1" applyFill="1" applyBorder="1" applyAlignment="1"/>
    <xf numFmtId="0" fontId="54" fillId="0" borderId="16" xfId="41" applyFont="1" applyFill="1" applyBorder="1" applyAlignment="1"/>
    <xf numFmtId="0" fontId="54" fillId="0" borderId="17" xfId="41" applyFont="1" applyFill="1" applyBorder="1" applyAlignment="1"/>
    <xf numFmtId="3" fontId="10" fillId="0" borderId="71" xfId="43" applyNumberFormat="1" applyFont="1" applyFill="1" applyBorder="1" applyAlignment="1">
      <alignment horizontal="center" vertical="center" wrapText="1"/>
    </xf>
    <xf numFmtId="3" fontId="10" fillId="0" borderId="62" xfId="43" applyNumberFormat="1" applyFont="1" applyFill="1" applyBorder="1" applyAlignment="1">
      <alignment horizontal="center" vertical="center" wrapText="1"/>
    </xf>
    <xf numFmtId="3" fontId="10" fillId="0" borderId="64" xfId="43" applyNumberFormat="1" applyFont="1" applyFill="1" applyBorder="1" applyAlignment="1">
      <alignment horizontal="center" vertical="center" wrapText="1"/>
    </xf>
    <xf numFmtId="3" fontId="6" fillId="0" borderId="71" xfId="43" applyNumberFormat="1" applyFont="1" applyFill="1" applyBorder="1" applyAlignment="1">
      <alignment horizontal="left" vertical="center" wrapText="1" indent="1"/>
    </xf>
    <xf numFmtId="3" fontId="6" fillId="0" borderId="62" xfId="43" applyNumberFormat="1" applyFont="1" applyFill="1" applyBorder="1" applyAlignment="1">
      <alignment horizontal="left" vertical="center" wrapText="1" indent="1"/>
    </xf>
    <xf numFmtId="3" fontId="6" fillId="0" borderId="64" xfId="43" applyNumberFormat="1" applyFont="1" applyFill="1" applyBorder="1" applyAlignment="1">
      <alignment horizontal="left" vertical="center" wrapText="1" indent="1"/>
    </xf>
    <xf numFmtId="0" fontId="6" fillId="0" borderId="71"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10" fillId="0" borderId="74" xfId="0" applyNumberFormat="1" applyFont="1" applyFill="1" applyBorder="1" applyAlignment="1">
      <alignment horizontal="center" vertical="center" wrapText="1"/>
    </xf>
    <xf numFmtId="0" fontId="10" fillId="0" borderId="75" xfId="0" applyNumberFormat="1" applyFont="1" applyFill="1" applyBorder="1" applyAlignment="1">
      <alignment horizontal="center" vertical="center" wrapText="1"/>
    </xf>
    <xf numFmtId="0" fontId="10" fillId="0" borderId="76" xfId="0" applyNumberFormat="1" applyFont="1" applyFill="1" applyBorder="1" applyAlignment="1">
      <alignment horizontal="center" vertical="center" wrapText="1"/>
    </xf>
    <xf numFmtId="0" fontId="54" fillId="0" borderId="30" xfId="41" applyFont="1" applyFill="1" applyBorder="1" applyAlignment="1">
      <alignment horizontal="left" vertical="center" indent="1"/>
    </xf>
    <xf numFmtId="0" fontId="54" fillId="0" borderId="31" xfId="41" applyFont="1" applyFill="1" applyBorder="1" applyAlignment="1">
      <alignment horizontal="left" vertical="center" indent="1"/>
    </xf>
    <xf numFmtId="0" fontId="6" fillId="0" borderId="84" xfId="41" applyFont="1" applyFill="1" applyBorder="1" applyAlignment="1" applyProtection="1">
      <alignment horizontal="left"/>
    </xf>
    <xf numFmtId="0" fontId="6" fillId="0" borderId="32" xfId="41" applyFont="1" applyFill="1" applyBorder="1" applyAlignment="1" applyProtection="1">
      <alignment horizontal="left"/>
    </xf>
    <xf numFmtId="0" fontId="6" fillId="0" borderId="22" xfId="41" applyFont="1" applyFill="1" applyBorder="1" applyAlignment="1" applyProtection="1">
      <alignment horizontal="center" vertical="top" wrapText="1"/>
    </xf>
    <xf numFmtId="0" fontId="6" fillId="0" borderId="15" xfId="41" applyFont="1" applyFill="1" applyBorder="1" applyAlignment="1" applyProtection="1">
      <alignment horizontal="center" vertical="top" wrapText="1"/>
    </xf>
    <xf numFmtId="0" fontId="61" fillId="0" borderId="70" xfId="41" applyFont="1" applyFill="1" applyBorder="1" applyAlignment="1" applyProtection="1">
      <alignment horizontal="left" vertical="center" wrapText="1"/>
    </xf>
    <xf numFmtId="0" fontId="61" fillId="0" borderId="48" xfId="41" applyFont="1" applyFill="1" applyBorder="1" applyAlignment="1" applyProtection="1">
      <alignment horizontal="left" vertical="center" wrapText="1"/>
    </xf>
    <xf numFmtId="0" fontId="61" fillId="0" borderId="77" xfId="41" applyFont="1" applyFill="1" applyBorder="1" applyAlignment="1" applyProtection="1">
      <alignment horizontal="left" vertical="center" wrapText="1"/>
    </xf>
    <xf numFmtId="0" fontId="4" fillId="0" borderId="66"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6" fillId="0" borderId="23" xfId="41" applyFont="1" applyFill="1" applyBorder="1" applyAlignment="1" applyProtection="1">
      <alignment horizontal="center" vertical="center"/>
    </xf>
    <xf numFmtId="0" fontId="6" fillId="0" borderId="25" xfId="41" applyFont="1" applyFill="1" applyBorder="1" applyAlignment="1" applyProtection="1">
      <alignment horizontal="center" vertical="center"/>
    </xf>
    <xf numFmtId="0" fontId="6" fillId="0" borderId="21" xfId="41" applyFont="1" applyFill="1" applyBorder="1" applyAlignment="1" applyProtection="1">
      <alignment horizontal="center" vertical="center"/>
    </xf>
    <xf numFmtId="0" fontId="6" fillId="0" borderId="19" xfId="41" applyFont="1" applyFill="1" applyBorder="1" applyAlignment="1" applyProtection="1">
      <alignment horizontal="center" vertical="center"/>
    </xf>
    <xf numFmtId="168" fontId="6" fillId="0" borderId="25" xfId="41" applyNumberFormat="1" applyFont="1" applyFill="1" applyBorder="1" applyAlignment="1" applyProtection="1">
      <alignment horizontal="center" vertical="center"/>
    </xf>
    <xf numFmtId="0" fontId="7" fillId="0" borderId="30" xfId="41" applyFont="1" applyFill="1" applyBorder="1" applyAlignment="1" applyProtection="1">
      <alignment horizontal="center"/>
    </xf>
    <xf numFmtId="0" fontId="7" fillId="0" borderId="31" xfId="41" applyFont="1" applyFill="1" applyBorder="1" applyAlignment="1" applyProtection="1">
      <alignment horizontal="center"/>
    </xf>
    <xf numFmtId="0" fontId="6" fillId="0" borderId="71" xfId="41" applyFont="1" applyFill="1" applyBorder="1" applyAlignment="1">
      <alignment horizontal="left" vertical="center" wrapText="1"/>
    </xf>
    <xf numFmtId="0" fontId="6" fillId="0" borderId="47" xfId="41" applyFont="1" applyFill="1" applyBorder="1" applyAlignment="1">
      <alignment horizontal="left" vertical="center" wrapText="1"/>
    </xf>
    <xf numFmtId="0" fontId="61" fillId="0" borderId="84" xfId="41" applyFont="1" applyFill="1" applyBorder="1" applyAlignment="1" applyProtection="1">
      <alignment horizontal="left" vertical="center" wrapText="1"/>
    </xf>
    <xf numFmtId="0" fontId="61" fillId="0" borderId="52" xfId="41" applyFont="1" applyFill="1" applyBorder="1" applyAlignment="1" applyProtection="1">
      <alignment horizontal="left" vertical="center" wrapText="1"/>
    </xf>
    <xf numFmtId="0" fontId="61" fillId="0" borderId="56" xfId="41" applyFont="1" applyFill="1" applyBorder="1" applyAlignment="1" applyProtection="1">
      <alignment horizontal="left" vertical="center" wrapText="1"/>
    </xf>
    <xf numFmtId="0" fontId="6" fillId="0" borderId="33"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71" xfId="41" applyFont="1" applyFill="1" applyBorder="1" applyAlignment="1">
      <alignment vertical="center" wrapText="1"/>
    </xf>
    <xf numFmtId="0" fontId="7" fillId="0" borderId="47" xfId="41" applyFont="1" applyFill="1" applyBorder="1" applyAlignment="1">
      <alignment vertical="center" wrapText="1"/>
    </xf>
    <xf numFmtId="0" fontId="6" fillId="0" borderId="22" xfId="41" applyFont="1" applyFill="1" applyBorder="1" applyAlignment="1">
      <alignment horizontal="center" vertical="center"/>
    </xf>
    <xf numFmtId="0" fontId="6" fillId="0" borderId="29" xfId="41" applyFont="1" applyFill="1" applyBorder="1" applyAlignment="1">
      <alignment horizontal="center" vertical="center"/>
    </xf>
    <xf numFmtId="0" fontId="6" fillId="0" borderId="21" xfId="41" applyFont="1" applyFill="1" applyBorder="1" applyAlignment="1">
      <alignment horizontal="center" vertical="center"/>
    </xf>
    <xf numFmtId="0" fontId="6" fillId="0" borderId="19" xfId="41" applyFont="1" applyFill="1" applyBorder="1" applyAlignment="1">
      <alignment horizontal="center" vertical="center"/>
    </xf>
    <xf numFmtId="3" fontId="6" fillId="0" borderId="29" xfId="41" applyNumberFormat="1" applyFont="1" applyFill="1" applyBorder="1" applyAlignment="1">
      <alignment horizontal="center" vertical="center"/>
    </xf>
    <xf numFmtId="0" fontId="7" fillId="0" borderId="30" xfId="41" applyFont="1" applyFill="1" applyBorder="1" applyAlignment="1">
      <alignment horizontal="center" vertical="center"/>
    </xf>
    <xf numFmtId="0" fontId="7" fillId="0" borderId="31" xfId="41" applyFont="1" applyFill="1" applyBorder="1" applyAlignment="1">
      <alignment horizontal="center" vertical="center"/>
    </xf>
    <xf numFmtId="0" fontId="6" fillId="0" borderId="84" xfId="41" applyFont="1" applyFill="1" applyBorder="1" applyAlignment="1">
      <alignment horizontal="left" vertical="center" wrapText="1"/>
    </xf>
    <xf numFmtId="0" fontId="6" fillId="0" borderId="32" xfId="41" applyFont="1" applyFill="1" applyBorder="1" applyAlignment="1">
      <alignment horizontal="left" vertical="center" wrapText="1"/>
    </xf>
    <xf numFmtId="0" fontId="6" fillId="0" borderId="15" xfId="41" applyFont="1" applyFill="1" applyBorder="1" applyAlignment="1">
      <alignment horizontal="center" vertical="center" wrapText="1"/>
    </xf>
    <xf numFmtId="0" fontId="7" fillId="0" borderId="22" xfId="41" applyFont="1" applyFill="1" applyBorder="1" applyAlignment="1">
      <alignment horizontal="center" vertical="center" wrapText="1"/>
    </xf>
    <xf numFmtId="0" fontId="6" fillId="0" borderId="21" xfId="41" applyFont="1" applyFill="1" applyBorder="1" applyAlignment="1">
      <alignment horizontal="center" vertical="center" wrapText="1"/>
    </xf>
    <xf numFmtId="0" fontId="6" fillId="0" borderId="70" xfId="41" applyFont="1" applyFill="1" applyBorder="1" applyAlignment="1">
      <alignment vertical="center" wrapText="1"/>
    </xf>
    <xf numFmtId="0" fontId="7" fillId="0" borderId="49" xfId="41" applyFont="1" applyFill="1" applyBorder="1" applyAlignment="1">
      <alignment vertical="center" wrapText="1"/>
    </xf>
    <xf numFmtId="0" fontId="6" fillId="0" borderId="87" xfId="41" applyFont="1" applyFill="1" applyBorder="1" applyAlignment="1">
      <alignment horizontal="left" vertical="center" wrapText="1"/>
    </xf>
    <xf numFmtId="0" fontId="6" fillId="0" borderId="86" xfId="41" applyFont="1" applyFill="1" applyBorder="1" applyAlignment="1">
      <alignment horizontal="left" vertical="center" wrapText="1"/>
    </xf>
    <xf numFmtId="0" fontId="54" fillId="0" borderId="71" xfId="41" applyFont="1" applyFill="1" applyBorder="1" applyAlignment="1" applyProtection="1">
      <alignment horizontal="left" vertical="center" wrapText="1"/>
    </xf>
    <xf numFmtId="0" fontId="54" fillId="0" borderId="62" xfId="41" applyFont="1" applyFill="1" applyBorder="1" applyAlignment="1" applyProtection="1">
      <alignment horizontal="left" vertical="center" wrapText="1"/>
    </xf>
    <xf numFmtId="0" fontId="54" fillId="0" borderId="64" xfId="41" applyFont="1" applyFill="1" applyBorder="1" applyAlignment="1" applyProtection="1">
      <alignment horizontal="left" vertical="center" wrapText="1"/>
    </xf>
    <xf numFmtId="0" fontId="6" fillId="0" borderId="67" xfId="41" applyFont="1" applyFill="1" applyBorder="1" applyAlignment="1">
      <alignment horizontal="left" vertical="center" wrapText="1"/>
    </xf>
    <xf numFmtId="0" fontId="6" fillId="0" borderId="27" xfId="41" applyFont="1" applyFill="1" applyBorder="1" applyAlignment="1">
      <alignment horizontal="left" vertical="center" wrapText="1"/>
    </xf>
    <xf numFmtId="0" fontId="54" fillId="0" borderId="22" xfId="41" applyFont="1" applyFill="1" applyBorder="1" applyAlignment="1">
      <alignment horizontal="center" vertical="center"/>
    </xf>
    <xf numFmtId="0" fontId="54" fillId="0" borderId="29" xfId="41" applyFont="1" applyFill="1" applyBorder="1" applyAlignment="1">
      <alignment horizontal="center" vertical="center"/>
    </xf>
    <xf numFmtId="0" fontId="54" fillId="0" borderId="16" xfId="41" applyFont="1" applyFill="1" applyBorder="1" applyAlignment="1">
      <alignment horizontal="center" vertical="center"/>
    </xf>
    <xf numFmtId="0" fontId="54" fillId="0" borderId="17" xfId="41" applyFont="1" applyFill="1" applyBorder="1" applyAlignment="1">
      <alignment horizontal="center" vertical="center"/>
    </xf>
    <xf numFmtId="0" fontId="54" fillId="0" borderId="50" xfId="41" applyFont="1" applyFill="1" applyBorder="1" applyAlignment="1">
      <alignment horizontal="center" vertical="center"/>
    </xf>
    <xf numFmtId="0" fontId="54" fillId="0" borderId="0" xfId="41" applyFont="1" applyFill="1" applyBorder="1" applyAlignment="1">
      <alignment horizontal="center" vertical="center"/>
    </xf>
    <xf numFmtId="0" fontId="54" fillId="0" borderId="51" xfId="41" applyFont="1" applyFill="1" applyBorder="1" applyAlignment="1">
      <alignment horizontal="center" vertical="center"/>
    </xf>
    <xf numFmtId="0" fontId="23" fillId="0" borderId="59" xfId="41" applyFont="1" applyFill="1" applyBorder="1" applyAlignment="1"/>
    <xf numFmtId="0" fontId="23" fillId="0" borderId="85" xfId="41" applyFont="1" applyFill="1" applyBorder="1" applyAlignment="1"/>
    <xf numFmtId="0" fontId="23" fillId="0" borderId="86" xfId="41" applyFont="1" applyFill="1" applyBorder="1" applyAlignment="1"/>
    <xf numFmtId="3" fontId="54" fillId="0" borderId="68" xfId="41" applyNumberFormat="1" applyFont="1" applyFill="1" applyBorder="1" applyAlignment="1">
      <alignment horizontal="center" vertical="center" wrapText="1"/>
    </xf>
    <xf numFmtId="0" fontId="23" fillId="0" borderId="53" xfId="41" applyFont="1" applyFill="1" applyBorder="1" applyAlignment="1">
      <alignment horizontal="center"/>
    </xf>
    <xf numFmtId="0" fontId="23" fillId="0" borderId="30" xfId="41" applyFont="1" applyFill="1" applyBorder="1" applyAlignment="1">
      <alignment horizontal="center"/>
    </xf>
    <xf numFmtId="0" fontId="23" fillId="0" borderId="31" xfId="41" applyFont="1" applyFill="1" applyBorder="1" applyAlignment="1">
      <alignment horizontal="center"/>
    </xf>
    <xf numFmtId="0" fontId="6" fillId="0" borderId="66" xfId="41" applyFont="1" applyFill="1" applyBorder="1" applyAlignment="1">
      <alignment vertical="center" wrapText="1"/>
    </xf>
    <xf numFmtId="0" fontId="7" fillId="0" borderId="41" xfId="41" applyFont="1" applyFill="1" applyBorder="1" applyAlignment="1">
      <alignmen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4" xfId="0" applyFont="1" applyFill="1" applyBorder="1" applyAlignment="1">
      <alignment horizontal="center" vertical="center"/>
    </xf>
    <xf numFmtId="0" fontId="7" fillId="0" borderId="52" xfId="0" applyFont="1" applyBorder="1" applyAlignment="1">
      <alignment horizontal="left"/>
    </xf>
    <xf numFmtId="0" fontId="4" fillId="0" borderId="66"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41" xfId="0" applyFont="1" applyBorder="1" applyAlignment="1">
      <alignment horizontal="center" vertical="center" wrapText="1"/>
    </xf>
  </cellXfs>
  <cellStyles count="9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a 2" xfId="39"/>
    <cellStyle name="Normálne" xfId="0" builtinId="0"/>
    <cellStyle name="normálne 2" xfId="40"/>
    <cellStyle name="normálne 3" xfId="41"/>
    <cellStyle name="normálne 4" xfId="42"/>
    <cellStyle name="Normálne 5" xfId="89"/>
    <cellStyle name="Normálne 6" xfId="90"/>
    <cellStyle name="normálne_Databazy_VVŠ_2007_ severská" xfId="43"/>
    <cellStyle name="normálne_sprava_VVŠ_2004_tabuľky_vláda" xfId="44"/>
    <cellStyle name="normální_List1" xfId="45"/>
    <cellStyle name="Note" xfId="46"/>
    <cellStyle name="Output" xfId="47"/>
    <cellStyle name="SAPBEXaggData" xfId="48"/>
    <cellStyle name="SAPBEXaggDataEmph" xfId="49"/>
    <cellStyle name="SAPBEXaggItem" xfId="50"/>
    <cellStyle name="SAPBEXaggItemX" xfId="51"/>
    <cellStyle name="SAPBEXexcBad7" xfId="52"/>
    <cellStyle name="SAPBEXexcBad8" xfId="53"/>
    <cellStyle name="SAPBEXexcBad9" xfId="54"/>
    <cellStyle name="SAPBEXexcCritical4" xfId="55"/>
    <cellStyle name="SAPBEXexcCritical5" xfId="56"/>
    <cellStyle name="SAPBEXexcCritical6" xfId="57"/>
    <cellStyle name="SAPBEXexcGood1" xfId="58"/>
    <cellStyle name="SAPBEXexcGood2" xfId="59"/>
    <cellStyle name="SAPBEXexcGood3" xfId="60"/>
    <cellStyle name="SAPBEXfilterDrill" xfId="61"/>
    <cellStyle name="SAPBEXfilterItem" xfId="62"/>
    <cellStyle name="SAPBEXfilterText" xfId="63"/>
    <cellStyle name="SAPBEXformats" xfId="64"/>
    <cellStyle name="SAPBEXheaderItem" xfId="65"/>
    <cellStyle name="SAPBEXheaderText" xfId="66"/>
    <cellStyle name="SAPBEXHLevel0" xfId="67"/>
    <cellStyle name="SAPBEXHLevel0X" xfId="68"/>
    <cellStyle name="SAPBEXHLevel1" xfId="69"/>
    <cellStyle name="SAPBEXHLevel1X" xfId="70"/>
    <cellStyle name="SAPBEXHLevel2" xfId="71"/>
    <cellStyle name="SAPBEXHLevel2X" xfId="72"/>
    <cellStyle name="SAPBEXHLevel3" xfId="73"/>
    <cellStyle name="SAPBEXHLevel3X" xfId="74"/>
    <cellStyle name="SAPBEXchaText" xfId="75"/>
    <cellStyle name="SAPBEXresData" xfId="76"/>
    <cellStyle name="SAPBEXresDataEmph" xfId="77"/>
    <cellStyle name="SAPBEXresItem" xfId="78"/>
    <cellStyle name="SAPBEXresItemX" xfId="79"/>
    <cellStyle name="SAPBEXstdData" xfId="80"/>
    <cellStyle name="SAPBEXstdDataEmph" xfId="81"/>
    <cellStyle name="SAPBEXstdItem" xfId="82"/>
    <cellStyle name="SAPBEXstdItemX" xfId="83"/>
    <cellStyle name="SAPBEXtitle" xfId="84"/>
    <cellStyle name="SAPBEXundefined" xfId="85"/>
    <cellStyle name="Title" xfId="86"/>
    <cellStyle name="Total" xfId="87"/>
    <cellStyle name="Warning Text" xfId="8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dita.pisarcikova\Documents\2015\V&#221;RO&#268;N&#193;%20SPR&#193;VA\Tab_VS_VV&#352;_za%202015_tab.%206,%206a_&#352;tef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3a-Výnosy"/>
      <sheetName val="T4-Výnosy zo školného"/>
      <sheetName val="T5 - Analýza nákladov"/>
      <sheetName val="T5a - Náklady "/>
      <sheetName val="T6-Zamestnanci_a_mzdy"/>
      <sheetName val="T6a-Zamestnanci_a_mzdy (ženy)"/>
      <sheetName val="T7_Doktorandi "/>
      <sheetName val="T8-Soc_štipendiá"/>
      <sheetName val="T9_ŠD "/>
      <sheetName val="T10-ŠJ "/>
      <sheetName val="T11-Zdroje KV"/>
      <sheetName val="T12-KV"/>
      <sheetName val="T13-Fondy"/>
      <sheetName val="T16 - Štruktúra hotovosti"/>
      <sheetName val="T17-Dotácie zo ŠF EU"/>
      <sheetName val="T18-Ostatné dotacie z kap MŠ SR"/>
      <sheetName val="T19-Štip_ z vlastných "/>
      <sheetName val="T20_motivačné štipendiá_nová"/>
      <sheetName val="T21-štruktúra_384"/>
      <sheetName val="T22_Výnosy_soc_oblasť"/>
      <sheetName val="T23_Náklady_soc_oblasť"/>
      <sheetName val="T24a_Aktíva_1"/>
      <sheetName val="T24b_Aktíva_2"/>
      <sheetName val="T25_Pasíva "/>
      <sheetName val="T24__Aktív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F7">
            <v>646.70999999999992</v>
          </cell>
          <cell r="J7">
            <v>12316900.950000001</v>
          </cell>
        </row>
        <row r="8">
          <cell r="F8">
            <v>110.34</v>
          </cell>
          <cell r="J8">
            <v>3248513.5</v>
          </cell>
        </row>
        <row r="9">
          <cell r="F9">
            <v>133.78</v>
          </cell>
          <cell r="J9">
            <v>2806097.08</v>
          </cell>
        </row>
        <row r="10">
          <cell r="F10">
            <v>344.78000000000003</v>
          </cell>
          <cell r="J10">
            <v>5570087.71</v>
          </cell>
        </row>
        <row r="11">
          <cell r="F11">
            <v>41.84</v>
          </cell>
          <cell r="J11">
            <v>520734.17</v>
          </cell>
        </row>
        <row r="12">
          <cell r="F12">
            <v>15.969999999999999</v>
          </cell>
          <cell r="J12">
            <v>171468.49</v>
          </cell>
        </row>
        <row r="13">
          <cell r="F13">
            <v>202.83</v>
          </cell>
          <cell r="J13">
            <v>2200189.3199999998</v>
          </cell>
        </row>
        <row r="15">
          <cell r="F15">
            <v>48.06</v>
          </cell>
          <cell r="J15">
            <v>646925.13</v>
          </cell>
        </row>
        <row r="16">
          <cell r="F16">
            <v>210.79</v>
          </cell>
          <cell r="J16">
            <v>2217236.4900000002</v>
          </cell>
        </row>
        <row r="17">
          <cell r="F17">
            <v>70.23</v>
          </cell>
          <cell r="J17">
            <v>767432.2</v>
          </cell>
        </row>
        <row r="18">
          <cell r="F18">
            <v>88.12</v>
          </cell>
          <cell r="J18">
            <v>1014048.3900000001</v>
          </cell>
        </row>
        <row r="19">
          <cell r="F19">
            <v>52.44</v>
          </cell>
          <cell r="J19">
            <v>435755.9</v>
          </cell>
        </row>
        <row r="20">
          <cell r="F20">
            <v>128.43</v>
          </cell>
          <cell r="J20">
            <v>2114017.5</v>
          </cell>
        </row>
        <row r="21">
          <cell r="F21">
            <v>154.25</v>
          </cell>
          <cell r="J21">
            <v>1040832.08</v>
          </cell>
        </row>
        <row r="22">
          <cell r="F22">
            <v>0</v>
          </cell>
          <cell r="J22">
            <v>271434.19</v>
          </cell>
        </row>
        <row r="23">
          <cell r="F23">
            <v>39.4</v>
          </cell>
          <cell r="J23">
            <v>271434.19</v>
          </cell>
        </row>
        <row r="24">
          <cell r="F24">
            <v>0</v>
          </cell>
          <cell r="J24">
            <v>0</v>
          </cell>
        </row>
        <row r="25">
          <cell r="F25">
            <v>0</v>
          </cell>
          <cell r="J25">
            <v>0</v>
          </cell>
        </row>
        <row r="26">
          <cell r="F26">
            <v>0</v>
          </cell>
          <cell r="J26">
            <v>0</v>
          </cell>
        </row>
        <row r="28">
          <cell r="F28">
            <v>60.1</v>
          </cell>
          <cell r="J28">
            <v>431120.44999999995</v>
          </cell>
        </row>
        <row r="29">
          <cell r="F29">
            <v>36.299999999999997</v>
          </cell>
          <cell r="J29">
            <v>236809.50999999998</v>
          </cell>
        </row>
        <row r="30">
          <cell r="F30">
            <v>1439.4099999999999</v>
          </cell>
          <cell r="J30">
            <v>20557106.300000001</v>
          </cell>
        </row>
      </sheetData>
      <sheetData sheetId="13">
        <row r="7">
          <cell r="F7">
            <v>320.60399999999998</v>
          </cell>
          <cell r="J7">
            <v>5630702.8700000001</v>
          </cell>
        </row>
        <row r="8">
          <cell r="F8">
            <v>28.92</v>
          </cell>
          <cell r="J8">
            <v>913326.26</v>
          </cell>
        </row>
        <row r="9">
          <cell r="F9">
            <v>63.44</v>
          </cell>
          <cell r="J9">
            <v>1329474.92</v>
          </cell>
        </row>
        <row r="10">
          <cell r="F10">
            <v>191.7</v>
          </cell>
          <cell r="J10">
            <v>2959010.69</v>
          </cell>
        </row>
        <row r="11">
          <cell r="F11">
            <v>27.094000000000001</v>
          </cell>
          <cell r="J11">
            <v>330000.75</v>
          </cell>
        </row>
        <row r="12">
          <cell r="F12">
            <v>9.4499999999999993</v>
          </cell>
          <cell r="J12">
            <v>98890.25</v>
          </cell>
        </row>
        <row r="13">
          <cell r="F13">
            <v>131.88999999999999</v>
          </cell>
          <cell r="J13">
            <v>1236876.03</v>
          </cell>
        </row>
        <row r="15">
          <cell r="F15">
            <v>14.698</v>
          </cell>
          <cell r="J15">
            <v>151761.85</v>
          </cell>
        </row>
        <row r="16">
          <cell r="F16">
            <v>201.90900000000002</v>
          </cell>
          <cell r="J16">
            <v>2087827.2000000002</v>
          </cell>
        </row>
        <row r="17">
          <cell r="F17">
            <v>63.519999999999996</v>
          </cell>
          <cell r="J17">
            <v>656662.13</v>
          </cell>
        </row>
        <row r="18">
          <cell r="F18">
            <v>85.95</v>
          </cell>
          <cell r="J18">
            <v>995409.16999999993</v>
          </cell>
        </row>
        <row r="19">
          <cell r="F19">
            <v>52.439</v>
          </cell>
          <cell r="J19">
            <v>435755.9</v>
          </cell>
        </row>
        <row r="20">
          <cell r="F20">
            <v>71.22</v>
          </cell>
          <cell r="J20">
            <v>1128509.22</v>
          </cell>
        </row>
        <row r="21">
          <cell r="F21">
            <v>87.53</v>
          </cell>
          <cell r="J21">
            <v>514095.48</v>
          </cell>
        </row>
        <row r="22">
          <cell r="F22">
            <v>0</v>
          </cell>
          <cell r="J22">
            <v>125329.37</v>
          </cell>
        </row>
        <row r="23">
          <cell r="F23">
            <v>21.14</v>
          </cell>
          <cell r="J23">
            <v>125329.37</v>
          </cell>
        </row>
        <row r="24">
          <cell r="F24">
            <v>0</v>
          </cell>
          <cell r="J24">
            <v>0</v>
          </cell>
        </row>
        <row r="25">
          <cell r="F25">
            <v>0</v>
          </cell>
          <cell r="J25">
            <v>0</v>
          </cell>
        </row>
        <row r="26">
          <cell r="F26">
            <v>0</v>
          </cell>
          <cell r="J26">
            <v>0</v>
          </cell>
        </row>
        <row r="28">
          <cell r="F28">
            <v>37.17</v>
          </cell>
          <cell r="J28">
            <v>254318.52</v>
          </cell>
        </row>
        <row r="29">
          <cell r="F29">
            <v>33.31</v>
          </cell>
          <cell r="J29">
            <v>216519.73</v>
          </cell>
        </row>
        <row r="30">
          <cell r="F30">
            <v>883.63300000000004</v>
          </cell>
          <cell r="J30">
            <v>11068849.050000003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zoomScaleNormal="100"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5.6" x14ac:dyDescent="0.25"/>
  <cols>
    <col min="1" max="1" width="9.109375" style="142" customWidth="1"/>
    <col min="2" max="2" width="77.88671875" style="143" customWidth="1"/>
    <col min="3" max="5" width="17.44140625" style="27" customWidth="1"/>
    <col min="6" max="6" width="12.44140625" style="27" customWidth="1"/>
    <col min="7" max="16384" width="9.109375" style="27"/>
  </cols>
  <sheetData>
    <row r="1" spans="1:5" s="130" customFormat="1" ht="87" customHeight="1" thickBot="1" x14ac:dyDescent="0.3">
      <c r="A1" s="646" t="s">
        <v>1433</v>
      </c>
      <c r="B1" s="647"/>
      <c r="C1" s="647"/>
      <c r="D1" s="647"/>
      <c r="E1" s="648"/>
    </row>
    <row r="2" spans="1:5" s="130" customFormat="1" ht="35.1" customHeight="1" x14ac:dyDescent="0.25">
      <c r="A2" s="649" t="s">
        <v>1216</v>
      </c>
      <c r="B2" s="650"/>
      <c r="C2" s="650"/>
      <c r="D2" s="650"/>
      <c r="E2" s="651"/>
    </row>
    <row r="3" spans="1:5" ht="43.5" customHeight="1" x14ac:dyDescent="0.25">
      <c r="A3" s="157" t="s">
        <v>205</v>
      </c>
      <c r="B3" s="131" t="s">
        <v>204</v>
      </c>
      <c r="C3" s="133" t="s">
        <v>301</v>
      </c>
      <c r="D3" s="133" t="s">
        <v>302</v>
      </c>
      <c r="E3" s="6" t="s">
        <v>222</v>
      </c>
    </row>
    <row r="4" spans="1:5" ht="17.25" customHeight="1" x14ac:dyDescent="0.25">
      <c r="A4" s="7"/>
      <c r="B4" s="11"/>
      <c r="C4" s="2" t="s">
        <v>283</v>
      </c>
      <c r="D4" s="2" t="s">
        <v>284</v>
      </c>
      <c r="E4" s="3" t="s">
        <v>22</v>
      </c>
    </row>
    <row r="5" spans="1:5" x14ac:dyDescent="0.25">
      <c r="A5" s="7">
        <v>1</v>
      </c>
      <c r="B5" s="11" t="s">
        <v>360</v>
      </c>
      <c r="C5" s="135">
        <f>C6</f>
        <v>15381417</v>
      </c>
      <c r="D5" s="135">
        <f>D6</f>
        <v>200000</v>
      </c>
      <c r="E5" s="33">
        <f>C5+D5</f>
        <v>15581417</v>
      </c>
    </row>
    <row r="6" spans="1:5" x14ac:dyDescent="0.25">
      <c r="A6" s="7">
        <f>A5+1</f>
        <v>2</v>
      </c>
      <c r="B6" s="10" t="s">
        <v>261</v>
      </c>
      <c r="C6" s="119">
        <v>15381417</v>
      </c>
      <c r="D6" s="119">
        <v>200000</v>
      </c>
      <c r="E6" s="33">
        <f>C6+D6</f>
        <v>15581417</v>
      </c>
    </row>
    <row r="7" spans="1:5" ht="15.75" customHeight="1" x14ac:dyDescent="0.25">
      <c r="A7" s="7">
        <f>A6+1</f>
        <v>3</v>
      </c>
      <c r="B7" s="11" t="s">
        <v>361</v>
      </c>
      <c r="C7" s="135">
        <f>C8+C9+C10+C11+C12</f>
        <v>11321622</v>
      </c>
      <c r="D7" s="135">
        <f>D8+D9+D10+D11+D12</f>
        <v>0</v>
      </c>
      <c r="E7" s="33">
        <f>C7+D7</f>
        <v>11321622</v>
      </c>
    </row>
    <row r="8" spans="1:5" x14ac:dyDescent="0.25">
      <c r="A8" s="7">
        <f t="shared" ref="A8:A19" si="0">A7+1</f>
        <v>4</v>
      </c>
      <c r="B8" s="10" t="s">
        <v>262</v>
      </c>
      <c r="C8" s="119">
        <v>10526154</v>
      </c>
      <c r="D8" s="119"/>
      <c r="E8" s="33">
        <f>C8+D8</f>
        <v>10526154</v>
      </c>
    </row>
    <row r="9" spans="1:5" x14ac:dyDescent="0.25">
      <c r="A9" s="7">
        <f t="shared" si="0"/>
        <v>5</v>
      </c>
      <c r="B9" s="10" t="s">
        <v>263</v>
      </c>
      <c r="C9" s="119">
        <v>689196</v>
      </c>
      <c r="D9" s="119"/>
      <c r="E9" s="33">
        <f>C9+D9</f>
        <v>689196</v>
      </c>
    </row>
    <row r="10" spans="1:5" x14ac:dyDescent="0.25">
      <c r="A10" s="7">
        <f t="shared" si="0"/>
        <v>6</v>
      </c>
      <c r="B10" s="10" t="s">
        <v>264</v>
      </c>
      <c r="C10" s="119"/>
      <c r="D10" s="119"/>
      <c r="E10" s="33">
        <f t="shared" ref="E10:E19" si="1">C10+D10</f>
        <v>0</v>
      </c>
    </row>
    <row r="11" spans="1:5" x14ac:dyDescent="0.25">
      <c r="A11" s="7">
        <f t="shared" si="0"/>
        <v>7</v>
      </c>
      <c r="B11" s="10" t="s">
        <v>265</v>
      </c>
      <c r="C11" s="119"/>
      <c r="D11" s="119"/>
      <c r="E11" s="33">
        <f t="shared" si="1"/>
        <v>0</v>
      </c>
    </row>
    <row r="12" spans="1:5" x14ac:dyDescent="0.25">
      <c r="A12" s="7">
        <f t="shared" si="0"/>
        <v>8</v>
      </c>
      <c r="B12" s="10" t="s">
        <v>143</v>
      </c>
      <c r="C12" s="119">
        <v>106272</v>
      </c>
      <c r="D12" s="119"/>
      <c r="E12" s="33">
        <f t="shared" si="1"/>
        <v>106272</v>
      </c>
    </row>
    <row r="13" spans="1:5" ht="15.75" customHeight="1" x14ac:dyDescent="0.25">
      <c r="A13" s="7">
        <f t="shared" si="0"/>
        <v>9</v>
      </c>
      <c r="B13" s="11" t="s">
        <v>362</v>
      </c>
      <c r="C13" s="135">
        <f>C14</f>
        <v>0</v>
      </c>
      <c r="D13" s="135">
        <f>D14</f>
        <v>0</v>
      </c>
      <c r="E13" s="33">
        <f t="shared" si="1"/>
        <v>0</v>
      </c>
    </row>
    <row r="14" spans="1:5" x14ac:dyDescent="0.25">
      <c r="A14" s="7">
        <f t="shared" si="0"/>
        <v>10</v>
      </c>
      <c r="B14" s="10" t="s">
        <v>144</v>
      </c>
      <c r="C14" s="119"/>
      <c r="D14" s="119"/>
      <c r="E14" s="33">
        <f t="shared" si="1"/>
        <v>0</v>
      </c>
    </row>
    <row r="15" spans="1:5" x14ac:dyDescent="0.25">
      <c r="A15" s="7">
        <f t="shared" si="0"/>
        <v>11</v>
      </c>
      <c r="B15" s="11" t="s">
        <v>363</v>
      </c>
      <c r="C15" s="135">
        <f>SUM(C16:C18)</f>
        <v>2410644</v>
      </c>
      <c r="D15" s="135">
        <f>SUM(D16:D18)</f>
        <v>0</v>
      </c>
      <c r="E15" s="33">
        <f t="shared" si="1"/>
        <v>2410644</v>
      </c>
    </row>
    <row r="16" spans="1:5" x14ac:dyDescent="0.25">
      <c r="A16" s="7">
        <f t="shared" si="0"/>
        <v>12</v>
      </c>
      <c r="B16" s="10" t="s">
        <v>145</v>
      </c>
      <c r="C16" s="119">
        <v>1225530</v>
      </c>
      <c r="D16" s="119"/>
      <c r="E16" s="33">
        <f t="shared" si="1"/>
        <v>1225530</v>
      </c>
    </row>
    <row r="17" spans="1:5" x14ac:dyDescent="0.25">
      <c r="A17" s="7">
        <f t="shared" si="0"/>
        <v>13</v>
      </c>
      <c r="B17" s="10" t="s">
        <v>146</v>
      </c>
      <c r="C17" s="119">
        <v>342255</v>
      </c>
      <c r="D17" s="119"/>
      <c r="E17" s="33">
        <f t="shared" si="1"/>
        <v>342255</v>
      </c>
    </row>
    <row r="18" spans="1:5" x14ac:dyDescent="0.25">
      <c r="A18" s="7">
        <f t="shared" si="0"/>
        <v>14</v>
      </c>
      <c r="B18" s="10" t="s">
        <v>147</v>
      </c>
      <c r="C18" s="119">
        <v>842859</v>
      </c>
      <c r="D18" s="119"/>
      <c r="E18" s="33">
        <f t="shared" si="1"/>
        <v>842859</v>
      </c>
    </row>
    <row r="19" spans="1:5" ht="16.2" thickBot="1" x14ac:dyDescent="0.3">
      <c r="A19" s="66">
        <f t="shared" si="0"/>
        <v>15</v>
      </c>
      <c r="B19" s="12" t="s">
        <v>364</v>
      </c>
      <c r="C19" s="136">
        <f>C5+C7+C13+C15</f>
        <v>29113683</v>
      </c>
      <c r="D19" s="136">
        <f>D5+D7+D13+D15</f>
        <v>200000</v>
      </c>
      <c r="E19" s="137">
        <f t="shared" si="1"/>
        <v>29313683</v>
      </c>
    </row>
    <row r="20" spans="1:5" x14ac:dyDescent="0.25">
      <c r="A20" s="138"/>
      <c r="B20" s="139"/>
      <c r="C20" s="140"/>
      <c r="D20" s="140"/>
    </row>
    <row r="21" spans="1:5" x14ac:dyDescent="0.25">
      <c r="A21" s="141"/>
    </row>
    <row r="23" spans="1:5" x14ac:dyDescent="0.25">
      <c r="B23" s="143" t="s">
        <v>157</v>
      </c>
    </row>
  </sheetData>
  <sheetProtection selectLockedCells="1"/>
  <protectedRanges>
    <protectedRange sqref="C8:D12 C16 C14:D14 C6:D6 C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pageSetUpPr fitToPage="1"/>
  </sheetPr>
  <dimension ref="A1:J21"/>
  <sheetViews>
    <sheetView zoomScale="90" zoomScaleNormal="90" workbookViewId="0">
      <pane xSplit="2" ySplit="6" topLeftCell="D7" activePane="bottomRight" state="frozen"/>
      <selection pane="topRight" activeCell="C1" sqref="C1"/>
      <selection pane="bottomLeft" activeCell="A7" sqref="A7"/>
      <selection pane="bottomRight" activeCell="D27" sqref="D27"/>
    </sheetView>
  </sheetViews>
  <sheetFormatPr defaultColWidth="9.109375" defaultRowHeight="15.6" x14ac:dyDescent="0.3"/>
  <cols>
    <col min="1" max="1" width="9.109375" style="548"/>
    <col min="2" max="2" width="70.44140625" style="548" customWidth="1"/>
    <col min="3" max="3" width="23.109375" style="548" customWidth="1"/>
    <col min="4" max="4" width="23.88671875" style="548" customWidth="1"/>
    <col min="5" max="5" width="20.33203125" style="548" customWidth="1"/>
    <col min="6" max="6" width="23.109375" style="548" customWidth="1"/>
    <col min="7" max="7" width="24" style="548" customWidth="1"/>
    <col min="8" max="8" width="15.44140625" style="548" customWidth="1"/>
    <col min="9" max="10" width="13.88671875" style="548" customWidth="1"/>
    <col min="11" max="16384" width="9.109375" style="548"/>
  </cols>
  <sheetData>
    <row r="1" spans="1:10" ht="39.75" customHeight="1" thickBot="1" x14ac:dyDescent="0.35">
      <c r="A1" s="730" t="s">
        <v>1173</v>
      </c>
      <c r="B1" s="731"/>
      <c r="C1" s="731"/>
      <c r="D1" s="731"/>
      <c r="E1" s="731"/>
      <c r="F1" s="731"/>
      <c r="G1" s="732"/>
    </row>
    <row r="2" spans="1:10" ht="44.25" customHeight="1" x14ac:dyDescent="0.3">
      <c r="A2" s="736" t="s">
        <v>1222</v>
      </c>
      <c r="B2" s="737"/>
      <c r="C2" s="737"/>
      <c r="D2" s="737"/>
      <c r="E2" s="737"/>
      <c r="F2" s="737"/>
      <c r="G2" s="738"/>
    </row>
    <row r="3" spans="1:10" ht="41.25" customHeight="1" x14ac:dyDescent="0.3">
      <c r="A3" s="739" t="s">
        <v>205</v>
      </c>
      <c r="B3" s="740" t="s">
        <v>327</v>
      </c>
      <c r="C3" s="743" t="s">
        <v>1160</v>
      </c>
      <c r="D3" s="744"/>
      <c r="E3" s="747" t="s">
        <v>1322</v>
      </c>
      <c r="F3" s="747" t="s">
        <v>1323</v>
      </c>
      <c r="G3" s="733" t="s">
        <v>940</v>
      </c>
    </row>
    <row r="4" spans="1:10" ht="18.75" customHeight="1" x14ac:dyDescent="0.3">
      <c r="A4" s="739"/>
      <c r="B4" s="741"/>
      <c r="C4" s="745" t="s">
        <v>337</v>
      </c>
      <c r="D4" s="746"/>
      <c r="E4" s="748"/>
      <c r="F4" s="748"/>
      <c r="G4" s="734"/>
    </row>
    <row r="5" spans="1:10" ht="47.25" customHeight="1" x14ac:dyDescent="0.3">
      <c r="A5" s="739"/>
      <c r="B5" s="742"/>
      <c r="C5" s="549" t="s">
        <v>1014</v>
      </c>
      <c r="D5" s="243" t="s">
        <v>1324</v>
      </c>
      <c r="E5" s="749"/>
      <c r="F5" s="749"/>
      <c r="G5" s="735"/>
    </row>
    <row r="6" spans="1:10" ht="26.25" customHeight="1" x14ac:dyDescent="0.3">
      <c r="A6" s="550"/>
      <c r="B6" s="551"/>
      <c r="C6" s="552" t="s">
        <v>283</v>
      </c>
      <c r="D6" s="552" t="s">
        <v>284</v>
      </c>
      <c r="E6" s="552" t="s">
        <v>285</v>
      </c>
      <c r="F6" s="553" t="s">
        <v>292</v>
      </c>
      <c r="G6" s="554" t="s">
        <v>895</v>
      </c>
      <c r="H6" s="555"/>
      <c r="I6" s="555"/>
      <c r="J6" s="555"/>
    </row>
    <row r="7" spans="1:10" ht="21.75" customHeight="1" x14ac:dyDescent="0.3">
      <c r="A7" s="556">
        <v>1</v>
      </c>
      <c r="B7" s="557" t="s">
        <v>1325</v>
      </c>
      <c r="C7" s="145">
        <f>C8+C11</f>
        <v>283486.02</v>
      </c>
      <c r="D7" s="145">
        <f>D8+D11</f>
        <v>3951.45</v>
      </c>
      <c r="E7" s="145">
        <f>E8+E11</f>
        <v>0</v>
      </c>
      <c r="F7" s="145">
        <f>F8+F11</f>
        <v>1801211.9000000001</v>
      </c>
      <c r="G7" s="145">
        <f>SUM(C7:F7)</f>
        <v>2088649.37</v>
      </c>
      <c r="H7" s="558"/>
      <c r="I7" s="558"/>
      <c r="J7" s="558"/>
    </row>
    <row r="8" spans="1:10" ht="31.2" x14ac:dyDescent="0.3">
      <c r="A8" s="556">
        <v>2</v>
      </c>
      <c r="B8" s="245" t="s">
        <v>1326</v>
      </c>
      <c r="C8" s="145">
        <f>C9</f>
        <v>174250</v>
      </c>
      <c r="D8" s="145">
        <f>D10</f>
        <v>0</v>
      </c>
      <c r="E8" s="145">
        <f>SUM(E9:E10)</f>
        <v>0</v>
      </c>
      <c r="F8" s="145">
        <f>SUM(F9:F10)</f>
        <v>1231253.1200000001</v>
      </c>
      <c r="G8" s="244">
        <f t="shared" ref="G8:G17" si="0">SUM(C8:F8)</f>
        <v>1405503.12</v>
      </c>
      <c r="H8" s="558"/>
      <c r="I8" s="558"/>
      <c r="J8" s="558"/>
    </row>
    <row r="9" spans="1:10" ht="31.2" x14ac:dyDescent="0.3">
      <c r="A9" s="556">
        <v>3</v>
      </c>
      <c r="B9" s="245" t="s">
        <v>1016</v>
      </c>
      <c r="C9" s="148">
        <v>174250</v>
      </c>
      <c r="D9" s="200" t="s">
        <v>312</v>
      </c>
      <c r="E9" s="148"/>
      <c r="F9" s="559">
        <v>1204490.8</v>
      </c>
      <c r="G9" s="244">
        <f t="shared" si="0"/>
        <v>1378740.8</v>
      </c>
    </row>
    <row r="10" spans="1:10" ht="31.2" x14ac:dyDescent="0.3">
      <c r="A10" s="556">
        <v>4</v>
      </c>
      <c r="B10" s="245" t="s">
        <v>1171</v>
      </c>
      <c r="C10" s="200" t="s">
        <v>312</v>
      </c>
      <c r="D10" s="148"/>
      <c r="E10" s="148"/>
      <c r="F10" s="559">
        <v>26762.32</v>
      </c>
      <c r="G10" s="244">
        <f t="shared" si="0"/>
        <v>26762.32</v>
      </c>
    </row>
    <row r="11" spans="1:10" ht="31.2" x14ac:dyDescent="0.3">
      <c r="A11" s="556">
        <v>5</v>
      </c>
      <c r="B11" s="245" t="s">
        <v>1327</v>
      </c>
      <c r="C11" s="145">
        <f>C12</f>
        <v>109236.02</v>
      </c>
      <c r="D11" s="145">
        <f>D13</f>
        <v>3951.45</v>
      </c>
      <c r="E11" s="145">
        <f>SUM(E12:E13)</f>
        <v>0</v>
      </c>
      <c r="F11" s="145">
        <f>SUM(F12:F13)</f>
        <v>569958.78</v>
      </c>
      <c r="G11" s="244">
        <f>SUM(C11:E11)</f>
        <v>113187.47</v>
      </c>
    </row>
    <row r="12" spans="1:10" ht="31.2" x14ac:dyDescent="0.3">
      <c r="A12" s="556">
        <v>6</v>
      </c>
      <c r="B12" s="245" t="s">
        <v>1017</v>
      </c>
      <c r="C12" s="148">
        <v>109236.02</v>
      </c>
      <c r="D12" s="200" t="s">
        <v>312</v>
      </c>
      <c r="E12" s="148"/>
      <c r="F12" s="148">
        <v>513345.36</v>
      </c>
      <c r="G12" s="244">
        <f t="shared" si="0"/>
        <v>622581.38</v>
      </c>
    </row>
    <row r="13" spans="1:10" s="22" customFormat="1" ht="31.2" x14ac:dyDescent="0.3">
      <c r="A13" s="556">
        <v>7</v>
      </c>
      <c r="B13" s="245" t="s">
        <v>1172</v>
      </c>
      <c r="C13" s="200" t="s">
        <v>312</v>
      </c>
      <c r="D13" s="148">
        <v>3951.45</v>
      </c>
      <c r="E13" s="148"/>
      <c r="F13" s="148">
        <v>56613.42</v>
      </c>
      <c r="G13" s="244">
        <f t="shared" si="0"/>
        <v>60564.869999999995</v>
      </c>
      <c r="H13" s="548"/>
    </row>
    <row r="14" spans="1:10" ht="31.2" x14ac:dyDescent="0.3">
      <c r="A14" s="556">
        <v>8</v>
      </c>
      <c r="B14" s="31" t="s">
        <v>1158</v>
      </c>
      <c r="C14" s="148">
        <v>168533.67</v>
      </c>
      <c r="D14" s="200" t="s">
        <v>312</v>
      </c>
      <c r="E14" s="200" t="s">
        <v>312</v>
      </c>
      <c r="F14" s="200" t="s">
        <v>312</v>
      </c>
      <c r="G14" s="244">
        <f>SUM(C14:F14)</f>
        <v>168533.67</v>
      </c>
      <c r="I14" s="558"/>
    </row>
    <row r="15" spans="1:10" ht="31.2" x14ac:dyDescent="0.3">
      <c r="A15" s="556">
        <v>9</v>
      </c>
      <c r="B15" s="245" t="s">
        <v>1328</v>
      </c>
      <c r="C15" s="148">
        <v>403367</v>
      </c>
      <c r="D15" s="148"/>
      <c r="E15" s="200" t="s">
        <v>312</v>
      </c>
      <c r="F15" s="200" t="s">
        <v>312</v>
      </c>
      <c r="G15" s="244">
        <f t="shared" si="0"/>
        <v>403367</v>
      </c>
    </row>
    <row r="16" spans="1:10" ht="39" customHeight="1" x14ac:dyDescent="0.3">
      <c r="A16" s="556">
        <v>10</v>
      </c>
      <c r="B16" s="245" t="s">
        <v>1329</v>
      </c>
      <c r="C16" s="148">
        <f>C14+C15-C7</f>
        <v>288414.65000000002</v>
      </c>
      <c r="D16" s="200" t="s">
        <v>312</v>
      </c>
      <c r="E16" s="200" t="s">
        <v>312</v>
      </c>
      <c r="F16" s="200" t="s">
        <v>312</v>
      </c>
      <c r="G16" s="244">
        <f t="shared" si="0"/>
        <v>288414.65000000002</v>
      </c>
      <c r="H16" s="558"/>
      <c r="I16" s="558"/>
    </row>
    <row r="17" spans="1:7" ht="21" customHeight="1" x14ac:dyDescent="0.3">
      <c r="A17" s="556">
        <v>11</v>
      </c>
      <c r="B17" s="560" t="s">
        <v>1330</v>
      </c>
      <c r="C17" s="148">
        <v>471</v>
      </c>
      <c r="D17" s="200" t="s">
        <v>312</v>
      </c>
      <c r="E17" s="148"/>
      <c r="F17" s="559">
        <v>3076</v>
      </c>
      <c r="G17" s="244">
        <f t="shared" si="0"/>
        <v>3547</v>
      </c>
    </row>
    <row r="18" spans="1:7" ht="21" customHeight="1" thickBot="1" x14ac:dyDescent="0.35">
      <c r="A18" s="561">
        <v>12</v>
      </c>
      <c r="B18" s="562" t="s">
        <v>394</v>
      </c>
      <c r="C18" s="442">
        <f>IF(C17=0,0,+(C7+D7)/C17)</f>
        <v>610.2706369426752</v>
      </c>
      <c r="D18" s="563" t="s">
        <v>312</v>
      </c>
      <c r="E18" s="442">
        <f>IF(E17=0,0,+E7/E17)</f>
        <v>0</v>
      </c>
      <c r="F18" s="442">
        <f>IF(F17=0,0,+F7/F17)</f>
        <v>585.56953836150853</v>
      </c>
      <c r="G18" s="247">
        <f>IF(G17=0,0,+G7/G17)</f>
        <v>588.84955455314355</v>
      </c>
    </row>
    <row r="20" spans="1:7" x14ac:dyDescent="0.3">
      <c r="A20" s="564" t="s">
        <v>1331</v>
      </c>
      <c r="B20" s="565"/>
      <c r="C20" s="565"/>
      <c r="D20" s="565"/>
      <c r="E20" s="565"/>
      <c r="F20" s="565"/>
      <c r="G20" s="566"/>
    </row>
    <row r="21" spans="1:7" x14ac:dyDescent="0.3">
      <c r="A21" s="567" t="s">
        <v>1159</v>
      </c>
      <c r="B21" s="568"/>
      <c r="C21" s="568"/>
      <c r="D21" s="568"/>
      <c r="E21" s="568"/>
      <c r="F21" s="568"/>
      <c r="G21" s="569"/>
    </row>
  </sheetData>
  <mergeCells count="9">
    <mergeCell ref="A1:G1"/>
    <mergeCell ref="G3:G5"/>
    <mergeCell ref="A2:G2"/>
    <mergeCell ref="A3:A5"/>
    <mergeCell ref="B3:B5"/>
    <mergeCell ref="C3:D3"/>
    <mergeCell ref="C4:D4"/>
    <mergeCell ref="E3:E5"/>
    <mergeCell ref="F3:F5"/>
  </mergeCells>
  <pageMargins left="0.45" right="0.33" top="0.74803149606299213" bottom="0.74803149606299213" header="0.31496062992125984" footer="0.31496062992125984"/>
  <pageSetup paperSize="9" scale="73"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K17"/>
  <sheetViews>
    <sheetView workbookViewId="0">
      <pane xSplit="2" ySplit="5" topLeftCell="C6" activePane="bottomRight" state="frozen"/>
      <selection pane="topRight" activeCell="C1" sqref="C1"/>
      <selection pane="bottomLeft" activeCell="A6" sqref="A6"/>
      <selection pane="bottomRight" activeCell="B3" sqref="B3:B4"/>
    </sheetView>
  </sheetViews>
  <sheetFormatPr defaultColWidth="9.109375" defaultRowHeight="15.6" x14ac:dyDescent="0.25"/>
  <cols>
    <col min="1" max="1" width="8.109375" style="22" customWidth="1"/>
    <col min="2" max="2" width="93.109375" style="547" customWidth="1"/>
    <col min="3" max="3" width="17.33203125" style="22" customWidth="1"/>
    <col min="4" max="4" width="17.109375" style="22" customWidth="1"/>
    <col min="5" max="5" width="15.6640625" style="22" customWidth="1"/>
    <col min="6" max="6" width="18" style="22" customWidth="1"/>
    <col min="7" max="7" width="7.5546875" style="22" customWidth="1"/>
    <col min="8" max="9" width="11.88671875" style="22" bestFit="1" customWidth="1"/>
    <col min="10" max="16384" width="9.109375" style="22"/>
  </cols>
  <sheetData>
    <row r="1" spans="1:11" ht="50.1" customHeight="1" thickBot="1" x14ac:dyDescent="0.3">
      <c r="A1" s="759" t="s">
        <v>1320</v>
      </c>
      <c r="B1" s="760"/>
      <c r="C1" s="760"/>
      <c r="D1" s="760"/>
      <c r="E1" s="760"/>
      <c r="F1" s="761"/>
      <c r="G1" s="224"/>
      <c r="H1" s="313"/>
    </row>
    <row r="2" spans="1:11" ht="36.75" customHeight="1" x14ac:dyDescent="0.25">
      <c r="A2" s="692" t="s">
        <v>1220</v>
      </c>
      <c r="B2" s="770"/>
      <c r="C2" s="771" t="s">
        <v>989</v>
      </c>
      <c r="D2" s="771"/>
      <c r="E2" s="771"/>
      <c r="F2" s="772"/>
      <c r="G2" s="248"/>
    </row>
    <row r="3" spans="1:11" ht="33" customHeight="1" x14ac:dyDescent="0.25">
      <c r="A3" s="768" t="s">
        <v>205</v>
      </c>
      <c r="B3" s="766" t="s">
        <v>327</v>
      </c>
      <c r="C3" s="762">
        <v>2014</v>
      </c>
      <c r="D3" s="763"/>
      <c r="E3" s="764">
        <v>2015</v>
      </c>
      <c r="F3" s="765"/>
      <c r="G3" s="248"/>
    </row>
    <row r="4" spans="1:11" ht="69" customHeight="1" x14ac:dyDescent="0.25">
      <c r="A4" s="769"/>
      <c r="B4" s="767"/>
      <c r="C4" s="249" t="s">
        <v>863</v>
      </c>
      <c r="D4" s="249" t="s">
        <v>189</v>
      </c>
      <c r="E4" s="249" t="s">
        <v>863</v>
      </c>
      <c r="F4" s="6" t="s">
        <v>269</v>
      </c>
      <c r="G4" s="248"/>
    </row>
    <row r="5" spans="1:11" x14ac:dyDescent="0.25">
      <c r="A5" s="545"/>
      <c r="B5" s="252"/>
      <c r="C5" s="16" t="s">
        <v>283</v>
      </c>
      <c r="D5" s="16" t="s">
        <v>284</v>
      </c>
      <c r="E5" s="16" t="s">
        <v>285</v>
      </c>
      <c r="F5" s="17" t="s">
        <v>292</v>
      </c>
      <c r="G5" s="248"/>
    </row>
    <row r="6" spans="1:11" ht="38.25" customHeight="1" x14ac:dyDescent="0.25">
      <c r="A6" s="32">
        <v>1</v>
      </c>
      <c r="B6" s="18" t="s">
        <v>69</v>
      </c>
      <c r="C6" s="229">
        <v>1417320</v>
      </c>
      <c r="D6" s="200" t="s">
        <v>312</v>
      </c>
      <c r="E6" s="229">
        <v>1267125</v>
      </c>
      <c r="F6" s="253" t="s">
        <v>312</v>
      </c>
      <c r="G6" s="750"/>
      <c r="H6" s="751"/>
      <c r="I6" s="751"/>
      <c r="J6" s="751"/>
      <c r="K6" s="751"/>
    </row>
    <row r="7" spans="1:11" ht="38.25" customHeight="1" x14ac:dyDescent="0.25">
      <c r="A7" s="32">
        <f>A6+1</f>
        <v>2</v>
      </c>
      <c r="B7" s="18" t="s">
        <v>338</v>
      </c>
      <c r="C7" s="200" t="s">
        <v>312</v>
      </c>
      <c r="D7" s="145">
        <v>8388</v>
      </c>
      <c r="E7" s="200" t="s">
        <v>312</v>
      </c>
      <c r="F7" s="244">
        <v>6047</v>
      </c>
      <c r="G7" s="248"/>
    </row>
    <row r="8" spans="1:11" ht="38.25" customHeight="1" x14ac:dyDescent="0.25">
      <c r="A8" s="32">
        <f>A7+1</f>
        <v>3</v>
      </c>
      <c r="B8" s="18" t="s">
        <v>1321</v>
      </c>
      <c r="C8" s="200" t="s">
        <v>312</v>
      </c>
      <c r="D8" s="145">
        <v>1099</v>
      </c>
      <c r="E8" s="200" t="s">
        <v>312</v>
      </c>
      <c r="F8" s="244">
        <v>864</v>
      </c>
      <c r="G8" s="248"/>
    </row>
    <row r="9" spans="1:11" ht="35.25" customHeight="1" x14ac:dyDescent="0.25">
      <c r="A9" s="32">
        <f>A8+1</f>
        <v>4</v>
      </c>
      <c r="B9" s="18" t="s">
        <v>812</v>
      </c>
      <c r="C9" s="229">
        <v>516667.81</v>
      </c>
      <c r="D9" s="200" t="s">
        <v>312</v>
      </c>
      <c r="E9" s="254">
        <f>+C11</f>
        <v>231811.81000000006</v>
      </c>
      <c r="F9" s="253" t="s">
        <v>312</v>
      </c>
      <c r="G9" s="248"/>
    </row>
    <row r="10" spans="1:11" ht="37.5" customHeight="1" x14ac:dyDescent="0.25">
      <c r="A10" s="32">
        <f>A9+1</f>
        <v>5</v>
      </c>
      <c r="B10" s="18" t="s">
        <v>889</v>
      </c>
      <c r="C10" s="229">
        <v>1132464</v>
      </c>
      <c r="D10" s="200" t="s">
        <v>312</v>
      </c>
      <c r="E10" s="254">
        <v>1225530</v>
      </c>
      <c r="F10" s="253" t="s">
        <v>312</v>
      </c>
      <c r="G10" s="248"/>
    </row>
    <row r="11" spans="1:11" ht="33" customHeight="1" x14ac:dyDescent="0.25">
      <c r="A11" s="32">
        <v>6</v>
      </c>
      <c r="B11" s="18" t="s">
        <v>244</v>
      </c>
      <c r="C11" s="229">
        <f>+C9+C10-C6</f>
        <v>231811.81000000006</v>
      </c>
      <c r="D11" s="200" t="s">
        <v>312</v>
      </c>
      <c r="E11" s="254">
        <f>+E9+E10-E6</f>
        <v>190216.81000000006</v>
      </c>
      <c r="F11" s="253" t="s">
        <v>312</v>
      </c>
      <c r="G11" s="248"/>
    </row>
    <row r="12" spans="1:11" ht="36" customHeight="1" thickBot="1" x14ac:dyDescent="0.3">
      <c r="A12" s="288">
        <v>7</v>
      </c>
      <c r="B12" s="26" t="s">
        <v>245</v>
      </c>
      <c r="C12" s="233">
        <f>IF(C6=0,0,C6/D7)</f>
        <v>168.96995708154506</v>
      </c>
      <c r="D12" s="255" t="s">
        <v>312</v>
      </c>
      <c r="E12" s="233">
        <f>IF(E6=0,0,E6/F7)</f>
        <v>209.54605589548535</v>
      </c>
      <c r="F12" s="256" t="s">
        <v>312</v>
      </c>
      <c r="G12" s="248"/>
    </row>
    <row r="13" spans="1:11" x14ac:dyDescent="0.25">
      <c r="B13" s="546"/>
      <c r="G13" s="248"/>
    </row>
    <row r="14" spans="1:11" x14ac:dyDescent="0.25">
      <c r="A14" s="753" t="s">
        <v>76</v>
      </c>
      <c r="B14" s="754"/>
      <c r="C14" s="754"/>
      <c r="D14" s="754"/>
      <c r="E14" s="754"/>
      <c r="F14" s="755"/>
      <c r="G14" s="248"/>
    </row>
    <row r="15" spans="1:11" x14ac:dyDescent="0.25">
      <c r="A15" s="756" t="s">
        <v>375</v>
      </c>
      <c r="B15" s="757"/>
      <c r="C15" s="757"/>
      <c r="D15" s="757"/>
      <c r="E15" s="757"/>
      <c r="F15" s="758"/>
      <c r="G15" s="248"/>
    </row>
    <row r="17" spans="1:6" ht="31.5" customHeight="1" x14ac:dyDescent="0.25">
      <c r="A17" s="752" t="s">
        <v>1276</v>
      </c>
      <c r="B17" s="752"/>
      <c r="C17" s="752"/>
      <c r="D17" s="752"/>
      <c r="E17" s="752"/>
      <c r="F17" s="752"/>
    </row>
  </sheetData>
  <mergeCells count="11">
    <mergeCell ref="G6:K6"/>
    <mergeCell ref="A17:F17"/>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4"/>
  <sheetViews>
    <sheetView workbookViewId="0">
      <pane xSplit="2" ySplit="5" topLeftCell="C6" activePane="bottomRight" state="frozen"/>
      <selection pane="topRight" activeCell="C1" sqref="C1"/>
      <selection pane="bottomLeft" activeCell="A6" sqref="A6"/>
      <selection pane="bottomRight" activeCell="I13" sqref="I13"/>
    </sheetView>
  </sheetViews>
  <sheetFormatPr defaultColWidth="9.109375" defaultRowHeight="13.2" x14ac:dyDescent="0.25"/>
  <cols>
    <col min="1" max="1" width="8.33203125" style="258" customWidth="1"/>
    <col min="2" max="2" width="77.6640625" style="258" customWidth="1"/>
    <col min="3" max="6" width="14.6640625" style="258" customWidth="1"/>
    <col min="7" max="16384" width="9.109375" style="258"/>
  </cols>
  <sheetData>
    <row r="1" spans="1:8" ht="50.1" customHeight="1" x14ac:dyDescent="0.25">
      <c r="A1" s="776" t="s">
        <v>1133</v>
      </c>
      <c r="B1" s="777"/>
      <c r="C1" s="777"/>
      <c r="D1" s="777"/>
      <c r="E1" s="777"/>
      <c r="F1" s="778"/>
      <c r="H1" s="259"/>
    </row>
    <row r="2" spans="1:8" ht="33" customHeight="1" x14ac:dyDescent="0.25">
      <c r="A2" s="676" t="s">
        <v>1223</v>
      </c>
      <c r="B2" s="677"/>
      <c r="C2" s="677"/>
      <c r="D2" s="677"/>
      <c r="E2" s="677"/>
      <c r="F2" s="781"/>
    </row>
    <row r="3" spans="1:8" ht="18.75" customHeight="1" x14ac:dyDescent="0.25">
      <c r="A3" s="681" t="s">
        <v>205</v>
      </c>
      <c r="B3" s="714" t="s">
        <v>327</v>
      </c>
      <c r="C3" s="709" t="s">
        <v>929</v>
      </c>
      <c r="D3" s="709"/>
      <c r="E3" s="709" t="s">
        <v>351</v>
      </c>
      <c r="F3" s="780"/>
    </row>
    <row r="4" spans="1:8" ht="18.75" customHeight="1" x14ac:dyDescent="0.25">
      <c r="A4" s="779"/>
      <c r="B4" s="714"/>
      <c r="C4" s="5">
        <v>2014</v>
      </c>
      <c r="D4" s="5">
        <v>2015</v>
      </c>
      <c r="E4" s="126">
        <v>2014</v>
      </c>
      <c r="F4" s="127">
        <v>2015</v>
      </c>
    </row>
    <row r="5" spans="1:8" ht="15.6" x14ac:dyDescent="0.25">
      <c r="A5" s="7"/>
      <c r="B5" s="64"/>
      <c r="C5" s="1" t="s">
        <v>283</v>
      </c>
      <c r="D5" s="1" t="s">
        <v>284</v>
      </c>
      <c r="E5" s="1" t="s">
        <v>285</v>
      </c>
      <c r="F5" s="17" t="s">
        <v>292</v>
      </c>
    </row>
    <row r="6" spans="1:8" ht="31.2" x14ac:dyDescent="0.25">
      <c r="A6" s="7">
        <v>1</v>
      </c>
      <c r="B6" s="11" t="s">
        <v>821</v>
      </c>
      <c r="C6" s="113" t="s">
        <v>312</v>
      </c>
      <c r="D6" s="113" t="s">
        <v>312</v>
      </c>
      <c r="E6" s="148">
        <v>1951</v>
      </c>
      <c r="F6" s="260">
        <v>1951</v>
      </c>
      <c r="G6" s="261"/>
    </row>
    <row r="7" spans="1:8" ht="36" x14ac:dyDescent="0.25">
      <c r="A7" s="7">
        <f>A6+1</f>
        <v>2</v>
      </c>
      <c r="B7" s="11" t="s">
        <v>339</v>
      </c>
      <c r="C7" s="113" t="s">
        <v>312</v>
      </c>
      <c r="D7" s="113" t="s">
        <v>312</v>
      </c>
      <c r="E7" s="148">
        <v>19470</v>
      </c>
      <c r="F7" s="260">
        <v>19232</v>
      </c>
    </row>
    <row r="8" spans="1:8" ht="15.6" x14ac:dyDescent="0.25">
      <c r="A8" s="7">
        <v>3</v>
      </c>
      <c r="B8" s="15" t="s">
        <v>266</v>
      </c>
      <c r="C8" s="113" t="s">
        <v>312</v>
      </c>
      <c r="D8" s="113" t="s">
        <v>312</v>
      </c>
      <c r="E8" s="145">
        <f>E7/12</f>
        <v>1622.5</v>
      </c>
      <c r="F8" s="244">
        <f>F7/12</f>
        <v>1602.6666666666667</v>
      </c>
    </row>
    <row r="9" spans="1:8" ht="31.2" x14ac:dyDescent="0.25">
      <c r="A9" s="7">
        <f t="shared" ref="A9:A18" si="0">A8+1</f>
        <v>4</v>
      </c>
      <c r="B9" s="11" t="s">
        <v>354</v>
      </c>
      <c r="C9" s="119">
        <v>724945.44</v>
      </c>
      <c r="D9" s="204">
        <v>778585.91</v>
      </c>
      <c r="E9" s="113" t="s">
        <v>312</v>
      </c>
      <c r="F9" s="262" t="s">
        <v>312</v>
      </c>
    </row>
    <row r="10" spans="1:8" ht="31.2" x14ac:dyDescent="0.25">
      <c r="A10" s="7">
        <f t="shared" si="0"/>
        <v>5</v>
      </c>
      <c r="B10" s="11" t="s">
        <v>368</v>
      </c>
      <c r="C10" s="119">
        <v>46100</v>
      </c>
      <c r="D10" s="119">
        <v>49985</v>
      </c>
      <c r="E10" s="119">
        <v>570</v>
      </c>
      <c r="F10" s="263">
        <v>871</v>
      </c>
    </row>
    <row r="11" spans="1:8" ht="31.2" x14ac:dyDescent="0.25">
      <c r="A11" s="7">
        <f t="shared" si="0"/>
        <v>6</v>
      </c>
      <c r="B11" s="11" t="s">
        <v>275</v>
      </c>
      <c r="C11" s="148">
        <v>706376</v>
      </c>
      <c r="D11" s="148">
        <v>706408</v>
      </c>
      <c r="E11" s="113" t="s">
        <v>312</v>
      </c>
      <c r="F11" s="262" t="s">
        <v>312</v>
      </c>
      <c r="G11" s="261"/>
    </row>
    <row r="12" spans="1:8" ht="15.6" x14ac:dyDescent="0.25">
      <c r="A12" s="7">
        <f t="shared" si="0"/>
        <v>7</v>
      </c>
      <c r="B12" s="11" t="s">
        <v>352</v>
      </c>
      <c r="C12" s="119">
        <v>9452.68</v>
      </c>
      <c r="D12" s="119">
        <f>94.83+18248.85</f>
        <v>18343.68</v>
      </c>
      <c r="E12" s="113" t="s">
        <v>312</v>
      </c>
      <c r="F12" s="262" t="s">
        <v>312</v>
      </c>
    </row>
    <row r="13" spans="1:8" ht="15.6" x14ac:dyDescent="0.25">
      <c r="A13" s="7">
        <f t="shared" si="0"/>
        <v>8</v>
      </c>
      <c r="B13" s="11" t="s">
        <v>369</v>
      </c>
      <c r="C13" s="145">
        <f>SUM(C9:C12)</f>
        <v>1486874.1199999999</v>
      </c>
      <c r="D13" s="145">
        <f>SUM(D9:D12)</f>
        <v>1553322.59</v>
      </c>
      <c r="E13" s="113" t="s">
        <v>312</v>
      </c>
      <c r="F13" s="262" t="s">
        <v>312</v>
      </c>
    </row>
    <row r="14" spans="1:8" ht="15.6" x14ac:dyDescent="0.25">
      <c r="A14" s="7">
        <f t="shared" si="0"/>
        <v>9</v>
      </c>
      <c r="B14" s="11" t="s">
        <v>370</v>
      </c>
      <c r="C14" s="145">
        <f>C15+C16</f>
        <v>1354045.49</v>
      </c>
      <c r="D14" s="145">
        <f>D15+D16</f>
        <v>1234437.6600000001</v>
      </c>
      <c r="E14" s="113" t="s">
        <v>312</v>
      </c>
      <c r="F14" s="262" t="s">
        <v>312</v>
      </c>
    </row>
    <row r="15" spans="1:8" ht="15.6" x14ac:dyDescent="0.25">
      <c r="A15" s="7">
        <f t="shared" si="0"/>
        <v>10</v>
      </c>
      <c r="B15" s="10" t="s">
        <v>57</v>
      </c>
      <c r="C15" s="119">
        <v>487588.39</v>
      </c>
      <c r="D15" s="119">
        <v>502000</v>
      </c>
      <c r="E15" s="113" t="s">
        <v>312</v>
      </c>
      <c r="F15" s="262" t="s">
        <v>312</v>
      </c>
    </row>
    <row r="16" spans="1:8" ht="15.6" x14ac:dyDescent="0.25">
      <c r="A16" s="7">
        <f t="shared" si="0"/>
        <v>11</v>
      </c>
      <c r="B16" s="10" t="s">
        <v>58</v>
      </c>
      <c r="C16" s="119">
        <v>866457.1</v>
      </c>
      <c r="D16" s="119">
        <v>732437.66</v>
      </c>
      <c r="E16" s="113" t="s">
        <v>312</v>
      </c>
      <c r="F16" s="262" t="s">
        <v>312</v>
      </c>
    </row>
    <row r="17" spans="1:6" ht="31.2" x14ac:dyDescent="0.25">
      <c r="A17" s="7">
        <f t="shared" si="0"/>
        <v>12</v>
      </c>
      <c r="B17" s="11" t="s">
        <v>371</v>
      </c>
      <c r="C17" s="145">
        <f>+C13-C14</f>
        <v>132828.62999999989</v>
      </c>
      <c r="D17" s="145">
        <f>+D13-D14</f>
        <v>318884.92999999993</v>
      </c>
      <c r="E17" s="113" t="s">
        <v>312</v>
      </c>
      <c r="F17" s="262" t="s">
        <v>312</v>
      </c>
    </row>
    <row r="18" spans="1:6" ht="16.2" thickBot="1" x14ac:dyDescent="0.3">
      <c r="A18" s="66">
        <f t="shared" si="0"/>
        <v>13</v>
      </c>
      <c r="B18" s="21" t="s">
        <v>372</v>
      </c>
      <c r="C18" s="112">
        <f>IF(E8=0,0,C14/E8)</f>
        <v>834.54267488443759</v>
      </c>
      <c r="D18" s="112">
        <f>IF(F8=0,0,D14/F8)</f>
        <v>770.23980449251258</v>
      </c>
      <c r="E18" s="121" t="s">
        <v>312</v>
      </c>
      <c r="F18" s="264" t="s">
        <v>312</v>
      </c>
    </row>
    <row r="20" spans="1:6" ht="13.8" x14ac:dyDescent="0.25">
      <c r="A20" s="753" t="s">
        <v>353</v>
      </c>
      <c r="B20" s="754"/>
      <c r="C20" s="754"/>
      <c r="D20" s="754"/>
      <c r="E20" s="754"/>
      <c r="F20" s="755"/>
    </row>
    <row r="21" spans="1:6" ht="35.25" customHeight="1" x14ac:dyDescent="0.25">
      <c r="A21" s="773" t="s">
        <v>77</v>
      </c>
      <c r="B21" s="774"/>
      <c r="C21" s="774"/>
      <c r="D21" s="774"/>
      <c r="E21" s="774"/>
      <c r="F21" s="775"/>
    </row>
    <row r="24" spans="1:6" x14ac:dyDescent="0.25">
      <c r="F24" s="261"/>
    </row>
  </sheetData>
  <mergeCells count="8">
    <mergeCell ref="A21:F21"/>
    <mergeCell ref="A1:F1"/>
    <mergeCell ref="A3:A4"/>
    <mergeCell ref="B3:B4"/>
    <mergeCell ref="C3:D3"/>
    <mergeCell ref="E3:F3"/>
    <mergeCell ref="A2:F2"/>
    <mergeCell ref="A20:F20"/>
  </mergeCells>
  <phoneticPr fontId="5" type="noConversion"/>
  <pageMargins left="0.66" right="0.45" top="0.98425196850393704" bottom="0.77"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9"/>
  <sheetViews>
    <sheetView workbookViewId="0">
      <pane xSplit="2" ySplit="4" topLeftCell="C5" activePane="bottomRight" state="frozen"/>
      <selection pane="topRight" activeCell="C1" sqref="C1"/>
      <selection pane="bottomLeft" activeCell="A5" sqref="A5"/>
      <selection pane="bottomRight" activeCell="E17" sqref="E17"/>
    </sheetView>
  </sheetViews>
  <sheetFormatPr defaultColWidth="9.109375" defaultRowHeight="15.6" x14ac:dyDescent="0.3"/>
  <cols>
    <col min="1" max="1" width="8.109375" style="71" customWidth="1"/>
    <col min="2" max="2" width="94" style="283" customWidth="1"/>
    <col min="3" max="3" width="18.6640625" style="71" customWidth="1"/>
    <col min="4" max="4" width="18.5546875" style="71" customWidth="1"/>
    <col min="5" max="5" width="11.44140625" style="70" customWidth="1"/>
    <col min="6" max="16384" width="9.109375" style="71"/>
  </cols>
  <sheetData>
    <row r="1" spans="1:5" ht="50.1" customHeight="1" thickBot="1" x14ac:dyDescent="0.35">
      <c r="A1" s="785" t="s">
        <v>1134</v>
      </c>
      <c r="B1" s="786"/>
      <c r="C1" s="786"/>
      <c r="D1" s="787"/>
      <c r="E1" s="265"/>
    </row>
    <row r="2" spans="1:5" ht="29.25" customHeight="1" x14ac:dyDescent="0.3">
      <c r="A2" s="788" t="s">
        <v>1224</v>
      </c>
      <c r="B2" s="789"/>
      <c r="C2" s="789"/>
      <c r="D2" s="790"/>
    </row>
    <row r="3" spans="1:5" ht="33" customHeight="1" x14ac:dyDescent="0.3">
      <c r="A3" s="266" t="s">
        <v>205</v>
      </c>
      <c r="B3" s="267" t="s">
        <v>327</v>
      </c>
      <c r="C3" s="268">
        <v>2014</v>
      </c>
      <c r="D3" s="269">
        <v>2015</v>
      </c>
    </row>
    <row r="4" spans="1:5" x14ac:dyDescent="0.3">
      <c r="A4" s="270"/>
      <c r="B4" s="271"/>
      <c r="C4" s="69" t="s">
        <v>283</v>
      </c>
      <c r="D4" s="77" t="s">
        <v>284</v>
      </c>
    </row>
    <row r="5" spans="1:5" ht="18.600000000000001" x14ac:dyDescent="0.3">
      <c r="A5" s="81">
        <v>1</v>
      </c>
      <c r="B5" s="272" t="s">
        <v>276</v>
      </c>
      <c r="C5" s="273">
        <f>+C6+C9</f>
        <v>265841.17000000004</v>
      </c>
      <c r="D5" s="274">
        <f>D6+D9</f>
        <v>342082.5</v>
      </c>
    </row>
    <row r="6" spans="1:5" ht="18.75" customHeight="1" x14ac:dyDescent="0.3">
      <c r="A6" s="81">
        <f t="shared" ref="A6:A13" si="0">A5+1</f>
        <v>2</v>
      </c>
      <c r="B6" s="272" t="s">
        <v>358</v>
      </c>
      <c r="C6" s="273">
        <f>+C7+C8</f>
        <v>162428.17000000001</v>
      </c>
      <c r="D6" s="274">
        <f>+D7+D8</f>
        <v>207190.5</v>
      </c>
    </row>
    <row r="7" spans="1:5" x14ac:dyDescent="0.3">
      <c r="A7" s="81">
        <f t="shared" si="0"/>
        <v>3</v>
      </c>
      <c r="B7" s="78" t="s">
        <v>356</v>
      </c>
      <c r="C7" s="114">
        <v>162428.17000000001</v>
      </c>
      <c r="D7" s="115">
        <v>207190.5</v>
      </c>
    </row>
    <row r="8" spans="1:5" x14ac:dyDescent="0.3">
      <c r="A8" s="81">
        <f t="shared" si="0"/>
        <v>4</v>
      </c>
      <c r="B8" s="78" t="s">
        <v>357</v>
      </c>
      <c r="C8" s="114"/>
      <c r="D8" s="115"/>
    </row>
    <row r="9" spans="1:5" x14ac:dyDescent="0.3">
      <c r="A9" s="81">
        <f t="shared" si="0"/>
        <v>5</v>
      </c>
      <c r="B9" s="272" t="s">
        <v>246</v>
      </c>
      <c r="C9" s="114">
        <f>+C10+C11-C12</f>
        <v>103413</v>
      </c>
      <c r="D9" s="115">
        <f>+D10+D11-D12</f>
        <v>134892</v>
      </c>
    </row>
    <row r="10" spans="1:5" ht="19.5" customHeight="1" x14ac:dyDescent="0.3">
      <c r="A10" s="81">
        <f t="shared" si="0"/>
        <v>6</v>
      </c>
      <c r="B10" s="78" t="s">
        <v>190</v>
      </c>
      <c r="C10" s="114">
        <v>62233.21</v>
      </c>
      <c r="D10" s="115">
        <f>+C12</f>
        <v>34979.209999999992</v>
      </c>
    </row>
    <row r="11" spans="1:5" x14ac:dyDescent="0.3">
      <c r="A11" s="81">
        <f t="shared" si="0"/>
        <v>7</v>
      </c>
      <c r="B11" s="78" t="s">
        <v>217</v>
      </c>
      <c r="C11" s="114">
        <v>76159</v>
      </c>
      <c r="D11" s="115">
        <v>100280</v>
      </c>
    </row>
    <row r="12" spans="1:5" x14ac:dyDescent="0.3">
      <c r="A12" s="81">
        <f t="shared" si="0"/>
        <v>8</v>
      </c>
      <c r="B12" s="78" t="s">
        <v>871</v>
      </c>
      <c r="C12" s="114">
        <f>C10+C11-C20</f>
        <v>34979.209999999992</v>
      </c>
      <c r="D12" s="115">
        <f>D10+D11-D20</f>
        <v>367.20999999999185</v>
      </c>
    </row>
    <row r="13" spans="1:5" ht="30" customHeight="1" x14ac:dyDescent="0.3">
      <c r="A13" s="81">
        <f t="shared" si="0"/>
        <v>9</v>
      </c>
      <c r="B13" s="272" t="s">
        <v>872</v>
      </c>
      <c r="C13" s="273">
        <f>C15</f>
        <v>316160.76</v>
      </c>
      <c r="D13" s="274">
        <f>D15</f>
        <v>385006.13</v>
      </c>
    </row>
    <row r="14" spans="1:5" x14ac:dyDescent="0.3">
      <c r="A14" s="81"/>
      <c r="B14" s="275" t="s">
        <v>300</v>
      </c>
      <c r="C14" s="114"/>
      <c r="D14" s="115"/>
    </row>
    <row r="15" spans="1:5" ht="18.600000000000001" x14ac:dyDescent="0.3">
      <c r="A15" s="81">
        <f>A13+1</f>
        <v>10</v>
      </c>
      <c r="B15" s="78" t="s">
        <v>359</v>
      </c>
      <c r="C15" s="114">
        <v>316160.76</v>
      </c>
      <c r="D15" s="115">
        <v>385006.13</v>
      </c>
    </row>
    <row r="16" spans="1:5" ht="30.75" customHeight="1" x14ac:dyDescent="0.3">
      <c r="A16" s="81">
        <f t="shared" ref="A16:A21" si="1">+A15+1</f>
        <v>11</v>
      </c>
      <c r="B16" s="272" t="s">
        <v>873</v>
      </c>
      <c r="C16" s="273">
        <f>C5-C13</f>
        <v>-50319.589999999967</v>
      </c>
      <c r="D16" s="274">
        <f>D5-D13</f>
        <v>-42923.630000000005</v>
      </c>
    </row>
    <row r="17" spans="1:5" ht="18" x14ac:dyDescent="0.3">
      <c r="A17" s="81">
        <f t="shared" si="1"/>
        <v>12</v>
      </c>
      <c r="B17" s="272" t="s">
        <v>874</v>
      </c>
      <c r="C17" s="273">
        <f>C18+C19</f>
        <v>103413</v>
      </c>
      <c r="D17" s="274">
        <f>D18+D19</f>
        <v>134892</v>
      </c>
    </row>
    <row r="18" spans="1:5" x14ac:dyDescent="0.3">
      <c r="A18" s="81">
        <f t="shared" si="1"/>
        <v>13</v>
      </c>
      <c r="B18" s="275" t="s">
        <v>1163</v>
      </c>
      <c r="C18" s="273">
        <v>103413</v>
      </c>
      <c r="D18" s="276">
        <v>134892</v>
      </c>
    </row>
    <row r="19" spans="1:5" ht="18.600000000000001" x14ac:dyDescent="0.3">
      <c r="A19" s="81">
        <f>+A18+1</f>
        <v>14</v>
      </c>
      <c r="B19" s="275" t="s">
        <v>875</v>
      </c>
      <c r="C19" s="273"/>
      <c r="D19" s="276"/>
    </row>
    <row r="20" spans="1:5" x14ac:dyDescent="0.3">
      <c r="A20" s="81">
        <f>+A19+1</f>
        <v>15</v>
      </c>
      <c r="B20" s="272" t="s">
        <v>885</v>
      </c>
      <c r="C20" s="273">
        <f>(C18*1+C19*1)</f>
        <v>103413</v>
      </c>
      <c r="D20" s="274">
        <f>(D18*1+D19*1)</f>
        <v>134892</v>
      </c>
    </row>
    <row r="21" spans="1:5" ht="16.2" thickBot="1" x14ac:dyDescent="0.35">
      <c r="A21" s="82">
        <f t="shared" si="1"/>
        <v>16</v>
      </c>
      <c r="B21" s="277" t="s">
        <v>928</v>
      </c>
      <c r="C21" s="278">
        <f>IF(C18=0,0,C15/C18)</f>
        <v>3.057263206753503</v>
      </c>
      <c r="D21" s="279">
        <f>IF(D18=0,0,D15/D18)</f>
        <v>2.854180603742253</v>
      </c>
    </row>
    <row r="22" spans="1:5" x14ac:dyDescent="0.3">
      <c r="A22" s="72"/>
      <c r="B22" s="73"/>
      <c r="C22" s="74"/>
      <c r="D22" s="74"/>
    </row>
    <row r="23" spans="1:5" s="281" customFormat="1" x14ac:dyDescent="0.3">
      <c r="A23" s="791" t="s">
        <v>355</v>
      </c>
      <c r="B23" s="792"/>
      <c r="C23" s="792"/>
      <c r="D23" s="793"/>
      <c r="E23" s="280"/>
    </row>
    <row r="24" spans="1:5" s="281" customFormat="1" x14ac:dyDescent="0.3">
      <c r="A24" s="794" t="s">
        <v>803</v>
      </c>
      <c r="B24" s="795"/>
      <c r="C24" s="795"/>
      <c r="D24" s="796"/>
      <c r="E24" s="280"/>
    </row>
    <row r="25" spans="1:5" s="281" customFormat="1" x14ac:dyDescent="0.3">
      <c r="A25" s="794" t="s">
        <v>1162</v>
      </c>
      <c r="B25" s="795"/>
      <c r="C25" s="795"/>
      <c r="D25" s="796"/>
      <c r="E25" s="280"/>
    </row>
    <row r="26" spans="1:5" s="281" customFormat="1" x14ac:dyDescent="0.3">
      <c r="A26" s="782" t="s">
        <v>810</v>
      </c>
      <c r="B26" s="783"/>
      <c r="C26" s="783"/>
      <c r="D26" s="784"/>
      <c r="E26" s="280"/>
    </row>
    <row r="27" spans="1:5" s="281" customFormat="1" x14ac:dyDescent="0.3">
      <c r="B27" s="282"/>
      <c r="E27" s="280"/>
    </row>
    <row r="28" spans="1:5" s="281" customFormat="1" x14ac:dyDescent="0.3">
      <c r="B28" s="282"/>
      <c r="E28" s="280"/>
    </row>
    <row r="29" spans="1:5" s="281" customFormat="1" x14ac:dyDescent="0.3">
      <c r="B29" s="282"/>
      <c r="E29" s="280"/>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I23"/>
  <sheetViews>
    <sheetView workbookViewId="0">
      <pane xSplit="2" ySplit="5" topLeftCell="C6" activePane="bottomRight" state="frozen"/>
      <selection pane="topRight" activeCell="C1" sqref="C1"/>
      <selection pane="bottomLeft" activeCell="A6" sqref="A6"/>
      <selection pane="bottomRight" activeCell="B11" sqref="B11"/>
    </sheetView>
  </sheetViews>
  <sheetFormatPr defaultColWidth="9.109375" defaultRowHeight="15.6" x14ac:dyDescent="0.3"/>
  <cols>
    <col min="1" max="1" width="9.109375" style="62"/>
    <col min="2" max="2" width="88.6640625" style="290" customWidth="1"/>
    <col min="3" max="3" width="23.44140625" style="62" customWidth="1"/>
    <col min="4" max="4" width="24.44140625" style="62" customWidth="1"/>
    <col min="5" max="5" width="15.33203125" style="284" bestFit="1" customWidth="1"/>
    <col min="6" max="6" width="9.109375" style="284"/>
    <col min="7" max="16384" width="9.109375" style="62"/>
  </cols>
  <sheetData>
    <row r="1" spans="1:6" ht="50.1" customHeight="1" thickBot="1" x14ac:dyDescent="0.35">
      <c r="A1" s="646" t="s">
        <v>1170</v>
      </c>
      <c r="B1" s="797"/>
      <c r="C1" s="797"/>
      <c r="D1" s="798"/>
    </row>
    <row r="2" spans="1:6" ht="27.75" customHeight="1" x14ac:dyDescent="0.3">
      <c r="A2" s="649" t="s">
        <v>1224</v>
      </c>
      <c r="B2" s="650"/>
      <c r="C2" s="650"/>
      <c r="D2" s="651"/>
    </row>
    <row r="3" spans="1:6" ht="18.75" customHeight="1" x14ac:dyDescent="0.3">
      <c r="A3" s="680" t="s">
        <v>205</v>
      </c>
      <c r="B3" s="714" t="s">
        <v>327</v>
      </c>
      <c r="C3" s="720" t="s">
        <v>303</v>
      </c>
      <c r="D3" s="799"/>
    </row>
    <row r="4" spans="1:6" s="63" customFormat="1" ht="19.5" customHeight="1" x14ac:dyDescent="0.25">
      <c r="A4" s="680"/>
      <c r="B4" s="714"/>
      <c r="C4" s="126">
        <v>2014</v>
      </c>
      <c r="D4" s="127">
        <v>2015</v>
      </c>
      <c r="E4" s="285"/>
      <c r="F4" s="285"/>
    </row>
    <row r="5" spans="1:6" s="63" customFormat="1" x14ac:dyDescent="0.25">
      <c r="A5" s="7"/>
      <c r="B5" s="286"/>
      <c r="C5" s="126" t="s">
        <v>283</v>
      </c>
      <c r="D5" s="127" t="s">
        <v>284</v>
      </c>
      <c r="E5" s="285"/>
      <c r="F5" s="285"/>
    </row>
    <row r="6" spans="1:6" s="63" customFormat="1" x14ac:dyDescent="0.25">
      <c r="A6" s="32">
        <v>1</v>
      </c>
      <c r="B6" s="97" t="s">
        <v>208</v>
      </c>
      <c r="C6" s="135">
        <v>5313612.32</v>
      </c>
      <c r="D6" s="287">
        <v>4398207.75</v>
      </c>
      <c r="E6" s="285"/>
      <c r="F6" s="285"/>
    </row>
    <row r="7" spans="1:6" s="63" customFormat="1" x14ac:dyDescent="0.25">
      <c r="A7" s="32">
        <f t="shared" ref="A7:A20" si="0">A6+1</f>
        <v>2</v>
      </c>
      <c r="B7" s="11" t="s">
        <v>163</v>
      </c>
      <c r="C7" s="135">
        <f>SUM(C8:C13)</f>
        <v>1315271.77</v>
      </c>
      <c r="D7" s="287">
        <f>SUM(D8:D13)</f>
        <v>1729460.5299999998</v>
      </c>
      <c r="E7" s="285"/>
      <c r="F7" s="285"/>
    </row>
    <row r="8" spans="1:6" s="63" customFormat="1" ht="18.600000000000001" x14ac:dyDescent="0.25">
      <c r="A8" s="32">
        <f t="shared" si="0"/>
        <v>3</v>
      </c>
      <c r="B8" s="96" t="s">
        <v>378</v>
      </c>
      <c r="C8" s="148"/>
      <c r="D8" s="260"/>
      <c r="E8" s="285"/>
      <c r="F8" s="285"/>
    </row>
    <row r="9" spans="1:6" s="63" customFormat="1" x14ac:dyDescent="0.25">
      <c r="A9" s="32">
        <f t="shared" si="0"/>
        <v>4</v>
      </c>
      <c r="B9" s="96" t="s">
        <v>381</v>
      </c>
      <c r="C9" s="148">
        <v>1220048.1000000001</v>
      </c>
      <c r="D9" s="260">
        <f>930274.58+29185.95</f>
        <v>959460.52999999991</v>
      </c>
      <c r="E9" s="285"/>
      <c r="F9" s="285"/>
    </row>
    <row r="10" spans="1:6" s="63" customFormat="1" x14ac:dyDescent="0.25">
      <c r="A10" s="32">
        <f t="shared" si="0"/>
        <v>5</v>
      </c>
      <c r="B10" s="96" t="s">
        <v>382</v>
      </c>
      <c r="C10" s="148">
        <v>95223.67</v>
      </c>
      <c r="D10" s="260"/>
      <c r="E10" s="285"/>
      <c r="F10" s="285"/>
    </row>
    <row r="11" spans="1:6" s="63" customFormat="1" x14ac:dyDescent="0.25">
      <c r="A11" s="32">
        <f t="shared" si="0"/>
        <v>6</v>
      </c>
      <c r="B11" s="96" t="s">
        <v>379</v>
      </c>
      <c r="C11" s="148"/>
      <c r="D11" s="260">
        <v>770000</v>
      </c>
      <c r="E11" s="285"/>
      <c r="F11" s="285"/>
    </row>
    <row r="12" spans="1:6" s="63" customFormat="1" x14ac:dyDescent="0.25">
      <c r="A12" s="32">
        <f t="shared" si="0"/>
        <v>7</v>
      </c>
      <c r="B12" s="96" t="s">
        <v>380</v>
      </c>
      <c r="C12" s="148"/>
      <c r="D12" s="260"/>
      <c r="E12" s="285"/>
      <c r="F12" s="285"/>
    </row>
    <row r="13" spans="1:6" s="63" customFormat="1" ht="19.5" customHeight="1" x14ac:dyDescent="0.25">
      <c r="A13" s="32">
        <f t="shared" si="0"/>
        <v>8</v>
      </c>
      <c r="B13" s="96" t="s">
        <v>383</v>
      </c>
      <c r="C13" s="148"/>
      <c r="D13" s="260"/>
      <c r="E13" s="285"/>
      <c r="F13" s="285"/>
    </row>
    <row r="14" spans="1:6" s="63" customFormat="1" ht="21.75" customHeight="1" x14ac:dyDescent="0.25">
      <c r="A14" s="32">
        <f t="shared" si="0"/>
        <v>9</v>
      </c>
      <c r="B14" s="11" t="s">
        <v>54</v>
      </c>
      <c r="C14" s="135">
        <f>C6+C7</f>
        <v>6628884.0899999999</v>
      </c>
      <c r="D14" s="287">
        <f>D6+D7</f>
        <v>6127668.2799999993</v>
      </c>
      <c r="E14" s="285"/>
      <c r="F14" s="285"/>
    </row>
    <row r="15" spans="1:6" s="63" customFormat="1" ht="40.5" customHeight="1" x14ac:dyDescent="0.25">
      <c r="A15" s="32">
        <f t="shared" si="0"/>
        <v>10</v>
      </c>
      <c r="B15" s="11" t="s">
        <v>258</v>
      </c>
      <c r="C15" s="135">
        <v>2132700</v>
      </c>
      <c r="D15" s="287">
        <v>204910</v>
      </c>
      <c r="E15" s="285"/>
      <c r="F15" s="285"/>
    </row>
    <row r="16" spans="1:6" s="63" customFormat="1" ht="31.2" x14ac:dyDescent="0.25">
      <c r="A16" s="32" t="s">
        <v>828</v>
      </c>
      <c r="B16" s="11" t="s">
        <v>942</v>
      </c>
      <c r="C16" s="135">
        <v>4290002.4000000004</v>
      </c>
      <c r="D16" s="287">
        <v>24750382.629999999</v>
      </c>
      <c r="E16" s="285"/>
      <c r="F16" s="285"/>
    </row>
    <row r="17" spans="1:9" s="63" customFormat="1" ht="28.5" customHeight="1" x14ac:dyDescent="0.25">
      <c r="A17" s="32">
        <f>A15+1</f>
        <v>11</v>
      </c>
      <c r="B17" s="11" t="s">
        <v>943</v>
      </c>
      <c r="C17" s="135">
        <v>3133044.59</v>
      </c>
      <c r="D17" s="287">
        <v>1921133.52</v>
      </c>
      <c r="E17" s="285"/>
      <c r="F17" s="285"/>
    </row>
    <row r="18" spans="1:9" s="63" customFormat="1" ht="23.25" customHeight="1" x14ac:dyDescent="0.25">
      <c r="A18" s="32">
        <f t="shared" si="0"/>
        <v>12</v>
      </c>
      <c r="B18" s="11" t="s">
        <v>257</v>
      </c>
      <c r="C18" s="135"/>
      <c r="D18" s="287"/>
      <c r="E18" s="285"/>
      <c r="F18" s="285"/>
    </row>
    <row r="19" spans="1:9" s="63" customFormat="1" ht="33" customHeight="1" x14ac:dyDescent="0.25">
      <c r="A19" s="32">
        <f t="shared" si="0"/>
        <v>13</v>
      </c>
      <c r="B19" s="11" t="s">
        <v>944</v>
      </c>
      <c r="C19" s="135">
        <v>1775830.66</v>
      </c>
      <c r="D19" s="287">
        <f>143408.03+2436979.32+116540.03+298670.72</f>
        <v>2995598.0999999996</v>
      </c>
      <c r="E19" s="285"/>
      <c r="F19" s="285"/>
    </row>
    <row r="20" spans="1:9" s="63" customFormat="1" ht="21" customHeight="1" thickBot="1" x14ac:dyDescent="0.3">
      <c r="A20" s="288">
        <f t="shared" si="0"/>
        <v>14</v>
      </c>
      <c r="B20" s="12" t="s">
        <v>79</v>
      </c>
      <c r="C20" s="150">
        <f>SUM(C14:C19)</f>
        <v>17960461.739999998</v>
      </c>
      <c r="D20" s="289">
        <f>SUM(D14:D19)</f>
        <v>35999692.529999994</v>
      </c>
      <c r="E20" s="285"/>
      <c r="F20" s="285"/>
    </row>
    <row r="21" spans="1:9" ht="9" customHeight="1" x14ac:dyDescent="0.3"/>
    <row r="22" spans="1:9" ht="18" customHeight="1" x14ac:dyDescent="0.3">
      <c r="A22" s="753" t="s">
        <v>83</v>
      </c>
      <c r="B22" s="754"/>
      <c r="C22" s="754"/>
      <c r="D22" s="755"/>
    </row>
    <row r="23" spans="1:9" x14ac:dyDescent="0.3">
      <c r="A23" s="773" t="s">
        <v>10</v>
      </c>
      <c r="B23" s="774"/>
      <c r="C23" s="774"/>
      <c r="D23" s="775"/>
      <c r="E23" s="285"/>
      <c r="F23" s="285"/>
      <c r="G23" s="68"/>
      <c r="H23" s="68"/>
      <c r="I23" s="68"/>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J82"/>
  <sheetViews>
    <sheetView zoomScaleNormal="100" workbookViewId="0">
      <pane xSplit="2" ySplit="5" topLeftCell="C18" activePane="bottomRight" state="frozen"/>
      <selection pane="topRight" activeCell="C1" sqref="C1"/>
      <selection pane="bottomLeft" activeCell="A6" sqref="A6"/>
      <selection pane="bottomRight" activeCell="D23" sqref="D23"/>
    </sheetView>
  </sheetViews>
  <sheetFormatPr defaultColWidth="9.109375" defaultRowHeight="15.6" x14ac:dyDescent="0.3"/>
  <cols>
    <col min="1" max="1" width="7.44140625" style="62" customWidth="1"/>
    <col min="2" max="2" width="51.5546875" style="290" customWidth="1"/>
    <col min="3" max="3" width="17" style="290" customWidth="1"/>
    <col min="4" max="4" width="18.109375" style="62" customWidth="1"/>
    <col min="5" max="5" width="18.5546875" style="62" customWidth="1"/>
    <col min="6" max="6" width="16.33203125" style="62" customWidth="1"/>
    <col min="7" max="7" width="15.33203125" style="62" customWidth="1"/>
    <col min="8" max="8" width="15.6640625" style="62" customWidth="1"/>
    <col min="9" max="9" width="20.109375" style="62" customWidth="1"/>
    <col min="10" max="10" width="9.88671875" style="62" customWidth="1"/>
    <col min="11" max="16384" width="9.109375" style="62"/>
  </cols>
  <sheetData>
    <row r="1" spans="1:10" ht="35.1" customHeight="1" thickBot="1" x14ac:dyDescent="0.35">
      <c r="A1" s="803" t="s">
        <v>1168</v>
      </c>
      <c r="B1" s="804"/>
      <c r="C1" s="804"/>
      <c r="D1" s="804"/>
      <c r="E1" s="804"/>
      <c r="F1" s="804"/>
      <c r="G1" s="804"/>
      <c r="H1" s="804"/>
      <c r="I1" s="805"/>
    </row>
    <row r="2" spans="1:10" ht="35.1" customHeight="1" x14ac:dyDescent="0.3">
      <c r="A2" s="806" t="s">
        <v>1224</v>
      </c>
      <c r="B2" s="807"/>
      <c r="C2" s="807"/>
      <c r="D2" s="807"/>
      <c r="E2" s="807"/>
      <c r="F2" s="807"/>
      <c r="G2" s="807"/>
      <c r="H2" s="807"/>
      <c r="I2" s="808"/>
    </row>
    <row r="3" spans="1:10" s="63" customFormat="1" ht="35.25" customHeight="1" x14ac:dyDescent="0.25">
      <c r="A3" s="809" t="s">
        <v>205</v>
      </c>
      <c r="B3" s="713" t="s">
        <v>327</v>
      </c>
      <c r="C3" s="713" t="s">
        <v>1140</v>
      </c>
      <c r="D3" s="713" t="s">
        <v>1319</v>
      </c>
      <c r="E3" s="713" t="s">
        <v>1141</v>
      </c>
      <c r="F3" s="713" t="s">
        <v>177</v>
      </c>
      <c r="G3" s="713" t="s">
        <v>224</v>
      </c>
      <c r="H3" s="713" t="s">
        <v>843</v>
      </c>
      <c r="I3" s="801" t="s">
        <v>225</v>
      </c>
    </row>
    <row r="4" spans="1:10" s="63" customFormat="1" ht="72" customHeight="1" x14ac:dyDescent="0.25">
      <c r="A4" s="680"/>
      <c r="B4" s="714"/>
      <c r="C4" s="714"/>
      <c r="D4" s="714"/>
      <c r="E4" s="714"/>
      <c r="F4" s="714"/>
      <c r="G4" s="714"/>
      <c r="H4" s="714"/>
      <c r="I4" s="802"/>
    </row>
    <row r="5" spans="1:10" s="63" customFormat="1" x14ac:dyDescent="0.25">
      <c r="A5" s="7"/>
      <c r="B5" s="536"/>
      <c r="C5" s="20" t="s">
        <v>283</v>
      </c>
      <c r="D5" s="20" t="s">
        <v>284</v>
      </c>
      <c r="E5" s="1" t="s">
        <v>285</v>
      </c>
      <c r="F5" s="1" t="s">
        <v>292</v>
      </c>
      <c r="G5" s="1" t="s">
        <v>286</v>
      </c>
      <c r="H5" s="1" t="s">
        <v>287</v>
      </c>
      <c r="I5" s="59" t="s">
        <v>829</v>
      </c>
    </row>
    <row r="6" spans="1:10" s="63" customFormat="1" x14ac:dyDescent="0.25">
      <c r="A6" s="7">
        <v>1</v>
      </c>
      <c r="B6" s="323" t="s">
        <v>374</v>
      </c>
      <c r="C6" s="119">
        <v>1640001</v>
      </c>
      <c r="D6" s="119">
        <v>32775</v>
      </c>
      <c r="E6" s="119">
        <v>7468.9</v>
      </c>
      <c r="F6" s="119">
        <v>25925</v>
      </c>
      <c r="G6" s="13"/>
      <c r="H6" s="13"/>
      <c r="I6" s="33">
        <f t="shared" ref="I6:I16" si="0">SUM(C6:H6)</f>
        <v>1706169.9</v>
      </c>
    </row>
    <row r="7" spans="1:10" s="63" customFormat="1" x14ac:dyDescent="0.25">
      <c r="A7" s="7"/>
      <c r="B7" s="537" t="s">
        <v>300</v>
      </c>
      <c r="C7" s="119"/>
      <c r="D7" s="119"/>
      <c r="E7" s="119"/>
      <c r="F7" s="119"/>
      <c r="G7" s="13"/>
      <c r="H7" s="13"/>
      <c r="I7" s="33"/>
    </row>
    <row r="8" spans="1:10" s="63" customFormat="1" x14ac:dyDescent="0.25">
      <c r="A8" s="7">
        <v>2</v>
      </c>
      <c r="B8" s="10" t="s">
        <v>55</v>
      </c>
      <c r="C8" s="119"/>
      <c r="D8" s="119">
        <v>32775</v>
      </c>
      <c r="E8" s="119">
        <v>7468.9</v>
      </c>
      <c r="F8" s="119">
        <v>14700</v>
      </c>
      <c r="G8" s="13"/>
      <c r="H8" s="13"/>
      <c r="I8" s="33">
        <f t="shared" si="0"/>
        <v>54943.9</v>
      </c>
    </row>
    <row r="9" spans="1:10" x14ac:dyDescent="0.3">
      <c r="A9" s="7">
        <v>3</v>
      </c>
      <c r="B9" s="323" t="s">
        <v>282</v>
      </c>
      <c r="C9" s="13"/>
      <c r="D9" s="13"/>
      <c r="E9" s="13"/>
      <c r="F9" s="13"/>
      <c r="G9" s="13"/>
      <c r="H9" s="13"/>
      <c r="I9" s="33">
        <f t="shared" si="0"/>
        <v>0</v>
      </c>
    </row>
    <row r="10" spans="1:10" ht="31.2" x14ac:dyDescent="0.3">
      <c r="A10" s="7">
        <v>4</v>
      </c>
      <c r="B10" s="323" t="s">
        <v>243</v>
      </c>
      <c r="C10" s="135">
        <f t="shared" ref="C10:H10" si="1">SUM(C11:C15)</f>
        <v>5745.32</v>
      </c>
      <c r="D10" s="135">
        <f t="shared" si="1"/>
        <v>9085498.9399999995</v>
      </c>
      <c r="E10" s="135">
        <f t="shared" si="1"/>
        <v>29348.76</v>
      </c>
      <c r="F10" s="135">
        <f t="shared" si="1"/>
        <v>1723221.27</v>
      </c>
      <c r="G10" s="135">
        <f t="shared" si="1"/>
        <v>0</v>
      </c>
      <c r="H10" s="135">
        <f t="shared" si="1"/>
        <v>13129.2</v>
      </c>
      <c r="I10" s="33">
        <f t="shared" si="0"/>
        <v>10856943.489999998</v>
      </c>
    </row>
    <row r="11" spans="1:10" x14ac:dyDescent="0.3">
      <c r="A11" s="7">
        <v>5</v>
      </c>
      <c r="B11" s="10" t="s">
        <v>346</v>
      </c>
      <c r="C11" s="119"/>
      <c r="D11" s="119">
        <v>3954.43</v>
      </c>
      <c r="E11" s="119"/>
      <c r="F11" s="119">
        <v>2996.01</v>
      </c>
      <c r="G11" s="119"/>
      <c r="H11" s="119">
        <v>8225</v>
      </c>
      <c r="I11" s="33">
        <f t="shared" si="0"/>
        <v>15175.44</v>
      </c>
    </row>
    <row r="12" spans="1:10" x14ac:dyDescent="0.3">
      <c r="A12" s="7">
        <v>6</v>
      </c>
      <c r="B12" s="10" t="s">
        <v>347</v>
      </c>
      <c r="C12" s="119"/>
      <c r="D12" s="119"/>
      <c r="E12" s="119"/>
      <c r="F12" s="119"/>
      <c r="G12" s="119"/>
      <c r="H12" s="119"/>
      <c r="I12" s="33">
        <f t="shared" si="0"/>
        <v>0</v>
      </c>
    </row>
    <row r="13" spans="1:10" x14ac:dyDescent="0.3">
      <c r="A13" s="7">
        <v>7</v>
      </c>
      <c r="B13" s="10" t="s">
        <v>348</v>
      </c>
      <c r="C13" s="119">
        <f>950+835.32</f>
        <v>1785.3200000000002</v>
      </c>
      <c r="D13" s="119">
        <v>4930125.2699999996</v>
      </c>
      <c r="E13" s="119">
        <v>3110</v>
      </c>
      <c r="F13" s="119">
        <f>263240.26+247.6</f>
        <v>263487.86</v>
      </c>
      <c r="G13" s="119"/>
      <c r="H13" s="119"/>
      <c r="I13" s="33">
        <f t="shared" si="0"/>
        <v>5198508.45</v>
      </c>
    </row>
    <row r="14" spans="1:10" ht="31.2" x14ac:dyDescent="0.3">
      <c r="A14" s="7">
        <v>8</v>
      </c>
      <c r="B14" s="10" t="s">
        <v>349</v>
      </c>
      <c r="C14" s="119"/>
      <c r="D14" s="119">
        <v>4039221.24</v>
      </c>
      <c r="E14" s="119">
        <v>2491.98</v>
      </c>
      <c r="F14" s="119">
        <v>1421437.4</v>
      </c>
      <c r="G14" s="119"/>
      <c r="H14" s="119">
        <v>4904.2</v>
      </c>
      <c r="I14" s="33">
        <f t="shared" si="0"/>
        <v>5468054.8200000003</v>
      </c>
      <c r="J14" s="291"/>
    </row>
    <row r="15" spans="1:10" ht="31.2" x14ac:dyDescent="0.3">
      <c r="A15" s="7">
        <v>9</v>
      </c>
      <c r="B15" s="10" t="s">
        <v>350</v>
      </c>
      <c r="C15" s="119">
        <v>3960</v>
      </c>
      <c r="D15" s="119">
        <v>112198</v>
      </c>
      <c r="E15" s="119">
        <v>23746.78</v>
      </c>
      <c r="F15" s="119">
        <v>35300</v>
      </c>
      <c r="G15" s="119"/>
      <c r="H15" s="119"/>
      <c r="I15" s="33">
        <f t="shared" si="0"/>
        <v>175204.78</v>
      </c>
    </row>
    <row r="16" spans="1:10" x14ac:dyDescent="0.3">
      <c r="A16" s="7">
        <v>10</v>
      </c>
      <c r="B16" s="11" t="s">
        <v>181</v>
      </c>
      <c r="C16" s="119"/>
      <c r="D16" s="119"/>
      <c r="E16" s="119">
        <v>21717</v>
      </c>
      <c r="F16" s="119"/>
      <c r="G16" s="119"/>
      <c r="H16" s="119">
        <v>28596</v>
      </c>
      <c r="I16" s="33">
        <f t="shared" si="0"/>
        <v>50313</v>
      </c>
    </row>
    <row r="17" spans="1:9" x14ac:dyDescent="0.3">
      <c r="A17" s="7">
        <v>11</v>
      </c>
      <c r="B17" s="323" t="s">
        <v>182</v>
      </c>
      <c r="C17" s="119"/>
      <c r="D17" s="119">
        <v>14044.8</v>
      </c>
      <c r="E17" s="119">
        <v>23580</v>
      </c>
      <c r="F17" s="119">
        <v>27347.200000000001</v>
      </c>
      <c r="G17" s="119"/>
      <c r="H17" s="119"/>
      <c r="I17" s="33">
        <f>SUM(C17:H17)</f>
        <v>64972</v>
      </c>
    </row>
    <row r="18" spans="1:9" x14ac:dyDescent="0.3">
      <c r="A18" s="7">
        <v>12</v>
      </c>
      <c r="B18" s="323" t="s">
        <v>297</v>
      </c>
      <c r="C18" s="119">
        <v>83950.93</v>
      </c>
      <c r="D18" s="119">
        <f>8468110+68485.56</f>
        <v>8536595.5600000005</v>
      </c>
      <c r="E18" s="119">
        <f>193640.08+1326.4</f>
        <v>194966.47999999998</v>
      </c>
      <c r="F18" s="119">
        <v>2021980.03</v>
      </c>
      <c r="G18" s="119"/>
      <c r="H18" s="119"/>
      <c r="I18" s="33">
        <f>SUM(C18:H18)</f>
        <v>10837493</v>
      </c>
    </row>
    <row r="19" spans="1:9" x14ac:dyDescent="0.3">
      <c r="A19" s="7">
        <v>13</v>
      </c>
      <c r="B19" s="323" t="s">
        <v>183</v>
      </c>
      <c r="C19" s="119"/>
      <c r="D19" s="119">
        <v>8371.4</v>
      </c>
      <c r="E19" s="119">
        <v>21589.58</v>
      </c>
      <c r="F19" s="119">
        <v>440.6</v>
      </c>
      <c r="G19" s="119"/>
      <c r="H19" s="119"/>
      <c r="I19" s="33">
        <f>SUM(C19:H19)</f>
        <v>30401.58</v>
      </c>
    </row>
    <row r="20" spans="1:9" x14ac:dyDescent="0.3">
      <c r="A20" s="7">
        <v>14</v>
      </c>
      <c r="B20" s="323" t="s">
        <v>304</v>
      </c>
      <c r="C20" s="119">
        <v>298.08</v>
      </c>
      <c r="D20" s="119">
        <v>34106.15</v>
      </c>
      <c r="E20" s="119"/>
      <c r="F20" s="119">
        <v>9470</v>
      </c>
      <c r="G20" s="119"/>
      <c r="H20" s="119"/>
      <c r="I20" s="33">
        <f>SUM(C20:H20)</f>
        <v>43874.23</v>
      </c>
    </row>
    <row r="21" spans="1:9" ht="47.4" thickBot="1" x14ac:dyDescent="0.35">
      <c r="A21" s="66">
        <v>15</v>
      </c>
      <c r="B21" s="538" t="s">
        <v>56</v>
      </c>
      <c r="C21" s="539">
        <f t="shared" ref="C21:H21" si="2">+C6+C9+C10+C16+C17+C18+C19+C20</f>
        <v>1729995.33</v>
      </c>
      <c r="D21" s="539">
        <f t="shared" si="2"/>
        <v>17711391.849999998</v>
      </c>
      <c r="E21" s="539">
        <f t="shared" si="2"/>
        <v>298670.72000000003</v>
      </c>
      <c r="F21" s="539">
        <f t="shared" si="2"/>
        <v>3808384.1</v>
      </c>
      <c r="G21" s="539">
        <f t="shared" si="2"/>
        <v>0</v>
      </c>
      <c r="H21" s="539">
        <f t="shared" si="2"/>
        <v>41725.199999999997</v>
      </c>
      <c r="I21" s="540">
        <f>SUM(C21:H21)</f>
        <v>23590167.199999999</v>
      </c>
    </row>
    <row r="22" spans="1:9" s="541" customFormat="1" x14ac:dyDescent="0.3">
      <c r="B22" s="542" t="s">
        <v>1164</v>
      </c>
      <c r="C22" s="543" t="s">
        <v>312</v>
      </c>
      <c r="D22" s="543" t="s">
        <v>312</v>
      </c>
      <c r="E22" s="543" t="s">
        <v>312</v>
      </c>
      <c r="F22" s="543" t="s">
        <v>312</v>
      </c>
      <c r="G22" s="543" t="s">
        <v>312</v>
      </c>
      <c r="H22" s="543" t="s">
        <v>312</v>
      </c>
      <c r="I22" s="544">
        <v>41725.199999999997</v>
      </c>
    </row>
    <row r="23" spans="1:9" x14ac:dyDescent="0.3">
      <c r="C23" s="292"/>
      <c r="D23" s="293"/>
      <c r="E23" s="293"/>
      <c r="F23" s="293"/>
      <c r="G23" s="293"/>
      <c r="H23" s="293"/>
    </row>
    <row r="24" spans="1:9" x14ac:dyDescent="0.3">
      <c r="C24" s="293"/>
      <c r="D24" s="293"/>
      <c r="E24" s="293"/>
      <c r="F24" s="293"/>
      <c r="G24" s="293"/>
      <c r="H24" s="293"/>
    </row>
    <row r="25" spans="1:9" ht="33.6" customHeight="1" x14ac:dyDescent="0.3">
      <c r="B25" s="800" t="s">
        <v>1282</v>
      </c>
      <c r="C25" s="800"/>
      <c r="D25" s="800"/>
      <c r="E25" s="800"/>
      <c r="F25" s="800"/>
      <c r="G25" s="800"/>
      <c r="H25" s="800"/>
      <c r="I25" s="800"/>
    </row>
    <row r="26" spans="1:9" x14ac:dyDescent="0.3">
      <c r="C26" s="293"/>
      <c r="D26" s="293"/>
      <c r="E26" s="293"/>
      <c r="F26" s="293"/>
      <c r="G26" s="293"/>
      <c r="H26" s="293"/>
    </row>
    <row r="27" spans="1:9" x14ac:dyDescent="0.3">
      <c r="C27" s="293"/>
      <c r="D27" s="293"/>
      <c r="E27" s="293"/>
      <c r="F27" s="293"/>
      <c r="G27" s="293"/>
      <c r="H27" s="293"/>
    </row>
    <row r="28" spans="1:9" x14ac:dyDescent="0.3">
      <c r="C28" s="293"/>
      <c r="D28" s="293"/>
      <c r="E28" s="293"/>
      <c r="F28" s="293"/>
      <c r="G28" s="293"/>
      <c r="H28" s="293"/>
    </row>
    <row r="29" spans="1:9" x14ac:dyDescent="0.3">
      <c r="C29" s="293"/>
      <c r="D29" s="293"/>
      <c r="E29" s="293"/>
      <c r="F29" s="293"/>
      <c r="G29" s="293"/>
      <c r="H29" s="293"/>
    </row>
    <row r="30" spans="1:9" x14ac:dyDescent="0.3">
      <c r="C30" s="293"/>
      <c r="D30" s="293"/>
      <c r="E30" s="293"/>
      <c r="F30" s="293"/>
      <c r="G30" s="293"/>
      <c r="H30" s="293"/>
    </row>
    <row r="31" spans="1:9" x14ac:dyDescent="0.3">
      <c r="C31" s="293"/>
      <c r="D31" s="293"/>
      <c r="E31" s="293"/>
      <c r="F31" s="293"/>
      <c r="G31" s="293"/>
      <c r="H31" s="293"/>
    </row>
    <row r="32" spans="1:9" x14ac:dyDescent="0.3">
      <c r="C32" s="293"/>
      <c r="D32" s="293"/>
      <c r="E32" s="293"/>
      <c r="F32" s="293"/>
      <c r="G32" s="293"/>
      <c r="H32" s="293"/>
    </row>
    <row r="33" spans="3:8" x14ac:dyDescent="0.3">
      <c r="C33" s="293"/>
      <c r="D33" s="293"/>
      <c r="E33" s="293"/>
      <c r="F33" s="293"/>
      <c r="G33" s="293"/>
      <c r="H33" s="293"/>
    </row>
    <row r="34" spans="3:8" x14ac:dyDescent="0.3">
      <c r="C34" s="293"/>
      <c r="D34" s="293"/>
      <c r="E34" s="293"/>
      <c r="F34" s="293"/>
      <c r="G34" s="293"/>
      <c r="H34" s="293"/>
    </row>
    <row r="35" spans="3:8" x14ac:dyDescent="0.3">
      <c r="C35" s="293"/>
      <c r="D35" s="293"/>
      <c r="E35" s="293"/>
      <c r="F35" s="293"/>
      <c r="G35" s="293"/>
      <c r="H35" s="293"/>
    </row>
    <row r="36" spans="3:8" x14ac:dyDescent="0.3">
      <c r="C36" s="293"/>
      <c r="D36" s="293"/>
      <c r="E36" s="293"/>
      <c r="F36" s="293"/>
      <c r="G36" s="293"/>
      <c r="H36" s="293"/>
    </row>
    <row r="37" spans="3:8" x14ac:dyDescent="0.3">
      <c r="C37" s="293"/>
      <c r="D37" s="293"/>
      <c r="E37" s="293"/>
      <c r="F37" s="293"/>
      <c r="G37" s="293"/>
      <c r="H37" s="293"/>
    </row>
    <row r="38" spans="3:8" x14ac:dyDescent="0.3">
      <c r="C38" s="293"/>
      <c r="D38" s="293"/>
      <c r="E38" s="293"/>
      <c r="F38" s="293"/>
      <c r="G38" s="293"/>
      <c r="H38" s="293"/>
    </row>
    <row r="39" spans="3:8" x14ac:dyDescent="0.3">
      <c r="C39" s="293"/>
      <c r="D39" s="293"/>
      <c r="E39" s="293"/>
      <c r="F39" s="293"/>
      <c r="G39" s="293"/>
      <c r="H39" s="293"/>
    </row>
    <row r="40" spans="3:8" x14ac:dyDescent="0.3">
      <c r="C40" s="293"/>
      <c r="D40" s="293"/>
      <c r="E40" s="293"/>
      <c r="F40" s="293"/>
      <c r="G40" s="293"/>
      <c r="H40" s="293"/>
    </row>
    <row r="41" spans="3:8" x14ac:dyDescent="0.3">
      <c r="C41" s="293"/>
      <c r="D41" s="293"/>
      <c r="E41" s="293"/>
      <c r="F41" s="293"/>
      <c r="G41" s="293"/>
      <c r="H41" s="293"/>
    </row>
    <row r="42" spans="3:8" x14ac:dyDescent="0.3">
      <c r="C42" s="293"/>
      <c r="D42" s="293"/>
      <c r="E42" s="293"/>
      <c r="F42" s="293"/>
      <c r="G42" s="293"/>
      <c r="H42" s="293"/>
    </row>
    <row r="43" spans="3:8" x14ac:dyDescent="0.3">
      <c r="C43" s="293"/>
      <c r="D43" s="293"/>
      <c r="E43" s="293"/>
      <c r="F43" s="293"/>
      <c r="G43" s="293"/>
      <c r="H43" s="293"/>
    </row>
    <row r="44" spans="3:8" x14ac:dyDescent="0.3">
      <c r="C44" s="293"/>
      <c r="D44" s="293"/>
      <c r="E44" s="293"/>
      <c r="F44" s="293"/>
      <c r="G44" s="293"/>
      <c r="H44" s="293"/>
    </row>
    <row r="45" spans="3:8" x14ac:dyDescent="0.3">
      <c r="C45" s="293"/>
      <c r="D45" s="293"/>
      <c r="E45" s="293"/>
      <c r="F45" s="293"/>
      <c r="G45" s="293"/>
      <c r="H45" s="293"/>
    </row>
    <row r="46" spans="3:8" x14ac:dyDescent="0.3">
      <c r="C46" s="293"/>
      <c r="D46" s="293"/>
      <c r="E46" s="293"/>
      <c r="F46" s="293"/>
      <c r="G46" s="293"/>
      <c r="H46" s="293"/>
    </row>
    <row r="47" spans="3:8" x14ac:dyDescent="0.3">
      <c r="C47" s="293"/>
      <c r="D47" s="293"/>
      <c r="E47" s="293"/>
      <c r="F47" s="293"/>
      <c r="G47" s="293"/>
      <c r="H47" s="293"/>
    </row>
    <row r="48" spans="3:8" x14ac:dyDescent="0.3">
      <c r="C48" s="293"/>
      <c r="D48" s="293"/>
      <c r="E48" s="293"/>
      <c r="F48" s="293"/>
      <c r="G48" s="293"/>
      <c r="H48" s="293"/>
    </row>
    <row r="49" spans="3:8" x14ac:dyDescent="0.3">
      <c r="C49" s="293"/>
      <c r="D49" s="293"/>
      <c r="E49" s="293"/>
      <c r="F49" s="293"/>
      <c r="G49" s="293"/>
      <c r="H49" s="293"/>
    </row>
    <row r="50" spans="3:8" x14ac:dyDescent="0.3">
      <c r="C50" s="293"/>
      <c r="D50" s="293"/>
      <c r="E50" s="293"/>
      <c r="F50" s="293"/>
      <c r="G50" s="293"/>
      <c r="H50" s="293"/>
    </row>
    <row r="51" spans="3:8" x14ac:dyDescent="0.3">
      <c r="C51" s="293"/>
      <c r="D51" s="293"/>
      <c r="E51" s="293"/>
      <c r="F51" s="293"/>
      <c r="G51" s="293"/>
      <c r="H51" s="293"/>
    </row>
    <row r="52" spans="3:8" x14ac:dyDescent="0.3">
      <c r="C52" s="293"/>
      <c r="D52" s="293"/>
      <c r="E52" s="293"/>
      <c r="F52" s="293"/>
      <c r="G52" s="293"/>
      <c r="H52" s="293"/>
    </row>
    <row r="53" spans="3:8" x14ac:dyDescent="0.3">
      <c r="C53" s="293"/>
      <c r="D53" s="293"/>
      <c r="E53" s="293"/>
      <c r="F53" s="293"/>
      <c r="G53" s="293"/>
      <c r="H53" s="293"/>
    </row>
    <row r="54" spans="3:8" x14ac:dyDescent="0.3">
      <c r="C54" s="293"/>
      <c r="D54" s="293"/>
      <c r="E54" s="293"/>
      <c r="F54" s="293"/>
      <c r="G54" s="293"/>
      <c r="H54" s="293"/>
    </row>
    <row r="55" spans="3:8" x14ac:dyDescent="0.3">
      <c r="C55" s="293"/>
      <c r="D55" s="293"/>
      <c r="E55" s="293"/>
      <c r="F55" s="293"/>
      <c r="G55" s="293"/>
      <c r="H55" s="293"/>
    </row>
    <row r="56" spans="3:8" x14ac:dyDescent="0.3">
      <c r="C56" s="293"/>
      <c r="D56" s="293"/>
      <c r="E56" s="293"/>
      <c r="F56" s="293"/>
      <c r="G56" s="293"/>
      <c r="H56" s="293"/>
    </row>
    <row r="57" spans="3:8" x14ac:dyDescent="0.3">
      <c r="C57" s="293"/>
      <c r="D57" s="293"/>
      <c r="E57" s="293"/>
      <c r="F57" s="293"/>
      <c r="G57" s="293"/>
      <c r="H57" s="293"/>
    </row>
    <row r="58" spans="3:8" x14ac:dyDescent="0.3">
      <c r="C58" s="293"/>
      <c r="D58" s="293"/>
      <c r="E58" s="293"/>
      <c r="F58" s="293"/>
      <c r="G58" s="293"/>
      <c r="H58" s="293"/>
    </row>
    <row r="59" spans="3:8" x14ac:dyDescent="0.3">
      <c r="C59" s="293"/>
      <c r="D59" s="293"/>
      <c r="E59" s="293"/>
      <c r="F59" s="293"/>
      <c r="G59" s="293"/>
      <c r="H59" s="293"/>
    </row>
    <row r="60" spans="3:8" x14ac:dyDescent="0.3">
      <c r="C60" s="293"/>
      <c r="D60" s="293"/>
      <c r="E60" s="293"/>
      <c r="F60" s="293"/>
      <c r="G60" s="293"/>
      <c r="H60" s="293"/>
    </row>
    <row r="61" spans="3:8" x14ac:dyDescent="0.3">
      <c r="C61" s="293"/>
      <c r="D61" s="293"/>
      <c r="E61" s="293"/>
      <c r="F61" s="293"/>
      <c r="G61" s="293"/>
      <c r="H61" s="293"/>
    </row>
    <row r="62" spans="3:8" x14ac:dyDescent="0.3">
      <c r="C62" s="293"/>
      <c r="D62" s="293"/>
      <c r="E62" s="293"/>
      <c r="F62" s="293"/>
      <c r="G62" s="293"/>
      <c r="H62" s="293"/>
    </row>
    <row r="63" spans="3:8" x14ac:dyDescent="0.3">
      <c r="C63" s="293"/>
      <c r="D63" s="293"/>
      <c r="E63" s="293"/>
      <c r="F63" s="293"/>
      <c r="G63" s="293"/>
      <c r="H63" s="293"/>
    </row>
    <row r="64" spans="3:8" x14ac:dyDescent="0.3">
      <c r="C64" s="293"/>
      <c r="D64" s="293"/>
      <c r="E64" s="293"/>
      <c r="F64" s="293"/>
      <c r="G64" s="293"/>
      <c r="H64" s="293"/>
    </row>
    <row r="65" spans="3:8" x14ac:dyDescent="0.3">
      <c r="C65" s="293"/>
      <c r="D65" s="293"/>
      <c r="E65" s="293"/>
      <c r="F65" s="293"/>
      <c r="G65" s="293"/>
      <c r="H65" s="293"/>
    </row>
    <row r="66" spans="3:8" x14ac:dyDescent="0.3">
      <c r="C66" s="293"/>
      <c r="D66" s="293"/>
      <c r="E66" s="293"/>
      <c r="F66" s="293"/>
      <c r="G66" s="293"/>
      <c r="H66" s="293"/>
    </row>
    <row r="67" spans="3:8" x14ac:dyDescent="0.3">
      <c r="C67" s="293"/>
      <c r="D67" s="293"/>
      <c r="E67" s="293"/>
      <c r="F67" s="293"/>
      <c r="G67" s="293"/>
      <c r="H67" s="293"/>
    </row>
    <row r="68" spans="3:8" x14ac:dyDescent="0.3">
      <c r="C68" s="293"/>
      <c r="D68" s="293"/>
      <c r="E68" s="293"/>
      <c r="F68" s="293"/>
      <c r="G68" s="293"/>
      <c r="H68" s="293"/>
    </row>
    <row r="69" spans="3:8" x14ac:dyDescent="0.3">
      <c r="C69" s="293"/>
      <c r="D69" s="293"/>
      <c r="E69" s="293"/>
      <c r="F69" s="293"/>
      <c r="G69" s="293"/>
      <c r="H69" s="293"/>
    </row>
    <row r="70" spans="3:8" x14ac:dyDescent="0.3">
      <c r="C70" s="293"/>
      <c r="D70" s="293"/>
      <c r="E70" s="293"/>
      <c r="F70" s="293"/>
      <c r="G70" s="293"/>
      <c r="H70" s="293"/>
    </row>
    <row r="71" spans="3:8" x14ac:dyDescent="0.3">
      <c r="C71" s="293"/>
      <c r="D71" s="293"/>
      <c r="E71" s="293"/>
      <c r="F71" s="293"/>
      <c r="G71" s="293"/>
      <c r="H71" s="293"/>
    </row>
    <row r="72" spans="3:8" x14ac:dyDescent="0.3">
      <c r="C72" s="293"/>
      <c r="D72" s="293"/>
      <c r="E72" s="293"/>
      <c r="F72" s="293"/>
      <c r="G72" s="293"/>
      <c r="H72" s="293"/>
    </row>
    <row r="73" spans="3:8" x14ac:dyDescent="0.3">
      <c r="C73" s="293"/>
      <c r="D73" s="293"/>
      <c r="E73" s="293"/>
      <c r="F73" s="293"/>
      <c r="G73" s="293"/>
      <c r="H73" s="293"/>
    </row>
    <row r="74" spans="3:8" x14ac:dyDescent="0.3">
      <c r="C74" s="293"/>
      <c r="D74" s="293"/>
      <c r="E74" s="293"/>
      <c r="F74" s="293"/>
      <c r="G74" s="293"/>
      <c r="H74" s="293"/>
    </row>
    <row r="75" spans="3:8" x14ac:dyDescent="0.3">
      <c r="C75" s="293"/>
      <c r="D75" s="293"/>
      <c r="E75" s="293"/>
      <c r="F75" s="293"/>
      <c r="G75" s="293"/>
      <c r="H75" s="293"/>
    </row>
    <row r="76" spans="3:8" x14ac:dyDescent="0.3">
      <c r="C76" s="293"/>
      <c r="D76" s="293"/>
      <c r="E76" s="293"/>
      <c r="F76" s="293"/>
      <c r="G76" s="293"/>
      <c r="H76" s="293"/>
    </row>
    <row r="77" spans="3:8" x14ac:dyDescent="0.3">
      <c r="C77" s="293"/>
      <c r="D77" s="293"/>
      <c r="E77" s="293"/>
      <c r="F77" s="293"/>
      <c r="G77" s="293"/>
      <c r="H77" s="293"/>
    </row>
    <row r="78" spans="3:8" x14ac:dyDescent="0.3">
      <c r="C78" s="293"/>
      <c r="D78" s="293"/>
      <c r="E78" s="293"/>
      <c r="F78" s="293"/>
      <c r="G78" s="293"/>
      <c r="H78" s="293"/>
    </row>
    <row r="79" spans="3:8" x14ac:dyDescent="0.3">
      <c r="C79" s="293"/>
      <c r="D79" s="293"/>
      <c r="E79" s="293"/>
      <c r="F79" s="293"/>
      <c r="G79" s="293"/>
      <c r="H79" s="293"/>
    </row>
    <row r="80" spans="3:8" x14ac:dyDescent="0.3">
      <c r="C80" s="293"/>
      <c r="D80" s="293"/>
      <c r="E80" s="293"/>
      <c r="F80" s="293"/>
      <c r="G80" s="293"/>
      <c r="H80" s="293"/>
    </row>
    <row r="81" spans="3:8" x14ac:dyDescent="0.3">
      <c r="C81" s="293"/>
      <c r="D81" s="293"/>
      <c r="E81" s="293"/>
      <c r="F81" s="293"/>
      <c r="G81" s="293"/>
      <c r="H81" s="293"/>
    </row>
    <row r="82" spans="3:8" x14ac:dyDescent="0.3">
      <c r="C82" s="293"/>
      <c r="D82" s="293"/>
      <c r="E82" s="293"/>
      <c r="F82" s="293"/>
      <c r="G82" s="293"/>
      <c r="H82" s="293"/>
    </row>
  </sheetData>
  <mergeCells count="12">
    <mergeCell ref="B25:I25"/>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5"/>
  <sheetViews>
    <sheetView workbookViewId="0">
      <pane xSplit="2" ySplit="5" topLeftCell="C6" activePane="bottomRight" state="frozen"/>
      <selection pane="topRight" activeCell="C1" sqref="C1"/>
      <selection pane="bottomLeft" activeCell="A6" sqref="A6"/>
      <selection pane="bottomRight" activeCell="B7" sqref="B7"/>
    </sheetView>
  </sheetViews>
  <sheetFormatPr defaultColWidth="9.109375" defaultRowHeight="15.6" x14ac:dyDescent="0.3"/>
  <cols>
    <col min="1" max="1" width="7.33203125" style="62" customWidth="1"/>
    <col min="2" max="2" width="38.88671875" style="67" customWidth="1"/>
    <col min="3" max="3" width="14.88671875" style="62" customWidth="1"/>
    <col min="4" max="4" width="14.5546875" style="62" customWidth="1"/>
    <col min="5" max="5" width="15.109375" style="62" customWidth="1"/>
    <col min="6" max="6" width="14.109375" style="62" customWidth="1"/>
    <col min="7" max="7" width="13.5546875" style="62" customWidth="1"/>
    <col min="8" max="8" width="14" style="62" customWidth="1"/>
    <col min="9" max="9" width="13.44140625" style="62" customWidth="1"/>
    <col min="10" max="10" width="12.44140625" style="62" customWidth="1"/>
    <col min="11" max="11" width="14.5546875" style="62" customWidth="1"/>
    <col min="12" max="12" width="14.44140625" style="62" customWidth="1"/>
    <col min="13" max="13" width="14.88671875" style="62" customWidth="1"/>
    <col min="14" max="14" width="14.6640625" style="62" customWidth="1"/>
    <col min="15" max="15" width="14.109375" style="62" customWidth="1"/>
    <col min="16" max="16" width="14.33203125" style="62" customWidth="1"/>
    <col min="17" max="16384" width="9.109375" style="62"/>
  </cols>
  <sheetData>
    <row r="1" spans="1:256" ht="27.75" customHeight="1" thickBot="1" x14ac:dyDescent="0.35">
      <c r="A1" s="813" t="s">
        <v>1167</v>
      </c>
      <c r="B1" s="814"/>
      <c r="C1" s="814"/>
      <c r="D1" s="814"/>
      <c r="E1" s="814"/>
      <c r="F1" s="814"/>
      <c r="G1" s="814"/>
      <c r="H1" s="814"/>
      <c r="I1" s="814"/>
      <c r="J1" s="814"/>
      <c r="K1" s="814"/>
      <c r="L1" s="814"/>
      <c r="M1" s="814"/>
      <c r="N1" s="815"/>
    </row>
    <row r="2" spans="1:256" ht="28.5" customHeight="1" x14ac:dyDescent="0.3">
      <c r="A2" s="692" t="s">
        <v>1224</v>
      </c>
      <c r="B2" s="693"/>
      <c r="C2" s="693"/>
      <c r="D2" s="693"/>
      <c r="E2" s="693"/>
      <c r="F2" s="693"/>
      <c r="G2" s="693"/>
      <c r="H2" s="693"/>
      <c r="I2" s="700"/>
      <c r="J2" s="700"/>
      <c r="K2" s="693"/>
      <c r="L2" s="693"/>
      <c r="M2" s="693"/>
      <c r="N2" s="694"/>
    </row>
    <row r="3" spans="1:256" ht="51.75" customHeight="1" x14ac:dyDescent="0.3">
      <c r="A3" s="816" t="s">
        <v>205</v>
      </c>
      <c r="B3" s="817" t="s">
        <v>1157</v>
      </c>
      <c r="C3" s="709" t="s">
        <v>328</v>
      </c>
      <c r="D3" s="709"/>
      <c r="E3" s="709" t="s">
        <v>329</v>
      </c>
      <c r="F3" s="709"/>
      <c r="G3" s="709" t="s">
        <v>330</v>
      </c>
      <c r="H3" s="720"/>
      <c r="I3" s="818" t="s">
        <v>896</v>
      </c>
      <c r="J3" s="818"/>
      <c r="K3" s="819" t="s">
        <v>305</v>
      </c>
      <c r="L3" s="709"/>
      <c r="M3" s="709" t="s">
        <v>324</v>
      </c>
      <c r="N3" s="780"/>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c r="IT3" s="63"/>
      <c r="IU3" s="63"/>
      <c r="IV3" s="63"/>
    </row>
    <row r="4" spans="1:256" ht="17.25" customHeight="1" x14ac:dyDescent="0.3">
      <c r="A4" s="816"/>
      <c r="B4" s="713"/>
      <c r="C4" s="126">
        <v>2014</v>
      </c>
      <c r="D4" s="126">
        <v>2015</v>
      </c>
      <c r="E4" s="126">
        <v>2014</v>
      </c>
      <c r="F4" s="126">
        <v>2015</v>
      </c>
      <c r="G4" s="126">
        <v>2014</v>
      </c>
      <c r="H4" s="126">
        <v>2015</v>
      </c>
      <c r="I4" s="126">
        <v>2014</v>
      </c>
      <c r="J4" s="126">
        <v>2015</v>
      </c>
      <c r="K4" s="126">
        <v>2014</v>
      </c>
      <c r="L4" s="126">
        <v>2015</v>
      </c>
      <c r="M4" s="126">
        <v>2014</v>
      </c>
      <c r="N4" s="127">
        <v>2015</v>
      </c>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pans="1:256" ht="31.2" x14ac:dyDescent="0.3">
      <c r="A5" s="7"/>
      <c r="B5" s="64"/>
      <c r="C5" s="1" t="s">
        <v>283</v>
      </c>
      <c r="D5" s="1" t="s">
        <v>284</v>
      </c>
      <c r="E5" s="1" t="s">
        <v>285</v>
      </c>
      <c r="F5" s="1" t="s">
        <v>292</v>
      </c>
      <c r="G5" s="1" t="s">
        <v>286</v>
      </c>
      <c r="H5" s="75" t="s">
        <v>287</v>
      </c>
      <c r="I5" s="1" t="s">
        <v>288</v>
      </c>
      <c r="J5" s="1" t="s">
        <v>289</v>
      </c>
      <c r="K5" s="1" t="s">
        <v>290</v>
      </c>
      <c r="L5" s="1" t="s">
        <v>826</v>
      </c>
      <c r="M5" s="83" t="s">
        <v>1050</v>
      </c>
      <c r="N5" s="84" t="s">
        <v>1051</v>
      </c>
      <c r="O5" s="63"/>
      <c r="P5" s="63"/>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pans="1:256" ht="31.2" x14ac:dyDescent="0.3">
      <c r="A6" s="7">
        <v>1</v>
      </c>
      <c r="B6" s="98" t="s">
        <v>201</v>
      </c>
      <c r="C6" s="294">
        <v>2355283.81</v>
      </c>
      <c r="D6" s="294">
        <f>C17</f>
        <v>2931290.29</v>
      </c>
      <c r="E6" s="294">
        <v>5313612.32</v>
      </c>
      <c r="F6" s="294">
        <f>E17</f>
        <v>4398207.75</v>
      </c>
      <c r="G6" s="294">
        <v>617425.03</v>
      </c>
      <c r="H6" s="294">
        <f>G17</f>
        <v>328416.90000000037</v>
      </c>
      <c r="I6" s="294">
        <v>10000</v>
      </c>
      <c r="J6" s="294">
        <f>SUM(I17)</f>
        <v>9960.0400000000009</v>
      </c>
      <c r="K6" s="294"/>
      <c r="L6" s="294">
        <f>SUM(K17)</f>
        <v>0</v>
      </c>
      <c r="M6" s="295">
        <f t="shared" ref="M6:N8" si="0">C6+E6+G6+I6+K6</f>
        <v>8296321.1600000011</v>
      </c>
      <c r="N6" s="296">
        <f t="shared" si="0"/>
        <v>7667874.9800000004</v>
      </c>
      <c r="O6" s="63"/>
      <c r="P6" s="63"/>
    </row>
    <row r="7" spans="1:256" ht="31.2" x14ac:dyDescent="0.3">
      <c r="A7" s="7">
        <v>2</v>
      </c>
      <c r="B7" s="99" t="s">
        <v>870</v>
      </c>
      <c r="C7" s="294">
        <f t="shared" ref="C7:L7" si="1">SUM(C8:C15)</f>
        <v>587882.87</v>
      </c>
      <c r="D7" s="294">
        <f t="shared" si="1"/>
        <v>862585.17</v>
      </c>
      <c r="E7" s="294">
        <f t="shared" si="1"/>
        <v>1315271.77</v>
      </c>
      <c r="F7" s="294">
        <f t="shared" si="1"/>
        <v>1729460.53</v>
      </c>
      <c r="G7" s="294">
        <f>SUM(G8:G15)</f>
        <v>1561096.87</v>
      </c>
      <c r="H7" s="294">
        <f>SUM(H8:H15)</f>
        <v>1614707.6</v>
      </c>
      <c r="I7" s="294">
        <f t="shared" si="1"/>
        <v>10000</v>
      </c>
      <c r="J7" s="294">
        <f t="shared" si="1"/>
        <v>0</v>
      </c>
      <c r="K7" s="294">
        <f t="shared" si="1"/>
        <v>0</v>
      </c>
      <c r="L7" s="294">
        <f t="shared" si="1"/>
        <v>0</v>
      </c>
      <c r="M7" s="295">
        <f t="shared" si="0"/>
        <v>3474251.5100000002</v>
      </c>
      <c r="N7" s="296">
        <f t="shared" si="0"/>
        <v>4206753.3000000007</v>
      </c>
      <c r="O7" s="63"/>
      <c r="P7" s="63"/>
    </row>
    <row r="8" spans="1:256" ht="22.5" customHeight="1" x14ac:dyDescent="0.3">
      <c r="A8" s="7">
        <v>3</v>
      </c>
      <c r="B8" s="100" t="s">
        <v>80</v>
      </c>
      <c r="C8" s="297">
        <v>587882.87</v>
      </c>
      <c r="D8" s="297">
        <v>862585.17</v>
      </c>
      <c r="E8" s="297"/>
      <c r="F8" s="297"/>
      <c r="G8" s="297"/>
      <c r="H8" s="297"/>
      <c r="I8" s="297"/>
      <c r="J8" s="297"/>
      <c r="K8" s="297"/>
      <c r="L8" s="297"/>
      <c r="M8" s="295">
        <f t="shared" si="0"/>
        <v>587882.87</v>
      </c>
      <c r="N8" s="296">
        <f t="shared" si="0"/>
        <v>862585.17</v>
      </c>
    </row>
    <row r="9" spans="1:256" ht="21.75" customHeight="1" x14ac:dyDescent="0.3">
      <c r="A9" s="7">
        <v>4</v>
      </c>
      <c r="B9" s="100" t="s">
        <v>313</v>
      </c>
      <c r="C9" s="117" t="s">
        <v>312</v>
      </c>
      <c r="D9" s="117" t="s">
        <v>312</v>
      </c>
      <c r="E9" s="297">
        <v>1220048.1000000001</v>
      </c>
      <c r="F9" s="298">
        <v>959460.53</v>
      </c>
      <c r="G9" s="117" t="s">
        <v>312</v>
      </c>
      <c r="H9" s="117" t="s">
        <v>312</v>
      </c>
      <c r="I9" s="118" t="s">
        <v>312</v>
      </c>
      <c r="J9" s="118" t="s">
        <v>312</v>
      </c>
      <c r="K9" s="117" t="s">
        <v>312</v>
      </c>
      <c r="L9" s="117" t="s">
        <v>312</v>
      </c>
      <c r="M9" s="295">
        <f>E9</f>
        <v>1220048.1000000001</v>
      </c>
      <c r="N9" s="296">
        <f>F9</f>
        <v>959460.53</v>
      </c>
    </row>
    <row r="10" spans="1:256" ht="31.2" x14ac:dyDescent="0.3">
      <c r="A10" s="7">
        <v>5</v>
      </c>
      <c r="B10" s="100" t="s">
        <v>1</v>
      </c>
      <c r="C10" s="117" t="s">
        <v>312</v>
      </c>
      <c r="D10" s="117" t="s">
        <v>312</v>
      </c>
      <c r="E10" s="297">
        <v>95223.67</v>
      </c>
      <c r="F10" s="297"/>
      <c r="G10" s="117" t="s">
        <v>312</v>
      </c>
      <c r="H10" s="117" t="s">
        <v>312</v>
      </c>
      <c r="I10" s="118" t="s">
        <v>312</v>
      </c>
      <c r="J10" s="118" t="s">
        <v>312</v>
      </c>
      <c r="K10" s="117" t="s">
        <v>312</v>
      </c>
      <c r="L10" s="117" t="s">
        <v>312</v>
      </c>
      <c r="M10" s="295">
        <f>E10</f>
        <v>95223.67</v>
      </c>
      <c r="N10" s="296">
        <f>F10</f>
        <v>0</v>
      </c>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row>
    <row r="11" spans="1:256" ht="31.2" x14ac:dyDescent="0.3">
      <c r="A11" s="7">
        <v>6</v>
      </c>
      <c r="B11" s="100" t="s">
        <v>314</v>
      </c>
      <c r="C11" s="117" t="s">
        <v>312</v>
      </c>
      <c r="D11" s="117" t="s">
        <v>312</v>
      </c>
      <c r="E11" s="297"/>
      <c r="F11" s="297">
        <v>770000</v>
      </c>
      <c r="G11" s="297"/>
      <c r="H11" s="297"/>
      <c r="I11" s="299">
        <v>10000</v>
      </c>
      <c r="J11" s="299"/>
      <c r="K11" s="294"/>
      <c r="L11" s="294"/>
      <c r="M11" s="295">
        <f>E11+G11+I11+K11</f>
        <v>10000</v>
      </c>
      <c r="N11" s="296">
        <f>F11+H11+J11+L11</f>
        <v>770000</v>
      </c>
    </row>
    <row r="12" spans="1:256" ht="17.25" customHeight="1" x14ac:dyDescent="0.3">
      <c r="A12" s="7">
        <v>7</v>
      </c>
      <c r="B12" s="100" t="s">
        <v>315</v>
      </c>
      <c r="C12" s="297"/>
      <c r="D12" s="297"/>
      <c r="E12" s="297"/>
      <c r="F12" s="297"/>
      <c r="G12" s="297"/>
      <c r="H12" s="297"/>
      <c r="I12" s="299"/>
      <c r="J12" s="299"/>
      <c r="K12" s="297"/>
      <c r="L12" s="297"/>
      <c r="M12" s="295">
        <f>C12+E12+G12+I12+K12</f>
        <v>0</v>
      </c>
      <c r="N12" s="296">
        <f>D12+F12+H12+J12+L12</f>
        <v>0</v>
      </c>
    </row>
    <row r="13" spans="1:256" ht="18.600000000000001" x14ac:dyDescent="0.3">
      <c r="A13" s="7">
        <v>8</v>
      </c>
      <c r="B13" s="101" t="s">
        <v>81</v>
      </c>
      <c r="C13" s="117" t="s">
        <v>312</v>
      </c>
      <c r="D13" s="117" t="s">
        <v>312</v>
      </c>
      <c r="E13" s="117" t="s">
        <v>312</v>
      </c>
      <c r="F13" s="117" t="s">
        <v>312</v>
      </c>
      <c r="G13" s="297">
        <v>1504488.87</v>
      </c>
      <c r="H13" s="297">
        <f>1281530+357975-56000-15720</f>
        <v>1567785</v>
      </c>
      <c r="I13" s="300" t="s">
        <v>312</v>
      </c>
      <c r="J13" s="300" t="s">
        <v>312</v>
      </c>
      <c r="K13" s="117" t="s">
        <v>312</v>
      </c>
      <c r="L13" s="117" t="s">
        <v>312</v>
      </c>
      <c r="M13" s="295">
        <f>G13</f>
        <v>1504488.87</v>
      </c>
      <c r="N13" s="296">
        <f>H13</f>
        <v>1567785</v>
      </c>
    </row>
    <row r="14" spans="1:256" ht="19.5" customHeight="1" x14ac:dyDescent="0.3">
      <c r="A14" s="7">
        <v>9</v>
      </c>
      <c r="B14" s="100" t="s">
        <v>16</v>
      </c>
      <c r="C14" s="117" t="s">
        <v>312</v>
      </c>
      <c r="D14" s="117" t="s">
        <v>312</v>
      </c>
      <c r="E14" s="117" t="s">
        <v>312</v>
      </c>
      <c r="F14" s="117" t="s">
        <v>312</v>
      </c>
      <c r="G14" s="297">
        <v>56608</v>
      </c>
      <c r="H14" s="297">
        <v>46922.6</v>
      </c>
      <c r="I14" s="118" t="s">
        <v>312</v>
      </c>
      <c r="J14" s="118" t="s">
        <v>312</v>
      </c>
      <c r="K14" s="117" t="s">
        <v>312</v>
      </c>
      <c r="L14" s="117" t="s">
        <v>312</v>
      </c>
      <c r="M14" s="295">
        <f>G14</f>
        <v>56608</v>
      </c>
      <c r="N14" s="296">
        <f>H14</f>
        <v>46922.6</v>
      </c>
    </row>
    <row r="15" spans="1:256" ht="18.600000000000001" x14ac:dyDescent="0.3">
      <c r="A15" s="7">
        <v>10</v>
      </c>
      <c r="B15" s="100" t="s">
        <v>82</v>
      </c>
      <c r="C15" s="297"/>
      <c r="D15" s="297"/>
      <c r="E15" s="297"/>
      <c r="F15" s="297"/>
      <c r="G15" s="297"/>
      <c r="H15" s="297"/>
      <c r="I15" s="299"/>
      <c r="J15" s="299"/>
      <c r="K15" s="297"/>
      <c r="L15" s="297"/>
      <c r="M15" s="295">
        <f>C15+E15+G15+I15+K15</f>
        <v>0</v>
      </c>
      <c r="N15" s="296">
        <f>D15+F15+H15+J15+L15</f>
        <v>0</v>
      </c>
    </row>
    <row r="16" spans="1:256" ht="31.2" x14ac:dyDescent="0.3">
      <c r="A16" s="7">
        <v>11</v>
      </c>
      <c r="B16" s="98" t="s">
        <v>202</v>
      </c>
      <c r="C16" s="294">
        <v>11876.39</v>
      </c>
      <c r="D16" s="294">
        <v>777497.54</v>
      </c>
      <c r="E16" s="294">
        <v>2230676.34</v>
      </c>
      <c r="F16" s="294">
        <v>5571589.6200000001</v>
      </c>
      <c r="G16" s="301">
        <v>1850105</v>
      </c>
      <c r="H16" s="301">
        <v>1644916.94</v>
      </c>
      <c r="I16" s="294">
        <v>10039.959999999999</v>
      </c>
      <c r="J16" s="294">
        <v>9960.0400000000009</v>
      </c>
      <c r="K16" s="294"/>
      <c r="L16" s="294"/>
      <c r="M16" s="295">
        <f t="shared" ref="M16:N18" si="2">C16+E16+G16+I16+K16</f>
        <v>4102697.69</v>
      </c>
      <c r="N16" s="296">
        <f t="shared" si="2"/>
        <v>8003964.1399999997</v>
      </c>
    </row>
    <row r="17" spans="1:14" ht="31.2" x14ac:dyDescent="0.3">
      <c r="A17" s="7">
        <v>12</v>
      </c>
      <c r="B17" s="98" t="s">
        <v>17</v>
      </c>
      <c r="C17" s="294">
        <f t="shared" ref="C17:L17" si="3">C6+C7-C16</f>
        <v>2931290.29</v>
      </c>
      <c r="D17" s="294">
        <f t="shared" si="3"/>
        <v>3016377.92</v>
      </c>
      <c r="E17" s="294">
        <f t="shared" si="3"/>
        <v>4398207.75</v>
      </c>
      <c r="F17" s="294">
        <f t="shared" si="3"/>
        <v>556078.66000000015</v>
      </c>
      <c r="G17" s="294">
        <f t="shared" si="3"/>
        <v>328416.90000000037</v>
      </c>
      <c r="H17" s="294">
        <f t="shared" si="3"/>
        <v>298207.56000000052</v>
      </c>
      <c r="I17" s="294">
        <f t="shared" si="3"/>
        <v>9960.0400000000009</v>
      </c>
      <c r="J17" s="294">
        <f t="shared" si="3"/>
        <v>0</v>
      </c>
      <c r="K17" s="294">
        <f t="shared" si="3"/>
        <v>0</v>
      </c>
      <c r="L17" s="294">
        <f t="shared" si="3"/>
        <v>0</v>
      </c>
      <c r="M17" s="295">
        <f t="shared" si="2"/>
        <v>7667874.9800000004</v>
      </c>
      <c r="N17" s="296">
        <f t="shared" si="2"/>
        <v>3870664.1400000006</v>
      </c>
    </row>
    <row r="18" spans="1:14" ht="48.75" customHeight="1" thickBot="1" x14ac:dyDescent="0.35">
      <c r="A18" s="66">
        <v>13</v>
      </c>
      <c r="B18" s="102" t="s">
        <v>1156</v>
      </c>
      <c r="C18" s="302">
        <v>0</v>
      </c>
      <c r="D18" s="302">
        <v>0</v>
      </c>
      <c r="E18" s="302">
        <v>350000</v>
      </c>
      <c r="F18" s="302">
        <v>0</v>
      </c>
      <c r="G18" s="302">
        <v>0</v>
      </c>
      <c r="H18" s="302">
        <v>0</v>
      </c>
      <c r="I18" s="302">
        <v>0</v>
      </c>
      <c r="J18" s="302">
        <v>0</v>
      </c>
      <c r="K18" s="302">
        <v>0</v>
      </c>
      <c r="L18" s="302">
        <v>0</v>
      </c>
      <c r="M18" s="303">
        <f t="shared" si="2"/>
        <v>350000</v>
      </c>
      <c r="N18" s="304">
        <f t="shared" si="2"/>
        <v>0</v>
      </c>
    </row>
    <row r="19" spans="1:14" x14ac:dyDescent="0.3">
      <c r="H19" s="124">
        <f>'T8-Soc_štipendiá'!E10+'T20_motivačné štipendiá_nová'!D7+'T20_motivačné štipendiá_nová'!E7</f>
        <v>1567785</v>
      </c>
      <c r="I19" s="68"/>
      <c r="J19" s="68"/>
    </row>
    <row r="20" spans="1:14" x14ac:dyDescent="0.3">
      <c r="A20" s="68" t="s">
        <v>83</v>
      </c>
      <c r="B20" s="68"/>
      <c r="C20" s="68"/>
      <c r="E20" s="68"/>
      <c r="F20" s="68"/>
      <c r="G20" s="68"/>
      <c r="H20" s="125">
        <f>'T4-Výnosy zo školného'!D19</f>
        <v>46922.6</v>
      </c>
      <c r="I20" s="68"/>
      <c r="J20" s="68"/>
      <c r="K20" s="68"/>
      <c r="L20" s="68"/>
      <c r="M20" s="68"/>
      <c r="N20" s="68" t="s">
        <v>1280</v>
      </c>
    </row>
    <row r="21" spans="1:14" x14ac:dyDescent="0.3">
      <c r="A21" s="68" t="s">
        <v>84</v>
      </c>
      <c r="B21" s="68"/>
      <c r="C21" s="68"/>
      <c r="D21" s="68"/>
      <c r="E21" s="68"/>
      <c r="F21" s="68"/>
      <c r="G21" s="68"/>
      <c r="H21" s="125">
        <f>'T8-Soc_štipendiá'!E6+'T20_motivačné štipendiá_nová'!D8+'T20_motivačné štipendiá_nová'!E8+'T19-Štip_ z vlastných '!E6</f>
        <v>1644916.94</v>
      </c>
      <c r="I21" s="68"/>
      <c r="J21" s="68"/>
      <c r="K21" s="68"/>
      <c r="L21" s="68"/>
      <c r="M21" s="68"/>
      <c r="N21" s="68"/>
    </row>
    <row r="22" spans="1:14" ht="33" customHeight="1" x14ac:dyDescent="0.3">
      <c r="A22" s="812" t="s">
        <v>85</v>
      </c>
      <c r="B22" s="812"/>
      <c r="C22" s="812"/>
      <c r="D22" s="68"/>
      <c r="E22" s="68"/>
      <c r="F22" s="68"/>
      <c r="G22" s="68"/>
      <c r="H22" s="68" t="s">
        <v>1279</v>
      </c>
      <c r="I22" s="68"/>
      <c r="J22" s="68"/>
      <c r="K22" s="68"/>
      <c r="L22" s="68"/>
      <c r="M22" s="68"/>
      <c r="N22" s="68"/>
    </row>
    <row r="23" spans="1:14" x14ac:dyDescent="0.3">
      <c r="L23" s="68"/>
    </row>
    <row r="24" spans="1:14" x14ac:dyDescent="0.3">
      <c r="A24" s="810" t="s">
        <v>1278</v>
      </c>
      <c r="B24" s="811"/>
      <c r="C24" s="811"/>
      <c r="D24" s="811"/>
      <c r="E24" s="811"/>
      <c r="F24" s="811"/>
      <c r="G24" s="811"/>
      <c r="H24" s="811"/>
      <c r="I24" s="811"/>
      <c r="J24" s="811"/>
      <c r="K24" s="811"/>
      <c r="L24" s="811"/>
      <c r="M24" s="811"/>
      <c r="N24" s="811"/>
    </row>
    <row r="25" spans="1:14" ht="33.75" customHeight="1" x14ac:dyDescent="0.3">
      <c r="A25" s="811"/>
      <c r="B25" s="811"/>
      <c r="C25" s="811"/>
      <c r="D25" s="811"/>
      <c r="E25" s="811"/>
      <c r="F25" s="811"/>
      <c r="G25" s="811"/>
      <c r="H25" s="811"/>
      <c r="I25" s="811"/>
      <c r="J25" s="811"/>
      <c r="K25" s="811"/>
      <c r="L25" s="811"/>
      <c r="M25" s="811"/>
      <c r="N25" s="811"/>
    </row>
  </sheetData>
  <mergeCells count="12">
    <mergeCell ref="A24:N25"/>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D22"/>
  <sheetViews>
    <sheetView zoomScaleNormal="100" workbookViewId="0">
      <pane xSplit="2" ySplit="4" topLeftCell="C8" activePane="bottomRight" state="frozen"/>
      <selection pane="topRight" activeCell="C1" sqref="C1"/>
      <selection pane="bottomLeft" activeCell="A5" sqref="A5"/>
      <selection pane="bottomRight" activeCell="C7" sqref="C7"/>
    </sheetView>
  </sheetViews>
  <sheetFormatPr defaultColWidth="9.109375" defaultRowHeight="15.6" x14ac:dyDescent="0.25"/>
  <cols>
    <col min="1" max="1" width="10.5546875" style="313" customWidth="1"/>
    <col min="2" max="2" width="43.109375" style="23" customWidth="1"/>
    <col min="3" max="3" width="28.44140625" style="22" customWidth="1"/>
    <col min="4" max="4" width="52.6640625" style="22" customWidth="1"/>
    <col min="5" max="5" width="11" style="22" bestFit="1" customWidth="1"/>
    <col min="6" max="16384" width="9.109375" style="22"/>
  </cols>
  <sheetData>
    <row r="1" spans="1:4" ht="50.1" customHeight="1" thickBot="1" x14ac:dyDescent="0.3">
      <c r="A1" s="652" t="s">
        <v>1166</v>
      </c>
      <c r="B1" s="653"/>
      <c r="C1" s="653"/>
      <c r="D1" s="654"/>
    </row>
    <row r="2" spans="1:4" ht="35.1" customHeight="1" x14ac:dyDescent="0.25">
      <c r="A2" s="649" t="s">
        <v>1225</v>
      </c>
      <c r="B2" s="650"/>
      <c r="C2" s="650"/>
      <c r="D2" s="651"/>
    </row>
    <row r="3" spans="1:4" ht="31.2" x14ac:dyDescent="0.25">
      <c r="A3" s="305" t="s">
        <v>205</v>
      </c>
      <c r="B3" s="5" t="s">
        <v>293</v>
      </c>
      <c r="C3" s="5" t="s">
        <v>1169</v>
      </c>
      <c r="D3" s="6" t="s">
        <v>886</v>
      </c>
    </row>
    <row r="4" spans="1:4" s="30" customFormat="1" ht="18" customHeight="1" x14ac:dyDescent="0.25">
      <c r="A4" s="32"/>
      <c r="B4" s="16" t="s">
        <v>283</v>
      </c>
      <c r="C4" s="16" t="s">
        <v>284</v>
      </c>
      <c r="D4" s="17" t="s">
        <v>285</v>
      </c>
    </row>
    <row r="5" spans="1:4" s="30" customFormat="1" ht="31.2" x14ac:dyDescent="0.25">
      <c r="A5" s="32">
        <v>1</v>
      </c>
      <c r="B5" s="18" t="s">
        <v>18</v>
      </c>
      <c r="C5" s="145">
        <f>SUM(C6:C19)</f>
        <v>13257076.919999998</v>
      </c>
      <c r="D5" s="306"/>
    </row>
    <row r="6" spans="1:4" ht="66" x14ac:dyDescent="0.25">
      <c r="A6" s="32">
        <v>2</v>
      </c>
      <c r="B6" s="96" t="s">
        <v>191</v>
      </c>
      <c r="C6" s="148">
        <v>0</v>
      </c>
      <c r="D6" s="307" t="s">
        <v>1259</v>
      </c>
    </row>
    <row r="7" spans="1:4" ht="66" x14ac:dyDescent="0.25">
      <c r="A7" s="32">
        <v>3</v>
      </c>
      <c r="B7" s="96" t="s">
        <v>192</v>
      </c>
      <c r="C7" s="148">
        <v>5752135.0599999996</v>
      </c>
      <c r="D7" s="307" t="s">
        <v>1260</v>
      </c>
    </row>
    <row r="8" spans="1:4" x14ac:dyDescent="0.25">
      <c r="A8" s="32">
        <v>4</v>
      </c>
      <c r="B8" s="31" t="s">
        <v>193</v>
      </c>
      <c r="C8" s="148">
        <v>0</v>
      </c>
      <c r="D8" s="307" t="s">
        <v>1261</v>
      </c>
    </row>
    <row r="9" spans="1:4" ht="66.75" customHeight="1" x14ac:dyDescent="0.25">
      <c r="A9" s="32">
        <v>5</v>
      </c>
      <c r="B9" s="31" t="s">
        <v>165</v>
      </c>
      <c r="C9" s="148">
        <v>5101595.8099999996</v>
      </c>
      <c r="D9" s="307" t="s">
        <v>1262</v>
      </c>
    </row>
    <row r="10" spans="1:4" x14ac:dyDescent="0.25">
      <c r="A10" s="32">
        <v>6</v>
      </c>
      <c r="B10" s="31" t="s">
        <v>270</v>
      </c>
      <c r="C10" s="148"/>
      <c r="D10" s="308"/>
    </row>
    <row r="11" spans="1:4" x14ac:dyDescent="0.25">
      <c r="A11" s="32">
        <v>7</v>
      </c>
      <c r="B11" s="31" t="s">
        <v>271</v>
      </c>
      <c r="C11" s="148">
        <v>15849.23</v>
      </c>
      <c r="D11" s="307" t="s">
        <v>1263</v>
      </c>
    </row>
    <row r="12" spans="1:4" ht="92.4" x14ac:dyDescent="0.25">
      <c r="A12" s="32">
        <v>8</v>
      </c>
      <c r="B12" s="31" t="s">
        <v>392</v>
      </c>
      <c r="C12" s="148">
        <v>142145.93</v>
      </c>
      <c r="D12" s="307" t="s">
        <v>1269</v>
      </c>
    </row>
    <row r="13" spans="1:4" ht="26.4" x14ac:dyDescent="0.25">
      <c r="A13" s="32">
        <v>9</v>
      </c>
      <c r="B13" s="31" t="s">
        <v>166</v>
      </c>
      <c r="C13" s="148">
        <v>40059.279999999999</v>
      </c>
      <c r="D13" s="307" t="s">
        <v>1270</v>
      </c>
    </row>
    <row r="14" spans="1:4" ht="79.2" x14ac:dyDescent="0.25">
      <c r="A14" s="32">
        <v>10</v>
      </c>
      <c r="B14" s="31" t="s">
        <v>167</v>
      </c>
      <c r="C14" s="148">
        <f>0</f>
        <v>0</v>
      </c>
      <c r="D14" s="307" t="s">
        <v>1264</v>
      </c>
    </row>
    <row r="15" spans="1:4" ht="79.2" x14ac:dyDescent="0.25">
      <c r="A15" s="32">
        <v>11</v>
      </c>
      <c r="B15" s="31" t="s">
        <v>168</v>
      </c>
      <c r="C15" s="148">
        <f>108519.06+296434.08+27981.31+4686+112330.41</f>
        <v>549950.86</v>
      </c>
      <c r="D15" s="307" t="s">
        <v>1265</v>
      </c>
    </row>
    <row r="16" spans="1:4" ht="79.2" x14ac:dyDescent="0.25">
      <c r="A16" s="32">
        <v>12</v>
      </c>
      <c r="B16" s="31" t="s">
        <v>169</v>
      </c>
      <c r="C16" s="148">
        <v>85535.98</v>
      </c>
      <c r="D16" s="307" t="s">
        <v>1266</v>
      </c>
    </row>
    <row r="17" spans="1:4" x14ac:dyDescent="0.25">
      <c r="A17" s="32">
        <v>13</v>
      </c>
      <c r="B17" s="31" t="s">
        <v>170</v>
      </c>
      <c r="C17" s="148">
        <v>0</v>
      </c>
      <c r="D17" s="307" t="s">
        <v>1267</v>
      </c>
    </row>
    <row r="18" spans="1:4" x14ac:dyDescent="0.25">
      <c r="A18" s="32">
        <v>14</v>
      </c>
      <c r="B18" s="31" t="s">
        <v>171</v>
      </c>
      <c r="C18" s="148">
        <v>586007.31000000006</v>
      </c>
      <c r="D18" s="307" t="s">
        <v>1268</v>
      </c>
    </row>
    <row r="19" spans="1:4" ht="267" customHeight="1" x14ac:dyDescent="0.25">
      <c r="A19" s="32">
        <v>15</v>
      </c>
      <c r="B19" s="31" t="s">
        <v>176</v>
      </c>
      <c r="C19" s="148">
        <v>983797.46</v>
      </c>
      <c r="D19" s="307" t="s">
        <v>1271</v>
      </c>
    </row>
    <row r="20" spans="1:4" x14ac:dyDescent="0.25">
      <c r="A20" s="32">
        <v>16</v>
      </c>
      <c r="B20" s="18" t="s">
        <v>306</v>
      </c>
      <c r="C20" s="148"/>
      <c r="D20" s="308"/>
    </row>
    <row r="21" spans="1:4" x14ac:dyDescent="0.25">
      <c r="A21" s="32">
        <v>17</v>
      </c>
      <c r="B21" s="309" t="s">
        <v>837</v>
      </c>
      <c r="C21" s="310"/>
      <c r="D21" s="311"/>
    </row>
    <row r="22" spans="1:4" ht="31.8" thickBot="1" x14ac:dyDescent="0.3">
      <c r="A22" s="288">
        <v>18</v>
      </c>
      <c r="B22" s="26" t="s">
        <v>52</v>
      </c>
      <c r="C22" s="112">
        <f>+C5+C20+C21</f>
        <v>13257076.919999998</v>
      </c>
      <c r="D22" s="312"/>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4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6"/>
  <sheetViews>
    <sheetView workbookViewId="0">
      <pane xSplit="2" ySplit="5" topLeftCell="C6" activePane="bottomRight" state="frozen"/>
      <selection pane="topRight" activeCell="C1" sqref="C1"/>
      <selection pane="bottomLeft" activeCell="A6" sqref="A6"/>
      <selection pane="bottomRight" sqref="A1:XFD1048576"/>
    </sheetView>
  </sheetViews>
  <sheetFormatPr defaultColWidth="9.109375" defaultRowHeight="15.6" x14ac:dyDescent="0.25"/>
  <cols>
    <col min="1" max="1" width="7.6640625" style="138" customWidth="1"/>
    <col min="2" max="2" width="47.5546875" style="235" customWidth="1"/>
    <col min="3" max="3" width="17.88671875" style="231" customWidth="1"/>
    <col min="4" max="4" width="16.88671875" style="231" customWidth="1"/>
    <col min="5" max="5" width="17.109375" style="231" customWidth="1"/>
    <col min="6" max="6" width="18.109375" style="231" customWidth="1"/>
    <col min="7" max="7" width="17.44140625" style="231" customWidth="1"/>
    <col min="8" max="8" width="17" style="231" customWidth="1"/>
    <col min="9" max="16384" width="9.109375" style="231"/>
  </cols>
  <sheetData>
    <row r="1" spans="1:9" s="314" customFormat="1" ht="69" customHeight="1" thickBot="1" x14ac:dyDescent="0.3">
      <c r="A1" s="820" t="s">
        <v>1165</v>
      </c>
      <c r="B1" s="821"/>
      <c r="C1" s="821"/>
      <c r="D1" s="821"/>
      <c r="E1" s="821"/>
      <c r="F1" s="821"/>
      <c r="G1" s="821"/>
      <c r="H1" s="822"/>
      <c r="I1" s="525"/>
    </row>
    <row r="2" spans="1:9" s="314" customFormat="1" ht="35.1" customHeight="1" x14ac:dyDescent="0.25">
      <c r="A2" s="806" t="s">
        <v>1220</v>
      </c>
      <c r="B2" s="807"/>
      <c r="C2" s="807"/>
      <c r="D2" s="807"/>
      <c r="E2" s="807"/>
      <c r="F2" s="807"/>
      <c r="G2" s="807"/>
      <c r="H2" s="808"/>
    </row>
    <row r="3" spans="1:9" ht="27" customHeight="1" x14ac:dyDescent="0.25">
      <c r="A3" s="809" t="s">
        <v>205</v>
      </c>
      <c r="B3" s="713" t="s">
        <v>327</v>
      </c>
      <c r="C3" s="708" t="s">
        <v>301</v>
      </c>
      <c r="D3" s="708"/>
      <c r="E3" s="708" t="s">
        <v>302</v>
      </c>
      <c r="F3" s="708"/>
      <c r="G3" s="708" t="s">
        <v>222</v>
      </c>
      <c r="H3" s="823"/>
    </row>
    <row r="4" spans="1:9" ht="33" customHeight="1" x14ac:dyDescent="0.25">
      <c r="A4" s="680"/>
      <c r="B4" s="714"/>
      <c r="C4" s="133" t="s">
        <v>71</v>
      </c>
      <c r="D4" s="133" t="s">
        <v>194</v>
      </c>
      <c r="E4" s="133" t="s">
        <v>71</v>
      </c>
      <c r="F4" s="133" t="s">
        <v>194</v>
      </c>
      <c r="G4" s="133" t="s">
        <v>71</v>
      </c>
      <c r="H4" s="134" t="s">
        <v>194</v>
      </c>
    </row>
    <row r="5" spans="1:9" ht="21.6" customHeight="1" x14ac:dyDescent="0.25">
      <c r="A5" s="157"/>
      <c r="B5" s="131"/>
      <c r="C5" s="8" t="s">
        <v>283</v>
      </c>
      <c r="D5" s="8" t="s">
        <v>284</v>
      </c>
      <c r="E5" s="8" t="s">
        <v>285</v>
      </c>
      <c r="F5" s="8" t="s">
        <v>292</v>
      </c>
      <c r="G5" s="8" t="s">
        <v>25</v>
      </c>
      <c r="H5" s="76" t="s">
        <v>26</v>
      </c>
    </row>
    <row r="6" spans="1:9" ht="19.5" customHeight="1" x14ac:dyDescent="0.25">
      <c r="A6" s="315">
        <v>1</v>
      </c>
      <c r="B6" s="526" t="s">
        <v>1310</v>
      </c>
      <c r="C6" s="527">
        <f>C7</f>
        <v>1523441.37</v>
      </c>
      <c r="D6" s="527">
        <f>D8</f>
        <v>181986.33</v>
      </c>
      <c r="E6" s="527">
        <f>E7</f>
        <v>22143112.260000002</v>
      </c>
      <c r="F6" s="527">
        <f>F8</f>
        <v>2607270.37</v>
      </c>
      <c r="G6" s="528">
        <f>C6+E6</f>
        <v>23666553.630000003</v>
      </c>
      <c r="H6" s="529">
        <f>D6+F6</f>
        <v>2789256.7</v>
      </c>
    </row>
    <row r="7" spans="1:9" ht="19.5" customHeight="1" x14ac:dyDescent="0.25">
      <c r="A7" s="315">
        <v>2</v>
      </c>
      <c r="B7" s="530" t="s">
        <v>1311</v>
      </c>
      <c r="C7" s="316">
        <v>1523441.37</v>
      </c>
      <c r="D7" s="317" t="s">
        <v>939</v>
      </c>
      <c r="E7" s="316">
        <v>22143112.260000002</v>
      </c>
      <c r="F7" s="317" t="s">
        <v>939</v>
      </c>
      <c r="G7" s="528">
        <f t="shared" ref="G7:G16" si="0">C7+E7</f>
        <v>23666553.630000003</v>
      </c>
      <c r="H7" s="531" t="s">
        <v>939</v>
      </c>
    </row>
    <row r="8" spans="1:9" ht="19.5" customHeight="1" x14ac:dyDescent="0.25">
      <c r="A8" s="315">
        <f t="shared" ref="A8:A14" si="1">A7+1</f>
        <v>3</v>
      </c>
      <c r="B8" s="530" t="s">
        <v>1312</v>
      </c>
      <c r="C8" s="317" t="s">
        <v>939</v>
      </c>
      <c r="D8" s="316">
        <v>181986.33</v>
      </c>
      <c r="E8" s="317" t="s">
        <v>939</v>
      </c>
      <c r="F8" s="316">
        <v>2607270.37</v>
      </c>
      <c r="G8" s="532" t="s">
        <v>939</v>
      </c>
      <c r="H8" s="529">
        <f t="shared" ref="H8:H16" si="2">D8+F8</f>
        <v>2789256.7</v>
      </c>
    </row>
    <row r="9" spans="1:9" ht="19.5" customHeight="1" x14ac:dyDescent="0.25">
      <c r="A9" s="315">
        <f t="shared" si="1"/>
        <v>4</v>
      </c>
      <c r="B9" s="526" t="s">
        <v>1313</v>
      </c>
      <c r="C9" s="527">
        <f>SUM(C10:C11)</f>
        <v>1622097.36</v>
      </c>
      <c r="D9" s="527">
        <f>SUM(D10:D11)</f>
        <v>190835.23</v>
      </c>
      <c r="E9" s="527">
        <f>SUM(E10:E11)</f>
        <v>0</v>
      </c>
      <c r="F9" s="527">
        <f>SUM(F10:F11)</f>
        <v>0</v>
      </c>
      <c r="G9" s="528">
        <f t="shared" si="0"/>
        <v>1622097.36</v>
      </c>
      <c r="H9" s="529">
        <f t="shared" si="2"/>
        <v>190835.23</v>
      </c>
    </row>
    <row r="10" spans="1:9" ht="19.5" customHeight="1" x14ac:dyDescent="0.25">
      <c r="A10" s="315">
        <f t="shared" si="1"/>
        <v>5</v>
      </c>
      <c r="B10" s="530" t="s">
        <v>1314</v>
      </c>
      <c r="C10" s="316">
        <v>1622097.36</v>
      </c>
      <c r="D10" s="317" t="s">
        <v>939</v>
      </c>
      <c r="E10" s="316">
        <v>0</v>
      </c>
      <c r="F10" s="317" t="s">
        <v>939</v>
      </c>
      <c r="G10" s="528">
        <f t="shared" si="0"/>
        <v>1622097.36</v>
      </c>
      <c r="H10" s="531" t="s">
        <v>939</v>
      </c>
    </row>
    <row r="11" spans="1:9" ht="19.5" customHeight="1" x14ac:dyDescent="0.25">
      <c r="A11" s="315">
        <f t="shared" si="1"/>
        <v>6</v>
      </c>
      <c r="B11" s="530" t="s">
        <v>1315</v>
      </c>
      <c r="C11" s="317" t="s">
        <v>939</v>
      </c>
      <c r="D11" s="316">
        <v>190835.23</v>
      </c>
      <c r="E11" s="317" t="s">
        <v>939</v>
      </c>
      <c r="F11" s="316">
        <v>0</v>
      </c>
      <c r="G11" s="532" t="s">
        <v>939</v>
      </c>
      <c r="H11" s="529">
        <f t="shared" si="2"/>
        <v>190835.23</v>
      </c>
    </row>
    <row r="12" spans="1:9" x14ac:dyDescent="0.25">
      <c r="A12" s="315">
        <f t="shared" si="1"/>
        <v>7</v>
      </c>
      <c r="B12" s="526" t="s">
        <v>1316</v>
      </c>
      <c r="C12" s="527">
        <f t="shared" ref="C12:H12" si="3">C6+C9</f>
        <v>3145538.7300000004</v>
      </c>
      <c r="D12" s="527">
        <f t="shared" si="3"/>
        <v>372821.56</v>
      </c>
      <c r="E12" s="527">
        <f t="shared" si="3"/>
        <v>22143112.260000002</v>
      </c>
      <c r="F12" s="527">
        <f t="shared" si="3"/>
        <v>2607270.37</v>
      </c>
      <c r="G12" s="528">
        <f t="shared" si="3"/>
        <v>25288650.990000002</v>
      </c>
      <c r="H12" s="529">
        <f t="shared" si="3"/>
        <v>2980091.93</v>
      </c>
      <c r="I12" s="65"/>
    </row>
    <row r="13" spans="1:9" ht="26.25" customHeight="1" x14ac:dyDescent="0.25">
      <c r="A13" s="315">
        <f t="shared" si="1"/>
        <v>8</v>
      </c>
      <c r="B13" s="526" t="s">
        <v>1317</v>
      </c>
      <c r="C13" s="527">
        <f>SUM(C14:C15)</f>
        <v>0</v>
      </c>
      <c r="D13" s="527">
        <f>SUM(D14:D15)</f>
        <v>0</v>
      </c>
      <c r="E13" s="527">
        <f>SUM(E14:E15)</f>
        <v>0</v>
      </c>
      <c r="F13" s="527">
        <f>SUM(F14:F15)</f>
        <v>0</v>
      </c>
      <c r="G13" s="528">
        <f t="shared" si="0"/>
        <v>0</v>
      </c>
      <c r="H13" s="529">
        <f t="shared" si="2"/>
        <v>0</v>
      </c>
    </row>
    <row r="14" spans="1:9" ht="24" customHeight="1" x14ac:dyDescent="0.25">
      <c r="A14" s="315">
        <f t="shared" si="1"/>
        <v>9</v>
      </c>
      <c r="B14" s="318"/>
      <c r="C14" s="319"/>
      <c r="D14" s="319"/>
      <c r="E14" s="319"/>
      <c r="F14" s="319"/>
      <c r="G14" s="528">
        <f t="shared" si="0"/>
        <v>0</v>
      </c>
      <c r="H14" s="529">
        <f t="shared" si="2"/>
        <v>0</v>
      </c>
    </row>
    <row r="15" spans="1:9" ht="24.75" customHeight="1" x14ac:dyDescent="0.25">
      <c r="A15" s="315" t="s">
        <v>941</v>
      </c>
      <c r="B15" s="320"/>
      <c r="C15" s="319"/>
      <c r="D15" s="319"/>
      <c r="E15" s="319"/>
      <c r="F15" s="319"/>
      <c r="G15" s="528">
        <f t="shared" si="0"/>
        <v>0</v>
      </c>
      <c r="H15" s="529">
        <f t="shared" si="2"/>
        <v>0</v>
      </c>
    </row>
    <row r="16" spans="1:9" ht="23.25" customHeight="1" thickBot="1" x14ac:dyDescent="0.3">
      <c r="A16" s="321">
        <v>10</v>
      </c>
      <c r="B16" s="533" t="s">
        <v>1318</v>
      </c>
      <c r="C16" s="322">
        <f>C12+C13</f>
        <v>3145538.7300000004</v>
      </c>
      <c r="D16" s="322">
        <f>D12+D13</f>
        <v>372821.56</v>
      </c>
      <c r="E16" s="322">
        <f>E12+E13</f>
        <v>22143112.260000002</v>
      </c>
      <c r="F16" s="322">
        <f>F12+F13</f>
        <v>2607270.37</v>
      </c>
      <c r="G16" s="534">
        <f t="shared" si="0"/>
        <v>25288650.990000002</v>
      </c>
      <c r="H16" s="535">
        <f t="shared" si="2"/>
        <v>2980091.93</v>
      </c>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B6" sqref="B6"/>
    </sheetView>
  </sheetViews>
  <sheetFormatPr defaultColWidth="9.109375" defaultRowHeight="15.6" x14ac:dyDescent="0.3"/>
  <cols>
    <col min="1" max="1" width="9.5546875" style="522" customWidth="1"/>
    <col min="2" max="2" width="58.44140625" style="196" customWidth="1"/>
    <col min="3" max="3" width="22.109375" style="22" customWidth="1"/>
    <col min="4" max="4" width="21.109375" style="22" customWidth="1"/>
    <col min="5" max="5" width="24.109375" style="22" customWidth="1"/>
    <col min="6" max="16384" width="9.109375" style="196"/>
  </cols>
  <sheetData>
    <row r="1" spans="1:9" ht="80.25" customHeight="1" thickBot="1" x14ac:dyDescent="0.35">
      <c r="A1" s="824" t="s">
        <v>1308</v>
      </c>
      <c r="B1" s="825"/>
      <c r="C1" s="825"/>
      <c r="D1" s="825"/>
      <c r="E1" s="826"/>
      <c r="F1" s="515"/>
      <c r="G1" s="515"/>
    </row>
    <row r="2" spans="1:9" ht="35.1" customHeight="1" x14ac:dyDescent="0.3">
      <c r="A2" s="649" t="s">
        <v>1220</v>
      </c>
      <c r="B2" s="650"/>
      <c r="C2" s="650"/>
      <c r="D2" s="650"/>
      <c r="E2" s="651"/>
      <c r="F2" s="515"/>
      <c r="G2" s="515"/>
    </row>
    <row r="3" spans="1:9" s="517" customFormat="1" ht="46.95" customHeight="1" x14ac:dyDescent="0.3">
      <c r="A3" s="516" t="s">
        <v>205</v>
      </c>
      <c r="B3" s="5" t="s">
        <v>327</v>
      </c>
      <c r="C3" s="5" t="s">
        <v>301</v>
      </c>
      <c r="D3" s="5" t="s">
        <v>302</v>
      </c>
      <c r="E3" s="6" t="s">
        <v>207</v>
      </c>
    </row>
    <row r="4" spans="1:9" s="517" customFormat="1" ht="16.5" customHeight="1" x14ac:dyDescent="0.3">
      <c r="A4" s="516"/>
      <c r="B4" s="5"/>
      <c r="C4" s="5" t="s">
        <v>283</v>
      </c>
      <c r="D4" s="5" t="s">
        <v>284</v>
      </c>
      <c r="E4" s="6" t="s">
        <v>22</v>
      </c>
    </row>
    <row r="5" spans="1:9" s="517" customFormat="1" ht="17.399999999999999" customHeight="1" x14ac:dyDescent="0.3">
      <c r="A5" s="516"/>
      <c r="B5" s="34" t="s">
        <v>367</v>
      </c>
      <c r="C5" s="202"/>
      <c r="D5" s="202"/>
      <c r="E5" s="146"/>
    </row>
    <row r="6" spans="1:9" s="517" customFormat="1" ht="17.399999999999999" customHeight="1" x14ac:dyDescent="0.3">
      <c r="A6" s="32">
        <v>1</v>
      </c>
      <c r="B6" s="18" t="s">
        <v>398</v>
      </c>
      <c r="C6" s="145">
        <f>SUM(C7:C10)</f>
        <v>1199552</v>
      </c>
      <c r="D6" s="145">
        <f>SUM(D7:D10)</f>
        <v>0</v>
      </c>
      <c r="E6" s="146">
        <f>C6+D6</f>
        <v>1199552</v>
      </c>
    </row>
    <row r="7" spans="1:9" s="22" customFormat="1" x14ac:dyDescent="0.25">
      <c r="A7" s="32">
        <f>A6+1</f>
        <v>2</v>
      </c>
      <c r="B7" s="31" t="s">
        <v>135</v>
      </c>
      <c r="C7" s="148">
        <v>1186552</v>
      </c>
      <c r="D7" s="148"/>
      <c r="E7" s="146">
        <f>C7+D7</f>
        <v>1186552</v>
      </c>
    </row>
    <row r="8" spans="1:9" s="22" customFormat="1" x14ac:dyDescent="0.25">
      <c r="A8" s="32">
        <f>A7+1</f>
        <v>3</v>
      </c>
      <c r="B8" s="31" t="s">
        <v>395</v>
      </c>
      <c r="C8" s="148">
        <v>13000</v>
      </c>
      <c r="D8" s="148"/>
      <c r="E8" s="146">
        <f t="shared" ref="E8:E16" si="0">C8+D8</f>
        <v>13000</v>
      </c>
      <c r="G8" s="518"/>
    </row>
    <row r="9" spans="1:9" s="22" customFormat="1" x14ac:dyDescent="0.25">
      <c r="A9" s="32">
        <f>A8+1</f>
        <v>4</v>
      </c>
      <c r="B9" s="31"/>
      <c r="C9" s="148"/>
      <c r="D9" s="148"/>
      <c r="E9" s="146"/>
    </row>
    <row r="10" spans="1:9" s="22" customFormat="1" x14ac:dyDescent="0.25">
      <c r="A10" s="32">
        <f>A9+1</f>
        <v>5</v>
      </c>
      <c r="B10" s="31"/>
      <c r="C10" s="148"/>
      <c r="D10" s="148"/>
      <c r="E10" s="146">
        <f t="shared" si="0"/>
        <v>0</v>
      </c>
    </row>
    <row r="11" spans="1:9" s="22" customFormat="1" x14ac:dyDescent="0.25">
      <c r="A11" s="32"/>
      <c r="B11" s="34" t="s">
        <v>836</v>
      </c>
      <c r="C11" s="148"/>
      <c r="D11" s="148"/>
      <c r="E11" s="146"/>
    </row>
    <row r="12" spans="1:9" x14ac:dyDescent="0.3">
      <c r="A12" s="32">
        <v>6</v>
      </c>
      <c r="B12" s="31" t="s">
        <v>8</v>
      </c>
      <c r="C12" s="310">
        <v>330</v>
      </c>
      <c r="D12" s="310"/>
      <c r="E12" s="146">
        <f t="shared" si="0"/>
        <v>330</v>
      </c>
    </row>
    <row r="13" spans="1:9" x14ac:dyDescent="0.3">
      <c r="A13" s="32">
        <v>7</v>
      </c>
      <c r="B13" s="31" t="s">
        <v>9</v>
      </c>
      <c r="C13" s="148"/>
      <c r="D13" s="148"/>
      <c r="E13" s="146">
        <f t="shared" si="0"/>
        <v>0</v>
      </c>
    </row>
    <row r="14" spans="1:9" x14ac:dyDescent="0.3">
      <c r="A14" s="32"/>
      <c r="B14" s="15"/>
      <c r="C14" s="310"/>
      <c r="D14" s="310"/>
      <c r="E14" s="146"/>
    </row>
    <row r="15" spans="1:9" x14ac:dyDescent="0.3">
      <c r="A15" s="32">
        <v>8</v>
      </c>
      <c r="B15" s="15" t="s">
        <v>399</v>
      </c>
      <c r="C15" s="324">
        <f>SUM(C16:C17)</f>
        <v>0</v>
      </c>
      <c r="D15" s="324">
        <f>SUM(D16:D17)</f>
        <v>0</v>
      </c>
      <c r="E15" s="146">
        <f t="shared" si="0"/>
        <v>0</v>
      </c>
    </row>
    <row r="16" spans="1:9" ht="31.2" x14ac:dyDescent="0.3">
      <c r="A16" s="32" t="s">
        <v>397</v>
      </c>
      <c r="B16" s="31" t="s">
        <v>984</v>
      </c>
      <c r="C16" s="310"/>
      <c r="D16" s="310"/>
      <c r="E16" s="146">
        <f t="shared" si="0"/>
        <v>0</v>
      </c>
      <c r="I16" s="519"/>
    </row>
    <row r="17" spans="1:5" x14ac:dyDescent="0.3">
      <c r="A17" s="32"/>
      <c r="B17" s="15"/>
      <c r="C17" s="310"/>
      <c r="D17" s="310"/>
      <c r="E17" s="146"/>
    </row>
    <row r="18" spans="1:5" ht="16.2" thickBot="1" x14ac:dyDescent="0.35">
      <c r="A18" s="520">
        <v>9</v>
      </c>
      <c r="B18" s="521" t="s">
        <v>1309</v>
      </c>
      <c r="C18" s="112">
        <f>C6+C12+C13+C15</f>
        <v>1199882</v>
      </c>
      <c r="D18" s="112">
        <f>D6+D12+D13+D15</f>
        <v>0</v>
      </c>
      <c r="E18" s="151">
        <f>E6+E12+E13+E15</f>
        <v>1199882</v>
      </c>
    </row>
    <row r="19" spans="1:5" x14ac:dyDescent="0.3">
      <c r="E19" s="523"/>
    </row>
    <row r="21" spans="1:5" x14ac:dyDescent="0.3">
      <c r="B21" s="524"/>
      <c r="C21" s="522"/>
    </row>
    <row r="22" spans="1:5" x14ac:dyDescent="0.3">
      <c r="B22" s="522"/>
      <c r="C22" s="522"/>
    </row>
    <row r="23" spans="1:5" x14ac:dyDescent="0.3">
      <c r="B23" s="522"/>
      <c r="C23" s="522"/>
    </row>
    <row r="24" spans="1:5" x14ac:dyDescent="0.3">
      <c r="D24" s="518"/>
    </row>
  </sheetData>
  <protectedRanges>
    <protectedRange sqref="C8:D10" name="Rozsah2_1"/>
    <protectedRange sqref="C11:D11" name="Rozsah2_2"/>
  </protectedRanges>
  <mergeCells count="2">
    <mergeCell ref="A1:E1"/>
    <mergeCell ref="A2:E2"/>
  </mergeCells>
  <phoneticPr fontId="5" type="noConversion"/>
  <pageMargins left="0.79" right="0.74803149606299213" top="0.98425196850393704" bottom="0.77"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G36"/>
  <sheetViews>
    <sheetView workbookViewId="0">
      <pane xSplit="2" ySplit="4" topLeftCell="C5" activePane="bottomRight" state="frozen"/>
      <selection pane="topRight" activeCell="C1" sqref="C1"/>
      <selection pane="bottomLeft" activeCell="A5" sqref="A5"/>
      <selection pane="bottomRight" activeCell="B8" sqref="B8:B9"/>
    </sheetView>
  </sheetViews>
  <sheetFormatPr defaultColWidth="9.109375" defaultRowHeight="15.6" x14ac:dyDescent="0.3"/>
  <cols>
    <col min="1" max="1" width="10.109375" style="522" customWidth="1"/>
    <col min="2" max="2" width="83" style="642" customWidth="1"/>
    <col min="3" max="3" width="15.44140625" style="196" customWidth="1"/>
    <col min="4" max="4" width="14.33203125" style="196" customWidth="1"/>
    <col min="5" max="5" width="14.6640625" style="196" customWidth="1"/>
    <col min="6" max="16384" width="9.109375" style="196"/>
  </cols>
  <sheetData>
    <row r="1" spans="1:7" ht="50.1" customHeight="1" thickBot="1" x14ac:dyDescent="0.35">
      <c r="A1" s="652" t="s">
        <v>1434</v>
      </c>
      <c r="B1" s="653"/>
      <c r="C1" s="653"/>
      <c r="D1" s="653"/>
      <c r="E1" s="654"/>
      <c r="F1" s="515"/>
      <c r="G1" s="515"/>
    </row>
    <row r="2" spans="1:7" s="622" customFormat="1" ht="38.25" customHeight="1" x14ac:dyDescent="0.25">
      <c r="A2" s="655" t="s">
        <v>1217</v>
      </c>
      <c r="B2" s="656"/>
      <c r="C2" s="656"/>
      <c r="D2" s="656"/>
      <c r="E2" s="657"/>
    </row>
    <row r="3" spans="1:7" s="517" customFormat="1" ht="35.25" customHeight="1" x14ac:dyDescent="0.3">
      <c r="A3" s="516" t="s">
        <v>205</v>
      </c>
      <c r="B3" s="5" t="s">
        <v>327</v>
      </c>
      <c r="C3" s="5" t="s">
        <v>301</v>
      </c>
      <c r="D3" s="5" t="s">
        <v>302</v>
      </c>
      <c r="E3" s="6" t="s">
        <v>222</v>
      </c>
    </row>
    <row r="4" spans="1:7" s="22" customFormat="1" ht="17.25" customHeight="1" x14ac:dyDescent="0.25">
      <c r="A4" s="32"/>
      <c r="B4" s="15"/>
      <c r="C4" s="4" t="s">
        <v>283</v>
      </c>
      <c r="D4" s="4" t="s">
        <v>284</v>
      </c>
      <c r="E4" s="14" t="s">
        <v>22</v>
      </c>
    </row>
    <row r="5" spans="1:7" ht="31.2" x14ac:dyDescent="0.3">
      <c r="A5" s="572">
        <v>1</v>
      </c>
      <c r="B5" s="639" t="s">
        <v>1435</v>
      </c>
      <c r="C5" s="145">
        <f>SUM(C6:C7)</f>
        <v>195000</v>
      </c>
      <c r="D5" s="145">
        <f>SUM(D6:D7)</f>
        <v>4910</v>
      </c>
      <c r="E5" s="146">
        <f>C5+D5</f>
        <v>199910</v>
      </c>
    </row>
    <row r="6" spans="1:7" x14ac:dyDescent="0.3">
      <c r="A6" s="572" t="s">
        <v>316</v>
      </c>
      <c r="B6" s="147" t="s">
        <v>1226</v>
      </c>
      <c r="C6" s="148">
        <v>5000</v>
      </c>
      <c r="D6" s="148">
        <v>4910</v>
      </c>
      <c r="E6" s="146">
        <f t="shared" ref="E6:E34" si="0">C6+D6</f>
        <v>9910</v>
      </c>
    </row>
    <row r="7" spans="1:7" x14ac:dyDescent="0.3">
      <c r="A7" s="572" t="s">
        <v>384</v>
      </c>
      <c r="B7" s="147" t="s">
        <v>1227</v>
      </c>
      <c r="C7" s="148">
        <v>190000</v>
      </c>
      <c r="D7" s="148"/>
      <c r="E7" s="146">
        <f t="shared" si="0"/>
        <v>190000</v>
      </c>
    </row>
    <row r="8" spans="1:7" x14ac:dyDescent="0.3">
      <c r="A8" s="572" t="s">
        <v>1228</v>
      </c>
      <c r="B8" s="147" t="s">
        <v>1229</v>
      </c>
      <c r="C8" s="148">
        <v>106514</v>
      </c>
      <c r="D8" s="148"/>
      <c r="E8" s="146">
        <f t="shared" si="0"/>
        <v>106514</v>
      </c>
    </row>
    <row r="9" spans="1:7" x14ac:dyDescent="0.3">
      <c r="A9" s="572" t="s">
        <v>1230</v>
      </c>
      <c r="B9" s="147" t="s">
        <v>1231</v>
      </c>
      <c r="C9" s="148">
        <v>15000</v>
      </c>
      <c r="D9" s="148"/>
      <c r="E9" s="146">
        <f t="shared" si="0"/>
        <v>15000</v>
      </c>
    </row>
    <row r="10" spans="1:7" x14ac:dyDescent="0.3">
      <c r="A10" s="572"/>
      <c r="B10" s="147"/>
      <c r="C10" s="148"/>
      <c r="D10" s="148"/>
      <c r="E10" s="146"/>
    </row>
    <row r="11" spans="1:7" x14ac:dyDescent="0.3">
      <c r="A11" s="572">
        <v>2</v>
      </c>
      <c r="B11" s="639" t="s">
        <v>1436</v>
      </c>
      <c r="C11" s="145">
        <f>SUM(C12:C13)</f>
        <v>900</v>
      </c>
      <c r="D11" s="145">
        <f>SUM(D12:D13)</f>
        <v>0</v>
      </c>
      <c r="E11" s="146">
        <f t="shared" si="0"/>
        <v>900</v>
      </c>
    </row>
    <row r="12" spans="1:7" x14ac:dyDescent="0.3">
      <c r="A12" s="572" t="s">
        <v>317</v>
      </c>
      <c r="B12" s="147" t="s">
        <v>1233</v>
      </c>
      <c r="C12" s="148">
        <v>300</v>
      </c>
      <c r="D12" s="148"/>
      <c r="E12" s="146">
        <f t="shared" si="0"/>
        <v>300</v>
      </c>
    </row>
    <row r="13" spans="1:7" x14ac:dyDescent="0.3">
      <c r="A13" s="572" t="s">
        <v>385</v>
      </c>
      <c r="B13" s="147" t="s">
        <v>1234</v>
      </c>
      <c r="C13" s="148">
        <v>600</v>
      </c>
      <c r="D13" s="148"/>
      <c r="E13" s="146">
        <f t="shared" si="0"/>
        <v>600</v>
      </c>
    </row>
    <row r="14" spans="1:7" x14ac:dyDescent="0.3">
      <c r="A14" s="572"/>
      <c r="B14" s="147"/>
      <c r="C14" s="148"/>
      <c r="D14" s="148"/>
      <c r="E14" s="146">
        <f t="shared" si="0"/>
        <v>0</v>
      </c>
    </row>
    <row r="15" spans="1:7" x14ac:dyDescent="0.3">
      <c r="A15" s="572">
        <v>3</v>
      </c>
      <c r="B15" s="639" t="s">
        <v>1437</v>
      </c>
      <c r="C15" s="145">
        <f>SUM(C16:C17)</f>
        <v>12000</v>
      </c>
      <c r="D15" s="145">
        <f>SUM(D16:D17)</f>
        <v>0</v>
      </c>
      <c r="E15" s="146">
        <f t="shared" si="0"/>
        <v>12000</v>
      </c>
    </row>
    <row r="16" spans="1:7" x14ac:dyDescent="0.3">
      <c r="A16" s="572" t="s">
        <v>318</v>
      </c>
      <c r="B16" s="147" t="s">
        <v>1232</v>
      </c>
      <c r="C16" s="148">
        <v>12000</v>
      </c>
      <c r="D16" s="148"/>
      <c r="E16" s="146">
        <f t="shared" si="0"/>
        <v>12000</v>
      </c>
    </row>
    <row r="17" spans="1:5" x14ac:dyDescent="0.3">
      <c r="A17" s="572" t="s">
        <v>386</v>
      </c>
      <c r="B17" s="147"/>
      <c r="C17" s="148"/>
      <c r="D17" s="148"/>
      <c r="E17" s="146">
        <f t="shared" si="0"/>
        <v>0</v>
      </c>
    </row>
    <row r="18" spans="1:5" x14ac:dyDescent="0.3">
      <c r="A18" s="572"/>
      <c r="B18" s="147"/>
      <c r="C18" s="148"/>
      <c r="D18" s="148"/>
      <c r="E18" s="146">
        <f t="shared" si="0"/>
        <v>0</v>
      </c>
    </row>
    <row r="19" spans="1:5" x14ac:dyDescent="0.3">
      <c r="A19" s="572">
        <v>4</v>
      </c>
      <c r="B19" s="639" t="s">
        <v>1438</v>
      </c>
      <c r="C19" s="145">
        <f>SUM(C20:C32)</f>
        <v>1326718.7000000002</v>
      </c>
      <c r="D19" s="145">
        <f>SUM(D20:D21)</f>
        <v>0</v>
      </c>
      <c r="E19" s="146">
        <f t="shared" si="0"/>
        <v>1326718.7000000002</v>
      </c>
    </row>
    <row r="20" spans="1:5" x14ac:dyDescent="0.3">
      <c r="A20" s="572" t="s">
        <v>240</v>
      </c>
      <c r="B20" s="147" t="s">
        <v>1235</v>
      </c>
      <c r="C20" s="148">
        <v>6536.41</v>
      </c>
      <c r="D20" s="148"/>
      <c r="E20" s="146">
        <f t="shared" si="0"/>
        <v>6536.41</v>
      </c>
    </row>
    <row r="21" spans="1:5" x14ac:dyDescent="0.3">
      <c r="A21" s="572" t="s">
        <v>387</v>
      </c>
      <c r="B21" s="147" t="s">
        <v>1236</v>
      </c>
      <c r="C21" s="148">
        <v>42718</v>
      </c>
      <c r="D21" s="148"/>
      <c r="E21" s="146">
        <f t="shared" si="0"/>
        <v>42718</v>
      </c>
    </row>
    <row r="22" spans="1:5" x14ac:dyDescent="0.3">
      <c r="A22" s="572" t="s">
        <v>1237</v>
      </c>
      <c r="B22" s="147" t="s">
        <v>1238</v>
      </c>
      <c r="C22" s="148">
        <v>6152.6</v>
      </c>
      <c r="D22" s="148"/>
      <c r="E22" s="146">
        <f t="shared" si="0"/>
        <v>6152.6</v>
      </c>
    </row>
    <row r="23" spans="1:5" x14ac:dyDescent="0.3">
      <c r="A23" s="640" t="s">
        <v>1239</v>
      </c>
      <c r="B23" s="641" t="s">
        <v>1240</v>
      </c>
      <c r="C23" s="310">
        <v>5697.59</v>
      </c>
      <c r="D23" s="310"/>
      <c r="E23" s="146">
        <f t="shared" si="0"/>
        <v>5697.59</v>
      </c>
    </row>
    <row r="24" spans="1:5" x14ac:dyDescent="0.3">
      <c r="A24" s="640" t="s">
        <v>1241</v>
      </c>
      <c r="B24" s="147" t="s">
        <v>1243</v>
      </c>
      <c r="C24" s="310">
        <v>522787.3</v>
      </c>
      <c r="D24" s="310"/>
      <c r="E24" s="146">
        <f t="shared" si="0"/>
        <v>522787.3</v>
      </c>
    </row>
    <row r="25" spans="1:5" x14ac:dyDescent="0.3">
      <c r="A25" s="640" t="s">
        <v>1242</v>
      </c>
      <c r="B25" s="147" t="s">
        <v>1244</v>
      </c>
      <c r="C25" s="310">
        <v>36754.99</v>
      </c>
      <c r="D25" s="310"/>
      <c r="E25" s="146">
        <f t="shared" si="0"/>
        <v>36754.99</v>
      </c>
    </row>
    <row r="26" spans="1:5" x14ac:dyDescent="0.3">
      <c r="A26" s="640" t="s">
        <v>1245</v>
      </c>
      <c r="B26" s="641" t="s">
        <v>1247</v>
      </c>
      <c r="C26" s="310">
        <v>21861</v>
      </c>
      <c r="D26" s="310"/>
      <c r="E26" s="146">
        <f t="shared" si="0"/>
        <v>21861</v>
      </c>
    </row>
    <row r="27" spans="1:5" x14ac:dyDescent="0.3">
      <c r="A27" s="640" t="s">
        <v>1246</v>
      </c>
      <c r="B27" s="641" t="s">
        <v>1248</v>
      </c>
      <c r="C27" s="310">
        <v>27275.4</v>
      </c>
      <c r="D27" s="310"/>
      <c r="E27" s="146">
        <f t="shared" si="0"/>
        <v>27275.4</v>
      </c>
    </row>
    <row r="28" spans="1:5" ht="17.25" customHeight="1" x14ac:dyDescent="0.3">
      <c r="A28" s="640" t="s">
        <v>1249</v>
      </c>
      <c r="B28" s="641" t="s">
        <v>1256</v>
      </c>
      <c r="C28" s="310">
        <v>14000</v>
      </c>
      <c r="D28" s="310"/>
      <c r="E28" s="146">
        <f t="shared" si="0"/>
        <v>14000</v>
      </c>
    </row>
    <row r="29" spans="1:5" x14ac:dyDescent="0.3">
      <c r="A29" s="640" t="s">
        <v>1250</v>
      </c>
      <c r="B29" s="641" t="s">
        <v>1258</v>
      </c>
      <c r="C29" s="310">
        <v>5575.04</v>
      </c>
      <c r="D29" s="310"/>
      <c r="E29" s="146">
        <f t="shared" si="0"/>
        <v>5575.04</v>
      </c>
    </row>
    <row r="30" spans="1:5" x14ac:dyDescent="0.3">
      <c r="A30" s="640" t="s">
        <v>1251</v>
      </c>
      <c r="B30" s="147" t="s">
        <v>1257</v>
      </c>
      <c r="C30" s="310">
        <v>954.37</v>
      </c>
      <c r="D30" s="310"/>
      <c r="E30" s="146">
        <f t="shared" si="0"/>
        <v>954.37</v>
      </c>
    </row>
    <row r="31" spans="1:5" x14ac:dyDescent="0.3">
      <c r="A31" s="640" t="s">
        <v>1252</v>
      </c>
      <c r="B31" s="641" t="s">
        <v>1254</v>
      </c>
      <c r="C31" s="310">
        <v>535160</v>
      </c>
      <c r="D31" s="310"/>
      <c r="E31" s="146">
        <f t="shared" si="0"/>
        <v>535160</v>
      </c>
    </row>
    <row r="32" spans="1:5" x14ac:dyDescent="0.3">
      <c r="A32" s="640" t="s">
        <v>1253</v>
      </c>
      <c r="B32" s="641" t="s">
        <v>1255</v>
      </c>
      <c r="C32" s="310">
        <v>101246</v>
      </c>
      <c r="D32" s="310"/>
      <c r="E32" s="146">
        <f t="shared" si="0"/>
        <v>101246</v>
      </c>
    </row>
    <row r="33" spans="1:5" x14ac:dyDescent="0.3">
      <c r="A33" s="640"/>
      <c r="B33" s="641"/>
      <c r="C33" s="310"/>
      <c r="D33" s="310"/>
      <c r="E33" s="149"/>
    </row>
    <row r="34" spans="1:5" ht="16.2" thickBot="1" x14ac:dyDescent="0.35">
      <c r="A34" s="520">
        <v>5</v>
      </c>
      <c r="B34" s="521" t="s">
        <v>1439</v>
      </c>
      <c r="C34" s="112">
        <f>C5+C11+C15+C19</f>
        <v>1534618.7000000002</v>
      </c>
      <c r="D34" s="112">
        <f>D5+D11+D15+D19</f>
        <v>4910</v>
      </c>
      <c r="E34" s="151">
        <f t="shared" si="0"/>
        <v>1539528.7000000002</v>
      </c>
    </row>
    <row r="36" spans="1:5" s="154" customFormat="1" x14ac:dyDescent="0.3">
      <c r="A36" s="152"/>
      <c r="B36" s="153"/>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F23"/>
  <sheetViews>
    <sheetView workbookViewId="0">
      <pane xSplit="2" ySplit="5" topLeftCell="C6" activePane="bottomRight" state="frozen"/>
      <selection pane="topRight" activeCell="C1" sqref="C1"/>
      <selection pane="bottomLeft" activeCell="A6" sqref="A6"/>
      <selection pane="bottomRight" activeCell="D11" sqref="D11"/>
    </sheetView>
  </sheetViews>
  <sheetFormatPr defaultColWidth="9.109375" defaultRowHeight="15.6" x14ac:dyDescent="0.25"/>
  <cols>
    <col min="1" max="1" width="9.109375" style="27"/>
    <col min="2" max="2" width="75.44140625" style="257" customWidth="1"/>
    <col min="3" max="3" width="17.33203125" style="328" customWidth="1"/>
    <col min="4" max="6" width="17.33203125" style="27" customWidth="1"/>
    <col min="7" max="7" width="16" style="27" customWidth="1"/>
    <col min="8" max="16384" width="9.109375" style="27"/>
  </cols>
  <sheetData>
    <row r="1" spans="1:6" ht="35.1" customHeight="1" thickBot="1" x14ac:dyDescent="0.3">
      <c r="A1" s="646" t="s">
        <v>1174</v>
      </c>
      <c r="B1" s="797"/>
      <c r="C1" s="797"/>
      <c r="D1" s="797"/>
      <c r="E1" s="797"/>
      <c r="F1" s="798"/>
    </row>
    <row r="2" spans="1:6" ht="35.1" customHeight="1" x14ac:dyDescent="0.25">
      <c r="A2" s="806" t="s">
        <v>1220</v>
      </c>
      <c r="B2" s="836"/>
      <c r="C2" s="827" t="s">
        <v>1161</v>
      </c>
      <c r="D2" s="827"/>
      <c r="E2" s="827"/>
      <c r="F2" s="828"/>
    </row>
    <row r="3" spans="1:6" ht="22.95" customHeight="1" x14ac:dyDescent="0.25">
      <c r="A3" s="680" t="s">
        <v>205</v>
      </c>
      <c r="B3" s="714" t="s">
        <v>327</v>
      </c>
      <c r="C3" s="709">
        <v>2014</v>
      </c>
      <c r="D3" s="709"/>
      <c r="E3" s="709">
        <v>2015</v>
      </c>
      <c r="F3" s="780"/>
    </row>
    <row r="4" spans="1:6" ht="75" customHeight="1" x14ac:dyDescent="0.25">
      <c r="A4" s="680"/>
      <c r="B4" s="714"/>
      <c r="C4" s="116" t="s">
        <v>30</v>
      </c>
      <c r="D4" s="133" t="s">
        <v>195</v>
      </c>
      <c r="E4" s="133" t="s">
        <v>30</v>
      </c>
      <c r="F4" s="134" t="s">
        <v>196</v>
      </c>
    </row>
    <row r="5" spans="1:6" x14ac:dyDescent="0.25">
      <c r="A5" s="7"/>
      <c r="B5" s="98"/>
      <c r="C5" s="116" t="s">
        <v>283</v>
      </c>
      <c r="D5" s="133" t="s">
        <v>284</v>
      </c>
      <c r="E5" s="133" t="s">
        <v>285</v>
      </c>
      <c r="F5" s="134" t="s">
        <v>292</v>
      </c>
    </row>
    <row r="6" spans="1:6" ht="31.2" x14ac:dyDescent="0.25">
      <c r="A6" s="7">
        <v>1</v>
      </c>
      <c r="B6" s="11" t="s">
        <v>1300</v>
      </c>
      <c r="C6" s="135">
        <f>C7+C10+C13+C16</f>
        <v>59000</v>
      </c>
      <c r="D6" s="135">
        <f>D7+D10+D13+D16</f>
        <v>332</v>
      </c>
      <c r="E6" s="135">
        <f>E7+E10+E13+E16</f>
        <v>38831.94</v>
      </c>
      <c r="F6" s="287">
        <f>F7+F10+F13+F16</f>
        <v>311</v>
      </c>
    </row>
    <row r="7" spans="1:6" x14ac:dyDescent="0.25">
      <c r="A7" s="7">
        <v>2</v>
      </c>
      <c r="B7" s="11" t="s">
        <v>1301</v>
      </c>
      <c r="C7" s="135">
        <f>SUM(C8:C9)</f>
        <v>22163</v>
      </c>
      <c r="D7" s="135">
        <f>SUM(D8:D9)</f>
        <v>55</v>
      </c>
      <c r="E7" s="135">
        <f>SUM(E8:E9)</f>
        <v>2390</v>
      </c>
      <c r="F7" s="287">
        <f>SUM(F8:F9)</f>
        <v>23</v>
      </c>
    </row>
    <row r="8" spans="1:6" x14ac:dyDescent="0.25">
      <c r="A8" s="7">
        <v>3</v>
      </c>
      <c r="B8" s="10" t="s">
        <v>53</v>
      </c>
      <c r="C8" s="119">
        <v>22163</v>
      </c>
      <c r="D8" s="119">
        <v>55</v>
      </c>
      <c r="E8" s="119">
        <v>2390</v>
      </c>
      <c r="F8" s="263">
        <v>23</v>
      </c>
    </row>
    <row r="9" spans="1:6" ht="18.600000000000001" x14ac:dyDescent="0.25">
      <c r="A9" s="7">
        <v>4</v>
      </c>
      <c r="B9" s="10" t="s">
        <v>1302</v>
      </c>
      <c r="C9" s="119"/>
      <c r="D9" s="119"/>
      <c r="E9" s="119"/>
      <c r="F9" s="263"/>
    </row>
    <row r="10" spans="1:6" x14ac:dyDescent="0.25">
      <c r="A10" s="7">
        <v>5</v>
      </c>
      <c r="B10" s="11" t="s">
        <v>1303</v>
      </c>
      <c r="C10" s="135">
        <f>SUM(C11:C12)</f>
        <v>26522</v>
      </c>
      <c r="D10" s="135">
        <f>SUM(D11:D12)</f>
        <v>172</v>
      </c>
      <c r="E10" s="135">
        <f>SUM(E11:E12)</f>
        <v>30831.94</v>
      </c>
      <c r="F10" s="287">
        <f>SUM(F11:F12)</f>
        <v>208</v>
      </c>
    </row>
    <row r="11" spans="1:6" x14ac:dyDescent="0.25">
      <c r="A11" s="7">
        <v>6</v>
      </c>
      <c r="B11" s="10" t="s">
        <v>53</v>
      </c>
      <c r="C11" s="119">
        <v>26522</v>
      </c>
      <c r="D11" s="119">
        <v>172</v>
      </c>
      <c r="E11" s="119">
        <v>30831.94</v>
      </c>
      <c r="F11" s="263">
        <v>208</v>
      </c>
    </row>
    <row r="12" spans="1:6" ht="18.600000000000001" x14ac:dyDescent="0.25">
      <c r="A12" s="7">
        <v>7</v>
      </c>
      <c r="B12" s="10" t="s">
        <v>1302</v>
      </c>
      <c r="C12" s="119"/>
      <c r="D12" s="119"/>
      <c r="E12" s="119"/>
      <c r="F12" s="263"/>
    </row>
    <row r="13" spans="1:6" x14ac:dyDescent="0.25">
      <c r="A13" s="7">
        <v>8</v>
      </c>
      <c r="B13" s="11" t="s">
        <v>1304</v>
      </c>
      <c r="C13" s="135">
        <f>SUM(C14:C15)</f>
        <v>7595</v>
      </c>
      <c r="D13" s="135">
        <f>SUM(D14:D15)</f>
        <v>95</v>
      </c>
      <c r="E13" s="135">
        <f>SUM(E14:E15)</f>
        <v>3810</v>
      </c>
      <c r="F13" s="287">
        <f>SUM(F14:F15)</f>
        <v>76</v>
      </c>
    </row>
    <row r="14" spans="1:6" x14ac:dyDescent="0.25">
      <c r="A14" s="7">
        <v>9</v>
      </c>
      <c r="B14" s="10" t="s">
        <v>53</v>
      </c>
      <c r="C14" s="119">
        <v>7595</v>
      </c>
      <c r="D14" s="119">
        <v>95</v>
      </c>
      <c r="E14" s="119">
        <v>3810</v>
      </c>
      <c r="F14" s="263">
        <v>76</v>
      </c>
    </row>
    <row r="15" spans="1:6" ht="18.600000000000001" x14ac:dyDescent="0.25">
      <c r="A15" s="7">
        <v>10</v>
      </c>
      <c r="B15" s="10" t="s">
        <v>1302</v>
      </c>
      <c r="C15" s="119"/>
      <c r="D15" s="119"/>
      <c r="E15" s="119"/>
      <c r="F15" s="263"/>
    </row>
    <row r="16" spans="1:6" x14ac:dyDescent="0.25">
      <c r="A16" s="7">
        <v>11</v>
      </c>
      <c r="B16" s="11" t="s">
        <v>1305</v>
      </c>
      <c r="C16" s="135">
        <f>SUM(C17:C18)</f>
        <v>2720</v>
      </c>
      <c r="D16" s="135">
        <f>SUM(D17:D18)</f>
        <v>10</v>
      </c>
      <c r="E16" s="135">
        <f>SUM(E17:E18)</f>
        <v>1800</v>
      </c>
      <c r="F16" s="287">
        <f>SUM(F17:F18)</f>
        <v>4</v>
      </c>
    </row>
    <row r="17" spans="1:6" x14ac:dyDescent="0.25">
      <c r="A17" s="7">
        <v>12</v>
      </c>
      <c r="B17" s="10" t="s">
        <v>53</v>
      </c>
      <c r="C17" s="119">
        <v>2720</v>
      </c>
      <c r="D17" s="119">
        <v>10</v>
      </c>
      <c r="E17" s="119">
        <v>1800</v>
      </c>
      <c r="F17" s="263">
        <v>4</v>
      </c>
    </row>
    <row r="18" spans="1:6" ht="18.600000000000001" x14ac:dyDescent="0.25">
      <c r="A18" s="325">
        <v>13</v>
      </c>
      <c r="B18" s="85" t="s">
        <v>1302</v>
      </c>
      <c r="C18" s="120"/>
      <c r="D18" s="120"/>
      <c r="E18" s="120"/>
      <c r="F18" s="326"/>
    </row>
    <row r="19" spans="1:6" ht="18.600000000000001" thickBot="1" x14ac:dyDescent="0.3">
      <c r="A19" s="66">
        <v>14</v>
      </c>
      <c r="B19" s="511" t="s">
        <v>1306</v>
      </c>
      <c r="C19" s="150" t="s">
        <v>312</v>
      </c>
      <c r="D19" s="246">
        <v>332</v>
      </c>
      <c r="E19" s="150" t="s">
        <v>312</v>
      </c>
      <c r="F19" s="327">
        <v>311</v>
      </c>
    </row>
    <row r="20" spans="1:6" x14ac:dyDescent="0.25">
      <c r="A20" s="103"/>
      <c r="B20" s="512"/>
      <c r="C20" s="513"/>
      <c r="D20" s="104"/>
      <c r="E20" s="514"/>
      <c r="F20" s="104"/>
    </row>
    <row r="21" spans="1:6" x14ac:dyDescent="0.25">
      <c r="A21" s="830" t="s">
        <v>823</v>
      </c>
      <c r="B21" s="831"/>
      <c r="C21" s="831"/>
      <c r="D21" s="831"/>
      <c r="E21" s="831"/>
      <c r="F21" s="832"/>
    </row>
    <row r="22" spans="1:6" x14ac:dyDescent="0.25">
      <c r="A22" s="833" t="s">
        <v>824</v>
      </c>
      <c r="B22" s="834"/>
      <c r="C22" s="834"/>
      <c r="D22" s="834"/>
      <c r="E22" s="834"/>
      <c r="F22" s="835"/>
    </row>
    <row r="23" spans="1:6" x14ac:dyDescent="0.25">
      <c r="A23" s="829" t="s">
        <v>1307</v>
      </c>
      <c r="B23" s="829"/>
      <c r="C23" s="829"/>
      <c r="D23" s="829"/>
      <c r="E23" s="829"/>
      <c r="F23" s="829"/>
    </row>
  </sheetData>
  <mergeCells count="10">
    <mergeCell ref="C2:F2"/>
    <mergeCell ref="A23:F23"/>
    <mergeCell ref="A21:F21"/>
    <mergeCell ref="A22:F22"/>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G17"/>
  <sheetViews>
    <sheetView zoomScaleNormal="100" workbookViewId="0">
      <pane xSplit="2" ySplit="5" topLeftCell="C21" activePane="bottomRight" state="frozen"/>
      <selection pane="topRight" activeCell="C1" sqref="C1"/>
      <selection pane="bottomLeft" activeCell="A5" sqref="A5"/>
      <selection pane="bottomRight" activeCell="H7" sqref="H7"/>
    </sheetView>
  </sheetViews>
  <sheetFormatPr defaultColWidth="9.109375" defaultRowHeight="18.600000000000001" x14ac:dyDescent="0.3"/>
  <cols>
    <col min="1" max="1" width="9.109375" style="71"/>
    <col min="2" max="2" width="67.33203125" style="283" customWidth="1"/>
    <col min="3" max="3" width="21.5546875" style="362" customWidth="1"/>
    <col min="4" max="4" width="24.88671875" style="362" customWidth="1"/>
    <col min="5" max="5" width="26.44140625" style="71" customWidth="1"/>
    <col min="6" max="6" width="16.109375" style="71" customWidth="1"/>
    <col min="7" max="16384" width="9.109375" style="71"/>
  </cols>
  <sheetData>
    <row r="1" spans="1:7" ht="50.1" customHeight="1" thickBot="1" x14ac:dyDescent="0.35">
      <c r="A1" s="785" t="s">
        <v>1175</v>
      </c>
      <c r="B1" s="837"/>
      <c r="C1" s="837"/>
      <c r="D1" s="838"/>
      <c r="E1" s="839"/>
    </row>
    <row r="2" spans="1:7" ht="35.1" customHeight="1" x14ac:dyDescent="0.3">
      <c r="A2" s="788" t="s">
        <v>1220</v>
      </c>
      <c r="B2" s="789"/>
      <c r="C2" s="789"/>
      <c r="D2" s="840"/>
      <c r="E2" s="790"/>
    </row>
    <row r="3" spans="1:7" ht="33" customHeight="1" x14ac:dyDescent="0.3">
      <c r="A3" s="329" t="s">
        <v>205</v>
      </c>
      <c r="B3" s="330" t="s">
        <v>327</v>
      </c>
      <c r="C3" s="331">
        <v>2014</v>
      </c>
      <c r="D3" s="841">
        <v>2015</v>
      </c>
      <c r="E3" s="842"/>
    </row>
    <row r="4" spans="1:7" ht="71.25" customHeight="1" x14ac:dyDescent="0.3">
      <c r="A4" s="266"/>
      <c r="B4" s="332"/>
      <c r="C4" s="331" t="s">
        <v>1196</v>
      </c>
      <c r="D4" s="333" t="s">
        <v>1201</v>
      </c>
      <c r="E4" s="334" t="s">
        <v>1202</v>
      </c>
    </row>
    <row r="5" spans="1:7" ht="18.75" customHeight="1" x14ac:dyDescent="0.3">
      <c r="A5" s="266"/>
      <c r="B5" s="332"/>
      <c r="C5" s="268" t="s">
        <v>283</v>
      </c>
      <c r="D5" s="335" t="s">
        <v>1199</v>
      </c>
      <c r="E5" s="336" t="s">
        <v>1200</v>
      </c>
    </row>
    <row r="6" spans="1:7" s="344" customFormat="1" ht="34.5" customHeight="1" x14ac:dyDescent="0.25">
      <c r="A6" s="337">
        <v>1</v>
      </c>
      <c r="B6" s="338" t="s">
        <v>930</v>
      </c>
      <c r="C6" s="339">
        <v>1760</v>
      </c>
      <c r="D6" s="340" t="s">
        <v>312</v>
      </c>
      <c r="E6" s="341">
        <f>C9</f>
        <v>0</v>
      </c>
      <c r="F6" s="342"/>
      <c r="G6" s="343"/>
    </row>
    <row r="7" spans="1:7" ht="36" customHeight="1" x14ac:dyDescent="0.3">
      <c r="A7" s="81">
        <v>2</v>
      </c>
      <c r="B7" s="345" t="s">
        <v>804</v>
      </c>
      <c r="C7" s="339">
        <v>372025</v>
      </c>
      <c r="D7" s="346">
        <v>103380</v>
      </c>
      <c r="E7" s="347">
        <v>238875</v>
      </c>
      <c r="F7" s="348"/>
    </row>
    <row r="8" spans="1:7" ht="35.25" customHeight="1" x14ac:dyDescent="0.3">
      <c r="A8" s="81">
        <v>3</v>
      </c>
      <c r="B8" s="345" t="s">
        <v>931</v>
      </c>
      <c r="C8" s="339">
        <v>373785</v>
      </c>
      <c r="D8" s="346">
        <v>103380</v>
      </c>
      <c r="E8" s="347">
        <v>235580</v>
      </c>
      <c r="F8" s="349"/>
    </row>
    <row r="9" spans="1:7" ht="39.75" customHeight="1" x14ac:dyDescent="0.3">
      <c r="A9" s="81">
        <v>4</v>
      </c>
      <c r="B9" s="345" t="s">
        <v>1176</v>
      </c>
      <c r="C9" s="273">
        <f>C6+C7-C8</f>
        <v>0</v>
      </c>
      <c r="D9" s="350">
        <f>D7-D8</f>
        <v>0</v>
      </c>
      <c r="E9" s="274">
        <f>E6+E7-E8</f>
        <v>3295</v>
      </c>
    </row>
    <row r="10" spans="1:7" ht="36" customHeight="1" thickBot="1" x14ac:dyDescent="0.35">
      <c r="A10" s="351">
        <v>5</v>
      </c>
      <c r="B10" s="352" t="s">
        <v>988</v>
      </c>
      <c r="C10" s="353">
        <v>869</v>
      </c>
      <c r="D10" s="354">
        <v>98</v>
      </c>
      <c r="E10" s="355">
        <v>720</v>
      </c>
    </row>
    <row r="11" spans="1:7" ht="36" customHeight="1" x14ac:dyDescent="0.3">
      <c r="A11" s="72"/>
      <c r="B11" s="356"/>
      <c r="C11" s="357"/>
      <c r="D11" s="357"/>
      <c r="E11" s="357"/>
    </row>
    <row r="12" spans="1:7" ht="21" customHeight="1" x14ac:dyDescent="0.3">
      <c r="A12" s="844" t="s">
        <v>1281</v>
      </c>
      <c r="B12" s="844"/>
      <c r="C12" s="844"/>
      <c r="D12" s="844"/>
      <c r="E12" s="844"/>
      <c r="F12" s="344"/>
    </row>
    <row r="13" spans="1:7" ht="21" customHeight="1" x14ac:dyDescent="0.3">
      <c r="A13" s="843" t="s">
        <v>932</v>
      </c>
      <c r="B13" s="843"/>
      <c r="C13" s="843"/>
      <c r="D13" s="843"/>
      <c r="E13" s="843"/>
    </row>
    <row r="14" spans="1:7" ht="17.399999999999999" x14ac:dyDescent="0.3">
      <c r="A14" s="358" t="s">
        <v>1197</v>
      </c>
      <c r="B14" s="359"/>
      <c r="C14" s="360"/>
      <c r="D14" s="360"/>
      <c r="E14" s="361"/>
    </row>
    <row r="15" spans="1:7" ht="17.399999999999999" x14ac:dyDescent="0.3">
      <c r="A15" s="358" t="s">
        <v>1198</v>
      </c>
      <c r="B15" s="359"/>
      <c r="C15" s="360"/>
      <c r="D15" s="360"/>
      <c r="E15" s="361"/>
    </row>
    <row r="17" spans="3:3" x14ac:dyDescent="0.3">
      <c r="C17" s="362" t="s">
        <v>157</v>
      </c>
    </row>
  </sheetData>
  <mergeCells count="5">
    <mergeCell ref="A1:E1"/>
    <mergeCell ref="A2:E2"/>
    <mergeCell ref="D3:E3"/>
    <mergeCell ref="A13:E13"/>
    <mergeCell ref="A12:E12"/>
  </mergeCells>
  <printOptions horizontalCentered="1"/>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M12"/>
  <sheetViews>
    <sheetView workbookViewId="0">
      <pane xSplit="1" ySplit="5" topLeftCell="C6" activePane="bottomRight" state="frozen"/>
      <selection pane="topRight" activeCell="B1" sqref="B1"/>
      <selection pane="bottomLeft" activeCell="A6" sqref="A6"/>
      <selection pane="bottomRight" activeCell="H7" sqref="H7"/>
    </sheetView>
  </sheetViews>
  <sheetFormatPr defaultColWidth="9.109375" defaultRowHeight="15.6" x14ac:dyDescent="0.25"/>
  <cols>
    <col min="1" max="1" width="8.88671875" style="123" customWidth="1"/>
    <col min="2" max="2" width="20.5546875" style="123" customWidth="1"/>
    <col min="3" max="3" width="18.33203125" style="123" customWidth="1"/>
    <col min="4" max="4" width="15.88671875" style="123" customWidth="1"/>
    <col min="5" max="5" width="15.6640625" style="123" customWidth="1"/>
    <col min="6" max="6" width="14.5546875" style="123" customWidth="1"/>
    <col min="7" max="7" width="18.6640625" style="123" customWidth="1"/>
    <col min="8" max="8" width="20.33203125" style="123" customWidth="1"/>
    <col min="9" max="9" width="18" style="123" customWidth="1"/>
    <col min="10" max="10" width="14.88671875" style="123" bestFit="1" customWidth="1"/>
    <col min="11" max="11" width="16.88671875" style="123" customWidth="1"/>
    <col min="12" max="12" width="18.33203125" style="123" customWidth="1"/>
    <col min="13" max="13" width="17.6640625" style="123" customWidth="1"/>
    <col min="14" max="16384" width="9.109375" style="123"/>
  </cols>
  <sheetData>
    <row r="1" spans="1:13" s="363" customFormat="1" ht="35.1" customHeight="1" thickBot="1" x14ac:dyDescent="0.3">
      <c r="A1" s="845" t="s">
        <v>1291</v>
      </c>
      <c r="B1" s="846"/>
      <c r="C1" s="846"/>
      <c r="D1" s="846"/>
      <c r="E1" s="846"/>
      <c r="F1" s="846"/>
      <c r="G1" s="846"/>
      <c r="H1" s="846"/>
      <c r="I1" s="846"/>
      <c r="J1" s="846"/>
      <c r="K1" s="846"/>
      <c r="L1" s="846"/>
      <c r="M1" s="847"/>
    </row>
    <row r="2" spans="1:13" s="363" customFormat="1" ht="42.75" customHeight="1" x14ac:dyDescent="0.25">
      <c r="A2" s="692" t="s">
        <v>1224</v>
      </c>
      <c r="B2" s="693"/>
      <c r="C2" s="693"/>
      <c r="D2" s="693"/>
      <c r="E2" s="693"/>
      <c r="F2" s="693"/>
      <c r="G2" s="693"/>
      <c r="H2" s="693"/>
      <c r="I2" s="693"/>
      <c r="J2" s="693"/>
      <c r="K2" s="693"/>
      <c r="L2" s="693"/>
      <c r="M2" s="694"/>
    </row>
    <row r="3" spans="1:13" s="363" customFormat="1" ht="45.75" customHeight="1" x14ac:dyDescent="0.25">
      <c r="A3" s="849" t="s">
        <v>205</v>
      </c>
      <c r="B3" s="851" t="s">
        <v>1287</v>
      </c>
      <c r="C3" s="851"/>
      <c r="D3" s="851"/>
      <c r="E3" s="851"/>
      <c r="F3" s="851"/>
      <c r="G3" s="851"/>
      <c r="H3" s="851" t="s">
        <v>1288</v>
      </c>
      <c r="I3" s="851"/>
      <c r="J3" s="851"/>
      <c r="K3" s="851"/>
      <c r="L3" s="851"/>
      <c r="M3" s="852"/>
    </row>
    <row r="4" spans="1:13" s="366" customFormat="1" ht="171.75" customHeight="1" x14ac:dyDescent="0.25">
      <c r="A4" s="850"/>
      <c r="B4" s="364" t="s">
        <v>927</v>
      </c>
      <c r="C4" s="364" t="s">
        <v>1292</v>
      </c>
      <c r="D4" s="364" t="s">
        <v>223</v>
      </c>
      <c r="E4" s="364" t="s">
        <v>74</v>
      </c>
      <c r="F4" s="364" t="s">
        <v>75</v>
      </c>
      <c r="G4" s="364" t="s">
        <v>203</v>
      </c>
      <c r="H4" s="364" t="s">
        <v>927</v>
      </c>
      <c r="I4" s="364" t="s">
        <v>1292</v>
      </c>
      <c r="J4" s="364" t="s">
        <v>223</v>
      </c>
      <c r="K4" s="364" t="s">
        <v>74</v>
      </c>
      <c r="L4" s="364" t="s">
        <v>75</v>
      </c>
      <c r="M4" s="365" t="s">
        <v>203</v>
      </c>
    </row>
    <row r="5" spans="1:13" x14ac:dyDescent="0.25">
      <c r="A5" s="367"/>
      <c r="B5" s="368" t="s">
        <v>283</v>
      </c>
      <c r="C5" s="368" t="s">
        <v>284</v>
      </c>
      <c r="D5" s="368" t="s">
        <v>285</v>
      </c>
      <c r="E5" s="368" t="s">
        <v>292</v>
      </c>
      <c r="F5" s="368" t="s">
        <v>286</v>
      </c>
      <c r="G5" s="368" t="s">
        <v>825</v>
      </c>
      <c r="H5" s="368" t="s">
        <v>288</v>
      </c>
      <c r="I5" s="368" t="s">
        <v>289</v>
      </c>
      <c r="J5" s="368" t="s">
        <v>290</v>
      </c>
      <c r="K5" s="368" t="s">
        <v>826</v>
      </c>
      <c r="L5" s="369" t="s">
        <v>827</v>
      </c>
      <c r="M5" s="370" t="s">
        <v>1213</v>
      </c>
    </row>
    <row r="6" spans="1:13" ht="36" customHeight="1" thickBot="1" x14ac:dyDescent="0.3">
      <c r="A6" s="371">
        <v>1</v>
      </c>
      <c r="B6" s="442">
        <v>16855972.640000001</v>
      </c>
      <c r="C6" s="442">
        <v>19596741.32</v>
      </c>
      <c r="D6" s="442">
        <v>568756.75</v>
      </c>
      <c r="E6" s="442">
        <v>1172981.22</v>
      </c>
      <c r="F6" s="442">
        <v>1961880.03</v>
      </c>
      <c r="G6" s="372">
        <f>SUM(B6:F6)</f>
        <v>40156331.960000001</v>
      </c>
      <c r="H6" s="442">
        <f>18136976.34-1583785.04-6440</f>
        <v>16546751.300000001</v>
      </c>
      <c r="I6" s="442">
        <f>31585754.53+1583785.04+6440</f>
        <v>33175979.57</v>
      </c>
      <c r="J6" s="442">
        <v>1041033.74</v>
      </c>
      <c r="K6" s="442">
        <v>1144162.76</v>
      </c>
      <c r="L6" s="442">
        <f>163425.66+2097527.04+28151.11+8341.08+2821.6</f>
        <v>2300266.4900000002</v>
      </c>
      <c r="M6" s="373">
        <f>SUM(H6:L6)</f>
        <v>54208193.860000007</v>
      </c>
    </row>
    <row r="7" spans="1:13" x14ac:dyDescent="0.25">
      <c r="G7" s="374"/>
      <c r="H7" s="375"/>
      <c r="I7" s="375"/>
      <c r="M7" s="374"/>
    </row>
    <row r="8" spans="1:13" x14ac:dyDescent="0.25">
      <c r="B8" s="848" t="s">
        <v>1289</v>
      </c>
      <c r="C8" s="848"/>
      <c r="D8" s="848"/>
      <c r="E8" s="848"/>
      <c r="F8" s="848"/>
      <c r="G8" s="848"/>
      <c r="H8" s="848"/>
    </row>
    <row r="9" spans="1:13" ht="31.95" customHeight="1" x14ac:dyDescent="0.25">
      <c r="B9" s="848" t="s">
        <v>1290</v>
      </c>
      <c r="C9" s="848"/>
      <c r="D9" s="848"/>
      <c r="E9" s="848"/>
      <c r="F9" s="848"/>
      <c r="G9" s="848"/>
      <c r="H9" s="848"/>
      <c r="I9" s="375"/>
    </row>
    <row r="10" spans="1:13" x14ac:dyDescent="0.25">
      <c r="B10" s="122" t="s">
        <v>1274</v>
      </c>
    </row>
    <row r="11" spans="1:13" x14ac:dyDescent="0.25">
      <c r="B11" s="122" t="s">
        <v>1275</v>
      </c>
      <c r="F11" s="375"/>
      <c r="G11" s="375"/>
      <c r="H11" s="375"/>
      <c r="I11" s="375"/>
    </row>
    <row r="12" spans="1:13" x14ac:dyDescent="0.25">
      <c r="F12" s="375"/>
      <c r="G12" s="375"/>
      <c r="H12" s="375"/>
      <c r="I12" s="375"/>
    </row>
  </sheetData>
  <mergeCells count="7">
    <mergeCell ref="A1:M1"/>
    <mergeCell ref="A2:M2"/>
    <mergeCell ref="B8:H8"/>
    <mergeCell ref="B9:H9"/>
    <mergeCell ref="A3:A4"/>
    <mergeCell ref="B3:G3"/>
    <mergeCell ref="H3:M3"/>
  </mergeCells>
  <phoneticPr fontId="22" type="noConversion"/>
  <pageMargins left="0.4" right="0.27" top="0.98425196850393704" bottom="0.98425196850393704" header="0.51181102362204722" footer="0.51181102362204722"/>
  <pageSetup paperSize="9" scale="6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3"/>
  <sheetViews>
    <sheetView workbookViewId="0">
      <pane xSplit="3" ySplit="3" topLeftCell="D31" activePane="bottomRight" state="frozen"/>
      <selection pane="topRight" activeCell="D1" sqref="D1"/>
      <selection pane="bottomLeft" activeCell="A4" sqref="A4"/>
      <selection pane="bottomRight" activeCell="H29" sqref="H29"/>
    </sheetView>
  </sheetViews>
  <sheetFormatPr defaultColWidth="9.109375" defaultRowHeight="15.6" x14ac:dyDescent="0.25"/>
  <cols>
    <col min="1" max="1" width="7.33203125" style="376" customWidth="1"/>
    <col min="2" max="2" width="39.88671875" style="376" customWidth="1"/>
    <col min="3" max="3" width="9.44140625" style="376" customWidth="1"/>
    <col min="4" max="4" width="18.44140625" style="376" customWidth="1"/>
    <col min="5" max="5" width="16.6640625" style="376" customWidth="1"/>
    <col min="6" max="6" width="15.44140625" style="376" customWidth="1"/>
    <col min="7" max="7" width="5.109375" style="376" customWidth="1"/>
    <col min="8" max="16384" width="9.109375" style="376"/>
  </cols>
  <sheetData>
    <row r="1" spans="1:7" ht="66.75" customHeight="1" thickBot="1" x14ac:dyDescent="0.3">
      <c r="A1" s="857" t="s">
        <v>1293</v>
      </c>
      <c r="B1" s="858"/>
      <c r="C1" s="858"/>
      <c r="D1" s="858"/>
      <c r="E1" s="858"/>
      <c r="F1" s="859"/>
    </row>
    <row r="2" spans="1:7" ht="36.75" customHeight="1" thickBot="1" x14ac:dyDescent="0.3">
      <c r="A2" s="860" t="s">
        <v>1216</v>
      </c>
      <c r="B2" s="861"/>
      <c r="C2" s="861"/>
      <c r="D2" s="861"/>
      <c r="E2" s="861"/>
      <c r="F2" s="862"/>
    </row>
    <row r="3" spans="1:7" s="380" customFormat="1" ht="69" customHeight="1" thickBot="1" x14ac:dyDescent="0.3">
      <c r="A3" s="35" t="s">
        <v>647</v>
      </c>
      <c r="B3" s="35" t="s">
        <v>400</v>
      </c>
      <c r="C3" s="377" t="s">
        <v>205</v>
      </c>
      <c r="D3" s="377" t="s">
        <v>1142</v>
      </c>
      <c r="E3" s="378" t="s">
        <v>1294</v>
      </c>
      <c r="F3" s="379" t="s">
        <v>1137</v>
      </c>
      <c r="G3" s="376"/>
    </row>
    <row r="4" spans="1:7" s="393" customFormat="1" x14ac:dyDescent="0.25">
      <c r="A4" s="381">
        <v>601</v>
      </c>
      <c r="B4" s="382" t="s">
        <v>721</v>
      </c>
      <c r="C4" s="383" t="s">
        <v>722</v>
      </c>
      <c r="D4" s="384">
        <v>162428.17000000001</v>
      </c>
      <c r="E4" s="385">
        <v>207190.5</v>
      </c>
      <c r="F4" s="386">
        <f>E4-D4</f>
        <v>44762.329999999987</v>
      </c>
      <c r="G4" s="376"/>
    </row>
    <row r="5" spans="1:7" s="393" customFormat="1" x14ac:dyDescent="0.25">
      <c r="A5" s="56">
        <v>602</v>
      </c>
      <c r="B5" s="387" t="s">
        <v>723</v>
      </c>
      <c r="C5" s="388" t="s">
        <v>724</v>
      </c>
      <c r="D5" s="389">
        <v>771045.44</v>
      </c>
      <c r="E5" s="390">
        <v>828570.91</v>
      </c>
      <c r="F5" s="391">
        <f t="shared" ref="F5:F38" si="0">E5-D5</f>
        <v>57525.470000000088</v>
      </c>
      <c r="G5" s="376"/>
    </row>
    <row r="6" spans="1:7" s="393" customFormat="1" x14ac:dyDescent="0.25">
      <c r="A6" s="56">
        <v>604</v>
      </c>
      <c r="B6" s="392" t="s">
        <v>725</v>
      </c>
      <c r="C6" s="388" t="s">
        <v>726</v>
      </c>
      <c r="D6" s="389"/>
      <c r="E6" s="390"/>
      <c r="F6" s="391">
        <f t="shared" si="0"/>
        <v>0</v>
      </c>
      <c r="G6" s="376"/>
    </row>
    <row r="7" spans="1:7" s="393" customFormat="1" x14ac:dyDescent="0.25">
      <c r="A7" s="56">
        <v>611</v>
      </c>
      <c r="B7" s="387" t="s">
        <v>727</v>
      </c>
      <c r="C7" s="388" t="s">
        <v>728</v>
      </c>
      <c r="D7" s="389"/>
      <c r="E7" s="390"/>
      <c r="F7" s="391">
        <f t="shared" si="0"/>
        <v>0</v>
      </c>
      <c r="G7" s="376"/>
    </row>
    <row r="8" spans="1:7" s="393" customFormat="1" x14ac:dyDescent="0.25">
      <c r="A8" s="56">
        <v>612</v>
      </c>
      <c r="B8" s="387" t="s">
        <v>729</v>
      </c>
      <c r="C8" s="388" t="s">
        <v>730</v>
      </c>
      <c r="D8" s="389"/>
      <c r="E8" s="390"/>
      <c r="F8" s="391">
        <f t="shared" si="0"/>
        <v>0</v>
      </c>
      <c r="G8" s="376"/>
    </row>
    <row r="9" spans="1:7" s="393" customFormat="1" x14ac:dyDescent="0.25">
      <c r="A9" s="56">
        <v>613</v>
      </c>
      <c r="B9" s="387" t="s">
        <v>731</v>
      </c>
      <c r="C9" s="388" t="s">
        <v>732</v>
      </c>
      <c r="D9" s="389"/>
      <c r="E9" s="390"/>
      <c r="F9" s="391">
        <f t="shared" si="0"/>
        <v>0</v>
      </c>
      <c r="G9" s="376"/>
    </row>
    <row r="10" spans="1:7" s="393" customFormat="1" x14ac:dyDescent="0.25">
      <c r="A10" s="56">
        <v>614</v>
      </c>
      <c r="B10" s="387" t="s">
        <v>733</v>
      </c>
      <c r="C10" s="388" t="s">
        <v>734</v>
      </c>
      <c r="D10" s="389"/>
      <c r="E10" s="390"/>
      <c r="F10" s="391">
        <f t="shared" si="0"/>
        <v>0</v>
      </c>
      <c r="G10" s="376"/>
    </row>
    <row r="11" spans="1:7" s="393" customFormat="1" x14ac:dyDescent="0.25">
      <c r="A11" s="56">
        <v>621</v>
      </c>
      <c r="B11" s="387" t="s">
        <v>735</v>
      </c>
      <c r="C11" s="388" t="s">
        <v>736</v>
      </c>
      <c r="D11" s="389"/>
      <c r="E11" s="390"/>
      <c r="F11" s="391">
        <f t="shared" si="0"/>
        <v>0</v>
      </c>
      <c r="G11" s="376"/>
    </row>
    <row r="12" spans="1:7" s="393" customFormat="1" x14ac:dyDescent="0.25">
      <c r="A12" s="56">
        <v>622</v>
      </c>
      <c r="B12" s="387" t="s">
        <v>737</v>
      </c>
      <c r="C12" s="388" t="s">
        <v>738</v>
      </c>
      <c r="D12" s="389"/>
      <c r="E12" s="390"/>
      <c r="F12" s="391">
        <f t="shared" si="0"/>
        <v>0</v>
      </c>
      <c r="G12" s="376"/>
    </row>
    <row r="13" spans="1:7" s="393" customFormat="1" x14ac:dyDescent="0.25">
      <c r="A13" s="56">
        <v>623</v>
      </c>
      <c r="B13" s="387" t="s">
        <v>739</v>
      </c>
      <c r="C13" s="388" t="s">
        <v>740</v>
      </c>
      <c r="D13" s="389"/>
      <c r="E13" s="390"/>
      <c r="F13" s="391">
        <f t="shared" si="0"/>
        <v>0</v>
      </c>
    </row>
    <row r="14" spans="1:7" s="393" customFormat="1" x14ac:dyDescent="0.25">
      <c r="A14" s="56">
        <v>624</v>
      </c>
      <c r="B14" s="387" t="s">
        <v>741</v>
      </c>
      <c r="C14" s="388" t="s">
        <v>742</v>
      </c>
      <c r="D14" s="389"/>
      <c r="E14" s="390"/>
      <c r="F14" s="391">
        <f t="shared" si="0"/>
        <v>0</v>
      </c>
    </row>
    <row r="15" spans="1:7" s="393" customFormat="1" x14ac:dyDescent="0.25">
      <c r="A15" s="56">
        <v>641</v>
      </c>
      <c r="B15" s="387" t="s">
        <v>678</v>
      </c>
      <c r="C15" s="388" t="s">
        <v>743</v>
      </c>
      <c r="D15" s="389"/>
      <c r="E15" s="390"/>
      <c r="F15" s="391">
        <f t="shared" si="0"/>
        <v>0</v>
      </c>
    </row>
    <row r="16" spans="1:7" s="393" customFormat="1" x14ac:dyDescent="0.25">
      <c r="A16" s="56">
        <v>642</v>
      </c>
      <c r="B16" s="387" t="s">
        <v>680</v>
      </c>
      <c r="C16" s="388" t="s">
        <v>744</v>
      </c>
      <c r="D16" s="389"/>
      <c r="E16" s="390"/>
      <c r="F16" s="391">
        <f t="shared" si="0"/>
        <v>0</v>
      </c>
    </row>
    <row r="17" spans="1:6" s="393" customFormat="1" x14ac:dyDescent="0.25">
      <c r="A17" s="56">
        <v>643</v>
      </c>
      <c r="B17" s="387" t="s">
        <v>745</v>
      </c>
      <c r="C17" s="388" t="s">
        <v>746</v>
      </c>
      <c r="D17" s="389"/>
      <c r="E17" s="390"/>
      <c r="F17" s="391">
        <f t="shared" si="0"/>
        <v>0</v>
      </c>
    </row>
    <row r="18" spans="1:6" s="393" customFormat="1" x14ac:dyDescent="0.25">
      <c r="A18" s="56">
        <v>644</v>
      </c>
      <c r="B18" s="387" t="s">
        <v>684</v>
      </c>
      <c r="C18" s="388" t="s">
        <v>747</v>
      </c>
      <c r="D18" s="389"/>
      <c r="E18" s="390"/>
      <c r="F18" s="391">
        <f t="shared" si="0"/>
        <v>0</v>
      </c>
    </row>
    <row r="19" spans="1:6" s="393" customFormat="1" x14ac:dyDescent="0.25">
      <c r="A19" s="56">
        <v>645</v>
      </c>
      <c r="B19" s="387" t="s">
        <v>748</v>
      </c>
      <c r="C19" s="388" t="s">
        <v>749</v>
      </c>
      <c r="D19" s="389"/>
      <c r="E19" s="390"/>
      <c r="F19" s="391">
        <f t="shared" si="0"/>
        <v>0</v>
      </c>
    </row>
    <row r="20" spans="1:6" s="393" customFormat="1" x14ac:dyDescent="0.25">
      <c r="A20" s="56">
        <v>646</v>
      </c>
      <c r="B20" s="387" t="s">
        <v>750</v>
      </c>
      <c r="C20" s="388" t="s">
        <v>751</v>
      </c>
      <c r="D20" s="389"/>
      <c r="E20" s="390"/>
      <c r="F20" s="391">
        <f t="shared" si="0"/>
        <v>0</v>
      </c>
    </row>
    <row r="21" spans="1:6" s="393" customFormat="1" x14ac:dyDescent="0.25">
      <c r="A21" s="56">
        <v>647</v>
      </c>
      <c r="B21" s="387" t="s">
        <v>752</v>
      </c>
      <c r="C21" s="388" t="s">
        <v>753</v>
      </c>
      <c r="D21" s="389"/>
      <c r="E21" s="390"/>
      <c r="F21" s="391">
        <f t="shared" si="0"/>
        <v>0</v>
      </c>
    </row>
    <row r="22" spans="1:6" s="393" customFormat="1" x14ac:dyDescent="0.25">
      <c r="A22" s="56">
        <v>648</v>
      </c>
      <c r="B22" s="387" t="s">
        <v>754</v>
      </c>
      <c r="C22" s="388" t="s">
        <v>755</v>
      </c>
      <c r="D22" s="389"/>
      <c r="E22" s="390"/>
      <c r="F22" s="391">
        <f t="shared" si="0"/>
        <v>0</v>
      </c>
    </row>
    <row r="23" spans="1:6" s="393" customFormat="1" x14ac:dyDescent="0.25">
      <c r="A23" s="56">
        <v>649</v>
      </c>
      <c r="B23" s="387" t="s">
        <v>756</v>
      </c>
      <c r="C23" s="388" t="s">
        <v>757</v>
      </c>
      <c r="D23" s="389">
        <v>9442.2800000000007</v>
      </c>
      <c r="E23" s="390">
        <f>5363.33</f>
        <v>5363.33</v>
      </c>
      <c r="F23" s="391">
        <f t="shared" si="0"/>
        <v>-4078.9500000000007</v>
      </c>
    </row>
    <row r="24" spans="1:6" s="393" customFormat="1" x14ac:dyDescent="0.25">
      <c r="A24" s="56">
        <v>651</v>
      </c>
      <c r="B24" s="387" t="s">
        <v>758</v>
      </c>
      <c r="C24" s="388" t="s">
        <v>759</v>
      </c>
      <c r="D24" s="389">
        <v>10.4</v>
      </c>
      <c r="E24" s="390"/>
      <c r="F24" s="391">
        <f t="shared" si="0"/>
        <v>-10.4</v>
      </c>
    </row>
    <row r="25" spans="1:6" s="393" customFormat="1" x14ac:dyDescent="0.25">
      <c r="A25" s="56">
        <v>652</v>
      </c>
      <c r="B25" s="387" t="s">
        <v>760</v>
      </c>
      <c r="C25" s="388" t="s">
        <v>761</v>
      </c>
      <c r="D25" s="389"/>
      <c r="E25" s="390"/>
      <c r="F25" s="391">
        <f t="shared" si="0"/>
        <v>0</v>
      </c>
    </row>
    <row r="26" spans="1:6" s="393" customFormat="1" x14ac:dyDescent="0.25">
      <c r="A26" s="56">
        <v>653</v>
      </c>
      <c r="B26" s="387" t="s">
        <v>762</v>
      </c>
      <c r="C26" s="388" t="s">
        <v>763</v>
      </c>
      <c r="D26" s="389"/>
      <c r="E26" s="390"/>
      <c r="F26" s="391">
        <f t="shared" si="0"/>
        <v>0</v>
      </c>
    </row>
    <row r="27" spans="1:6" s="393" customFormat="1" x14ac:dyDescent="0.25">
      <c r="A27" s="56">
        <v>654</v>
      </c>
      <c r="B27" s="387" t="s">
        <v>764</v>
      </c>
      <c r="C27" s="388" t="s">
        <v>765</v>
      </c>
      <c r="D27" s="389"/>
      <c r="E27" s="390"/>
      <c r="F27" s="391">
        <f t="shared" si="0"/>
        <v>0</v>
      </c>
    </row>
    <row r="28" spans="1:6" s="393" customFormat="1" x14ac:dyDescent="0.25">
      <c r="A28" s="56">
        <v>655</v>
      </c>
      <c r="B28" s="387" t="s">
        <v>766</v>
      </c>
      <c r="C28" s="388" t="s">
        <v>767</v>
      </c>
      <c r="D28" s="389"/>
      <c r="E28" s="390"/>
      <c r="F28" s="391">
        <f t="shared" si="0"/>
        <v>0</v>
      </c>
    </row>
    <row r="29" spans="1:6" s="393" customFormat="1" x14ac:dyDescent="0.25">
      <c r="A29" s="56">
        <v>656</v>
      </c>
      <c r="B29" s="387" t="s">
        <v>768</v>
      </c>
      <c r="C29" s="388" t="s">
        <v>769</v>
      </c>
      <c r="D29" s="389">
        <v>59000</v>
      </c>
      <c r="E29" s="390">
        <v>38831.94</v>
      </c>
      <c r="F29" s="391">
        <f t="shared" si="0"/>
        <v>-20168.059999999998</v>
      </c>
    </row>
    <row r="30" spans="1:6" s="393" customFormat="1" x14ac:dyDescent="0.25">
      <c r="A30" s="56">
        <v>657</v>
      </c>
      <c r="B30" s="387" t="s">
        <v>770</v>
      </c>
      <c r="C30" s="388" t="s">
        <v>771</v>
      </c>
      <c r="D30" s="389"/>
      <c r="E30" s="390"/>
      <c r="F30" s="391">
        <f t="shared" si="0"/>
        <v>0</v>
      </c>
    </row>
    <row r="31" spans="1:6" s="393" customFormat="1" x14ac:dyDescent="0.25">
      <c r="A31" s="56">
        <v>658</v>
      </c>
      <c r="B31" s="387" t="s">
        <v>772</v>
      </c>
      <c r="C31" s="388" t="s">
        <v>773</v>
      </c>
      <c r="D31" s="389"/>
      <c r="E31" s="390"/>
      <c r="F31" s="391">
        <f t="shared" si="0"/>
        <v>0</v>
      </c>
    </row>
    <row r="32" spans="1:6" s="393" customFormat="1" x14ac:dyDescent="0.25">
      <c r="A32" s="56">
        <v>661</v>
      </c>
      <c r="B32" s="387" t="s">
        <v>774</v>
      </c>
      <c r="C32" s="388" t="s">
        <v>775</v>
      </c>
      <c r="D32" s="389"/>
      <c r="E32" s="390"/>
      <c r="F32" s="391">
        <f t="shared" si="0"/>
        <v>0</v>
      </c>
    </row>
    <row r="33" spans="1:7" s="393" customFormat="1" x14ac:dyDescent="0.25">
      <c r="A33" s="56">
        <v>662</v>
      </c>
      <c r="B33" s="387" t="s">
        <v>776</v>
      </c>
      <c r="C33" s="388" t="s">
        <v>777</v>
      </c>
      <c r="D33" s="389"/>
      <c r="E33" s="390"/>
      <c r="F33" s="391">
        <f t="shared" si="0"/>
        <v>0</v>
      </c>
    </row>
    <row r="34" spans="1:7" s="393" customFormat="1" x14ac:dyDescent="0.25">
      <c r="A34" s="56">
        <v>663</v>
      </c>
      <c r="B34" s="387" t="s">
        <v>778</v>
      </c>
      <c r="C34" s="388" t="s">
        <v>779</v>
      </c>
      <c r="D34" s="389"/>
      <c r="E34" s="390"/>
      <c r="F34" s="391">
        <f t="shared" si="0"/>
        <v>0</v>
      </c>
    </row>
    <row r="35" spans="1:7" s="393" customFormat="1" x14ac:dyDescent="0.25">
      <c r="A35" s="56">
        <v>664</v>
      </c>
      <c r="B35" s="387" t="s">
        <v>780</v>
      </c>
      <c r="C35" s="388" t="s">
        <v>781</v>
      </c>
      <c r="D35" s="389"/>
      <c r="E35" s="394"/>
      <c r="F35" s="391">
        <f t="shared" si="0"/>
        <v>0</v>
      </c>
      <c r="G35" s="376"/>
    </row>
    <row r="36" spans="1:7" s="393" customFormat="1" x14ac:dyDescent="0.25">
      <c r="A36" s="56">
        <v>665</v>
      </c>
      <c r="B36" s="387" t="s">
        <v>782</v>
      </c>
      <c r="C36" s="388" t="s">
        <v>783</v>
      </c>
      <c r="D36" s="389"/>
      <c r="E36" s="394"/>
      <c r="F36" s="391">
        <f t="shared" si="0"/>
        <v>0</v>
      </c>
      <c r="G36" s="376"/>
    </row>
    <row r="37" spans="1:7" x14ac:dyDescent="0.25">
      <c r="A37" s="56">
        <v>667</v>
      </c>
      <c r="B37" s="387" t="s">
        <v>784</v>
      </c>
      <c r="C37" s="388" t="s">
        <v>785</v>
      </c>
      <c r="D37" s="389"/>
      <c r="E37" s="394"/>
      <c r="F37" s="391">
        <f t="shared" si="0"/>
        <v>0</v>
      </c>
    </row>
    <row r="38" spans="1:7" x14ac:dyDescent="0.25">
      <c r="A38" s="56">
        <v>691</v>
      </c>
      <c r="B38" s="387" t="s">
        <v>786</v>
      </c>
      <c r="C38" s="388" t="s">
        <v>787</v>
      </c>
      <c r="D38" s="389">
        <v>823254</v>
      </c>
      <c r="E38" s="394">
        <v>819341.65</v>
      </c>
      <c r="F38" s="391">
        <f t="shared" si="0"/>
        <v>-3912.3499999999767</v>
      </c>
    </row>
    <row r="39" spans="1:7" x14ac:dyDescent="0.25">
      <c r="A39" s="853" t="s">
        <v>788</v>
      </c>
      <c r="B39" s="854"/>
      <c r="C39" s="395" t="s">
        <v>789</v>
      </c>
      <c r="D39" s="396">
        <f>SUM(D4:D38)</f>
        <v>1825180.29</v>
      </c>
      <c r="E39" s="397">
        <f>SUM(E4:E38)</f>
        <v>1899298.33</v>
      </c>
      <c r="F39" s="391">
        <f>SUM(F4:F38)</f>
        <v>74118.04000000011</v>
      </c>
    </row>
    <row r="40" spans="1:7" x14ac:dyDescent="0.25">
      <c r="A40" s="853" t="s">
        <v>790</v>
      </c>
      <c r="B40" s="854"/>
      <c r="C40" s="395" t="s">
        <v>791</v>
      </c>
      <c r="D40" s="398">
        <f>D39-T23_Náklady_soc_oblasť!D41</f>
        <v>58253.040000000037</v>
      </c>
      <c r="E40" s="399">
        <f>E39-T23_Náklady_soc_oblasť!E41</f>
        <v>200236.91999999993</v>
      </c>
      <c r="F40" s="391">
        <f>F39-T23_Náklady_soc_oblasť!F41</f>
        <v>141983.88000000012</v>
      </c>
    </row>
    <row r="41" spans="1:7" x14ac:dyDescent="0.25">
      <c r="A41" s="56">
        <v>591</v>
      </c>
      <c r="B41" s="387" t="s">
        <v>792</v>
      </c>
      <c r="C41" s="388" t="s">
        <v>793</v>
      </c>
      <c r="D41" s="389"/>
      <c r="E41" s="390"/>
      <c r="F41" s="391">
        <f>E41-D41</f>
        <v>0</v>
      </c>
    </row>
    <row r="42" spans="1:7" x14ac:dyDescent="0.25">
      <c r="A42" s="56">
        <v>595</v>
      </c>
      <c r="B42" s="387" t="s">
        <v>794</v>
      </c>
      <c r="C42" s="388" t="s">
        <v>795</v>
      </c>
      <c r="D42" s="389"/>
      <c r="E42" s="390"/>
      <c r="F42" s="391">
        <f>E42-D42</f>
        <v>0</v>
      </c>
    </row>
    <row r="43" spans="1:7" ht="16.2" thickBot="1" x14ac:dyDescent="0.3">
      <c r="A43" s="855" t="s">
        <v>796</v>
      </c>
      <c r="B43" s="856"/>
      <c r="C43" s="400" t="s">
        <v>797</v>
      </c>
      <c r="D43" s="401">
        <f>D40-D41-D42</f>
        <v>58253.040000000037</v>
      </c>
      <c r="E43" s="401">
        <f>E40-E41-E42</f>
        <v>200236.91999999993</v>
      </c>
      <c r="F43" s="402">
        <f>E43-D43</f>
        <v>141983.87999999989</v>
      </c>
    </row>
  </sheetData>
  <mergeCells count="5">
    <mergeCell ref="A39:B39"/>
    <mergeCell ref="A40:B40"/>
    <mergeCell ref="A43:B43"/>
    <mergeCell ref="A1:F1"/>
    <mergeCell ref="A2:F2"/>
  </mergeCells>
  <pageMargins left="0.55118110236220474" right="0.47244094488188981" top="0.59055118110236227" bottom="0.47244094488188981" header="0.15748031496062992" footer="0.15748031496062992"/>
  <pageSetup paperSize="9" scale="8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2"/>
  <sheetViews>
    <sheetView workbookViewId="0">
      <pane xSplit="3" ySplit="3" topLeftCell="D34" activePane="bottomRight" state="frozen"/>
      <selection pane="topRight" activeCell="D1" sqref="D1"/>
      <selection pane="bottomLeft" activeCell="A4" sqref="A4"/>
      <selection pane="bottomRight" activeCell="D8" sqref="D8"/>
    </sheetView>
  </sheetViews>
  <sheetFormatPr defaultRowHeight="13.2" x14ac:dyDescent="0.25"/>
  <cols>
    <col min="1" max="1" width="8.33203125" style="393" customWidth="1"/>
    <col min="2" max="2" width="42.109375" style="393" customWidth="1"/>
    <col min="3" max="3" width="10.109375" style="393" customWidth="1"/>
    <col min="4" max="4" width="17.44140625" style="393" customWidth="1"/>
    <col min="5" max="5" width="17.109375" style="393" customWidth="1"/>
    <col min="6" max="6" width="16.5546875" style="393" customWidth="1"/>
    <col min="7" max="7" width="8.88671875" style="393"/>
    <col min="8" max="8" width="11.88671875" style="393" bestFit="1" customWidth="1"/>
    <col min="9" max="16384" width="8.88671875" style="393"/>
  </cols>
  <sheetData>
    <row r="1" spans="1:6" ht="61.5" customHeight="1" thickBot="1" x14ac:dyDescent="0.3">
      <c r="A1" s="866" t="s">
        <v>1295</v>
      </c>
      <c r="B1" s="867"/>
      <c r="C1" s="867"/>
      <c r="D1" s="867"/>
      <c r="E1" s="867"/>
      <c r="F1" s="868"/>
    </row>
    <row r="2" spans="1:6" ht="47.25" customHeight="1" thickBot="1" x14ac:dyDescent="0.3">
      <c r="A2" s="863" t="s">
        <v>1216</v>
      </c>
      <c r="B2" s="864"/>
      <c r="C2" s="864"/>
      <c r="D2" s="864"/>
      <c r="E2" s="864"/>
      <c r="F2" s="865"/>
    </row>
    <row r="3" spans="1:6" ht="64.5" customHeight="1" thickBot="1" x14ac:dyDescent="0.3">
      <c r="A3" s="35" t="s">
        <v>647</v>
      </c>
      <c r="B3" s="36" t="s">
        <v>400</v>
      </c>
      <c r="C3" s="55" t="s">
        <v>205</v>
      </c>
      <c r="D3" s="377" t="s">
        <v>985</v>
      </c>
      <c r="E3" s="378" t="s">
        <v>1143</v>
      </c>
      <c r="F3" s="379" t="s">
        <v>1296</v>
      </c>
    </row>
    <row r="4" spans="1:6" ht="15.6" x14ac:dyDescent="0.3">
      <c r="A4" s="403">
        <v>501</v>
      </c>
      <c r="B4" s="404" t="s">
        <v>648</v>
      </c>
      <c r="C4" s="405" t="s">
        <v>649</v>
      </c>
      <c r="D4" s="384">
        <v>331894.44</v>
      </c>
      <c r="E4" s="385">
        <v>220390.96</v>
      </c>
      <c r="F4" s="391">
        <f>E4-D4</f>
        <v>-111503.48000000001</v>
      </c>
    </row>
    <row r="5" spans="1:6" ht="15.6" x14ac:dyDescent="0.3">
      <c r="A5" s="79">
        <v>502</v>
      </c>
      <c r="B5" s="406" t="s">
        <v>650</v>
      </c>
      <c r="C5" s="407" t="s">
        <v>651</v>
      </c>
      <c r="D5" s="389">
        <v>385965.16</v>
      </c>
      <c r="E5" s="390">
        <v>377008.31</v>
      </c>
      <c r="F5" s="408">
        <f t="shared" ref="F5:F40" si="0">E5-D5</f>
        <v>-8956.8499999999767</v>
      </c>
    </row>
    <row r="6" spans="1:6" ht="15.6" x14ac:dyDescent="0.3">
      <c r="A6" s="79">
        <v>504</v>
      </c>
      <c r="B6" s="406" t="s">
        <v>652</v>
      </c>
      <c r="C6" s="407" t="s">
        <v>653</v>
      </c>
      <c r="D6" s="389"/>
      <c r="E6" s="390"/>
      <c r="F6" s="408">
        <f t="shared" si="0"/>
        <v>0</v>
      </c>
    </row>
    <row r="7" spans="1:6" ht="15.6" x14ac:dyDescent="0.3">
      <c r="A7" s="79">
        <v>511</v>
      </c>
      <c r="B7" s="406" t="s">
        <v>654</v>
      </c>
      <c r="C7" s="407" t="s">
        <v>655</v>
      </c>
      <c r="D7" s="389">
        <v>124530.61</v>
      </c>
      <c r="E7" s="390">
        <v>118513.35</v>
      </c>
      <c r="F7" s="408">
        <f t="shared" si="0"/>
        <v>-6017.2599999999948</v>
      </c>
    </row>
    <row r="8" spans="1:6" ht="15.6" x14ac:dyDescent="0.3">
      <c r="A8" s="79">
        <v>512</v>
      </c>
      <c r="B8" s="406" t="s">
        <v>656</v>
      </c>
      <c r="C8" s="407" t="s">
        <v>657</v>
      </c>
      <c r="D8" s="389">
        <v>152.6</v>
      </c>
      <c r="E8" s="390">
        <v>1158.55</v>
      </c>
      <c r="F8" s="408">
        <f t="shared" si="0"/>
        <v>1005.9499999999999</v>
      </c>
    </row>
    <row r="9" spans="1:6" ht="15.6" x14ac:dyDescent="0.3">
      <c r="A9" s="79">
        <v>513</v>
      </c>
      <c r="B9" s="406" t="s">
        <v>658</v>
      </c>
      <c r="C9" s="407" t="s">
        <v>659</v>
      </c>
      <c r="D9" s="389">
        <v>0</v>
      </c>
      <c r="E9" s="390">
        <v>355</v>
      </c>
      <c r="F9" s="408">
        <f t="shared" si="0"/>
        <v>355</v>
      </c>
    </row>
    <row r="10" spans="1:6" ht="15.6" x14ac:dyDescent="0.3">
      <c r="A10" s="79">
        <v>518</v>
      </c>
      <c r="B10" s="406" t="s">
        <v>660</v>
      </c>
      <c r="C10" s="407" t="s">
        <v>661</v>
      </c>
      <c r="D10" s="389">
        <v>84546.25</v>
      </c>
      <c r="E10" s="390">
        <v>89708.84</v>
      </c>
      <c r="F10" s="408">
        <f t="shared" si="0"/>
        <v>5162.5899999999965</v>
      </c>
    </row>
    <row r="11" spans="1:6" ht="15.6" x14ac:dyDescent="0.3">
      <c r="A11" s="79">
        <v>521</v>
      </c>
      <c r="B11" s="406" t="s">
        <v>662</v>
      </c>
      <c r="C11" s="407" t="s">
        <v>663</v>
      </c>
      <c r="D11" s="389">
        <v>438173.07</v>
      </c>
      <c r="E11" s="390">
        <v>462618.47</v>
      </c>
      <c r="F11" s="408">
        <f t="shared" si="0"/>
        <v>24445.399999999965</v>
      </c>
    </row>
    <row r="12" spans="1:6" ht="15.6" x14ac:dyDescent="0.3">
      <c r="A12" s="79">
        <v>524</v>
      </c>
      <c r="B12" s="406" t="s">
        <v>664</v>
      </c>
      <c r="C12" s="407" t="s">
        <v>665</v>
      </c>
      <c r="D12" s="389">
        <v>153897.26</v>
      </c>
      <c r="E12" s="390">
        <v>156949.95000000001</v>
      </c>
      <c r="F12" s="408">
        <f t="shared" si="0"/>
        <v>3052.6900000000023</v>
      </c>
    </row>
    <row r="13" spans="1:6" ht="15.6" x14ac:dyDescent="0.3">
      <c r="A13" s="79">
        <v>525</v>
      </c>
      <c r="B13" s="406" t="s">
        <v>666</v>
      </c>
      <c r="C13" s="407" t="s">
        <v>667</v>
      </c>
      <c r="D13" s="389">
        <v>6075.53</v>
      </c>
      <c r="E13" s="390">
        <v>8570.27</v>
      </c>
      <c r="F13" s="408">
        <f t="shared" si="0"/>
        <v>2494.7400000000007</v>
      </c>
    </row>
    <row r="14" spans="1:6" ht="15.6" x14ac:dyDescent="0.3">
      <c r="A14" s="79">
        <v>527</v>
      </c>
      <c r="B14" s="406" t="s">
        <v>668</v>
      </c>
      <c r="C14" s="407" t="s">
        <v>669</v>
      </c>
      <c r="D14" s="389">
        <v>28628.47</v>
      </c>
      <c r="E14" s="390">
        <v>37373.25</v>
      </c>
      <c r="F14" s="408">
        <f t="shared" si="0"/>
        <v>8744.7799999999988</v>
      </c>
    </row>
    <row r="15" spans="1:6" ht="15.6" x14ac:dyDescent="0.3">
      <c r="A15" s="79">
        <v>528</v>
      </c>
      <c r="B15" s="406" t="s">
        <v>670</v>
      </c>
      <c r="C15" s="407" t="s">
        <v>671</v>
      </c>
      <c r="D15" s="389"/>
      <c r="E15" s="390"/>
      <c r="F15" s="408">
        <f t="shared" si="0"/>
        <v>0</v>
      </c>
    </row>
    <row r="16" spans="1:6" ht="15.6" x14ac:dyDescent="0.3">
      <c r="A16" s="79">
        <v>531</v>
      </c>
      <c r="B16" s="406" t="s">
        <v>672</v>
      </c>
      <c r="C16" s="407" t="s">
        <v>673</v>
      </c>
      <c r="D16" s="389"/>
      <c r="E16" s="390"/>
      <c r="F16" s="408">
        <f t="shared" si="0"/>
        <v>0</v>
      </c>
    </row>
    <row r="17" spans="1:6" ht="15.6" x14ac:dyDescent="0.3">
      <c r="A17" s="79">
        <v>532</v>
      </c>
      <c r="B17" s="406" t="s">
        <v>674</v>
      </c>
      <c r="C17" s="407" t="s">
        <v>675</v>
      </c>
      <c r="D17" s="389">
        <v>20269.099999999999</v>
      </c>
      <c r="E17" s="390">
        <v>20269.099999999999</v>
      </c>
      <c r="F17" s="408">
        <f t="shared" si="0"/>
        <v>0</v>
      </c>
    </row>
    <row r="18" spans="1:6" ht="15.6" x14ac:dyDescent="0.3">
      <c r="A18" s="79">
        <v>538</v>
      </c>
      <c r="B18" s="406" t="s">
        <v>676</v>
      </c>
      <c r="C18" s="407" t="s">
        <v>677</v>
      </c>
      <c r="D18" s="389">
        <v>830</v>
      </c>
      <c r="E18" s="390">
        <v>30</v>
      </c>
      <c r="F18" s="408">
        <f t="shared" si="0"/>
        <v>-800</v>
      </c>
    </row>
    <row r="19" spans="1:6" ht="15.6" x14ac:dyDescent="0.3">
      <c r="A19" s="79">
        <v>541</v>
      </c>
      <c r="B19" s="406" t="s">
        <v>678</v>
      </c>
      <c r="C19" s="407" t="s">
        <v>679</v>
      </c>
      <c r="D19" s="389"/>
      <c r="E19" s="390"/>
      <c r="F19" s="408">
        <f t="shared" si="0"/>
        <v>0</v>
      </c>
    </row>
    <row r="20" spans="1:6" ht="15.6" x14ac:dyDescent="0.3">
      <c r="A20" s="79">
        <v>542</v>
      </c>
      <c r="B20" s="406" t="s">
        <v>680</v>
      </c>
      <c r="C20" s="407" t="s">
        <v>681</v>
      </c>
      <c r="D20" s="389"/>
      <c r="E20" s="390"/>
      <c r="F20" s="408">
        <f t="shared" si="0"/>
        <v>0</v>
      </c>
    </row>
    <row r="21" spans="1:6" ht="15.6" x14ac:dyDescent="0.3">
      <c r="A21" s="79">
        <v>543</v>
      </c>
      <c r="B21" s="406" t="s">
        <v>682</v>
      </c>
      <c r="C21" s="407" t="s">
        <v>683</v>
      </c>
      <c r="D21" s="389"/>
      <c r="E21" s="390"/>
      <c r="F21" s="408">
        <f t="shared" si="0"/>
        <v>0</v>
      </c>
    </row>
    <row r="22" spans="1:6" ht="15.6" x14ac:dyDescent="0.3">
      <c r="A22" s="79">
        <v>544</v>
      </c>
      <c r="B22" s="406" t="s">
        <v>684</v>
      </c>
      <c r="C22" s="407" t="s">
        <v>685</v>
      </c>
      <c r="D22" s="389"/>
      <c r="E22" s="390"/>
      <c r="F22" s="408">
        <f t="shared" si="0"/>
        <v>0</v>
      </c>
    </row>
    <row r="23" spans="1:6" ht="15.6" x14ac:dyDescent="0.3">
      <c r="A23" s="79">
        <v>545</v>
      </c>
      <c r="B23" s="406" t="s">
        <v>686</v>
      </c>
      <c r="C23" s="407" t="s">
        <v>687</v>
      </c>
      <c r="D23" s="389"/>
      <c r="E23" s="390"/>
      <c r="F23" s="408">
        <f t="shared" si="0"/>
        <v>0</v>
      </c>
    </row>
    <row r="24" spans="1:6" ht="15.6" x14ac:dyDescent="0.3">
      <c r="A24" s="79">
        <v>546</v>
      </c>
      <c r="B24" s="406" t="s">
        <v>688</v>
      </c>
      <c r="C24" s="407" t="s">
        <v>689</v>
      </c>
      <c r="D24" s="389"/>
      <c r="E24" s="390"/>
      <c r="F24" s="408">
        <f t="shared" si="0"/>
        <v>0</v>
      </c>
    </row>
    <row r="25" spans="1:6" ht="15.6" x14ac:dyDescent="0.3">
      <c r="A25" s="79">
        <v>547</v>
      </c>
      <c r="B25" s="406" t="s">
        <v>690</v>
      </c>
      <c r="C25" s="407" t="s">
        <v>691</v>
      </c>
      <c r="D25" s="389"/>
      <c r="E25" s="390"/>
      <c r="F25" s="408">
        <f t="shared" si="0"/>
        <v>0</v>
      </c>
    </row>
    <row r="26" spans="1:6" ht="15.6" x14ac:dyDescent="0.3">
      <c r="A26" s="79">
        <v>548</v>
      </c>
      <c r="B26" s="406" t="s">
        <v>692</v>
      </c>
      <c r="C26" s="407" t="s">
        <v>693</v>
      </c>
      <c r="D26" s="389"/>
      <c r="E26" s="390"/>
      <c r="F26" s="408">
        <f t="shared" si="0"/>
        <v>0</v>
      </c>
    </row>
    <row r="27" spans="1:6" ht="15.6" x14ac:dyDescent="0.3">
      <c r="A27" s="79">
        <v>549</v>
      </c>
      <c r="B27" s="406" t="s">
        <v>694</v>
      </c>
      <c r="C27" s="407" t="s">
        <v>695</v>
      </c>
      <c r="D27" s="389">
        <v>78332.59</v>
      </c>
      <c r="E27" s="390">
        <f>78.6+73390.05</f>
        <v>73468.650000000009</v>
      </c>
      <c r="F27" s="408">
        <f t="shared" si="0"/>
        <v>-4863.9399999999878</v>
      </c>
    </row>
    <row r="28" spans="1:6" ht="15.6" x14ac:dyDescent="0.3">
      <c r="A28" s="79">
        <v>551</v>
      </c>
      <c r="B28" s="406" t="s">
        <v>696</v>
      </c>
      <c r="C28" s="407" t="s">
        <v>697</v>
      </c>
      <c r="D28" s="389">
        <v>30428.17</v>
      </c>
      <c r="E28" s="390">
        <v>63197.11</v>
      </c>
      <c r="F28" s="408">
        <f t="shared" si="0"/>
        <v>32768.94</v>
      </c>
    </row>
    <row r="29" spans="1:6" ht="15.6" x14ac:dyDescent="0.3">
      <c r="A29" s="79">
        <v>552</v>
      </c>
      <c r="B29" s="406" t="s">
        <v>832</v>
      </c>
      <c r="C29" s="407" t="s">
        <v>698</v>
      </c>
      <c r="D29" s="389"/>
      <c r="E29" s="390"/>
      <c r="F29" s="408">
        <f t="shared" si="0"/>
        <v>0</v>
      </c>
    </row>
    <row r="30" spans="1:6" ht="15.6" x14ac:dyDescent="0.3">
      <c r="A30" s="79">
        <v>553</v>
      </c>
      <c r="B30" s="406" t="s">
        <v>699</v>
      </c>
      <c r="C30" s="407" t="s">
        <v>700</v>
      </c>
      <c r="D30" s="389"/>
      <c r="E30" s="390"/>
      <c r="F30" s="408">
        <f t="shared" si="0"/>
        <v>0</v>
      </c>
    </row>
    <row r="31" spans="1:6" ht="15.6" x14ac:dyDescent="0.3">
      <c r="A31" s="79">
        <v>554</v>
      </c>
      <c r="B31" s="406" t="s">
        <v>701</v>
      </c>
      <c r="C31" s="407" t="s">
        <v>702</v>
      </c>
      <c r="D31" s="389"/>
      <c r="E31" s="390"/>
      <c r="F31" s="408">
        <f t="shared" si="0"/>
        <v>0</v>
      </c>
    </row>
    <row r="32" spans="1:6" ht="15.6" x14ac:dyDescent="0.3">
      <c r="A32" s="79">
        <v>555</v>
      </c>
      <c r="B32" s="406" t="s">
        <v>703</v>
      </c>
      <c r="C32" s="407" t="s">
        <v>704</v>
      </c>
      <c r="D32" s="389"/>
      <c r="E32" s="390"/>
      <c r="F32" s="408">
        <f t="shared" si="0"/>
        <v>0</v>
      </c>
    </row>
    <row r="33" spans="1:6" ht="15.6" x14ac:dyDescent="0.3">
      <c r="A33" s="79">
        <v>556</v>
      </c>
      <c r="B33" s="406" t="s">
        <v>705</v>
      </c>
      <c r="C33" s="407" t="s">
        <v>706</v>
      </c>
      <c r="D33" s="389">
        <v>56608</v>
      </c>
      <c r="E33" s="390">
        <v>46922.6</v>
      </c>
      <c r="F33" s="408">
        <f t="shared" si="0"/>
        <v>-9685.4000000000015</v>
      </c>
    </row>
    <row r="34" spans="1:6" ht="15.6" x14ac:dyDescent="0.3">
      <c r="A34" s="79">
        <v>557</v>
      </c>
      <c r="B34" s="406" t="s">
        <v>707</v>
      </c>
      <c r="C34" s="407" t="s">
        <v>708</v>
      </c>
      <c r="D34" s="389"/>
      <c r="E34" s="390"/>
      <c r="F34" s="408">
        <f t="shared" si="0"/>
        <v>0</v>
      </c>
    </row>
    <row r="35" spans="1:6" ht="15.6" x14ac:dyDescent="0.3">
      <c r="A35" s="79">
        <v>558</v>
      </c>
      <c r="B35" s="406" t="s">
        <v>709</v>
      </c>
      <c r="C35" s="407" t="s">
        <v>710</v>
      </c>
      <c r="D35" s="389"/>
      <c r="E35" s="390"/>
      <c r="F35" s="408">
        <f t="shared" si="0"/>
        <v>0</v>
      </c>
    </row>
    <row r="36" spans="1:6" ht="20.25" customHeight="1" x14ac:dyDescent="0.3">
      <c r="A36" s="79">
        <v>561</v>
      </c>
      <c r="B36" s="406" t="s">
        <v>712</v>
      </c>
      <c r="C36" s="407" t="s">
        <v>711</v>
      </c>
      <c r="D36" s="389"/>
      <c r="E36" s="390"/>
      <c r="F36" s="408">
        <f t="shared" si="0"/>
        <v>0</v>
      </c>
    </row>
    <row r="37" spans="1:6" ht="15.6" x14ac:dyDescent="0.3">
      <c r="A37" s="79">
        <v>562</v>
      </c>
      <c r="B37" s="406" t="s">
        <v>714</v>
      </c>
      <c r="C37" s="407" t="s">
        <v>713</v>
      </c>
      <c r="D37" s="389">
        <v>26596</v>
      </c>
      <c r="E37" s="390">
        <v>22527</v>
      </c>
      <c r="F37" s="408">
        <f t="shared" si="0"/>
        <v>-4069</v>
      </c>
    </row>
    <row r="38" spans="1:6" ht="15.6" x14ac:dyDescent="0.3">
      <c r="A38" s="79">
        <v>563</v>
      </c>
      <c r="B38" s="406" t="s">
        <v>716</v>
      </c>
      <c r="C38" s="407" t="s">
        <v>715</v>
      </c>
      <c r="D38" s="389"/>
      <c r="E38" s="390"/>
      <c r="F38" s="408">
        <f t="shared" si="0"/>
        <v>0</v>
      </c>
    </row>
    <row r="39" spans="1:6" ht="15.6" x14ac:dyDescent="0.3">
      <c r="A39" s="80">
        <v>565</v>
      </c>
      <c r="B39" s="410" t="s">
        <v>831</v>
      </c>
      <c r="C39" s="407" t="s">
        <v>717</v>
      </c>
      <c r="D39" s="409"/>
      <c r="E39" s="394"/>
      <c r="F39" s="408">
        <f t="shared" si="0"/>
        <v>0</v>
      </c>
    </row>
    <row r="40" spans="1:6" ht="16.2" thickBot="1" x14ac:dyDescent="0.35">
      <c r="A40" s="80">
        <v>567</v>
      </c>
      <c r="B40" s="410" t="s">
        <v>718</v>
      </c>
      <c r="C40" s="411" t="s">
        <v>719</v>
      </c>
      <c r="D40" s="409"/>
      <c r="E40" s="394"/>
      <c r="F40" s="412">
        <f t="shared" si="0"/>
        <v>0</v>
      </c>
    </row>
    <row r="41" spans="1:6" ht="24.75" customHeight="1" thickBot="1" x14ac:dyDescent="0.3">
      <c r="A41" s="869" t="s">
        <v>897</v>
      </c>
      <c r="B41" s="870"/>
      <c r="C41" s="413" t="s">
        <v>720</v>
      </c>
      <c r="D41" s="414">
        <f>SUM(D4:D40)</f>
        <v>1766927.25</v>
      </c>
      <c r="E41" s="415">
        <f>SUM(E4:E40)</f>
        <v>1699061.4100000001</v>
      </c>
      <c r="F41" s="416">
        <f>SUM(F4:F40)</f>
        <v>-67865.84</v>
      </c>
    </row>
    <row r="42" spans="1:6" x14ac:dyDescent="0.25">
      <c r="B42" s="443"/>
      <c r="C42" s="443"/>
      <c r="D42" s="443"/>
      <c r="E42" s="443"/>
    </row>
  </sheetData>
  <mergeCells count="3">
    <mergeCell ref="A2:F2"/>
    <mergeCell ref="A1:F1"/>
    <mergeCell ref="A41:B41"/>
  </mergeCells>
  <pageMargins left="0.39370078740157483" right="0.23622047244094491" top="0.59055118110236227" bottom="0.74803149606299213" header="0.31496062992125984" footer="0.31496062992125984"/>
  <pageSetup paperSize="9" scale="8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8"/>
  <sheetViews>
    <sheetView zoomScaleNormal="100" workbookViewId="0">
      <pane xSplit="3" ySplit="5" topLeftCell="D6" activePane="bottomRight" state="frozen"/>
      <selection pane="topRight" activeCell="D1" sqref="D1"/>
      <selection pane="bottomLeft" activeCell="A6" sqref="A6"/>
      <selection pane="bottomRight" activeCell="F10" sqref="F10"/>
    </sheetView>
  </sheetViews>
  <sheetFormatPr defaultColWidth="9.109375" defaultRowHeight="13.2" x14ac:dyDescent="0.25"/>
  <cols>
    <col min="1" max="1" width="3.5546875" style="444" customWidth="1"/>
    <col min="2" max="2" width="59.44140625" style="444" customWidth="1"/>
    <col min="3" max="3" width="7.44140625" style="448" customWidth="1"/>
    <col min="4" max="4" width="14.33203125" style="441" customWidth="1"/>
    <col min="5" max="5" width="12.6640625" style="441" customWidth="1"/>
    <col min="6" max="6" width="13.109375" style="441" customWidth="1"/>
    <col min="7" max="7" width="17.44140625" style="441" customWidth="1"/>
    <col min="8" max="16384" width="9.109375" style="444"/>
  </cols>
  <sheetData>
    <row r="1" spans="1:7" ht="35.25" customHeight="1" x14ac:dyDescent="0.25">
      <c r="A1" s="878" t="s">
        <v>1297</v>
      </c>
      <c r="B1" s="879"/>
      <c r="C1" s="879"/>
      <c r="D1" s="879"/>
      <c r="E1" s="879"/>
      <c r="F1" s="879"/>
      <c r="G1" s="880"/>
    </row>
    <row r="2" spans="1:7" ht="30" customHeight="1" thickBot="1" x14ac:dyDescent="0.3">
      <c r="A2" s="875" t="s">
        <v>1216</v>
      </c>
      <c r="B2" s="876"/>
      <c r="C2" s="876"/>
      <c r="D2" s="876"/>
      <c r="E2" s="876"/>
      <c r="F2" s="876"/>
      <c r="G2" s="877"/>
    </row>
    <row r="3" spans="1:7" ht="57.75" customHeight="1" x14ac:dyDescent="0.25">
      <c r="A3" s="881" t="s">
        <v>524</v>
      </c>
      <c r="B3" s="882"/>
      <c r="C3" s="882" t="s">
        <v>572</v>
      </c>
      <c r="D3" s="885" t="s">
        <v>573</v>
      </c>
      <c r="E3" s="885"/>
      <c r="F3" s="885"/>
      <c r="G3" s="417" t="s">
        <v>574</v>
      </c>
    </row>
    <row r="4" spans="1:7" ht="16.2" thickBot="1" x14ac:dyDescent="0.3">
      <c r="A4" s="883"/>
      <c r="B4" s="884"/>
      <c r="C4" s="884"/>
      <c r="D4" s="418" t="s">
        <v>520</v>
      </c>
      <c r="E4" s="418" t="s">
        <v>521</v>
      </c>
      <c r="F4" s="418" t="s">
        <v>522</v>
      </c>
      <c r="G4" s="419" t="s">
        <v>522</v>
      </c>
    </row>
    <row r="5" spans="1:7" ht="26.25" customHeight="1" thickBot="1" x14ac:dyDescent="0.35">
      <c r="A5" s="886" t="s">
        <v>575</v>
      </c>
      <c r="B5" s="887"/>
      <c r="C5" s="420" t="s">
        <v>576</v>
      </c>
      <c r="D5" s="421">
        <v>1</v>
      </c>
      <c r="E5" s="422">
        <v>2</v>
      </c>
      <c r="F5" s="422">
        <v>3</v>
      </c>
      <c r="G5" s="423">
        <v>4</v>
      </c>
    </row>
    <row r="6" spans="1:7" ht="15.9" customHeight="1" x14ac:dyDescent="0.3">
      <c r="A6" s="871" t="s">
        <v>646</v>
      </c>
      <c r="B6" s="872"/>
      <c r="C6" s="424" t="s">
        <v>404</v>
      </c>
      <c r="D6" s="425">
        <f>D7+D14+D26</f>
        <v>131879072.06999999</v>
      </c>
      <c r="E6" s="425">
        <f>E7+E14+E26</f>
        <v>44778543.340000004</v>
      </c>
      <c r="F6" s="425">
        <f>F7+F14+F26</f>
        <v>87100528.729999989</v>
      </c>
      <c r="G6" s="426">
        <f>G7+G14+G26</f>
        <v>66776017.550000004</v>
      </c>
    </row>
    <row r="7" spans="1:7" ht="15.9" customHeight="1" x14ac:dyDescent="0.3">
      <c r="A7" s="427" t="s">
        <v>577</v>
      </c>
      <c r="B7" s="428" t="s">
        <v>909</v>
      </c>
      <c r="C7" s="429" t="s">
        <v>406</v>
      </c>
      <c r="D7" s="398">
        <f>D8+D9+D10+D11+D12+D13</f>
        <v>2378978.2200000002</v>
      </c>
      <c r="E7" s="398">
        <f>E8+E9+E10+E11+E12+E13</f>
        <v>824303.67</v>
      </c>
      <c r="F7" s="398">
        <f>F8+F9+F10+F11+F12+F13</f>
        <v>1554674.55</v>
      </c>
      <c r="G7" s="33">
        <f>G8+G9+G10+G11+G12+G13</f>
        <v>401268.6</v>
      </c>
    </row>
    <row r="8" spans="1:7" ht="31.2" x14ac:dyDescent="0.3">
      <c r="A8" s="873"/>
      <c r="B8" s="430" t="s">
        <v>578</v>
      </c>
      <c r="C8" s="431" t="s">
        <v>408</v>
      </c>
      <c r="D8" s="389">
        <v>0</v>
      </c>
      <c r="E8" s="389">
        <v>0</v>
      </c>
      <c r="F8" s="389">
        <v>0</v>
      </c>
      <c r="G8" s="432">
        <v>0</v>
      </c>
    </row>
    <row r="9" spans="1:7" ht="15.9" customHeight="1" x14ac:dyDescent="0.3">
      <c r="A9" s="874"/>
      <c r="B9" s="430" t="s">
        <v>579</v>
      </c>
      <c r="C9" s="431" t="s">
        <v>410</v>
      </c>
      <c r="D9" s="389">
        <v>1463387.08</v>
      </c>
      <c r="E9" s="389">
        <v>824303.67</v>
      </c>
      <c r="F9" s="389">
        <v>639083.41</v>
      </c>
      <c r="G9" s="432">
        <v>401052.6</v>
      </c>
    </row>
    <row r="10" spans="1:7" ht="15.9" customHeight="1" x14ac:dyDescent="0.3">
      <c r="A10" s="874"/>
      <c r="B10" s="430" t="s">
        <v>580</v>
      </c>
      <c r="C10" s="431" t="s">
        <v>411</v>
      </c>
      <c r="D10" s="389"/>
      <c r="E10" s="389"/>
      <c r="F10" s="389"/>
      <c r="G10" s="432"/>
    </row>
    <row r="11" spans="1:7" ht="31.2" x14ac:dyDescent="0.3">
      <c r="A11" s="874"/>
      <c r="B11" s="430" t="s">
        <v>581</v>
      </c>
      <c r="C11" s="431" t="s">
        <v>413</v>
      </c>
      <c r="D11" s="389"/>
      <c r="E11" s="389"/>
      <c r="F11" s="389"/>
      <c r="G11" s="432"/>
    </row>
    <row r="12" spans="1:7" ht="15.6" x14ac:dyDescent="0.3">
      <c r="A12" s="874"/>
      <c r="B12" s="430" t="s">
        <v>644</v>
      </c>
      <c r="C12" s="431" t="s">
        <v>415</v>
      </c>
      <c r="D12" s="389">
        <v>915591.14</v>
      </c>
      <c r="E12" s="389"/>
      <c r="F12" s="389">
        <v>915591.14</v>
      </c>
      <c r="G12" s="432">
        <v>216</v>
      </c>
    </row>
    <row r="13" spans="1:7" ht="31.2" x14ac:dyDescent="0.3">
      <c r="A13" s="874"/>
      <c r="B13" s="430" t="s">
        <v>582</v>
      </c>
      <c r="C13" s="431" t="s">
        <v>417</v>
      </c>
      <c r="D13" s="389"/>
      <c r="E13" s="389"/>
      <c r="F13" s="389"/>
      <c r="G13" s="432"/>
    </row>
    <row r="14" spans="1:7" ht="15.9" customHeight="1" x14ac:dyDescent="0.3">
      <c r="A14" s="427" t="s">
        <v>583</v>
      </c>
      <c r="B14" s="433" t="s">
        <v>910</v>
      </c>
      <c r="C14" s="429" t="s">
        <v>419</v>
      </c>
      <c r="D14" s="398">
        <f>SUM(D15:D25)</f>
        <v>129495093.84999999</v>
      </c>
      <c r="E14" s="398">
        <f>SUM(E15:E25)</f>
        <v>43954239.670000002</v>
      </c>
      <c r="F14" s="398">
        <f>SUM(F15:F25)</f>
        <v>85540854.179999992</v>
      </c>
      <c r="G14" s="33">
        <f>SUM(G15:G25)</f>
        <v>66369748.950000003</v>
      </c>
    </row>
    <row r="15" spans="1:7" ht="15.9" customHeight="1" x14ac:dyDescent="0.3">
      <c r="A15" s="434"/>
      <c r="B15" s="435" t="s">
        <v>584</v>
      </c>
      <c r="C15" s="431" t="s">
        <v>421</v>
      </c>
      <c r="D15" s="389">
        <v>14340572.710000001</v>
      </c>
      <c r="E15" s="389"/>
      <c r="F15" s="389">
        <v>14340572.710000001</v>
      </c>
      <c r="G15" s="432">
        <v>12691731.710000001</v>
      </c>
    </row>
    <row r="16" spans="1:7" ht="15.9" customHeight="1" x14ac:dyDescent="0.3">
      <c r="A16" s="434"/>
      <c r="B16" s="435" t="s">
        <v>585</v>
      </c>
      <c r="C16" s="431" t="s">
        <v>423</v>
      </c>
      <c r="D16" s="389">
        <v>59126.879999999997</v>
      </c>
      <c r="E16" s="389"/>
      <c r="F16" s="389">
        <v>59126.879999999997</v>
      </c>
      <c r="G16" s="432">
        <v>49626.879999999997</v>
      </c>
    </row>
    <row r="17" spans="1:7" ht="15.9" customHeight="1" x14ac:dyDescent="0.3">
      <c r="A17" s="434"/>
      <c r="B17" s="435" t="s">
        <v>586</v>
      </c>
      <c r="C17" s="431" t="s">
        <v>425</v>
      </c>
      <c r="D17" s="389">
        <v>53704857</v>
      </c>
      <c r="E17" s="389">
        <v>15785899.99</v>
      </c>
      <c r="F17" s="389">
        <v>37918957.009999998</v>
      </c>
      <c r="G17" s="432">
        <v>37385592.789999999</v>
      </c>
    </row>
    <row r="18" spans="1:7" ht="31.2" x14ac:dyDescent="0.3">
      <c r="A18" s="434"/>
      <c r="B18" s="435" t="s">
        <v>802</v>
      </c>
      <c r="C18" s="431" t="s">
        <v>427</v>
      </c>
      <c r="D18" s="389">
        <v>48100556.289999999</v>
      </c>
      <c r="E18" s="389">
        <v>27805870.07</v>
      </c>
      <c r="F18" s="389">
        <v>20294686.219999999</v>
      </c>
      <c r="G18" s="432">
        <v>14329113.310000001</v>
      </c>
    </row>
    <row r="19" spans="1:7" ht="15.9" customHeight="1" x14ac:dyDescent="0.3">
      <c r="A19" s="434"/>
      <c r="B19" s="435" t="s">
        <v>587</v>
      </c>
      <c r="C19" s="431" t="s">
        <v>429</v>
      </c>
      <c r="D19" s="389">
        <v>446346.1</v>
      </c>
      <c r="E19" s="389">
        <v>362469.61</v>
      </c>
      <c r="F19" s="389">
        <v>83876.490000000005</v>
      </c>
      <c r="G19" s="432">
        <v>52287.46</v>
      </c>
    </row>
    <row r="20" spans="1:7" ht="15.6" x14ac:dyDescent="0.3">
      <c r="A20" s="434"/>
      <c r="B20" s="435" t="s">
        <v>588</v>
      </c>
      <c r="C20" s="431" t="s">
        <v>431</v>
      </c>
      <c r="D20" s="389"/>
      <c r="E20" s="389"/>
      <c r="F20" s="389"/>
      <c r="G20" s="432"/>
    </row>
    <row r="21" spans="1:7" ht="15.9" customHeight="1" x14ac:dyDescent="0.3">
      <c r="A21" s="434"/>
      <c r="B21" s="435" t="s">
        <v>589</v>
      </c>
      <c r="C21" s="431" t="s">
        <v>433</v>
      </c>
      <c r="D21" s="389"/>
      <c r="E21" s="389"/>
      <c r="F21" s="389"/>
      <c r="G21" s="432"/>
    </row>
    <row r="22" spans="1:7" ht="15.6" x14ac:dyDescent="0.3">
      <c r="A22" s="434"/>
      <c r="B22" s="435" t="s">
        <v>590</v>
      </c>
      <c r="C22" s="431" t="s">
        <v>435</v>
      </c>
      <c r="D22" s="389"/>
      <c r="E22" s="389"/>
      <c r="F22" s="389"/>
      <c r="G22" s="432"/>
    </row>
    <row r="23" spans="1:7" ht="15.6" x14ac:dyDescent="0.3">
      <c r="A23" s="434"/>
      <c r="B23" s="435" t="s">
        <v>591</v>
      </c>
      <c r="C23" s="431" t="s">
        <v>437</v>
      </c>
      <c r="D23" s="389"/>
      <c r="E23" s="389"/>
      <c r="F23" s="389"/>
      <c r="G23" s="432"/>
    </row>
    <row r="24" spans="1:7" ht="15.6" x14ac:dyDescent="0.3">
      <c r="A24" s="434"/>
      <c r="B24" s="435" t="s">
        <v>592</v>
      </c>
      <c r="C24" s="431" t="s">
        <v>439</v>
      </c>
      <c r="D24" s="389">
        <v>12843634.869999999</v>
      </c>
      <c r="E24" s="389"/>
      <c r="F24" s="389">
        <v>12843634.869999999</v>
      </c>
      <c r="G24" s="432">
        <v>1861396.8</v>
      </c>
    </row>
    <row r="25" spans="1:7" ht="31.2" x14ac:dyDescent="0.3">
      <c r="A25" s="436"/>
      <c r="B25" s="435" t="s">
        <v>593</v>
      </c>
      <c r="C25" s="431" t="s">
        <v>441</v>
      </c>
      <c r="D25" s="389"/>
      <c r="E25" s="389"/>
      <c r="F25" s="389"/>
      <c r="G25" s="432"/>
    </row>
    <row r="26" spans="1:7" ht="15.9" customHeight="1" x14ac:dyDescent="0.3">
      <c r="A26" s="427" t="s">
        <v>594</v>
      </c>
      <c r="B26" s="433" t="s">
        <v>911</v>
      </c>
      <c r="C26" s="429" t="s">
        <v>443</v>
      </c>
      <c r="D26" s="398">
        <f>SUM(D27:D33)</f>
        <v>5000</v>
      </c>
      <c r="E26" s="398">
        <f>SUM(E27:E33)</f>
        <v>0</v>
      </c>
      <c r="F26" s="398">
        <f>SUM(F27:F33)</f>
        <v>5000</v>
      </c>
      <c r="G26" s="33">
        <f>SUM(G27:G33)</f>
        <v>5000</v>
      </c>
    </row>
    <row r="27" spans="1:7" ht="31.2" x14ac:dyDescent="0.3">
      <c r="A27" s="434"/>
      <c r="B27" s="435" t="s">
        <v>973</v>
      </c>
      <c r="C27" s="431" t="s">
        <v>445</v>
      </c>
      <c r="D27" s="389">
        <v>5000</v>
      </c>
      <c r="E27" s="389"/>
      <c r="F27" s="389">
        <v>5000</v>
      </c>
      <c r="G27" s="432">
        <v>5000</v>
      </c>
    </row>
    <row r="28" spans="1:7" ht="31.2" x14ac:dyDescent="0.3">
      <c r="A28" s="434"/>
      <c r="B28" s="435" t="s">
        <v>974</v>
      </c>
      <c r="C28" s="431" t="s">
        <v>447</v>
      </c>
      <c r="D28" s="389"/>
      <c r="E28" s="389"/>
      <c r="F28" s="389"/>
      <c r="G28" s="432"/>
    </row>
    <row r="29" spans="1:7" ht="15.6" x14ac:dyDescent="0.3">
      <c r="A29" s="434"/>
      <c r="B29" s="435" t="s">
        <v>975</v>
      </c>
      <c r="C29" s="431" t="s">
        <v>449</v>
      </c>
      <c r="D29" s="389"/>
      <c r="E29" s="389"/>
      <c r="F29" s="389"/>
      <c r="G29" s="432"/>
    </row>
    <row r="30" spans="1:7" ht="31.2" x14ac:dyDescent="0.3">
      <c r="A30" s="434"/>
      <c r="B30" s="435" t="s">
        <v>595</v>
      </c>
      <c r="C30" s="431" t="s">
        <v>451</v>
      </c>
      <c r="D30" s="389"/>
      <c r="E30" s="389"/>
      <c r="F30" s="389"/>
      <c r="G30" s="432"/>
    </row>
    <row r="31" spans="1:7" ht="20.25" customHeight="1" x14ac:dyDescent="0.3">
      <c r="A31" s="434"/>
      <c r="B31" s="445" t="s">
        <v>976</v>
      </c>
      <c r="C31" s="431" t="s">
        <v>453</v>
      </c>
      <c r="D31" s="389"/>
      <c r="E31" s="389"/>
      <c r="F31" s="389"/>
      <c r="G31" s="432"/>
    </row>
    <row r="32" spans="1:7" ht="15.6" x14ac:dyDescent="0.3">
      <c r="A32" s="436"/>
      <c r="B32" s="435" t="s">
        <v>596</v>
      </c>
      <c r="C32" s="431" t="s">
        <v>455</v>
      </c>
      <c r="D32" s="389"/>
      <c r="E32" s="389"/>
      <c r="F32" s="389"/>
      <c r="G32" s="432"/>
    </row>
    <row r="33" spans="1:7" ht="19.5" customHeight="1" thickBot="1" x14ac:dyDescent="0.35">
      <c r="A33" s="437"/>
      <c r="B33" s="446" t="s">
        <v>977</v>
      </c>
      <c r="C33" s="438" t="s">
        <v>457</v>
      </c>
      <c r="D33" s="439"/>
      <c r="E33" s="439"/>
      <c r="F33" s="439"/>
      <c r="G33" s="440"/>
    </row>
    <row r="34" spans="1:7" s="448" customFormat="1" ht="18" customHeight="1" x14ac:dyDescent="0.25">
      <c r="A34" s="447"/>
      <c r="B34" s="447"/>
      <c r="D34" s="441"/>
      <c r="E34" s="441"/>
      <c r="F34" s="441"/>
      <c r="G34" s="441"/>
    </row>
    <row r="35" spans="1:7" s="448" customFormat="1" ht="18" customHeight="1" x14ac:dyDescent="0.25">
      <c r="A35" s="447"/>
      <c r="B35" s="447"/>
      <c r="D35" s="441"/>
      <c r="E35" s="441"/>
      <c r="F35" s="441"/>
      <c r="G35" s="441"/>
    </row>
    <row r="36" spans="1:7" s="448" customFormat="1" ht="18" customHeight="1" x14ac:dyDescent="0.25">
      <c r="A36" s="447"/>
      <c r="B36" s="447"/>
      <c r="D36" s="441"/>
      <c r="E36" s="441"/>
      <c r="F36" s="441"/>
      <c r="G36" s="441"/>
    </row>
    <row r="37" spans="1:7" s="448" customFormat="1" ht="18" customHeight="1" x14ac:dyDescent="0.25">
      <c r="A37" s="447"/>
      <c r="B37" s="447"/>
      <c r="D37" s="441"/>
      <c r="E37" s="441"/>
      <c r="F37" s="441"/>
      <c r="G37" s="441"/>
    </row>
    <row r="38" spans="1:7" s="448" customFormat="1" ht="18" customHeight="1" x14ac:dyDescent="0.25">
      <c r="A38" s="447"/>
      <c r="B38" s="447"/>
      <c r="D38" s="441"/>
      <c r="E38" s="441"/>
      <c r="F38" s="441"/>
      <c r="G38" s="441"/>
    </row>
    <row r="39" spans="1:7" s="448" customFormat="1" ht="18" customHeight="1" x14ac:dyDescent="0.25">
      <c r="A39" s="447"/>
      <c r="B39" s="447"/>
      <c r="D39" s="441"/>
      <c r="E39" s="441"/>
      <c r="F39" s="441"/>
      <c r="G39" s="441"/>
    </row>
    <row r="40" spans="1:7" s="448" customFormat="1" ht="18" customHeight="1" x14ac:dyDescent="0.25">
      <c r="A40" s="447"/>
      <c r="B40" s="447"/>
      <c r="D40" s="441"/>
      <c r="E40" s="441"/>
      <c r="F40" s="441"/>
      <c r="G40" s="441"/>
    </row>
    <row r="41" spans="1:7" s="448" customFormat="1" ht="18" customHeight="1" x14ac:dyDescent="0.25">
      <c r="A41" s="447"/>
      <c r="B41" s="447"/>
      <c r="D41" s="441"/>
      <c r="E41" s="441"/>
      <c r="F41" s="441"/>
      <c r="G41" s="441"/>
    </row>
    <row r="42" spans="1:7" s="448" customFormat="1" ht="18" customHeight="1" x14ac:dyDescent="0.25">
      <c r="A42" s="444"/>
      <c r="B42" s="444"/>
      <c r="D42" s="441"/>
      <c r="E42" s="441"/>
      <c r="F42" s="441"/>
      <c r="G42" s="441"/>
    </row>
    <row r="43" spans="1:7" s="448" customFormat="1" ht="18" customHeight="1" x14ac:dyDescent="0.25">
      <c r="A43" s="444"/>
      <c r="B43" s="444"/>
      <c r="D43" s="441"/>
      <c r="E43" s="441"/>
      <c r="F43" s="441"/>
      <c r="G43" s="441"/>
    </row>
    <row r="44" spans="1:7" s="448" customFormat="1" ht="18" customHeight="1" x14ac:dyDescent="0.25">
      <c r="A44" s="444"/>
      <c r="B44" s="444"/>
      <c r="D44" s="441"/>
      <c r="E44" s="441"/>
      <c r="F44" s="441"/>
      <c r="G44" s="441"/>
    </row>
    <row r="45" spans="1:7" s="448" customFormat="1" ht="18" customHeight="1" x14ac:dyDescent="0.25">
      <c r="A45" s="444"/>
      <c r="B45" s="444"/>
      <c r="D45" s="441"/>
      <c r="E45" s="441"/>
      <c r="F45" s="441"/>
      <c r="G45" s="441"/>
    </row>
    <row r="46" spans="1:7" s="448" customFormat="1" ht="18" customHeight="1" x14ac:dyDescent="0.25">
      <c r="A46" s="444"/>
      <c r="B46" s="444"/>
      <c r="D46" s="441"/>
      <c r="E46" s="441"/>
      <c r="F46" s="441"/>
      <c r="G46" s="441"/>
    </row>
    <row r="47" spans="1:7" s="448" customFormat="1" ht="18" customHeight="1" x14ac:dyDescent="0.25">
      <c r="A47" s="444"/>
      <c r="B47" s="444"/>
      <c r="D47" s="441"/>
      <c r="E47" s="441"/>
      <c r="F47" s="441"/>
      <c r="G47" s="441"/>
    </row>
    <row r="48" spans="1:7" s="448" customFormat="1" ht="18" customHeight="1" x14ac:dyDescent="0.25">
      <c r="A48" s="444"/>
      <c r="B48" s="444"/>
      <c r="D48" s="441"/>
      <c r="E48" s="441"/>
      <c r="F48" s="441"/>
      <c r="G48" s="441"/>
    </row>
  </sheetData>
  <mergeCells count="8">
    <mergeCell ref="A6:B6"/>
    <mergeCell ref="A8:A13"/>
    <mergeCell ref="A2:G2"/>
    <mergeCell ref="A1:G1"/>
    <mergeCell ref="A3:B4"/>
    <mergeCell ref="C3:C4"/>
    <mergeCell ref="D3:F3"/>
    <mergeCell ref="A5:B5"/>
  </mergeCells>
  <pageMargins left="0.35433070866141736" right="0.35433070866141736" top="0.98425196850393704" bottom="0.98425196850393704" header="0.51181102362204722" footer="0.51181102362204722"/>
  <pageSetup paperSize="9" scale="7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6"/>
  <sheetViews>
    <sheetView workbookViewId="0">
      <pane xSplit="3" ySplit="5" topLeftCell="D36" activePane="bottomRight" state="frozen"/>
      <selection pane="topRight" activeCell="D1" sqref="D1"/>
      <selection pane="bottomLeft" activeCell="A6" sqref="A6"/>
      <selection pane="bottomRight" activeCell="B7" sqref="B7"/>
    </sheetView>
  </sheetViews>
  <sheetFormatPr defaultColWidth="9.109375" defaultRowHeight="13.2" x14ac:dyDescent="0.25"/>
  <cols>
    <col min="1" max="1" width="2.44140625" style="449" customWidth="1"/>
    <col min="2" max="2" width="54.33203125" style="449" customWidth="1"/>
    <col min="3" max="3" width="7.44140625" style="449" customWidth="1"/>
    <col min="4" max="7" width="15.6640625" style="510" customWidth="1"/>
    <col min="8" max="16384" width="9.109375" style="449"/>
  </cols>
  <sheetData>
    <row r="1" spans="1:7" ht="24.75" customHeight="1" thickBot="1" x14ac:dyDescent="0.3">
      <c r="A1" s="803" t="s">
        <v>1298</v>
      </c>
      <c r="B1" s="804"/>
      <c r="C1" s="804"/>
      <c r="D1" s="804"/>
      <c r="E1" s="804"/>
      <c r="F1" s="804"/>
      <c r="G1" s="805"/>
    </row>
    <row r="2" spans="1:7" ht="33" customHeight="1" x14ac:dyDescent="0.25">
      <c r="A2" s="890" t="s">
        <v>1216</v>
      </c>
      <c r="B2" s="891"/>
      <c r="C2" s="891"/>
      <c r="D2" s="891"/>
      <c r="E2" s="891"/>
      <c r="F2" s="891"/>
      <c r="G2" s="892"/>
    </row>
    <row r="3" spans="1:7" ht="61.5" customHeight="1" x14ac:dyDescent="0.25">
      <c r="A3" s="897" t="s">
        <v>524</v>
      </c>
      <c r="B3" s="898"/>
      <c r="C3" s="898"/>
      <c r="D3" s="901" t="s">
        <v>597</v>
      </c>
      <c r="E3" s="901"/>
      <c r="F3" s="901"/>
      <c r="G3" s="479" t="s">
        <v>574</v>
      </c>
    </row>
    <row r="4" spans="1:7" ht="16.2" thickBot="1" x14ac:dyDescent="0.3">
      <c r="A4" s="899"/>
      <c r="B4" s="900"/>
      <c r="C4" s="900"/>
      <c r="D4" s="480" t="s">
        <v>520</v>
      </c>
      <c r="E4" s="480" t="s">
        <v>521</v>
      </c>
      <c r="F4" s="480" t="s">
        <v>522</v>
      </c>
      <c r="G4" s="481" t="s">
        <v>522</v>
      </c>
    </row>
    <row r="5" spans="1:7" ht="21.75" customHeight="1" thickBot="1" x14ac:dyDescent="0.3">
      <c r="A5" s="902" t="s">
        <v>575</v>
      </c>
      <c r="B5" s="903"/>
      <c r="C5" s="482" t="s">
        <v>576</v>
      </c>
      <c r="D5" s="483">
        <v>1</v>
      </c>
      <c r="E5" s="483">
        <v>2</v>
      </c>
      <c r="F5" s="483">
        <v>3</v>
      </c>
      <c r="G5" s="484">
        <v>4</v>
      </c>
    </row>
    <row r="6" spans="1:7" ht="15.9" customHeight="1" x14ac:dyDescent="0.25">
      <c r="A6" s="904" t="s">
        <v>908</v>
      </c>
      <c r="B6" s="905"/>
      <c r="C6" s="485" t="s">
        <v>459</v>
      </c>
      <c r="D6" s="425">
        <f>D7+D14+D19+D28</f>
        <v>14277508.84</v>
      </c>
      <c r="E6" s="425">
        <f>E7+E14+E19+E28</f>
        <v>14781.04</v>
      </c>
      <c r="F6" s="425">
        <f>F7+F14+F19+F28</f>
        <v>14262727.800000001</v>
      </c>
      <c r="G6" s="426">
        <f>G7+G14+G19+G28</f>
        <v>16205326.130000001</v>
      </c>
    </row>
    <row r="7" spans="1:7" ht="15.9" customHeight="1" x14ac:dyDescent="0.25">
      <c r="A7" s="486" t="s">
        <v>577</v>
      </c>
      <c r="B7" s="50" t="s">
        <v>598</v>
      </c>
      <c r="C7" s="487" t="s">
        <v>461</v>
      </c>
      <c r="D7" s="398">
        <f>SUM(D8:D13)</f>
        <v>174121.85</v>
      </c>
      <c r="E7" s="398">
        <f>SUM(E8:E13)</f>
        <v>0</v>
      </c>
      <c r="F7" s="398">
        <f>SUM(F8:F13)</f>
        <v>174121.85</v>
      </c>
      <c r="G7" s="33">
        <f>SUM(G8:G13)</f>
        <v>159816.78999999998</v>
      </c>
    </row>
    <row r="8" spans="1:7" ht="15.9" customHeight="1" x14ac:dyDescent="0.3">
      <c r="A8" s="894"/>
      <c r="B8" s="458" t="s">
        <v>599</v>
      </c>
      <c r="C8" s="488" t="s">
        <v>463</v>
      </c>
      <c r="D8" s="489">
        <v>84926.34</v>
      </c>
      <c r="E8" s="490"/>
      <c r="F8" s="489">
        <v>84926.34</v>
      </c>
      <c r="G8" s="491">
        <v>83783.929999999993</v>
      </c>
    </row>
    <row r="9" spans="1:7" ht="31.2" x14ac:dyDescent="0.3">
      <c r="A9" s="906"/>
      <c r="B9" s="458" t="s">
        <v>600</v>
      </c>
      <c r="C9" s="488" t="s">
        <v>465</v>
      </c>
      <c r="D9" s="489"/>
      <c r="E9" s="490"/>
      <c r="F9" s="489"/>
      <c r="G9" s="491"/>
    </row>
    <row r="10" spans="1:7" ht="15.9" customHeight="1" x14ac:dyDescent="0.3">
      <c r="A10" s="906"/>
      <c r="B10" s="458" t="s">
        <v>601</v>
      </c>
      <c r="C10" s="488" t="s">
        <v>467</v>
      </c>
      <c r="D10" s="489">
        <v>16348.35</v>
      </c>
      <c r="E10" s="490"/>
      <c r="F10" s="489">
        <v>16348.35</v>
      </c>
      <c r="G10" s="491">
        <v>16834.22</v>
      </c>
    </row>
    <row r="11" spans="1:7" ht="15.9" customHeight="1" x14ac:dyDescent="0.3">
      <c r="A11" s="906"/>
      <c r="B11" s="458" t="s">
        <v>602</v>
      </c>
      <c r="C11" s="488" t="s">
        <v>469</v>
      </c>
      <c r="D11" s="489"/>
      <c r="E11" s="490"/>
      <c r="F11" s="489"/>
      <c r="G11" s="491"/>
    </row>
    <row r="12" spans="1:7" ht="15.9" customHeight="1" x14ac:dyDescent="0.3">
      <c r="A12" s="906"/>
      <c r="B12" s="458" t="s">
        <v>603</v>
      </c>
      <c r="C12" s="488" t="s">
        <v>471</v>
      </c>
      <c r="D12" s="489">
        <v>72847.16</v>
      </c>
      <c r="E12" s="490"/>
      <c r="F12" s="489">
        <v>72847.16</v>
      </c>
      <c r="G12" s="491">
        <v>59198.64</v>
      </c>
    </row>
    <row r="13" spans="1:7" ht="31.2" x14ac:dyDescent="0.3">
      <c r="A13" s="906"/>
      <c r="B13" s="458" t="s">
        <v>986</v>
      </c>
      <c r="C13" s="488" t="s">
        <v>473</v>
      </c>
      <c r="D13" s="489"/>
      <c r="E13" s="490"/>
      <c r="F13" s="489"/>
      <c r="G13" s="491"/>
    </row>
    <row r="14" spans="1:7" ht="15.9" customHeight="1" x14ac:dyDescent="0.25">
      <c r="A14" s="463" t="s">
        <v>583</v>
      </c>
      <c r="B14" s="50" t="s">
        <v>907</v>
      </c>
      <c r="C14" s="492" t="s">
        <v>475</v>
      </c>
      <c r="D14" s="398">
        <f>SUM(D15:D18)</f>
        <v>42.73</v>
      </c>
      <c r="E14" s="398">
        <f>SUM(E15:E18)</f>
        <v>0</v>
      </c>
      <c r="F14" s="398">
        <f>SUM(F15:F18)</f>
        <v>42.73</v>
      </c>
      <c r="G14" s="33">
        <f>SUM(G15:G18)</f>
        <v>42.73</v>
      </c>
    </row>
    <row r="15" spans="1:7" ht="31.2" x14ac:dyDescent="0.3">
      <c r="A15" s="893"/>
      <c r="B15" s="468" t="s">
        <v>1013</v>
      </c>
      <c r="C15" s="488" t="s">
        <v>477</v>
      </c>
      <c r="D15" s="489">
        <v>42.73</v>
      </c>
      <c r="E15" s="490"/>
      <c r="F15" s="489">
        <v>42.73</v>
      </c>
      <c r="G15" s="491">
        <v>42.73</v>
      </c>
    </row>
    <row r="16" spans="1:7" ht="15.6" x14ac:dyDescent="0.3">
      <c r="A16" s="893"/>
      <c r="B16" s="458" t="s">
        <v>604</v>
      </c>
      <c r="C16" s="488" t="s">
        <v>479</v>
      </c>
      <c r="D16" s="489"/>
      <c r="E16" s="490"/>
      <c r="F16" s="489"/>
      <c r="G16" s="491"/>
    </row>
    <row r="17" spans="1:7" ht="18" customHeight="1" x14ac:dyDescent="0.3">
      <c r="A17" s="893"/>
      <c r="B17" s="458" t="s">
        <v>898</v>
      </c>
      <c r="C17" s="488" t="s">
        <v>481</v>
      </c>
      <c r="D17" s="489"/>
      <c r="E17" s="490"/>
      <c r="F17" s="489"/>
      <c r="G17" s="491"/>
    </row>
    <row r="18" spans="1:7" ht="31.2" x14ac:dyDescent="0.3">
      <c r="A18" s="894"/>
      <c r="B18" s="458" t="s">
        <v>833</v>
      </c>
      <c r="C18" s="488" t="s">
        <v>483</v>
      </c>
      <c r="D18" s="489"/>
      <c r="E18" s="490"/>
      <c r="F18" s="489"/>
      <c r="G18" s="491"/>
    </row>
    <row r="19" spans="1:7" ht="15.9" customHeight="1" x14ac:dyDescent="0.25">
      <c r="A19" s="49" t="s">
        <v>594</v>
      </c>
      <c r="B19" s="50" t="s">
        <v>906</v>
      </c>
      <c r="C19" s="492" t="s">
        <v>485</v>
      </c>
      <c r="D19" s="398">
        <f>SUM(D20:D27)</f>
        <v>825826.75</v>
      </c>
      <c r="E19" s="398">
        <f>SUM(E20:E27)</f>
        <v>14781.04</v>
      </c>
      <c r="F19" s="398">
        <f>SUM(F20:F27)</f>
        <v>811045.71</v>
      </c>
      <c r="G19" s="493">
        <f>SUM(G20:G27)</f>
        <v>1495473.9200000002</v>
      </c>
    </row>
    <row r="20" spans="1:7" ht="31.2" x14ac:dyDescent="0.3">
      <c r="A20" s="893"/>
      <c r="B20" s="468" t="s">
        <v>605</v>
      </c>
      <c r="C20" s="488" t="s">
        <v>487</v>
      </c>
      <c r="D20" s="489">
        <v>462600.34</v>
      </c>
      <c r="E20" s="490">
        <v>14781.04</v>
      </c>
      <c r="F20" s="489">
        <v>447819.3</v>
      </c>
      <c r="G20" s="491">
        <v>597351.51</v>
      </c>
    </row>
    <row r="21" spans="1:7" ht="15.9" customHeight="1" x14ac:dyDescent="0.3">
      <c r="A21" s="893"/>
      <c r="B21" s="458" t="s">
        <v>604</v>
      </c>
      <c r="C21" s="488" t="s">
        <v>488</v>
      </c>
      <c r="D21" s="489">
        <v>39493.769999999997</v>
      </c>
      <c r="E21" s="490"/>
      <c r="F21" s="489">
        <v>39493.769999999997</v>
      </c>
      <c r="G21" s="491">
        <v>37149.300000000003</v>
      </c>
    </row>
    <row r="22" spans="1:7" ht="15.9" customHeight="1" x14ac:dyDescent="0.3">
      <c r="A22" s="893"/>
      <c r="B22" s="458" t="s">
        <v>606</v>
      </c>
      <c r="C22" s="488" t="s">
        <v>490</v>
      </c>
      <c r="D22" s="489"/>
      <c r="E22" s="490"/>
      <c r="F22" s="489"/>
      <c r="G22" s="491"/>
    </row>
    <row r="23" spans="1:7" ht="15.6" x14ac:dyDescent="0.3">
      <c r="A23" s="893"/>
      <c r="B23" s="458" t="s">
        <v>607</v>
      </c>
      <c r="C23" s="488" t="s">
        <v>492</v>
      </c>
      <c r="D23" s="489">
        <v>58862.7</v>
      </c>
      <c r="E23" s="490"/>
      <c r="F23" s="489">
        <v>58862.7</v>
      </c>
      <c r="G23" s="491">
        <v>210099.28</v>
      </c>
    </row>
    <row r="24" spans="1:7" ht="31.2" x14ac:dyDescent="0.3">
      <c r="A24" s="893"/>
      <c r="B24" s="458" t="s">
        <v>978</v>
      </c>
      <c r="C24" s="488" t="s">
        <v>494</v>
      </c>
      <c r="D24" s="489">
        <v>263689.59999999998</v>
      </c>
      <c r="E24" s="490"/>
      <c r="F24" s="489">
        <v>263689.59999999998</v>
      </c>
      <c r="G24" s="491">
        <v>650163.30000000005</v>
      </c>
    </row>
    <row r="25" spans="1:7" ht="15.75" customHeight="1" x14ac:dyDescent="0.3">
      <c r="A25" s="893"/>
      <c r="B25" s="458" t="s">
        <v>899</v>
      </c>
      <c r="C25" s="488" t="s">
        <v>495</v>
      </c>
      <c r="D25" s="489"/>
      <c r="E25" s="490"/>
      <c r="F25" s="489"/>
      <c r="G25" s="491"/>
    </row>
    <row r="26" spans="1:7" ht="15.9" customHeight="1" x14ac:dyDescent="0.3">
      <c r="A26" s="894"/>
      <c r="B26" s="458" t="s">
        <v>900</v>
      </c>
      <c r="C26" s="488" t="s">
        <v>497</v>
      </c>
      <c r="D26" s="489"/>
      <c r="E26" s="490"/>
      <c r="F26" s="489"/>
      <c r="G26" s="491"/>
    </row>
    <row r="27" spans="1:7" ht="31.2" x14ac:dyDescent="0.3">
      <c r="A27" s="494"/>
      <c r="B27" s="458" t="s">
        <v>833</v>
      </c>
      <c r="C27" s="488" t="s">
        <v>498</v>
      </c>
      <c r="D27" s="489">
        <v>1180.3399999999999</v>
      </c>
      <c r="E27" s="490"/>
      <c r="F27" s="489">
        <v>1180.3399999999999</v>
      </c>
      <c r="G27" s="491">
        <v>710.53</v>
      </c>
    </row>
    <row r="28" spans="1:7" ht="15.9" customHeight="1" x14ac:dyDescent="0.25">
      <c r="A28" s="49" t="s">
        <v>608</v>
      </c>
      <c r="B28" s="50" t="s">
        <v>905</v>
      </c>
      <c r="C28" s="492" t="s">
        <v>500</v>
      </c>
      <c r="D28" s="398">
        <f>SUM(D29:D33)</f>
        <v>13277517.51</v>
      </c>
      <c r="E28" s="398">
        <f>SUM(E29:E33)</f>
        <v>0</v>
      </c>
      <c r="F28" s="398">
        <f>SUM(F29:F33)</f>
        <v>13277517.51</v>
      </c>
      <c r="G28" s="33">
        <f>SUM(G29:G33)</f>
        <v>14549992.690000001</v>
      </c>
    </row>
    <row r="29" spans="1:7" ht="15.9" customHeight="1" x14ac:dyDescent="0.3">
      <c r="A29" s="893"/>
      <c r="B29" s="468" t="s">
        <v>609</v>
      </c>
      <c r="C29" s="488" t="s">
        <v>502</v>
      </c>
      <c r="D29" s="489">
        <v>20440.59</v>
      </c>
      <c r="E29" s="490"/>
      <c r="F29" s="489">
        <v>20440.59</v>
      </c>
      <c r="G29" s="491">
        <v>21590.880000000001</v>
      </c>
    </row>
    <row r="30" spans="1:7" ht="15.9" customHeight="1" x14ac:dyDescent="0.3">
      <c r="A30" s="893"/>
      <c r="B30" s="458" t="s">
        <v>901</v>
      </c>
      <c r="C30" s="488" t="s">
        <v>504</v>
      </c>
      <c r="D30" s="489">
        <v>13257076.92</v>
      </c>
      <c r="E30" s="490"/>
      <c r="F30" s="489">
        <v>13257076.92</v>
      </c>
      <c r="G30" s="491">
        <v>14528401.810000001</v>
      </c>
    </row>
    <row r="31" spans="1:7" ht="18.75" customHeight="1" x14ac:dyDescent="0.3">
      <c r="A31" s="893"/>
      <c r="B31" s="458" t="s">
        <v>610</v>
      </c>
      <c r="C31" s="488" t="s">
        <v>506</v>
      </c>
      <c r="D31" s="489"/>
      <c r="E31" s="490"/>
      <c r="F31" s="489"/>
      <c r="G31" s="491"/>
    </row>
    <row r="32" spans="1:7" ht="31.2" x14ac:dyDescent="0.3">
      <c r="A32" s="893"/>
      <c r="B32" s="458" t="s">
        <v>507</v>
      </c>
      <c r="C32" s="488" t="s">
        <v>508</v>
      </c>
      <c r="D32" s="489"/>
      <c r="E32" s="490"/>
      <c r="F32" s="489"/>
      <c r="G32" s="491"/>
    </row>
    <row r="33" spans="1:7" ht="17.25" customHeight="1" thickBot="1" x14ac:dyDescent="0.35">
      <c r="A33" s="893"/>
      <c r="B33" s="495" t="s">
        <v>902</v>
      </c>
      <c r="C33" s="496" t="s">
        <v>510</v>
      </c>
      <c r="D33" s="497"/>
      <c r="E33" s="498"/>
      <c r="F33" s="497"/>
      <c r="G33" s="499"/>
    </row>
    <row r="34" spans="1:7" ht="33" customHeight="1" thickBot="1" x14ac:dyDescent="0.3">
      <c r="A34" s="895" t="s">
        <v>903</v>
      </c>
      <c r="B34" s="896"/>
      <c r="C34" s="500" t="s">
        <v>512</v>
      </c>
      <c r="D34" s="414">
        <f>D35+D36</f>
        <v>328708.09999999998</v>
      </c>
      <c r="E34" s="414">
        <f>E35+E36</f>
        <v>0</v>
      </c>
      <c r="F34" s="414">
        <f>F35+F36</f>
        <v>328708.09999999998</v>
      </c>
      <c r="G34" s="501">
        <f>G35+G36</f>
        <v>298618.71999999997</v>
      </c>
    </row>
    <row r="35" spans="1:7" ht="18" customHeight="1" x14ac:dyDescent="0.3">
      <c r="A35" s="907" t="s">
        <v>577</v>
      </c>
      <c r="B35" s="468" t="s">
        <v>611</v>
      </c>
      <c r="C35" s="502" t="s">
        <v>514</v>
      </c>
      <c r="D35" s="503">
        <v>328708.09999999998</v>
      </c>
      <c r="E35" s="504"/>
      <c r="F35" s="503">
        <v>328708.09999999998</v>
      </c>
      <c r="G35" s="505">
        <v>298618.71999999997</v>
      </c>
    </row>
    <row r="36" spans="1:7" ht="18" customHeight="1" thickBot="1" x14ac:dyDescent="0.35">
      <c r="A36" s="908"/>
      <c r="B36" s="506" t="s">
        <v>612</v>
      </c>
      <c r="C36" s="496" t="s">
        <v>516</v>
      </c>
      <c r="D36" s="497"/>
      <c r="E36" s="498"/>
      <c r="F36" s="497"/>
      <c r="G36" s="499"/>
    </row>
    <row r="37" spans="1:7" ht="18" customHeight="1" thickBot="1" x14ac:dyDescent="0.3">
      <c r="A37" s="888" t="s">
        <v>904</v>
      </c>
      <c r="B37" s="889"/>
      <c r="C37" s="507" t="s">
        <v>518</v>
      </c>
      <c r="D37" s="414">
        <f>T24a_Aktíva_1!D6+T24b_Aktíva_2!D6+T24b_Aktíva_2!D34</f>
        <v>146485289.00999999</v>
      </c>
      <c r="E37" s="414">
        <f>T24a_Aktíva_1!E6+T24b_Aktíva_2!E6+T24b_Aktíva_2!E34</f>
        <v>44793324.380000003</v>
      </c>
      <c r="F37" s="414">
        <f>T24a_Aktíva_1!F6+T24b_Aktíva_2!F6+T24b_Aktíva_2!F34</f>
        <v>101691964.62999998</v>
      </c>
      <c r="G37" s="501">
        <f>T24a_Aktíva_1!G6+T24b_Aktíva_2!G6+T24b_Aktíva_2!G34</f>
        <v>83279962.400000006</v>
      </c>
    </row>
    <row r="38" spans="1:7" ht="18" customHeight="1" x14ac:dyDescent="0.25">
      <c r="A38" s="508"/>
      <c r="B38" s="508"/>
      <c r="C38" s="509"/>
    </row>
    <row r="39" spans="1:7" ht="18" customHeight="1" x14ac:dyDescent="0.25">
      <c r="A39" s="508"/>
      <c r="B39" s="508"/>
      <c r="C39" s="509"/>
    </row>
    <row r="40" spans="1:7" ht="18" customHeight="1" x14ac:dyDescent="0.25"/>
    <row r="41" spans="1:7" ht="18" customHeight="1" x14ac:dyDescent="0.25"/>
    <row r="42" spans="1:7" ht="18" customHeight="1" x14ac:dyDescent="0.25"/>
    <row r="43" spans="1:7" ht="18" customHeight="1" x14ac:dyDescent="0.25"/>
    <row r="44" spans="1:7" ht="18" customHeight="1" x14ac:dyDescent="0.25"/>
    <row r="45" spans="1:7" ht="18" customHeight="1" x14ac:dyDescent="0.25"/>
    <row r="46" spans="1:7" ht="18" customHeight="1" x14ac:dyDescent="0.25"/>
  </sheetData>
  <mergeCells count="14">
    <mergeCell ref="A37:B37"/>
    <mergeCell ref="A2:G2"/>
    <mergeCell ref="A1:G1"/>
    <mergeCell ref="A15:A18"/>
    <mergeCell ref="A20:A26"/>
    <mergeCell ref="A29:A33"/>
    <mergeCell ref="A34:B34"/>
    <mergeCell ref="A3:B4"/>
    <mergeCell ref="C3:C4"/>
    <mergeCell ref="D3:F3"/>
    <mergeCell ref="A5:B5"/>
    <mergeCell ref="A6:B6"/>
    <mergeCell ref="A8:A13"/>
    <mergeCell ref="A35:A36"/>
  </mergeCells>
  <pageMargins left="0.39370078740157483" right="0.35433070866141736" top="0.52" bottom="0.98425196850393704" header="0.51181102362204722" footer="0.51181102362204722"/>
  <pageSetup paperSize="9" scale="7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4"/>
  <sheetViews>
    <sheetView workbookViewId="0">
      <pane xSplit="5" ySplit="5" topLeftCell="F36" activePane="bottomRight" state="frozen"/>
      <selection pane="topRight" activeCell="F1" sqref="F1"/>
      <selection pane="bottomLeft" activeCell="A6" sqref="A6"/>
      <selection pane="bottomRight" activeCell="J8" sqref="J8"/>
    </sheetView>
  </sheetViews>
  <sheetFormatPr defaultColWidth="9.109375" defaultRowHeight="13.2" x14ac:dyDescent="0.25"/>
  <cols>
    <col min="1" max="1" width="4" style="449" customWidth="1"/>
    <col min="2" max="2" width="60.109375" style="449" customWidth="1"/>
    <col min="3" max="3" width="6.5546875" style="449" customWidth="1"/>
    <col min="4" max="5" width="11.6640625" style="449" hidden="1" customWidth="1"/>
    <col min="6" max="6" width="18" style="477" customWidth="1"/>
    <col min="7" max="7" width="16.5546875" style="478" customWidth="1"/>
    <col min="8" max="16384" width="9.109375" style="449"/>
  </cols>
  <sheetData>
    <row r="1" spans="1:10" ht="38.25" customHeight="1" thickBot="1" x14ac:dyDescent="0.3">
      <c r="A1" s="803" t="s">
        <v>1299</v>
      </c>
      <c r="B1" s="804"/>
      <c r="C1" s="804"/>
      <c r="D1" s="804"/>
      <c r="E1" s="804"/>
      <c r="F1" s="804"/>
      <c r="G1" s="805"/>
    </row>
    <row r="2" spans="1:10" ht="33" customHeight="1" thickBot="1" x14ac:dyDescent="0.3">
      <c r="A2" s="913" t="s">
        <v>1216</v>
      </c>
      <c r="B2" s="914"/>
      <c r="C2" s="914"/>
      <c r="D2" s="914"/>
      <c r="E2" s="914"/>
      <c r="F2" s="914"/>
      <c r="G2" s="915"/>
    </row>
    <row r="3" spans="1:10" ht="35.25" customHeight="1" x14ac:dyDescent="0.25">
      <c r="A3" s="918" t="s">
        <v>613</v>
      </c>
      <c r="B3" s="919"/>
      <c r="C3" s="919"/>
      <c r="D3" s="922" t="s">
        <v>597</v>
      </c>
      <c r="E3" s="923"/>
      <c r="F3" s="924"/>
      <c r="G3" s="928" t="s">
        <v>574</v>
      </c>
    </row>
    <row r="4" spans="1:10" ht="42.75" customHeight="1" thickBot="1" x14ac:dyDescent="0.3">
      <c r="A4" s="920"/>
      <c r="B4" s="921"/>
      <c r="C4" s="921"/>
      <c r="D4" s="925"/>
      <c r="E4" s="926"/>
      <c r="F4" s="927"/>
      <c r="G4" s="929"/>
    </row>
    <row r="5" spans="1:10" ht="19.5" customHeight="1" thickBot="1" x14ac:dyDescent="0.3">
      <c r="A5" s="930" t="s">
        <v>575</v>
      </c>
      <c r="B5" s="931"/>
      <c r="C5" s="450" t="s">
        <v>576</v>
      </c>
      <c r="D5" s="450">
        <v>1</v>
      </c>
      <c r="E5" s="450">
        <v>2</v>
      </c>
      <c r="F5" s="57">
        <v>5</v>
      </c>
      <c r="G5" s="58">
        <v>6</v>
      </c>
    </row>
    <row r="6" spans="1:10" ht="30.75" customHeight="1" x14ac:dyDescent="0.3">
      <c r="A6" s="932" t="s">
        <v>912</v>
      </c>
      <c r="B6" s="933"/>
      <c r="C6" s="60" t="s">
        <v>527</v>
      </c>
      <c r="D6" s="451">
        <f>D7+D13</f>
        <v>207980</v>
      </c>
      <c r="E6" s="451">
        <f>E7+E13</f>
        <v>0</v>
      </c>
      <c r="F6" s="452">
        <f>F7+F13+F17+F18</f>
        <v>39695219.410000004</v>
      </c>
      <c r="G6" s="453">
        <f>G7+G13+G17+G18</f>
        <v>37981513.130000003</v>
      </c>
      <c r="H6" s="454"/>
      <c r="I6" s="455"/>
      <c r="J6" s="455"/>
    </row>
    <row r="7" spans="1:10" ht="15.6" x14ac:dyDescent="0.3">
      <c r="A7" s="456" t="s">
        <v>577</v>
      </c>
      <c r="B7" s="50" t="s">
        <v>913</v>
      </c>
      <c r="C7" s="46" t="s">
        <v>528</v>
      </c>
      <c r="D7" s="457">
        <f>SUM(D8:D10)</f>
        <v>193386</v>
      </c>
      <c r="E7" s="457">
        <f>SUM(E8:E10)</f>
        <v>0</v>
      </c>
      <c r="F7" s="398">
        <f>SUM(F8:F12)</f>
        <v>34917133.289999999</v>
      </c>
      <c r="G7" s="33">
        <f>SUM(G8:G12)</f>
        <v>34187637.670000002</v>
      </c>
    </row>
    <row r="8" spans="1:10" ht="18" customHeight="1" x14ac:dyDescent="0.3">
      <c r="A8" s="893"/>
      <c r="B8" s="458" t="s">
        <v>799</v>
      </c>
      <c r="C8" s="48" t="s">
        <v>529</v>
      </c>
      <c r="D8" s="459">
        <v>169934</v>
      </c>
      <c r="E8" s="459"/>
      <c r="F8" s="460">
        <v>34062847.07</v>
      </c>
      <c r="G8" s="461">
        <v>29451052.98</v>
      </c>
    </row>
    <row r="9" spans="1:10" ht="15.9" customHeight="1" x14ac:dyDescent="0.3">
      <c r="A9" s="893"/>
      <c r="B9" s="458" t="s">
        <v>622</v>
      </c>
      <c r="C9" s="48" t="s">
        <v>530</v>
      </c>
      <c r="D9" s="459"/>
      <c r="E9" s="459"/>
      <c r="F9" s="460">
        <v>298207.56</v>
      </c>
      <c r="G9" s="461">
        <v>338376.94</v>
      </c>
    </row>
    <row r="10" spans="1:10" ht="15.6" x14ac:dyDescent="0.3">
      <c r="A10" s="894"/>
      <c r="B10" s="458" t="s">
        <v>800</v>
      </c>
      <c r="C10" s="48" t="s">
        <v>531</v>
      </c>
      <c r="D10" s="459">
        <v>23452</v>
      </c>
      <c r="E10" s="459"/>
      <c r="F10" s="460">
        <v>556078.66</v>
      </c>
      <c r="G10" s="461">
        <v>4398207.75</v>
      </c>
    </row>
    <row r="11" spans="1:10" ht="18" customHeight="1" x14ac:dyDescent="0.3">
      <c r="A11" s="462"/>
      <c r="B11" s="458" t="s">
        <v>614</v>
      </c>
      <c r="C11" s="48" t="s">
        <v>532</v>
      </c>
      <c r="D11" s="459"/>
      <c r="E11" s="459"/>
      <c r="F11" s="460"/>
      <c r="G11" s="461"/>
    </row>
    <row r="12" spans="1:10" ht="15.6" x14ac:dyDescent="0.3">
      <c r="A12" s="462"/>
      <c r="B12" s="458" t="s">
        <v>615</v>
      </c>
      <c r="C12" s="48" t="s">
        <v>533</v>
      </c>
      <c r="D12" s="459"/>
      <c r="E12" s="459"/>
      <c r="F12" s="460"/>
      <c r="G12" s="461"/>
    </row>
    <row r="13" spans="1:10" ht="18" customHeight="1" x14ac:dyDescent="0.3">
      <c r="A13" s="49" t="s">
        <v>583</v>
      </c>
      <c r="B13" s="50" t="s">
        <v>914</v>
      </c>
      <c r="C13" s="46" t="s">
        <v>534</v>
      </c>
      <c r="D13" s="457">
        <f>SUM(D14:D16)</f>
        <v>14594</v>
      </c>
      <c r="E13" s="457">
        <f>SUM(E14:E16)</f>
        <v>0</v>
      </c>
      <c r="F13" s="398">
        <f>SUM(F14:F17)</f>
        <v>3016377.92</v>
      </c>
      <c r="G13" s="33">
        <f>SUM(G14:G17)</f>
        <v>2931290.29</v>
      </c>
    </row>
    <row r="14" spans="1:10" ht="14.25" customHeight="1" x14ac:dyDescent="0.3">
      <c r="A14" s="906"/>
      <c r="B14" s="458" t="s">
        <v>623</v>
      </c>
      <c r="C14" s="48" t="s">
        <v>535</v>
      </c>
      <c r="D14" s="459">
        <v>3949</v>
      </c>
      <c r="E14" s="459"/>
      <c r="F14" s="460">
        <v>3016377.92</v>
      </c>
      <c r="G14" s="461">
        <v>2931290.29</v>
      </c>
    </row>
    <row r="15" spans="1:10" ht="15.6" x14ac:dyDescent="0.3">
      <c r="A15" s="906"/>
      <c r="B15" s="458" t="s">
        <v>625</v>
      </c>
      <c r="C15" s="48" t="s">
        <v>536</v>
      </c>
      <c r="D15" s="459">
        <v>-5033</v>
      </c>
      <c r="E15" s="459"/>
      <c r="F15" s="460"/>
      <c r="G15" s="461"/>
    </row>
    <row r="16" spans="1:10" ht="15.6" x14ac:dyDescent="0.3">
      <c r="A16" s="906"/>
      <c r="B16" s="458" t="s">
        <v>624</v>
      </c>
      <c r="C16" s="48" t="s">
        <v>537</v>
      </c>
      <c r="D16" s="47">
        <v>15678</v>
      </c>
      <c r="E16" s="47"/>
      <c r="F16" s="460"/>
      <c r="G16" s="461"/>
    </row>
    <row r="17" spans="1:7" ht="36" customHeight="1" x14ac:dyDescent="0.3">
      <c r="A17" s="463" t="s">
        <v>594</v>
      </c>
      <c r="B17" s="464" t="s">
        <v>915</v>
      </c>
      <c r="C17" s="46" t="s">
        <v>538</v>
      </c>
      <c r="D17" s="47"/>
      <c r="E17" s="47"/>
      <c r="F17" s="460"/>
      <c r="G17" s="461"/>
    </row>
    <row r="18" spans="1:7" ht="31.2" x14ac:dyDescent="0.3">
      <c r="A18" s="463" t="s">
        <v>608</v>
      </c>
      <c r="B18" s="50" t="s">
        <v>916</v>
      </c>
      <c r="C18" s="46" t="s">
        <v>539</v>
      </c>
      <c r="D18" s="47"/>
      <c r="E18" s="47"/>
      <c r="F18" s="465">
        <v>1761708.2</v>
      </c>
      <c r="G18" s="466">
        <v>862585.17</v>
      </c>
    </row>
    <row r="19" spans="1:7" ht="15" customHeight="1" x14ac:dyDescent="0.3">
      <c r="A19" s="916" t="s">
        <v>917</v>
      </c>
      <c r="B19" s="917"/>
      <c r="C19" s="46" t="s">
        <v>540</v>
      </c>
      <c r="D19" s="47">
        <v>77905</v>
      </c>
      <c r="E19" s="47"/>
      <c r="F19" s="398">
        <f>F20+F24+F32+F42</f>
        <v>7788551.3600000013</v>
      </c>
      <c r="G19" s="33">
        <f>G20+G24+G32+G42</f>
        <v>5142117.3099999996</v>
      </c>
    </row>
    <row r="20" spans="1:7" ht="15.6" x14ac:dyDescent="0.3">
      <c r="A20" s="49" t="s">
        <v>577</v>
      </c>
      <c r="B20" s="467" t="s">
        <v>918</v>
      </c>
      <c r="C20" s="46" t="s">
        <v>541</v>
      </c>
      <c r="D20" s="47"/>
      <c r="E20" s="47"/>
      <c r="F20" s="398">
        <f>SUM(F21:F23)</f>
        <v>515933.71</v>
      </c>
      <c r="G20" s="33">
        <f>SUM(G21:G23)</f>
        <v>450128.9</v>
      </c>
    </row>
    <row r="21" spans="1:7" ht="13.5" customHeight="1" x14ac:dyDescent="0.3">
      <c r="A21" s="49"/>
      <c r="B21" s="468" t="s">
        <v>626</v>
      </c>
      <c r="C21" s="48" t="s">
        <v>542</v>
      </c>
      <c r="D21" s="459"/>
      <c r="E21" s="459"/>
      <c r="F21" s="460"/>
      <c r="G21" s="461"/>
    </row>
    <row r="22" spans="1:7" ht="15.6" x14ac:dyDescent="0.3">
      <c r="A22" s="49"/>
      <c r="B22" s="468" t="s">
        <v>627</v>
      </c>
      <c r="C22" s="48" t="s">
        <v>543</v>
      </c>
      <c r="D22" s="459"/>
      <c r="E22" s="459"/>
      <c r="F22" s="460"/>
      <c r="G22" s="461"/>
    </row>
    <row r="23" spans="1:7" ht="15.6" x14ac:dyDescent="0.3">
      <c r="A23" s="49"/>
      <c r="B23" s="468" t="s">
        <v>628</v>
      </c>
      <c r="C23" s="48" t="s">
        <v>544</v>
      </c>
      <c r="D23" s="459"/>
      <c r="E23" s="459"/>
      <c r="F23" s="460">
        <v>515933.71</v>
      </c>
      <c r="G23" s="461">
        <v>450128.9</v>
      </c>
    </row>
    <row r="24" spans="1:7" ht="14.25" customHeight="1" x14ac:dyDescent="0.3">
      <c r="A24" s="49" t="s">
        <v>583</v>
      </c>
      <c r="B24" s="50" t="s">
        <v>919</v>
      </c>
      <c r="C24" s="46" t="s">
        <v>545</v>
      </c>
      <c r="D24" s="469">
        <f>SUM(D25:D31)</f>
        <v>327</v>
      </c>
      <c r="E24" s="469">
        <f>SUM(E25:E31)</f>
        <v>0</v>
      </c>
      <c r="F24" s="398">
        <f>SUM(F25:F31)</f>
        <v>105586.07</v>
      </c>
      <c r="G24" s="33">
        <f>SUM(G25:G31)</f>
        <v>111869.3</v>
      </c>
    </row>
    <row r="25" spans="1:7" ht="15.6" x14ac:dyDescent="0.3">
      <c r="A25" s="893"/>
      <c r="B25" s="468" t="s">
        <v>629</v>
      </c>
      <c r="C25" s="48" t="s">
        <v>546</v>
      </c>
      <c r="D25" s="459"/>
      <c r="E25" s="459"/>
      <c r="F25" s="460">
        <v>105586.07</v>
      </c>
      <c r="G25" s="461">
        <v>111869.3</v>
      </c>
    </row>
    <row r="26" spans="1:7" ht="15.6" x14ac:dyDescent="0.3">
      <c r="A26" s="893"/>
      <c r="B26" s="468" t="s">
        <v>630</v>
      </c>
      <c r="C26" s="48" t="s">
        <v>547</v>
      </c>
      <c r="D26" s="459"/>
      <c r="E26" s="459"/>
      <c r="F26" s="460"/>
      <c r="G26" s="461"/>
    </row>
    <row r="27" spans="1:7" ht="15.6" x14ac:dyDescent="0.3">
      <c r="A27" s="893"/>
      <c r="B27" s="458" t="s">
        <v>631</v>
      </c>
      <c r="C27" s="48" t="s">
        <v>548</v>
      </c>
      <c r="D27" s="459"/>
      <c r="E27" s="459"/>
      <c r="F27" s="460"/>
      <c r="G27" s="461"/>
    </row>
    <row r="28" spans="1:7" ht="15.6" x14ac:dyDescent="0.3">
      <c r="A28" s="893"/>
      <c r="B28" s="458" t="s">
        <v>632</v>
      </c>
      <c r="C28" s="48" t="s">
        <v>549</v>
      </c>
      <c r="D28" s="459"/>
      <c r="E28" s="459"/>
      <c r="F28" s="460"/>
      <c r="G28" s="461"/>
    </row>
    <row r="29" spans="1:7" ht="15.6" x14ac:dyDescent="0.3">
      <c r="A29" s="893"/>
      <c r="B29" s="458" t="s">
        <v>633</v>
      </c>
      <c r="C29" s="48" t="s">
        <v>550</v>
      </c>
      <c r="D29" s="459">
        <v>327</v>
      </c>
      <c r="E29" s="459"/>
      <c r="F29" s="460"/>
      <c r="G29" s="461"/>
    </row>
    <row r="30" spans="1:7" ht="15.6" x14ac:dyDescent="0.3">
      <c r="A30" s="893"/>
      <c r="B30" s="458" t="s">
        <v>634</v>
      </c>
      <c r="C30" s="48" t="s">
        <v>551</v>
      </c>
      <c r="D30" s="459"/>
      <c r="E30" s="459"/>
      <c r="F30" s="460"/>
      <c r="G30" s="461"/>
    </row>
    <row r="31" spans="1:7" ht="15.6" x14ac:dyDescent="0.3">
      <c r="A31" s="893"/>
      <c r="B31" s="458" t="s">
        <v>1135</v>
      </c>
      <c r="C31" s="48" t="s">
        <v>552</v>
      </c>
      <c r="D31" s="459"/>
      <c r="E31" s="459"/>
      <c r="F31" s="460"/>
      <c r="G31" s="461"/>
    </row>
    <row r="32" spans="1:7" ht="15.6" x14ac:dyDescent="0.3">
      <c r="A32" s="49" t="s">
        <v>594</v>
      </c>
      <c r="B32" s="50" t="s">
        <v>920</v>
      </c>
      <c r="C32" s="46" t="s">
        <v>553</v>
      </c>
      <c r="D32" s="469">
        <f>SUM(D33:D41)</f>
        <v>306</v>
      </c>
      <c r="E32" s="469">
        <f>SUM(E33:E41)</f>
        <v>0</v>
      </c>
      <c r="F32" s="398">
        <f>SUM(F33:F41)</f>
        <v>7167031.580000001</v>
      </c>
      <c r="G32" s="33">
        <f>SUM(G33:G41)</f>
        <v>4580119.1099999994</v>
      </c>
    </row>
    <row r="33" spans="1:7" ht="15.6" x14ac:dyDescent="0.3">
      <c r="A33" s="893"/>
      <c r="B33" s="458" t="s">
        <v>616</v>
      </c>
      <c r="C33" s="48" t="s">
        <v>554</v>
      </c>
      <c r="D33" s="459">
        <v>133</v>
      </c>
      <c r="E33" s="459"/>
      <c r="F33" s="460">
        <v>3595391.43</v>
      </c>
      <c r="G33" s="461">
        <v>1476909.82</v>
      </c>
    </row>
    <row r="34" spans="1:7" ht="15.6" x14ac:dyDescent="0.3">
      <c r="A34" s="893"/>
      <c r="B34" s="458" t="s">
        <v>635</v>
      </c>
      <c r="C34" s="48" t="s">
        <v>555</v>
      </c>
      <c r="D34" s="47">
        <v>25</v>
      </c>
      <c r="E34" s="47"/>
      <c r="F34" s="460">
        <v>1408930.71</v>
      </c>
      <c r="G34" s="461">
        <v>1489154.89</v>
      </c>
    </row>
    <row r="35" spans="1:7" ht="15.6" x14ac:dyDescent="0.3">
      <c r="A35" s="893"/>
      <c r="B35" s="458" t="s">
        <v>636</v>
      </c>
      <c r="C35" s="48" t="s">
        <v>556</v>
      </c>
      <c r="D35" s="459"/>
      <c r="E35" s="459"/>
      <c r="F35" s="460">
        <v>861515.04</v>
      </c>
      <c r="G35" s="461">
        <v>883571.97</v>
      </c>
    </row>
    <row r="36" spans="1:7" ht="15.6" x14ac:dyDescent="0.3">
      <c r="A36" s="893"/>
      <c r="B36" s="458" t="s">
        <v>637</v>
      </c>
      <c r="C36" s="48" t="s">
        <v>557</v>
      </c>
      <c r="D36" s="459"/>
      <c r="E36" s="459"/>
      <c r="F36" s="460">
        <v>294134.74</v>
      </c>
      <c r="G36" s="461">
        <v>304814.31</v>
      </c>
    </row>
    <row r="37" spans="1:7" ht="31.2" x14ac:dyDescent="0.3">
      <c r="A37" s="893"/>
      <c r="B37" s="458" t="s">
        <v>638</v>
      </c>
      <c r="C37" s="48" t="s">
        <v>558</v>
      </c>
      <c r="D37" s="459"/>
      <c r="E37" s="459"/>
      <c r="F37" s="460"/>
      <c r="G37" s="461"/>
    </row>
    <row r="38" spans="1:7" ht="13.5" customHeight="1" x14ac:dyDescent="0.3">
      <c r="A38" s="893"/>
      <c r="B38" s="458" t="s">
        <v>643</v>
      </c>
      <c r="C38" s="48" t="s">
        <v>559</v>
      </c>
      <c r="D38" s="459"/>
      <c r="E38" s="459"/>
      <c r="F38" s="460"/>
      <c r="G38" s="461"/>
    </row>
    <row r="39" spans="1:7" ht="15.6" x14ac:dyDescent="0.3">
      <c r="A39" s="893"/>
      <c r="B39" s="458" t="s">
        <v>639</v>
      </c>
      <c r="C39" s="48" t="s">
        <v>560</v>
      </c>
      <c r="D39" s="459"/>
      <c r="E39" s="459"/>
      <c r="F39" s="460"/>
      <c r="G39" s="461"/>
    </row>
    <row r="40" spans="1:7" ht="15.6" x14ac:dyDescent="0.3">
      <c r="A40" s="893"/>
      <c r="B40" s="458" t="s">
        <v>640</v>
      </c>
      <c r="C40" s="48" t="s">
        <v>561</v>
      </c>
      <c r="D40" s="459"/>
      <c r="E40" s="459"/>
      <c r="F40" s="460"/>
      <c r="G40" s="461"/>
    </row>
    <row r="41" spans="1:7" ht="15.6" x14ac:dyDescent="0.3">
      <c r="A41" s="894"/>
      <c r="B41" s="458" t="s">
        <v>921</v>
      </c>
      <c r="C41" s="48" t="s">
        <v>562</v>
      </c>
      <c r="D41" s="459">
        <v>148</v>
      </c>
      <c r="E41" s="459"/>
      <c r="F41" s="460">
        <v>1007059.66</v>
      </c>
      <c r="G41" s="461">
        <v>425668.12</v>
      </c>
    </row>
    <row r="42" spans="1:7" ht="15" customHeight="1" x14ac:dyDescent="0.3">
      <c r="A42" s="456" t="s">
        <v>608</v>
      </c>
      <c r="B42" s="50" t="s">
        <v>922</v>
      </c>
      <c r="C42" s="46" t="s">
        <v>563</v>
      </c>
      <c r="D42" s="469">
        <f>SUM(D43:D45)</f>
        <v>0</v>
      </c>
      <c r="E42" s="469">
        <f>SUM(E43:E45)</f>
        <v>0</v>
      </c>
      <c r="F42" s="398">
        <f>SUM(F43:F45)</f>
        <v>0</v>
      </c>
      <c r="G42" s="33">
        <f>SUM(G43:G45)</f>
        <v>0</v>
      </c>
    </row>
    <row r="43" spans="1:7" ht="15.6" x14ac:dyDescent="0.3">
      <c r="A43" s="893"/>
      <c r="B43" s="458" t="s">
        <v>641</v>
      </c>
      <c r="C43" s="48" t="s">
        <v>564</v>
      </c>
      <c r="D43" s="459"/>
      <c r="E43" s="459"/>
      <c r="F43" s="460"/>
      <c r="G43" s="461"/>
    </row>
    <row r="44" spans="1:7" ht="15.6" x14ac:dyDescent="0.3">
      <c r="A44" s="893"/>
      <c r="B44" s="458" t="s">
        <v>617</v>
      </c>
      <c r="C44" s="48" t="s">
        <v>565</v>
      </c>
      <c r="D44" s="459"/>
      <c r="E44" s="459"/>
      <c r="F44" s="460"/>
      <c r="G44" s="461"/>
    </row>
    <row r="45" spans="1:7" ht="15.6" x14ac:dyDescent="0.3">
      <c r="A45" s="894"/>
      <c r="B45" s="458" t="s">
        <v>923</v>
      </c>
      <c r="C45" s="48" t="s">
        <v>566</v>
      </c>
      <c r="D45" s="459"/>
      <c r="E45" s="459"/>
      <c r="F45" s="460"/>
      <c r="G45" s="461"/>
    </row>
    <row r="46" spans="1:7" ht="14.25" customHeight="1" x14ac:dyDescent="0.3">
      <c r="A46" s="909" t="s">
        <v>924</v>
      </c>
      <c r="B46" s="910"/>
      <c r="C46" s="46" t="s">
        <v>567</v>
      </c>
      <c r="D46" s="469">
        <f>SUM(D47:D48)</f>
        <v>77272</v>
      </c>
      <c r="E46" s="469">
        <f>SUM(E47:E48)</f>
        <v>0</v>
      </c>
      <c r="F46" s="398">
        <f>SUM(F47:F48)</f>
        <v>54208193.859999999</v>
      </c>
      <c r="G46" s="33">
        <f>SUM(G47:G48)</f>
        <v>40156331.960000001</v>
      </c>
    </row>
    <row r="47" spans="1:7" ht="14.25" customHeight="1" x14ac:dyDescent="0.3">
      <c r="A47" s="893"/>
      <c r="B47" s="458" t="s">
        <v>642</v>
      </c>
      <c r="C47" s="48" t="s">
        <v>568</v>
      </c>
      <c r="D47" s="459"/>
      <c r="E47" s="459"/>
      <c r="F47" s="460">
        <v>54208193.859999999</v>
      </c>
      <c r="G47" s="461">
        <v>40156331.960000001</v>
      </c>
    </row>
    <row r="48" spans="1:7" ht="15.6" x14ac:dyDescent="0.3">
      <c r="A48" s="893"/>
      <c r="B48" s="458" t="s">
        <v>925</v>
      </c>
      <c r="C48" s="48" t="s">
        <v>569</v>
      </c>
      <c r="D48" s="459">
        <v>77272</v>
      </c>
      <c r="E48" s="459"/>
      <c r="F48" s="460"/>
      <c r="G48" s="461"/>
    </row>
    <row r="49" spans="1:7" ht="17.25" customHeight="1" thickBot="1" x14ac:dyDescent="0.35">
      <c r="A49" s="911" t="s">
        <v>926</v>
      </c>
      <c r="B49" s="912"/>
      <c r="C49" s="470" t="s">
        <v>570</v>
      </c>
      <c r="D49" s="471">
        <f>D6+D19</f>
        <v>285885</v>
      </c>
      <c r="E49" s="471">
        <f>E6+E19</f>
        <v>0</v>
      </c>
      <c r="F49" s="472">
        <f>F6+F19+F46</f>
        <v>101691964.63</v>
      </c>
      <c r="G49" s="137">
        <f>G6+G19+G46</f>
        <v>83279962.400000006</v>
      </c>
    </row>
    <row r="50" spans="1:7" ht="18" customHeight="1" x14ac:dyDescent="0.3">
      <c r="A50" s="473"/>
      <c r="B50" s="473"/>
      <c r="C50" s="474"/>
      <c r="D50" s="473"/>
      <c r="E50" s="473"/>
      <c r="F50" s="475"/>
      <c r="G50" s="476"/>
    </row>
    <row r="51" spans="1:7" ht="18" customHeight="1" x14ac:dyDescent="0.3">
      <c r="A51" s="473"/>
      <c r="B51" s="473"/>
      <c r="C51" s="474"/>
      <c r="D51" s="473"/>
      <c r="E51" s="473"/>
      <c r="F51" s="475"/>
      <c r="G51" s="476"/>
    </row>
    <row r="52" spans="1:7" ht="18" customHeight="1" x14ac:dyDescent="0.3">
      <c r="A52" s="473"/>
      <c r="B52" s="473"/>
      <c r="C52" s="473"/>
      <c r="D52" s="473"/>
      <c r="E52" s="473"/>
      <c r="F52" s="475"/>
      <c r="G52" s="476"/>
    </row>
    <row r="53" spans="1:7" ht="18" customHeight="1" x14ac:dyDescent="0.3">
      <c r="A53" s="473"/>
      <c r="B53" s="473"/>
      <c r="C53" s="473"/>
      <c r="D53" s="473"/>
      <c r="E53" s="473"/>
      <c r="F53" s="475"/>
      <c r="G53" s="476"/>
    </row>
    <row r="54" spans="1:7" ht="18" customHeight="1" x14ac:dyDescent="0.25"/>
  </sheetData>
  <mergeCells count="17">
    <mergeCell ref="A1:G1"/>
    <mergeCell ref="A8:A10"/>
    <mergeCell ref="A14:A16"/>
    <mergeCell ref="A19:B19"/>
    <mergeCell ref="A25:A31"/>
    <mergeCell ref="A3:B4"/>
    <mergeCell ref="C3:C4"/>
    <mergeCell ref="D3:F4"/>
    <mergeCell ref="G3:G4"/>
    <mergeCell ref="A5:B5"/>
    <mergeCell ref="A6:B6"/>
    <mergeCell ref="A46:B46"/>
    <mergeCell ref="A47:A48"/>
    <mergeCell ref="A49:B49"/>
    <mergeCell ref="A2:G2"/>
    <mergeCell ref="A33:A41"/>
    <mergeCell ref="A43:A45"/>
  </mergeCells>
  <printOptions horizontalCentered="1" verticalCentered="1"/>
  <pageMargins left="0.35433070866141736" right="0.31496062992125984" top="0.51181102362204722" bottom="0.35" header="0.51181102362204722" footer="0.35433070866141736"/>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tabColor indexed="60"/>
    <pageSetUpPr fitToPage="1"/>
  </sheetPr>
  <dimension ref="A1:C103"/>
  <sheetViews>
    <sheetView zoomScale="110" zoomScaleNormal="110" workbookViewId="0">
      <pane xSplit="1" ySplit="2" topLeftCell="B15" activePane="bottomRight" state="frozen"/>
      <selection pane="topRight" activeCell="B1" sqref="B1"/>
      <selection pane="bottomLeft" activeCell="A3" sqref="A3"/>
      <selection pane="bottomRight" activeCell="B17" sqref="B17"/>
    </sheetView>
  </sheetViews>
  <sheetFormatPr defaultRowHeight="15.6" x14ac:dyDescent="0.25"/>
  <cols>
    <col min="1" max="1" width="19.5546875" style="643" customWidth="1"/>
    <col min="2" max="2" width="113" style="22" customWidth="1"/>
    <col min="3" max="3" width="19.6640625" style="393" customWidth="1"/>
    <col min="4" max="16384" width="8.88671875" style="393"/>
  </cols>
  <sheetData>
    <row r="1" spans="1:3" ht="18" thickBot="1" x14ac:dyDescent="0.35">
      <c r="A1" s="934" t="s">
        <v>1362</v>
      </c>
      <c r="B1" s="935"/>
      <c r="C1" s="623"/>
    </row>
    <row r="2" spans="1:3" x14ac:dyDescent="0.25">
      <c r="A2" s="51" t="s">
        <v>219</v>
      </c>
      <c r="B2" s="51" t="s">
        <v>291</v>
      </c>
    </row>
    <row r="3" spans="1:3" ht="144.75" customHeight="1" x14ac:dyDescent="0.25">
      <c r="A3" s="86" t="s">
        <v>220</v>
      </c>
      <c r="B3" s="52" t="s">
        <v>311</v>
      </c>
    </row>
    <row r="4" spans="1:3" ht="56.25" customHeight="1" x14ac:dyDescent="0.25">
      <c r="A4" s="86" t="s">
        <v>221</v>
      </c>
      <c r="B4" s="86" t="s">
        <v>1363</v>
      </c>
    </row>
    <row r="5" spans="1:3" ht="46.8" x14ac:dyDescent="0.25">
      <c r="A5" s="86" t="s">
        <v>31</v>
      </c>
      <c r="B5" s="52" t="s">
        <v>1364</v>
      </c>
    </row>
    <row r="6" spans="1:3" ht="302.25" customHeight="1" x14ac:dyDescent="0.25">
      <c r="A6" s="86" t="s">
        <v>32</v>
      </c>
      <c r="B6" s="86" t="s">
        <v>865</v>
      </c>
    </row>
    <row r="7" spans="1:3" ht="38.25" customHeight="1" x14ac:dyDescent="0.25">
      <c r="A7" s="86" t="s">
        <v>33</v>
      </c>
      <c r="B7" s="52" t="s">
        <v>1182</v>
      </c>
    </row>
    <row r="8" spans="1:3" ht="54" customHeight="1" x14ac:dyDescent="0.25">
      <c r="A8" s="86" t="s">
        <v>218</v>
      </c>
      <c r="B8" s="86" t="s">
        <v>830</v>
      </c>
    </row>
    <row r="9" spans="1:3" ht="21" customHeight="1" x14ac:dyDescent="0.25">
      <c r="A9" s="52" t="s">
        <v>813</v>
      </c>
      <c r="B9" s="52" t="s">
        <v>1365</v>
      </c>
    </row>
    <row r="10" spans="1:3" ht="31.2" x14ac:dyDescent="0.25">
      <c r="A10" s="54" t="s">
        <v>89</v>
      </c>
      <c r="B10" s="54" t="s">
        <v>814</v>
      </c>
    </row>
    <row r="11" spans="1:3" ht="66" customHeight="1" x14ac:dyDescent="0.25">
      <c r="A11" s="86" t="s">
        <v>212</v>
      </c>
      <c r="B11" s="86" t="s">
        <v>806</v>
      </c>
    </row>
    <row r="12" spans="1:3" ht="78" x14ac:dyDescent="0.25">
      <c r="A12" s="53" t="s">
        <v>213</v>
      </c>
      <c r="B12" s="53" t="s">
        <v>887</v>
      </c>
    </row>
    <row r="13" spans="1:3" ht="36" customHeight="1" x14ac:dyDescent="0.25">
      <c r="A13" s="52" t="s">
        <v>214</v>
      </c>
      <c r="B13" s="86" t="s">
        <v>366</v>
      </c>
    </row>
    <row r="14" spans="1:3" ht="66.75" customHeight="1" x14ac:dyDescent="0.25">
      <c r="A14" s="52" t="s">
        <v>215</v>
      </c>
      <c r="B14" s="52" t="s">
        <v>878</v>
      </c>
      <c r="C14" s="624"/>
    </row>
    <row r="15" spans="1:3" ht="84" customHeight="1" x14ac:dyDescent="0.25">
      <c r="A15" s="52" t="s">
        <v>216</v>
      </c>
      <c r="B15" s="52" t="s">
        <v>1366</v>
      </c>
    </row>
    <row r="16" spans="1:3" ht="21.75" customHeight="1" x14ac:dyDescent="0.25">
      <c r="A16" s="52" t="s">
        <v>27</v>
      </c>
      <c r="B16" s="52" t="s">
        <v>807</v>
      </c>
    </row>
    <row r="17" spans="1:2" ht="52.5" customHeight="1" x14ac:dyDescent="0.25">
      <c r="A17" s="86" t="s">
        <v>19</v>
      </c>
      <c r="B17" s="86" t="s">
        <v>1367</v>
      </c>
    </row>
    <row r="18" spans="1:2" ht="57.75" customHeight="1" x14ac:dyDescent="0.25">
      <c r="A18" s="86" t="s">
        <v>209</v>
      </c>
      <c r="B18" s="86" t="s">
        <v>1368</v>
      </c>
    </row>
    <row r="19" spans="1:2" ht="48" customHeight="1" x14ac:dyDescent="0.25">
      <c r="A19" s="86" t="s">
        <v>1145</v>
      </c>
      <c r="B19" s="86" t="s">
        <v>1443</v>
      </c>
    </row>
    <row r="20" spans="1:2" ht="33" customHeight="1" x14ac:dyDescent="0.25">
      <c r="A20" s="86" t="s">
        <v>295</v>
      </c>
      <c r="B20" s="86" t="s">
        <v>247</v>
      </c>
    </row>
    <row r="21" spans="1:2" ht="17.25" customHeight="1" x14ac:dyDescent="0.25">
      <c r="A21" s="86" t="s">
        <v>1031</v>
      </c>
      <c r="B21" s="86" t="s">
        <v>1033</v>
      </c>
    </row>
    <row r="22" spans="1:2" ht="31.2" x14ac:dyDescent="0.25">
      <c r="A22" s="86" t="s">
        <v>1019</v>
      </c>
      <c r="B22" s="86" t="s">
        <v>1032</v>
      </c>
    </row>
    <row r="23" spans="1:2" ht="18" customHeight="1" x14ac:dyDescent="0.25">
      <c r="A23" s="86" t="s">
        <v>834</v>
      </c>
      <c r="B23" s="86" t="s">
        <v>1034</v>
      </c>
    </row>
    <row r="24" spans="1:2" ht="20.25" customHeight="1" x14ac:dyDescent="0.25">
      <c r="A24" s="86" t="s">
        <v>1020</v>
      </c>
      <c r="B24" s="86" t="s">
        <v>835</v>
      </c>
    </row>
    <row r="25" spans="1:2" ht="19.5" customHeight="1" x14ac:dyDescent="0.25">
      <c r="A25" s="86" t="s">
        <v>1046</v>
      </c>
      <c r="B25" s="86" t="s">
        <v>1146</v>
      </c>
    </row>
    <row r="26" spans="1:2" ht="21" customHeight="1" x14ac:dyDescent="0.25">
      <c r="A26" s="86" t="s">
        <v>1039</v>
      </c>
      <c r="B26" s="86" t="s">
        <v>1369</v>
      </c>
    </row>
    <row r="27" spans="1:2" ht="36" customHeight="1" x14ac:dyDescent="0.25">
      <c r="A27" s="86" t="s">
        <v>1040</v>
      </c>
      <c r="B27" s="86" t="s">
        <v>1041</v>
      </c>
    </row>
    <row r="28" spans="1:2" ht="55.5" customHeight="1" x14ac:dyDescent="0.25">
      <c r="A28" s="86" t="s">
        <v>11</v>
      </c>
      <c r="B28" s="86" t="s">
        <v>1370</v>
      </c>
    </row>
    <row r="29" spans="1:2" ht="73.5" customHeight="1" x14ac:dyDescent="0.25">
      <c r="A29" s="86" t="s">
        <v>210</v>
      </c>
      <c r="B29" s="86" t="s">
        <v>1371</v>
      </c>
    </row>
    <row r="30" spans="1:2" ht="48.75" customHeight="1" x14ac:dyDescent="0.25">
      <c r="A30" s="86" t="s">
        <v>1147</v>
      </c>
      <c r="B30" s="86" t="s">
        <v>1442</v>
      </c>
    </row>
    <row r="31" spans="1:2" ht="35.25" customHeight="1" x14ac:dyDescent="0.25">
      <c r="A31" s="86" t="s">
        <v>155</v>
      </c>
      <c r="B31" s="86" t="s">
        <v>645</v>
      </c>
    </row>
    <row r="32" spans="1:2" ht="213.6" customHeight="1" x14ac:dyDescent="0.25">
      <c r="A32" s="86" t="s">
        <v>340</v>
      </c>
      <c r="B32" s="52" t="s">
        <v>866</v>
      </c>
    </row>
    <row r="33" spans="1:2" ht="31.2" x14ac:dyDescent="0.25">
      <c r="A33" s="52" t="s">
        <v>248</v>
      </c>
      <c r="B33" s="52" t="s">
        <v>1372</v>
      </c>
    </row>
    <row r="34" spans="1:2" ht="78" x14ac:dyDescent="0.25">
      <c r="A34" s="52" t="s">
        <v>249</v>
      </c>
      <c r="B34" s="52" t="s">
        <v>200</v>
      </c>
    </row>
    <row r="35" spans="1:2" ht="31.2" x14ac:dyDescent="0.25">
      <c r="A35" s="52" t="s">
        <v>250</v>
      </c>
      <c r="B35" s="52" t="s">
        <v>148</v>
      </c>
    </row>
    <row r="36" spans="1:2" ht="18" customHeight="1" x14ac:dyDescent="0.25">
      <c r="A36" s="52" t="s">
        <v>251</v>
      </c>
      <c r="B36" s="52" t="s">
        <v>149</v>
      </c>
    </row>
    <row r="37" spans="1:2" ht="18" customHeight="1" x14ac:dyDescent="0.25">
      <c r="A37" s="52" t="s">
        <v>252</v>
      </c>
      <c r="B37" s="52" t="s">
        <v>172</v>
      </c>
    </row>
    <row r="38" spans="1:2" ht="17.25" customHeight="1" x14ac:dyDescent="0.25">
      <c r="A38" s="52" t="s">
        <v>253</v>
      </c>
      <c r="B38" s="52" t="s">
        <v>798</v>
      </c>
    </row>
    <row r="39" spans="1:2" ht="78" x14ac:dyDescent="0.25">
      <c r="A39" s="52" t="s">
        <v>307</v>
      </c>
      <c r="B39" s="52" t="s">
        <v>1373</v>
      </c>
    </row>
    <row r="40" spans="1:2" ht="36.75" customHeight="1" x14ac:dyDescent="0.25">
      <c r="A40" s="52" t="s">
        <v>150</v>
      </c>
      <c r="B40" s="52" t="s">
        <v>1374</v>
      </c>
    </row>
    <row r="41" spans="1:2" ht="45" customHeight="1" x14ac:dyDescent="0.25">
      <c r="A41" s="52" t="s">
        <v>151</v>
      </c>
      <c r="B41" s="52" t="s">
        <v>1375</v>
      </c>
    </row>
    <row r="42" spans="1:2" ht="62.25" customHeight="1" x14ac:dyDescent="0.25">
      <c r="A42" s="52" t="s">
        <v>152</v>
      </c>
      <c r="B42" s="52" t="s">
        <v>1376</v>
      </c>
    </row>
    <row r="43" spans="1:2" ht="31.2" x14ac:dyDescent="0.25">
      <c r="A43" s="52" t="s">
        <v>153</v>
      </c>
      <c r="B43" s="52" t="s">
        <v>808</v>
      </c>
    </row>
    <row r="44" spans="1:2" ht="20.25" customHeight="1" x14ac:dyDescent="0.25">
      <c r="A44" s="52" t="s">
        <v>154</v>
      </c>
      <c r="B44" s="52" t="s">
        <v>68</v>
      </c>
    </row>
    <row r="45" spans="1:2" ht="30" customHeight="1" x14ac:dyDescent="0.25">
      <c r="A45" s="86" t="s">
        <v>1148</v>
      </c>
      <c r="B45" s="86" t="s">
        <v>1042</v>
      </c>
    </row>
    <row r="46" spans="1:2" ht="33.75" customHeight="1" x14ac:dyDescent="0.25">
      <c r="A46" s="52" t="s">
        <v>12</v>
      </c>
      <c r="B46" s="52" t="s">
        <v>1183</v>
      </c>
    </row>
    <row r="47" spans="1:2" ht="65.25" customHeight="1" x14ac:dyDescent="0.25">
      <c r="A47" s="52" t="s">
        <v>890</v>
      </c>
      <c r="B47" s="52" t="s">
        <v>1184</v>
      </c>
    </row>
    <row r="48" spans="1:2" ht="105" customHeight="1" x14ac:dyDescent="0.25">
      <c r="A48" s="52" t="s">
        <v>815</v>
      </c>
      <c r="B48" s="52" t="s">
        <v>1377</v>
      </c>
    </row>
    <row r="49" spans="1:2" ht="48" customHeight="1" x14ac:dyDescent="0.25">
      <c r="A49" s="52" t="s">
        <v>891</v>
      </c>
      <c r="B49" s="52" t="s">
        <v>1185</v>
      </c>
    </row>
    <row r="50" spans="1:2" ht="25.5" customHeight="1" x14ac:dyDescent="0.25">
      <c r="A50" s="52" t="s">
        <v>211</v>
      </c>
      <c r="B50" s="52" t="s">
        <v>892</v>
      </c>
    </row>
    <row r="51" spans="1:2" ht="36" customHeight="1" x14ac:dyDescent="0.25">
      <c r="A51" s="52" t="s">
        <v>35</v>
      </c>
      <c r="B51" s="52" t="s">
        <v>1378</v>
      </c>
    </row>
    <row r="52" spans="1:2" ht="34.5" customHeight="1" x14ac:dyDescent="0.25">
      <c r="A52" s="52" t="s">
        <v>894</v>
      </c>
      <c r="B52" s="52" t="s">
        <v>1379</v>
      </c>
    </row>
    <row r="53" spans="1:2" ht="33.75" customHeight="1" x14ac:dyDescent="0.25">
      <c r="A53" s="86" t="s">
        <v>254</v>
      </c>
      <c r="B53" s="86" t="s">
        <v>259</v>
      </c>
    </row>
    <row r="54" spans="1:2" ht="31.2" x14ac:dyDescent="0.25">
      <c r="A54" s="52" t="s">
        <v>990</v>
      </c>
      <c r="B54" s="52" t="s">
        <v>1186</v>
      </c>
    </row>
    <row r="55" spans="1:2" ht="33" customHeight="1" x14ac:dyDescent="0.25">
      <c r="A55" s="52" t="s">
        <v>173</v>
      </c>
      <c r="B55" s="52" t="s">
        <v>809</v>
      </c>
    </row>
    <row r="56" spans="1:2" ht="62.4" x14ac:dyDescent="0.25">
      <c r="A56" s="86" t="s">
        <v>13</v>
      </c>
      <c r="B56" s="86" t="s">
        <v>867</v>
      </c>
    </row>
    <row r="57" spans="1:2" x14ac:dyDescent="0.25">
      <c r="A57" s="52" t="s">
        <v>396</v>
      </c>
      <c r="B57" s="52" t="s">
        <v>877</v>
      </c>
    </row>
    <row r="58" spans="1:2" ht="31.2" x14ac:dyDescent="0.25">
      <c r="A58" s="52" t="s">
        <v>70</v>
      </c>
      <c r="B58" s="52" t="s">
        <v>174</v>
      </c>
    </row>
    <row r="59" spans="1:2" ht="18.600000000000001" customHeight="1" x14ac:dyDescent="0.25">
      <c r="A59" s="52" t="s">
        <v>822</v>
      </c>
      <c r="B59" s="52" t="s">
        <v>1154</v>
      </c>
    </row>
    <row r="60" spans="1:2" ht="50.25" customHeight="1" x14ac:dyDescent="0.25">
      <c r="A60" s="86" t="s">
        <v>294</v>
      </c>
      <c r="B60" s="86" t="s">
        <v>868</v>
      </c>
    </row>
    <row r="61" spans="1:2" ht="31.2" x14ac:dyDescent="0.25">
      <c r="A61" s="86" t="s">
        <v>197</v>
      </c>
      <c r="B61" s="86" t="s">
        <v>869</v>
      </c>
    </row>
    <row r="62" spans="1:2" x14ac:dyDescent="0.25">
      <c r="A62" s="86" t="s">
        <v>365</v>
      </c>
      <c r="B62" s="86" t="s">
        <v>1380</v>
      </c>
    </row>
    <row r="63" spans="1:2" ht="31.2" x14ac:dyDescent="0.25">
      <c r="A63" s="52" t="s">
        <v>260</v>
      </c>
      <c r="B63" s="52" t="s">
        <v>175</v>
      </c>
    </row>
    <row r="64" spans="1:2" ht="31.2" x14ac:dyDescent="0.25">
      <c r="A64" s="52" t="s">
        <v>393</v>
      </c>
      <c r="B64" s="52" t="s">
        <v>1381</v>
      </c>
    </row>
    <row r="65" spans="1:3" ht="34.200000000000003" x14ac:dyDescent="0.25">
      <c r="A65" s="52" t="s">
        <v>876</v>
      </c>
      <c r="B65" s="625" t="s">
        <v>1382</v>
      </c>
    </row>
    <row r="66" spans="1:3" ht="22.5" customHeight="1" x14ac:dyDescent="0.25">
      <c r="A66" s="52" t="s">
        <v>879</v>
      </c>
      <c r="B66" s="625" t="s">
        <v>1383</v>
      </c>
    </row>
    <row r="67" spans="1:3" ht="46.8" x14ac:dyDescent="0.25">
      <c r="A67" s="86" t="s">
        <v>14</v>
      </c>
      <c r="B67" s="86" t="s">
        <v>188</v>
      </c>
    </row>
    <row r="68" spans="1:3" ht="31.2" x14ac:dyDescent="0.25">
      <c r="A68" s="52" t="s">
        <v>133</v>
      </c>
      <c r="B68" s="52" t="s">
        <v>134</v>
      </c>
    </row>
    <row r="69" spans="1:3" ht="46.8" x14ac:dyDescent="0.25">
      <c r="A69" s="52" t="s">
        <v>844</v>
      </c>
      <c r="B69" s="52" t="s">
        <v>1384</v>
      </c>
    </row>
    <row r="70" spans="1:3" ht="46.8" x14ac:dyDescent="0.25">
      <c r="A70" s="52" t="s">
        <v>845</v>
      </c>
      <c r="B70" s="52" t="s">
        <v>1187</v>
      </c>
    </row>
    <row r="71" spans="1:3" ht="46.8" x14ac:dyDescent="0.25">
      <c r="A71" s="52" t="s">
        <v>132</v>
      </c>
      <c r="B71" s="52" t="s">
        <v>1385</v>
      </c>
    </row>
    <row r="72" spans="1:3" ht="46.8" x14ac:dyDescent="0.25">
      <c r="A72" s="52" t="s">
        <v>846</v>
      </c>
      <c r="B72" s="52" t="s">
        <v>864</v>
      </c>
    </row>
    <row r="73" spans="1:3" ht="31.2" x14ac:dyDescent="0.25">
      <c r="A73" s="86" t="s">
        <v>15</v>
      </c>
      <c r="B73" s="86" t="s">
        <v>1386</v>
      </c>
    </row>
    <row r="74" spans="1:3" ht="31.2" x14ac:dyDescent="0.25">
      <c r="A74" s="52" t="s">
        <v>198</v>
      </c>
      <c r="B74" s="52" t="s">
        <v>199</v>
      </c>
    </row>
    <row r="75" spans="1:3" ht="31.2" x14ac:dyDescent="0.25">
      <c r="A75" s="52" t="s">
        <v>1387</v>
      </c>
      <c r="B75" s="52" t="s">
        <v>1388</v>
      </c>
      <c r="C75" s="626"/>
    </row>
    <row r="76" spans="1:3" ht="34.5" customHeight="1" x14ac:dyDescent="0.25">
      <c r="A76" s="86" t="s">
        <v>341</v>
      </c>
      <c r="B76" s="86" t="s">
        <v>1389</v>
      </c>
      <c r="C76" s="626"/>
    </row>
    <row r="77" spans="1:3" ht="34.5" customHeight="1" x14ac:dyDescent="0.25">
      <c r="A77" s="52" t="s">
        <v>325</v>
      </c>
      <c r="B77" s="52" t="s">
        <v>1188</v>
      </c>
      <c r="C77" s="626"/>
    </row>
    <row r="78" spans="1:3" ht="21" customHeight="1" x14ac:dyDescent="0.25">
      <c r="A78" s="52" t="s">
        <v>342</v>
      </c>
      <c r="B78" s="52" t="s">
        <v>1044</v>
      </c>
      <c r="C78" s="626"/>
    </row>
    <row r="79" spans="1:3" ht="53.25" customHeight="1" x14ac:dyDescent="0.25">
      <c r="A79" s="52" t="s">
        <v>28</v>
      </c>
      <c r="B79" s="52" t="s">
        <v>206</v>
      </c>
    </row>
    <row r="80" spans="1:3" ht="36" customHeight="1" x14ac:dyDescent="0.25">
      <c r="A80" s="52" t="s">
        <v>67</v>
      </c>
      <c r="B80" s="52" t="s">
        <v>1390</v>
      </c>
    </row>
    <row r="81" spans="1:2" ht="33.75" customHeight="1" x14ac:dyDescent="0.25">
      <c r="A81" s="61" t="s">
        <v>811</v>
      </c>
      <c r="B81" s="52" t="s">
        <v>1189</v>
      </c>
    </row>
    <row r="82" spans="1:2" ht="84.75" customHeight="1" x14ac:dyDescent="0.25">
      <c r="A82" s="86" t="s">
        <v>156</v>
      </c>
      <c r="B82" s="86" t="s">
        <v>1391</v>
      </c>
    </row>
    <row r="83" spans="1:2" ht="18" customHeight="1" x14ac:dyDescent="0.25">
      <c r="A83" s="52" t="s">
        <v>73</v>
      </c>
      <c r="B83" s="52" t="s">
        <v>1190</v>
      </c>
    </row>
    <row r="84" spans="1:2" ht="19.5" customHeight="1" x14ac:dyDescent="0.25">
      <c r="A84" s="52" t="s">
        <v>308</v>
      </c>
      <c r="B84" s="52" t="s">
        <v>34</v>
      </c>
    </row>
    <row r="85" spans="1:2" ht="21" customHeight="1" x14ac:dyDescent="0.25">
      <c r="A85" s="52" t="s">
        <v>72</v>
      </c>
      <c r="B85" s="52" t="s">
        <v>309</v>
      </c>
    </row>
    <row r="86" spans="1:2" ht="25.5" customHeight="1" x14ac:dyDescent="0.25">
      <c r="A86" s="52" t="s">
        <v>310</v>
      </c>
      <c r="B86" s="52" t="s">
        <v>326</v>
      </c>
    </row>
    <row r="87" spans="1:2" ht="35.25" customHeight="1" x14ac:dyDescent="0.25">
      <c r="A87" s="52" t="s">
        <v>47</v>
      </c>
      <c r="B87" s="52" t="s">
        <v>48</v>
      </c>
    </row>
    <row r="88" spans="1:2" ht="35.25" customHeight="1" x14ac:dyDescent="0.25">
      <c r="A88" s="52" t="s">
        <v>49</v>
      </c>
      <c r="B88" s="52" t="s">
        <v>50</v>
      </c>
    </row>
    <row r="89" spans="1:2" ht="46.8" x14ac:dyDescent="0.25">
      <c r="A89" s="52" t="s">
        <v>51</v>
      </c>
      <c r="B89" s="52" t="s">
        <v>274</v>
      </c>
    </row>
    <row r="90" spans="1:2" ht="31.2" x14ac:dyDescent="0.25">
      <c r="A90" s="52" t="s">
        <v>42</v>
      </c>
      <c r="B90" s="52" t="s">
        <v>1392</v>
      </c>
    </row>
    <row r="91" spans="1:2" ht="61.5" customHeight="1" x14ac:dyDescent="0.25">
      <c r="A91" s="86" t="s">
        <v>158</v>
      </c>
      <c r="B91" s="86" t="s">
        <v>1393</v>
      </c>
    </row>
    <row r="92" spans="1:2" s="22" customFormat="1" ht="49.5" customHeight="1" x14ac:dyDescent="0.25">
      <c r="A92" s="52" t="s">
        <v>1045</v>
      </c>
      <c r="B92" s="52" t="s">
        <v>1394</v>
      </c>
    </row>
    <row r="93" spans="1:2" ht="130.5" customHeight="1" x14ac:dyDescent="0.25">
      <c r="A93" s="86" t="s">
        <v>343</v>
      </c>
      <c r="B93" s="86" t="s">
        <v>1395</v>
      </c>
    </row>
    <row r="94" spans="1:2" ht="49.5" customHeight="1" x14ac:dyDescent="0.25">
      <c r="A94" s="86" t="s">
        <v>255</v>
      </c>
      <c r="B94" s="86" t="s">
        <v>1396</v>
      </c>
    </row>
    <row r="95" spans="1:2" ht="37.5" customHeight="1" x14ac:dyDescent="0.25">
      <c r="A95" s="86" t="s">
        <v>992</v>
      </c>
      <c r="B95" s="86" t="s">
        <v>1191</v>
      </c>
    </row>
    <row r="96" spans="1:2" ht="31.2" x14ac:dyDescent="0.25">
      <c r="A96" s="86" t="s">
        <v>29</v>
      </c>
      <c r="B96" s="86" t="s">
        <v>987</v>
      </c>
    </row>
    <row r="97" spans="1:2" ht="62.4" x14ac:dyDescent="0.25">
      <c r="A97" s="86" t="s">
        <v>1047</v>
      </c>
      <c r="B97" s="86" t="s">
        <v>1192</v>
      </c>
    </row>
    <row r="98" spans="1:2" ht="62.4" x14ac:dyDescent="0.25">
      <c r="A98" s="86" t="s">
        <v>991</v>
      </c>
      <c r="B98" s="86" t="s">
        <v>1193</v>
      </c>
    </row>
    <row r="99" spans="1:2" ht="66.75" customHeight="1" x14ac:dyDescent="0.25">
      <c r="A99" s="86" t="s">
        <v>281</v>
      </c>
      <c r="B99" s="86" t="s">
        <v>883</v>
      </c>
    </row>
    <row r="100" spans="1:2" ht="31.2" x14ac:dyDescent="0.25">
      <c r="A100" s="86" t="s">
        <v>618</v>
      </c>
      <c r="B100" s="86" t="s">
        <v>1397</v>
      </c>
    </row>
    <row r="101" spans="1:2" ht="31.2" x14ac:dyDescent="0.25">
      <c r="A101" s="86" t="s">
        <v>619</v>
      </c>
      <c r="B101" s="86" t="s">
        <v>1194</v>
      </c>
    </row>
    <row r="102" spans="1:2" ht="31.2" x14ac:dyDescent="0.25">
      <c r="A102" s="86" t="s">
        <v>620</v>
      </c>
      <c r="B102" s="86" t="s">
        <v>1048</v>
      </c>
    </row>
    <row r="103" spans="1:2" ht="31.2" x14ac:dyDescent="0.25">
      <c r="A103" s="86" t="s">
        <v>621</v>
      </c>
      <c r="B103" s="86" t="s">
        <v>1049</v>
      </c>
    </row>
  </sheetData>
  <mergeCells count="1">
    <mergeCell ref="A1:B1"/>
  </mergeCells>
  <phoneticPr fontId="5"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tabColor indexed="51"/>
  </sheetPr>
  <dimension ref="A1:H62"/>
  <sheetViews>
    <sheetView zoomScaleNormal="100" workbookViewId="0">
      <pane xSplit="1" ySplit="2" topLeftCell="B6" activePane="bottomRight" state="frozen"/>
      <selection pane="topRight" activeCell="B1" sqref="B1"/>
      <selection pane="bottomLeft" activeCell="A3" sqref="A3"/>
      <selection pane="bottomRight" activeCell="C7" sqref="C7"/>
    </sheetView>
  </sheetViews>
  <sheetFormatPr defaultColWidth="9.109375" defaultRowHeight="15.6" x14ac:dyDescent="0.25"/>
  <cols>
    <col min="1" max="1" width="9.44140625" style="22" customWidth="1"/>
    <col min="2" max="2" width="33.44140625" style="25" customWidth="1"/>
    <col min="3" max="3" width="163.109375" style="23" customWidth="1"/>
    <col min="4" max="4" width="11.33203125" style="22" customWidth="1"/>
    <col min="5" max="5" width="13.5546875" style="22" customWidth="1"/>
    <col min="6" max="16384" width="9.109375" style="22"/>
  </cols>
  <sheetData>
    <row r="1" spans="1:4" ht="42" customHeight="1" thickBot="1" x14ac:dyDescent="0.3">
      <c r="A1" s="934" t="s">
        <v>1398</v>
      </c>
      <c r="B1" s="936"/>
      <c r="C1" s="935"/>
    </row>
    <row r="2" spans="1:4" s="30" customFormat="1" ht="48" customHeight="1" x14ac:dyDescent="0.25">
      <c r="A2" s="29" t="s">
        <v>219</v>
      </c>
      <c r="B2" s="105" t="s">
        <v>43</v>
      </c>
      <c r="C2" s="51" t="s">
        <v>44</v>
      </c>
    </row>
    <row r="3" spans="1:4" ht="38.25" customHeight="1" x14ac:dyDescent="0.25">
      <c r="A3" s="627" t="s">
        <v>218</v>
      </c>
      <c r="B3" s="106" t="s">
        <v>1179</v>
      </c>
      <c r="C3" s="52" t="s">
        <v>1399</v>
      </c>
    </row>
    <row r="4" spans="1:4" ht="68.25" customHeight="1" x14ac:dyDescent="0.25">
      <c r="A4" s="627" t="s">
        <v>45</v>
      </c>
      <c r="B4" s="106" t="s">
        <v>937</v>
      </c>
      <c r="C4" s="52" t="s">
        <v>1400</v>
      </c>
    </row>
    <row r="5" spans="1:4" s="28" customFormat="1" ht="106.5" customHeight="1" x14ac:dyDescent="0.25">
      <c r="A5" s="627" t="s">
        <v>212</v>
      </c>
      <c r="B5" s="106" t="s">
        <v>841</v>
      </c>
      <c r="C5" s="52" t="s">
        <v>880</v>
      </c>
    </row>
    <row r="6" spans="1:4" s="28" customFormat="1" ht="46.5" customHeight="1" x14ac:dyDescent="0.25">
      <c r="A6" s="627" t="s">
        <v>66</v>
      </c>
      <c r="B6" s="106" t="s">
        <v>847</v>
      </c>
      <c r="C6" s="108" t="s">
        <v>881</v>
      </c>
    </row>
    <row r="7" spans="1:4" ht="71.25" customHeight="1" x14ac:dyDescent="0.25">
      <c r="A7" s="627" t="s">
        <v>19</v>
      </c>
      <c r="B7" s="106" t="s">
        <v>1149</v>
      </c>
      <c r="C7" s="52" t="s">
        <v>1401</v>
      </c>
    </row>
    <row r="8" spans="1:4" ht="42" customHeight="1" x14ac:dyDescent="0.25">
      <c r="A8" s="627" t="s">
        <v>1195</v>
      </c>
      <c r="B8" s="106"/>
      <c r="C8" s="644" t="s">
        <v>1444</v>
      </c>
    </row>
    <row r="9" spans="1:4" ht="105.75" customHeight="1" x14ac:dyDescent="0.25">
      <c r="A9" s="627" t="s">
        <v>295</v>
      </c>
      <c r="B9" s="106" t="s">
        <v>1150</v>
      </c>
      <c r="C9" s="52" t="s">
        <v>1151</v>
      </c>
    </row>
    <row r="10" spans="1:4" ht="106.5" customHeight="1" x14ac:dyDescent="0.25">
      <c r="A10" s="627" t="s">
        <v>11</v>
      </c>
      <c r="B10" s="106" t="s">
        <v>7</v>
      </c>
      <c r="C10" s="52" t="s">
        <v>1402</v>
      </c>
    </row>
    <row r="11" spans="1:4" ht="33.75" customHeight="1" x14ac:dyDescent="0.25">
      <c r="A11" s="627" t="s">
        <v>210</v>
      </c>
      <c r="B11" s="106" t="s">
        <v>236</v>
      </c>
      <c r="C11" s="52" t="s">
        <v>237</v>
      </c>
    </row>
    <row r="12" spans="1:4" ht="42" customHeight="1" x14ac:dyDescent="0.25">
      <c r="A12" s="627" t="s">
        <v>947</v>
      </c>
      <c r="B12" s="106" t="s">
        <v>945</v>
      </c>
      <c r="C12" s="52" t="s">
        <v>946</v>
      </c>
    </row>
    <row r="13" spans="1:4" ht="42" customHeight="1" x14ac:dyDescent="0.25">
      <c r="A13" s="627" t="s">
        <v>1214</v>
      </c>
      <c r="B13" s="106"/>
      <c r="C13" s="645" t="s">
        <v>1445</v>
      </c>
    </row>
    <row r="14" spans="1:4" ht="75" customHeight="1" x14ac:dyDescent="0.25">
      <c r="A14" s="627" t="s">
        <v>155</v>
      </c>
      <c r="B14" s="106" t="s">
        <v>1403</v>
      </c>
      <c r="C14" s="52" t="s">
        <v>1404</v>
      </c>
      <c r="D14" s="624"/>
    </row>
    <row r="15" spans="1:4" ht="62.4" x14ac:dyDescent="0.25">
      <c r="A15" s="627" t="s">
        <v>12</v>
      </c>
      <c r="B15" s="106" t="s">
        <v>1405</v>
      </c>
      <c r="C15" s="52" t="s">
        <v>1406</v>
      </c>
      <c r="D15" s="624"/>
    </row>
    <row r="16" spans="1:4" ht="77.25" customHeight="1" x14ac:dyDescent="0.25">
      <c r="A16" s="627" t="s">
        <v>173</v>
      </c>
      <c r="B16" s="106" t="s">
        <v>1407</v>
      </c>
      <c r="C16" s="52" t="s">
        <v>1408</v>
      </c>
    </row>
    <row r="17" spans="1:8" ht="99.75" customHeight="1" x14ac:dyDescent="0.25">
      <c r="A17" s="627" t="s">
        <v>254</v>
      </c>
      <c r="B17" s="106" t="s">
        <v>1409</v>
      </c>
      <c r="C17" s="52" t="s">
        <v>1410</v>
      </c>
    </row>
    <row r="18" spans="1:8" ht="41.25" customHeight="1" x14ac:dyDescent="0.25">
      <c r="A18" s="627" t="s">
        <v>13</v>
      </c>
      <c r="B18" s="106" t="s">
        <v>1411</v>
      </c>
      <c r="C18" s="52" t="s">
        <v>1412</v>
      </c>
    </row>
    <row r="19" spans="1:8" ht="72.75" customHeight="1" x14ac:dyDescent="0.25">
      <c r="A19" s="627" t="s">
        <v>239</v>
      </c>
      <c r="B19" s="106" t="s">
        <v>1413</v>
      </c>
      <c r="C19" s="109"/>
    </row>
    <row r="20" spans="1:8" ht="54" customHeight="1" x14ac:dyDescent="0.25">
      <c r="A20" s="627" t="s">
        <v>294</v>
      </c>
      <c r="B20" s="106" t="s">
        <v>1414</v>
      </c>
      <c r="C20" s="52" t="s">
        <v>1415</v>
      </c>
    </row>
    <row r="21" spans="1:8" ht="40.5" customHeight="1" x14ac:dyDescent="0.25">
      <c r="A21" s="627" t="s">
        <v>197</v>
      </c>
      <c r="B21" s="106" t="s">
        <v>142</v>
      </c>
      <c r="C21" s="52" t="s">
        <v>936</v>
      </c>
    </row>
    <row r="22" spans="1:8" ht="42.75" customHeight="1" x14ac:dyDescent="0.25">
      <c r="A22" s="627" t="s">
        <v>365</v>
      </c>
      <c r="B22" s="106" t="s">
        <v>1416</v>
      </c>
      <c r="C22" s="52" t="s">
        <v>1417</v>
      </c>
    </row>
    <row r="23" spans="1:8" ht="41.25" customHeight="1" x14ac:dyDescent="0.25">
      <c r="A23" s="627" t="s">
        <v>14</v>
      </c>
      <c r="B23" s="106" t="s">
        <v>1178</v>
      </c>
      <c r="C23" s="52" t="s">
        <v>1418</v>
      </c>
    </row>
    <row r="24" spans="1:8" ht="57" customHeight="1" x14ac:dyDescent="0.25">
      <c r="A24" s="627" t="s">
        <v>854</v>
      </c>
      <c r="B24" s="106" t="s">
        <v>848</v>
      </c>
      <c r="C24" s="52" t="s">
        <v>882</v>
      </c>
    </row>
    <row r="25" spans="1:8" ht="51.75" customHeight="1" x14ac:dyDescent="0.25">
      <c r="A25" s="627" t="s">
        <v>855</v>
      </c>
      <c r="B25" s="106" t="s">
        <v>1419</v>
      </c>
      <c r="C25" s="52" t="s">
        <v>849</v>
      </c>
    </row>
    <row r="26" spans="1:8" ht="23.25" customHeight="1" x14ac:dyDescent="0.25">
      <c r="A26" s="627" t="s">
        <v>856</v>
      </c>
      <c r="B26" s="106" t="s">
        <v>850</v>
      </c>
      <c r="C26" s="52" t="s">
        <v>851</v>
      </c>
    </row>
    <row r="27" spans="1:8" ht="31.2" x14ac:dyDescent="0.25">
      <c r="A27" s="627" t="s">
        <v>857</v>
      </c>
      <c r="B27" s="106" t="s">
        <v>852</v>
      </c>
      <c r="C27" s="52" t="s">
        <v>853</v>
      </c>
    </row>
    <row r="28" spans="1:8" ht="72.75" customHeight="1" x14ac:dyDescent="0.25">
      <c r="A28" s="627" t="s">
        <v>15</v>
      </c>
      <c r="B28" s="106" t="s">
        <v>1420</v>
      </c>
      <c r="C28" s="52" t="s">
        <v>1421</v>
      </c>
    </row>
    <row r="29" spans="1:8" ht="102.75" customHeight="1" x14ac:dyDescent="0.25">
      <c r="A29" s="627" t="s">
        <v>341</v>
      </c>
      <c r="B29" s="106" t="s">
        <v>1422</v>
      </c>
      <c r="C29" s="52" t="s">
        <v>37</v>
      </c>
    </row>
    <row r="30" spans="1:8" ht="51.75" customHeight="1" x14ac:dyDescent="0.25">
      <c r="A30" s="627" t="s">
        <v>325</v>
      </c>
      <c r="B30" s="106" t="s">
        <v>1181</v>
      </c>
      <c r="C30" s="52" t="s">
        <v>1180</v>
      </c>
    </row>
    <row r="31" spans="1:8" ht="25.5" customHeight="1" x14ac:dyDescent="0.25">
      <c r="A31" s="627" t="s">
        <v>38</v>
      </c>
      <c r="B31" s="106" t="s">
        <v>1152</v>
      </c>
      <c r="C31" s="52" t="s">
        <v>1153</v>
      </c>
      <c r="H31" s="22" t="s">
        <v>157</v>
      </c>
    </row>
    <row r="32" spans="1:8" ht="144" customHeight="1" x14ac:dyDescent="0.25">
      <c r="A32" s="627" t="s">
        <v>40</v>
      </c>
      <c r="B32" s="106" t="s">
        <v>816</v>
      </c>
      <c r="C32" s="52" t="s">
        <v>1423</v>
      </c>
    </row>
    <row r="33" spans="1:3" ht="28.5" customHeight="1" x14ac:dyDescent="0.25">
      <c r="A33" s="627" t="s">
        <v>39</v>
      </c>
      <c r="B33" s="106" t="s">
        <v>884</v>
      </c>
      <c r="C33" s="52" t="s">
        <v>1424</v>
      </c>
    </row>
    <row r="34" spans="1:3" ht="39.75" customHeight="1" x14ac:dyDescent="0.25">
      <c r="A34" s="627" t="s">
        <v>41</v>
      </c>
      <c r="B34" s="106" t="s">
        <v>46</v>
      </c>
      <c r="C34" s="52" t="s">
        <v>267</v>
      </c>
    </row>
    <row r="35" spans="1:3" ht="39.75" customHeight="1" x14ac:dyDescent="0.25">
      <c r="A35" s="627" t="s">
        <v>948</v>
      </c>
      <c r="B35" s="106" t="s">
        <v>949</v>
      </c>
      <c r="C35" s="52" t="s">
        <v>946</v>
      </c>
    </row>
    <row r="36" spans="1:3" ht="57" customHeight="1" x14ac:dyDescent="0.25">
      <c r="A36" s="627" t="s">
        <v>156</v>
      </c>
      <c r="B36" s="106" t="s">
        <v>1177</v>
      </c>
      <c r="C36" s="108" t="s">
        <v>1425</v>
      </c>
    </row>
    <row r="37" spans="1:3" ht="51" customHeight="1" x14ac:dyDescent="0.25">
      <c r="A37" s="627" t="s">
        <v>158</v>
      </c>
      <c r="B37" s="106"/>
      <c r="C37" s="52" t="s">
        <v>1426</v>
      </c>
    </row>
    <row r="38" spans="1:3" ht="86.25" customHeight="1" x14ac:dyDescent="0.25">
      <c r="A38" s="627" t="s">
        <v>268</v>
      </c>
      <c r="B38" s="106"/>
      <c r="C38" s="108" t="s">
        <v>1427</v>
      </c>
    </row>
    <row r="39" spans="1:3" ht="64.5" customHeight="1" x14ac:dyDescent="0.25">
      <c r="A39" s="627" t="s">
        <v>255</v>
      </c>
      <c r="B39" s="106" t="s">
        <v>858</v>
      </c>
      <c r="C39" s="108" t="s">
        <v>938</v>
      </c>
    </row>
    <row r="40" spans="1:3" ht="75" customHeight="1" x14ac:dyDescent="0.25">
      <c r="A40" s="627" t="s">
        <v>29</v>
      </c>
      <c r="B40" s="106" t="s">
        <v>981</v>
      </c>
      <c r="C40" s="52" t="s">
        <v>1428</v>
      </c>
    </row>
    <row r="41" spans="1:3" ht="123.75" customHeight="1" x14ac:dyDescent="0.25">
      <c r="A41" s="627" t="s">
        <v>281</v>
      </c>
      <c r="B41" s="106" t="s">
        <v>1429</v>
      </c>
      <c r="C41" s="52" t="s">
        <v>1430</v>
      </c>
    </row>
    <row r="42" spans="1:3" ht="38.25" customHeight="1" x14ac:dyDescent="0.25">
      <c r="A42" s="627" t="s">
        <v>281</v>
      </c>
      <c r="B42" s="106" t="s">
        <v>1155</v>
      </c>
      <c r="C42" s="108" t="s">
        <v>1431</v>
      </c>
    </row>
    <row r="43" spans="1:3" ht="39" customHeight="1" thickBot="1" x14ac:dyDescent="0.3">
      <c r="A43" s="627" t="s">
        <v>281</v>
      </c>
      <c r="B43" s="107" t="s">
        <v>842</v>
      </c>
      <c r="C43" s="110" t="s">
        <v>1432</v>
      </c>
    </row>
    <row r="44" spans="1:3" x14ac:dyDescent="0.25">
      <c r="B44" s="24"/>
    </row>
    <row r="45" spans="1:3" x14ac:dyDescent="0.25">
      <c r="B45" s="24"/>
    </row>
    <row r="46" spans="1:3" x14ac:dyDescent="0.25">
      <c r="B46" s="24"/>
    </row>
    <row r="47" spans="1:3" x14ac:dyDescent="0.25">
      <c r="B47" s="24"/>
    </row>
    <row r="48" spans="1:3"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sheetData>
  <mergeCells count="1">
    <mergeCell ref="A1:C1"/>
  </mergeCells>
  <phoneticPr fontId="5" type="noConversion"/>
  <printOptions gridLines="1"/>
  <pageMargins left="0.47244094488188981" right="0.19685039370078741" top="0.51181102362204722" bottom="0.43307086614173229" header="0.39370078740157483" footer="0.27559055118110237"/>
  <pageSetup paperSize="9" scale="69" fitToWidth="5" fitToHeight="5" orientation="landscape" r:id="rId1"/>
  <headerFooter alignWithMargins="0">
    <oddFooter>&amp;C&amp;P zo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68"/>
  <sheetViews>
    <sheetView zoomScaleNormal="100" workbookViewId="0">
      <pane xSplit="2" ySplit="5" topLeftCell="C9" activePane="bottomRight" state="frozen"/>
      <selection pane="topRight" activeCell="C1" sqref="C1"/>
      <selection pane="bottomLeft" activeCell="A6" sqref="A6"/>
      <selection pane="bottomRight" activeCell="B60" sqref="B60"/>
    </sheetView>
  </sheetViews>
  <sheetFormatPr defaultColWidth="9.109375" defaultRowHeight="15.6" x14ac:dyDescent="0.3"/>
  <cols>
    <col min="1" max="1" width="7.88671875" style="522" customWidth="1"/>
    <col min="2" max="2" width="70.88671875" style="616" customWidth="1"/>
    <col min="3" max="3" width="16.44140625" style="579" customWidth="1"/>
    <col min="4" max="4" width="16.5546875" style="579" customWidth="1"/>
    <col min="5" max="5" width="16.44140625" style="579" customWidth="1"/>
    <col min="6" max="6" width="19.109375" style="579" customWidth="1"/>
    <col min="7" max="7" width="16.88671875" style="579" customWidth="1"/>
    <col min="8" max="8" width="17.33203125" style="579" customWidth="1"/>
    <col min="9" max="9" width="16.5546875" style="196" customWidth="1"/>
    <col min="10" max="16384" width="9.109375" style="196"/>
  </cols>
  <sheetData>
    <row r="1" spans="1:8" ht="35.1" customHeight="1" thickBot="1" x14ac:dyDescent="0.35">
      <c r="A1" s="664" t="s">
        <v>1144</v>
      </c>
      <c r="B1" s="665"/>
      <c r="C1" s="665"/>
      <c r="D1" s="665"/>
      <c r="E1" s="665"/>
      <c r="F1" s="665"/>
      <c r="G1" s="665"/>
      <c r="H1" s="666"/>
    </row>
    <row r="2" spans="1:8" ht="31.95" customHeight="1" x14ac:dyDescent="0.3">
      <c r="A2" s="649" t="s">
        <v>1218</v>
      </c>
      <c r="B2" s="650"/>
      <c r="C2" s="650"/>
      <c r="D2" s="650"/>
      <c r="E2" s="650"/>
      <c r="F2" s="650"/>
      <c r="G2" s="650"/>
      <c r="H2" s="651"/>
    </row>
    <row r="3" spans="1:8" ht="24" customHeight="1" x14ac:dyDescent="0.3">
      <c r="A3" s="667" t="s">
        <v>205</v>
      </c>
      <c r="B3" s="668" t="s">
        <v>327</v>
      </c>
      <c r="C3" s="670">
        <v>2014</v>
      </c>
      <c r="D3" s="671"/>
      <c r="E3" s="670">
        <v>2015</v>
      </c>
      <c r="F3" s="671"/>
      <c r="G3" s="670" t="s">
        <v>1137</v>
      </c>
      <c r="H3" s="672"/>
    </row>
    <row r="4" spans="1:8" s="517" customFormat="1" ht="46.8" x14ac:dyDescent="0.3">
      <c r="A4" s="667"/>
      <c r="B4" s="669"/>
      <c r="C4" s="5" t="s">
        <v>1285</v>
      </c>
      <c r="D4" s="5" t="s">
        <v>1286</v>
      </c>
      <c r="E4" s="5" t="s">
        <v>1285</v>
      </c>
      <c r="F4" s="5" t="s">
        <v>1286</v>
      </c>
      <c r="G4" s="5" t="s">
        <v>1285</v>
      </c>
      <c r="H4" s="5" t="s">
        <v>1286</v>
      </c>
    </row>
    <row r="5" spans="1:8" s="517" customFormat="1" x14ac:dyDescent="0.3">
      <c r="A5" s="516"/>
      <c r="B5" s="15"/>
      <c r="C5" s="5" t="s">
        <v>283</v>
      </c>
      <c r="D5" s="5" t="s">
        <v>284</v>
      </c>
      <c r="E5" s="5" t="s">
        <v>285</v>
      </c>
      <c r="F5" s="5" t="s">
        <v>292</v>
      </c>
      <c r="G5" s="5" t="s">
        <v>23</v>
      </c>
      <c r="H5" s="6" t="s">
        <v>24</v>
      </c>
    </row>
    <row r="6" spans="1:8" x14ac:dyDescent="0.3">
      <c r="A6" s="572">
        <v>1</v>
      </c>
      <c r="B6" s="15" t="s">
        <v>1355</v>
      </c>
      <c r="C6" s="158">
        <f>SUM(C7:C10)</f>
        <v>164469.81000000003</v>
      </c>
      <c r="D6" s="158">
        <f>SUM(D7:D10)</f>
        <v>363769.76</v>
      </c>
      <c r="E6" s="145">
        <f>SUM(E7:E10)</f>
        <v>209371.92</v>
      </c>
      <c r="F6" s="145">
        <f>SUM(F7:F10)</f>
        <v>432266.14999999997</v>
      </c>
      <c r="G6" s="159">
        <f>E6-C6</f>
        <v>44902.109999999986</v>
      </c>
      <c r="H6" s="160">
        <f>F6-D6/30.126</f>
        <v>420191.20609772287</v>
      </c>
    </row>
    <row r="7" spans="1:8" x14ac:dyDescent="0.3">
      <c r="A7" s="572">
        <f>A6+1</f>
        <v>2</v>
      </c>
      <c r="B7" s="31" t="s">
        <v>273</v>
      </c>
      <c r="C7" s="603"/>
      <c r="D7" s="603"/>
      <c r="E7" s="603"/>
      <c r="F7" s="603"/>
      <c r="G7" s="159">
        <f t="shared" ref="G7:H59" si="0">E7-C7</f>
        <v>0</v>
      </c>
      <c r="H7" s="160">
        <f>F7-D7/30.126</f>
        <v>0</v>
      </c>
    </row>
    <row r="8" spans="1:8" x14ac:dyDescent="0.3">
      <c r="A8" s="572">
        <f t="shared" ref="A8:A59" si="1">A7+1</f>
        <v>3</v>
      </c>
      <c r="B8" s="31" t="s">
        <v>299</v>
      </c>
      <c r="C8" s="603"/>
      <c r="D8" s="603"/>
      <c r="E8" s="603"/>
      <c r="F8" s="603"/>
      <c r="G8" s="159">
        <f t="shared" si="0"/>
        <v>0</v>
      </c>
      <c r="H8" s="160">
        <f>F8-D8/30.126</f>
        <v>0</v>
      </c>
    </row>
    <row r="9" spans="1:8" x14ac:dyDescent="0.3">
      <c r="A9" s="572">
        <f t="shared" si="1"/>
        <v>4</v>
      </c>
      <c r="B9" s="31" t="s">
        <v>59</v>
      </c>
      <c r="C9" s="603">
        <v>162428.17000000001</v>
      </c>
      <c r="D9" s="604">
        <v>361125.7</v>
      </c>
      <c r="E9" s="603">
        <v>207190.5</v>
      </c>
      <c r="F9" s="603">
        <v>430544.8</v>
      </c>
      <c r="G9" s="159">
        <f t="shared" si="0"/>
        <v>44762.329999999987</v>
      </c>
      <c r="H9" s="160">
        <f t="shared" si="0"/>
        <v>69419.099999999977</v>
      </c>
    </row>
    <row r="10" spans="1:8" x14ac:dyDescent="0.3">
      <c r="A10" s="572">
        <f t="shared" si="1"/>
        <v>5</v>
      </c>
      <c r="B10" s="31" t="s">
        <v>298</v>
      </c>
      <c r="C10" s="603">
        <v>2041.64</v>
      </c>
      <c r="D10" s="604">
        <v>2644.06</v>
      </c>
      <c r="E10" s="603">
        <v>2181.42</v>
      </c>
      <c r="F10" s="603">
        <v>1721.35</v>
      </c>
      <c r="G10" s="159">
        <f t="shared" si="0"/>
        <v>139.77999999999997</v>
      </c>
      <c r="H10" s="160">
        <f t="shared" si="0"/>
        <v>-922.71</v>
      </c>
    </row>
    <row r="11" spans="1:8" x14ac:dyDescent="0.3">
      <c r="A11" s="572">
        <f t="shared" si="1"/>
        <v>6</v>
      </c>
      <c r="B11" s="15" t="s">
        <v>1356</v>
      </c>
      <c r="C11" s="158">
        <f>SUM(C12:C15)</f>
        <v>894632.82</v>
      </c>
      <c r="D11" s="158">
        <f>SUM(D12:D15)</f>
        <v>877827.45</v>
      </c>
      <c r="E11" s="145">
        <f>SUM(E12:E15)</f>
        <v>1106104.3400000001</v>
      </c>
      <c r="F11" s="145">
        <f>SUM(F12:F15)</f>
        <v>1306786.8700000001</v>
      </c>
      <c r="G11" s="159">
        <f t="shared" si="0"/>
        <v>211471.52000000014</v>
      </c>
      <c r="H11" s="160">
        <f t="shared" si="0"/>
        <v>428959.42000000016</v>
      </c>
    </row>
    <row r="12" spans="1:8" x14ac:dyDescent="0.3">
      <c r="A12" s="572">
        <f t="shared" si="1"/>
        <v>7</v>
      </c>
      <c r="B12" s="31" t="s">
        <v>86</v>
      </c>
      <c r="C12" s="603">
        <v>771045.44</v>
      </c>
      <c r="D12" s="604"/>
      <c r="E12" s="603">
        <v>828570.91</v>
      </c>
      <c r="F12" s="603"/>
      <c r="G12" s="159">
        <f t="shared" si="0"/>
        <v>57525.470000000088</v>
      </c>
      <c r="H12" s="160">
        <f t="shared" si="0"/>
        <v>0</v>
      </c>
    </row>
    <row r="13" spans="1:8" x14ac:dyDescent="0.3">
      <c r="A13" s="572">
        <f t="shared" si="1"/>
        <v>8</v>
      </c>
      <c r="B13" s="31" t="s">
        <v>87</v>
      </c>
      <c r="C13" s="603"/>
      <c r="D13" s="604"/>
      <c r="E13" s="603"/>
      <c r="F13" s="603"/>
      <c r="G13" s="159">
        <f t="shared" si="0"/>
        <v>0</v>
      </c>
      <c r="H13" s="160">
        <f t="shared" si="0"/>
        <v>0</v>
      </c>
    </row>
    <row r="14" spans="1:8" x14ac:dyDescent="0.3">
      <c r="A14" s="572">
        <f>A13+1</f>
        <v>9</v>
      </c>
      <c r="B14" s="31" t="s">
        <v>88</v>
      </c>
      <c r="C14" s="603">
        <v>123587.38</v>
      </c>
      <c r="D14" s="604">
        <v>104651.99</v>
      </c>
      <c r="E14" s="603"/>
      <c r="F14" s="603">
        <v>107930.02</v>
      </c>
      <c r="G14" s="159">
        <f t="shared" si="0"/>
        <v>-123587.38</v>
      </c>
      <c r="H14" s="160">
        <f t="shared" si="0"/>
        <v>3278.0299999999988</v>
      </c>
    </row>
    <row r="15" spans="1:8" ht="31.2" x14ac:dyDescent="0.3">
      <c r="A15" s="605">
        <f t="shared" si="1"/>
        <v>10</v>
      </c>
      <c r="B15" s="31" t="s">
        <v>980</v>
      </c>
      <c r="C15" s="603"/>
      <c r="D15" s="604">
        <v>773175.46</v>
      </c>
      <c r="E15" s="603">
        <v>277533.43</v>
      </c>
      <c r="F15" s="603">
        <v>1198856.8500000001</v>
      </c>
      <c r="G15" s="159">
        <f t="shared" si="0"/>
        <v>277533.43</v>
      </c>
      <c r="H15" s="160">
        <f t="shared" si="0"/>
        <v>425681.39000000013</v>
      </c>
    </row>
    <row r="16" spans="1:8" x14ac:dyDescent="0.3">
      <c r="A16" s="572">
        <f t="shared" si="1"/>
        <v>11</v>
      </c>
      <c r="B16" s="15" t="s">
        <v>20</v>
      </c>
      <c r="C16" s="603"/>
      <c r="D16" s="604">
        <v>61344.14</v>
      </c>
      <c r="E16" s="603"/>
      <c r="F16" s="603">
        <v>73906.92</v>
      </c>
      <c r="G16" s="159">
        <f t="shared" si="0"/>
        <v>0</v>
      </c>
      <c r="H16" s="160">
        <f t="shared" si="0"/>
        <v>12562.779999999999</v>
      </c>
    </row>
    <row r="17" spans="1:9" x14ac:dyDescent="0.3">
      <c r="A17" s="572">
        <f t="shared" si="1"/>
        <v>12</v>
      </c>
      <c r="B17" s="15" t="s">
        <v>332</v>
      </c>
      <c r="C17" s="603"/>
      <c r="D17" s="604"/>
      <c r="E17" s="603"/>
      <c r="F17" s="603"/>
      <c r="G17" s="159">
        <f t="shared" si="0"/>
        <v>0</v>
      </c>
      <c r="H17" s="160">
        <f t="shared" si="0"/>
        <v>0</v>
      </c>
    </row>
    <row r="18" spans="1:9" x14ac:dyDescent="0.3">
      <c r="A18" s="572">
        <f t="shared" si="1"/>
        <v>13</v>
      </c>
      <c r="B18" s="15" t="s">
        <v>333</v>
      </c>
      <c r="C18" s="603"/>
      <c r="D18" s="604"/>
      <c r="E18" s="603"/>
      <c r="F18" s="603"/>
      <c r="G18" s="159">
        <f t="shared" si="0"/>
        <v>0</v>
      </c>
      <c r="H18" s="160">
        <f t="shared" si="0"/>
        <v>0</v>
      </c>
    </row>
    <row r="19" spans="1:9" x14ac:dyDescent="0.3">
      <c r="A19" s="572">
        <f t="shared" si="1"/>
        <v>14</v>
      </c>
      <c r="B19" s="15" t="s">
        <v>334</v>
      </c>
      <c r="C19" s="603">
        <v>3355.43</v>
      </c>
      <c r="D19" s="604">
        <v>138.54</v>
      </c>
      <c r="E19" s="603">
        <v>245.01</v>
      </c>
      <c r="F19" s="603">
        <v>2493.85</v>
      </c>
      <c r="G19" s="159">
        <f t="shared" si="0"/>
        <v>-3110.42</v>
      </c>
      <c r="H19" s="160">
        <f t="shared" si="0"/>
        <v>2355.31</v>
      </c>
    </row>
    <row r="20" spans="1:9" x14ac:dyDescent="0.3">
      <c r="A20" s="572">
        <f t="shared" si="1"/>
        <v>15</v>
      </c>
      <c r="B20" s="15" t="s">
        <v>335</v>
      </c>
      <c r="C20" s="603"/>
      <c r="D20" s="603"/>
      <c r="E20" s="603">
        <v>417.09</v>
      </c>
      <c r="F20" s="603">
        <v>13229.97</v>
      </c>
      <c r="G20" s="159">
        <f t="shared" si="0"/>
        <v>417.09</v>
      </c>
      <c r="H20" s="160">
        <f t="shared" si="0"/>
        <v>13229.97</v>
      </c>
    </row>
    <row r="21" spans="1:9" x14ac:dyDescent="0.3">
      <c r="A21" s="572">
        <f t="shared" si="1"/>
        <v>16</v>
      </c>
      <c r="B21" s="15" t="s">
        <v>1357</v>
      </c>
      <c r="C21" s="158">
        <f>SUM(C22:C23)</f>
        <v>57.32</v>
      </c>
      <c r="D21" s="158">
        <f>SUM(D22:D23)</f>
        <v>79.8</v>
      </c>
      <c r="E21" s="158">
        <f>SUM(E22:E23)</f>
        <v>45.81</v>
      </c>
      <c r="F21" s="158">
        <f>SUM(F22:F23)</f>
        <v>39.07</v>
      </c>
      <c r="G21" s="159">
        <f t="shared" si="0"/>
        <v>-11.509999999999998</v>
      </c>
      <c r="H21" s="160">
        <f t="shared" si="0"/>
        <v>-40.729999999999997</v>
      </c>
    </row>
    <row r="22" spans="1:9" x14ac:dyDescent="0.3">
      <c r="A22" s="572">
        <f t="shared" si="1"/>
        <v>17</v>
      </c>
      <c r="B22" s="31" t="s">
        <v>92</v>
      </c>
      <c r="C22" s="603"/>
      <c r="D22" s="603"/>
      <c r="E22" s="603"/>
      <c r="F22" s="603"/>
      <c r="G22" s="159">
        <f t="shared" si="0"/>
        <v>0</v>
      </c>
      <c r="H22" s="160">
        <f t="shared" si="0"/>
        <v>0</v>
      </c>
    </row>
    <row r="23" spans="1:9" x14ac:dyDescent="0.3">
      <c r="A23" s="572">
        <f t="shared" si="1"/>
        <v>18</v>
      </c>
      <c r="B23" s="31" t="s">
        <v>93</v>
      </c>
      <c r="C23" s="603">
        <v>57.32</v>
      </c>
      <c r="D23" s="606">
        <v>79.8</v>
      </c>
      <c r="E23" s="603">
        <v>45.81</v>
      </c>
      <c r="F23" s="607">
        <v>39.07</v>
      </c>
      <c r="G23" s="159">
        <f t="shared" si="0"/>
        <v>-11.509999999999998</v>
      </c>
      <c r="H23" s="160">
        <f t="shared" si="0"/>
        <v>-40.729999999999997</v>
      </c>
    </row>
    <row r="24" spans="1:9" x14ac:dyDescent="0.3">
      <c r="A24" s="572">
        <f t="shared" si="1"/>
        <v>19</v>
      </c>
      <c r="B24" s="15" t="s">
        <v>336</v>
      </c>
      <c r="C24" s="603">
        <v>69980.539999999994</v>
      </c>
      <c r="D24" s="604"/>
      <c r="E24" s="603">
        <v>69014.52</v>
      </c>
      <c r="F24" s="603"/>
      <c r="G24" s="159">
        <f t="shared" si="0"/>
        <v>-966.01999999998952</v>
      </c>
      <c r="H24" s="160">
        <f t="shared" si="0"/>
        <v>0</v>
      </c>
    </row>
    <row r="25" spans="1:9" ht="15.75" customHeight="1" x14ac:dyDescent="0.3">
      <c r="A25" s="572">
        <f t="shared" si="1"/>
        <v>20</v>
      </c>
      <c r="B25" s="15" t="s">
        <v>1358</v>
      </c>
      <c r="C25" s="158">
        <f>SUM(C26:C38)</f>
        <v>14725140.059999997</v>
      </c>
      <c r="D25" s="158">
        <f>SUM(D26:D38)</f>
        <v>28940.16</v>
      </c>
      <c r="E25" s="145">
        <f>SUM(E26:E38)</f>
        <v>15034087.779999999</v>
      </c>
      <c r="F25" s="145">
        <f>SUM(F26:F38)</f>
        <v>37114.89</v>
      </c>
      <c r="G25" s="159">
        <f t="shared" si="0"/>
        <v>308947.72000000253</v>
      </c>
      <c r="H25" s="160">
        <f t="shared" si="0"/>
        <v>8174.73</v>
      </c>
      <c r="I25" s="587"/>
    </row>
    <row r="26" spans="1:9" ht="16.2" customHeight="1" x14ac:dyDescent="0.3">
      <c r="A26" s="572">
        <f t="shared" si="1"/>
        <v>21</v>
      </c>
      <c r="B26" s="31" t="s">
        <v>1204</v>
      </c>
      <c r="C26" s="603">
        <v>8367771.8799999999</v>
      </c>
      <c r="D26" s="604"/>
      <c r="E26" s="604">
        <v>9268357.2899999991</v>
      </c>
      <c r="F26" s="603"/>
      <c r="G26" s="159">
        <f t="shared" si="0"/>
        <v>900585.40999999922</v>
      </c>
      <c r="H26" s="160">
        <f t="shared" si="0"/>
        <v>0</v>
      </c>
    </row>
    <row r="27" spans="1:9" x14ac:dyDescent="0.3">
      <c r="A27" s="572">
        <f t="shared" si="1"/>
        <v>22</v>
      </c>
      <c r="B27" s="31" t="s">
        <v>979</v>
      </c>
      <c r="C27" s="603">
        <v>451597.91</v>
      </c>
      <c r="D27" s="604"/>
      <c r="E27" s="604">
        <v>421609.06</v>
      </c>
      <c r="F27" s="603"/>
      <c r="G27" s="159">
        <f t="shared" si="0"/>
        <v>-29988.849999999977</v>
      </c>
      <c r="H27" s="160">
        <f t="shared" si="0"/>
        <v>0</v>
      </c>
    </row>
    <row r="28" spans="1:9" x14ac:dyDescent="0.3">
      <c r="A28" s="572">
        <f t="shared" si="1"/>
        <v>23</v>
      </c>
      <c r="B28" s="31" t="s">
        <v>94</v>
      </c>
      <c r="C28" s="603">
        <v>257352.7</v>
      </c>
      <c r="D28" s="604"/>
      <c r="E28" s="604">
        <v>216113.27</v>
      </c>
      <c r="F28" s="603"/>
      <c r="G28" s="159">
        <f t="shared" si="0"/>
        <v>-41239.430000000022</v>
      </c>
      <c r="H28" s="160">
        <f t="shared" si="0"/>
        <v>0</v>
      </c>
    </row>
    <row r="29" spans="1:9" x14ac:dyDescent="0.3">
      <c r="A29" s="572">
        <f t="shared" si="1"/>
        <v>24</v>
      </c>
      <c r="B29" s="31" t="s">
        <v>95</v>
      </c>
      <c r="C29" s="603">
        <v>280</v>
      </c>
      <c r="D29" s="604"/>
      <c r="E29" s="604">
        <v>2310</v>
      </c>
      <c r="F29" s="603"/>
      <c r="G29" s="159">
        <f t="shared" si="0"/>
        <v>2030</v>
      </c>
      <c r="H29" s="160">
        <f t="shared" si="0"/>
        <v>0</v>
      </c>
    </row>
    <row r="30" spans="1:9" x14ac:dyDescent="0.3">
      <c r="A30" s="572">
        <f t="shared" si="1"/>
        <v>25</v>
      </c>
      <c r="B30" s="31" t="s">
        <v>893</v>
      </c>
      <c r="C30" s="603">
        <v>78989.259999999995</v>
      </c>
      <c r="D30" s="604"/>
      <c r="E30" s="604">
        <v>201181.58</v>
      </c>
      <c r="F30" s="603"/>
      <c r="G30" s="159">
        <f t="shared" si="0"/>
        <v>122192.31999999999</v>
      </c>
      <c r="H30" s="160">
        <f t="shared" si="0"/>
        <v>0</v>
      </c>
    </row>
    <row r="31" spans="1:9" x14ac:dyDescent="0.3">
      <c r="A31" s="572">
        <f t="shared" si="1"/>
        <v>26</v>
      </c>
      <c r="B31" s="31" t="s">
        <v>96</v>
      </c>
      <c r="C31" s="603"/>
      <c r="D31" s="604"/>
      <c r="E31" s="604"/>
      <c r="F31" s="603"/>
      <c r="G31" s="159">
        <f t="shared" si="0"/>
        <v>0</v>
      </c>
      <c r="H31" s="160">
        <f t="shared" si="0"/>
        <v>0</v>
      </c>
    </row>
    <row r="32" spans="1:9" x14ac:dyDescent="0.3">
      <c r="A32" s="572">
        <f t="shared" si="1"/>
        <v>27</v>
      </c>
      <c r="B32" s="31" t="s">
        <v>97</v>
      </c>
      <c r="C32" s="603"/>
      <c r="D32" s="604"/>
      <c r="E32" s="603"/>
      <c r="F32" s="603"/>
      <c r="G32" s="159">
        <f t="shared" si="0"/>
        <v>0</v>
      </c>
      <c r="H32" s="160">
        <f t="shared" si="0"/>
        <v>0</v>
      </c>
    </row>
    <row r="33" spans="1:9" x14ac:dyDescent="0.3">
      <c r="A33" s="572">
        <f t="shared" si="1"/>
        <v>28</v>
      </c>
      <c r="B33" s="31" t="s">
        <v>98</v>
      </c>
      <c r="C33" s="603">
        <v>2691.92</v>
      </c>
      <c r="D33" s="604"/>
      <c r="E33" s="603">
        <v>-968.75</v>
      </c>
      <c r="F33" s="603">
        <v>200</v>
      </c>
      <c r="G33" s="159">
        <f t="shared" si="0"/>
        <v>-3660.67</v>
      </c>
      <c r="H33" s="160">
        <f t="shared" si="0"/>
        <v>200</v>
      </c>
    </row>
    <row r="34" spans="1:9" x14ac:dyDescent="0.3">
      <c r="A34" s="572">
        <f t="shared" si="1"/>
        <v>29</v>
      </c>
      <c r="B34" s="31" t="s">
        <v>99</v>
      </c>
      <c r="C34" s="603">
        <v>-381.66</v>
      </c>
      <c r="D34" s="604">
        <v>286</v>
      </c>
      <c r="E34" s="603">
        <v>623</v>
      </c>
      <c r="F34" s="603">
        <v>335</v>
      </c>
      <c r="G34" s="159">
        <f t="shared" si="0"/>
        <v>1004.6600000000001</v>
      </c>
      <c r="H34" s="160">
        <f t="shared" si="0"/>
        <v>49</v>
      </c>
    </row>
    <row r="35" spans="1:9" x14ac:dyDescent="0.3">
      <c r="A35" s="572">
        <f t="shared" si="1"/>
        <v>30</v>
      </c>
      <c r="B35" s="31" t="s">
        <v>100</v>
      </c>
      <c r="C35" s="603">
        <v>1540803.38</v>
      </c>
      <c r="D35" s="604"/>
      <c r="E35" s="603">
        <v>1477847.09</v>
      </c>
      <c r="F35" s="603"/>
      <c r="G35" s="159">
        <f t="shared" si="0"/>
        <v>-62956.289999999804</v>
      </c>
      <c r="H35" s="160">
        <f t="shared" si="0"/>
        <v>0</v>
      </c>
    </row>
    <row r="36" spans="1:9" ht="31.2" x14ac:dyDescent="0.3">
      <c r="A36" s="572">
        <f t="shared" si="1"/>
        <v>31</v>
      </c>
      <c r="B36" s="608" t="s">
        <v>950</v>
      </c>
      <c r="C36" s="603"/>
      <c r="D36" s="604"/>
      <c r="E36" s="603"/>
      <c r="F36" s="603"/>
      <c r="G36" s="159">
        <f t="shared" si="0"/>
        <v>0</v>
      </c>
      <c r="H36" s="160">
        <f t="shared" si="0"/>
        <v>0</v>
      </c>
      <c r="I36" s="609"/>
    </row>
    <row r="37" spans="1:9" x14ac:dyDescent="0.3">
      <c r="A37" s="572">
        <f t="shared" si="1"/>
        <v>32</v>
      </c>
      <c r="B37" s="31" t="s">
        <v>101</v>
      </c>
      <c r="C37" s="603"/>
      <c r="D37" s="604"/>
      <c r="E37" s="603"/>
      <c r="F37" s="603"/>
      <c r="G37" s="159">
        <f t="shared" si="0"/>
        <v>0</v>
      </c>
      <c r="H37" s="160">
        <f t="shared" si="0"/>
        <v>0</v>
      </c>
    </row>
    <row r="38" spans="1:9" ht="42.75" customHeight="1" x14ac:dyDescent="0.3">
      <c r="A38" s="572">
        <f t="shared" si="1"/>
        <v>33</v>
      </c>
      <c r="B38" s="31" t="s">
        <v>1283</v>
      </c>
      <c r="C38" s="603">
        <f>213957.39+3812077.28</f>
        <v>4026034.67</v>
      </c>
      <c r="D38" s="604">
        <f>1238.01+27416.15</f>
        <v>28654.16</v>
      </c>
      <c r="E38" s="603">
        <f>146812.21+3300203.03</f>
        <v>3447015.2399999998</v>
      </c>
      <c r="F38" s="603">
        <f>60.01+36519.88</f>
        <v>36579.89</v>
      </c>
      <c r="G38" s="159">
        <f t="shared" si="0"/>
        <v>-579019.43000000017</v>
      </c>
      <c r="H38" s="160">
        <f t="shared" si="0"/>
        <v>7925.73</v>
      </c>
    </row>
    <row r="39" spans="1:9" x14ac:dyDescent="0.3">
      <c r="A39" s="572">
        <f t="shared" si="1"/>
        <v>34</v>
      </c>
      <c r="B39" s="15" t="s">
        <v>344</v>
      </c>
      <c r="C39" s="603">
        <v>161662.39999999999</v>
      </c>
      <c r="D39" s="604"/>
      <c r="E39" s="603">
        <v>6330</v>
      </c>
      <c r="F39" s="603"/>
      <c r="G39" s="159">
        <f t="shared" si="0"/>
        <v>-155332.4</v>
      </c>
      <c r="H39" s="160">
        <f t="shared" si="0"/>
        <v>0</v>
      </c>
    </row>
    <row r="40" spans="1:9" x14ac:dyDescent="0.3">
      <c r="A40" s="572">
        <f t="shared" si="1"/>
        <v>35</v>
      </c>
      <c r="B40" s="15" t="s">
        <v>138</v>
      </c>
      <c r="C40" s="603"/>
      <c r="D40" s="604"/>
      <c r="E40" s="603"/>
      <c r="F40" s="603"/>
      <c r="G40" s="159">
        <f t="shared" si="0"/>
        <v>0</v>
      </c>
      <c r="H40" s="160">
        <f t="shared" si="0"/>
        <v>0</v>
      </c>
    </row>
    <row r="41" spans="1:9" x14ac:dyDescent="0.3">
      <c r="A41" s="572">
        <f t="shared" si="1"/>
        <v>36</v>
      </c>
      <c r="B41" s="15" t="s">
        <v>136</v>
      </c>
      <c r="C41" s="603"/>
      <c r="D41" s="604"/>
      <c r="E41" s="603"/>
      <c r="F41" s="603"/>
      <c r="G41" s="159">
        <f t="shared" si="0"/>
        <v>0</v>
      </c>
      <c r="H41" s="160">
        <f t="shared" si="0"/>
        <v>0</v>
      </c>
    </row>
    <row r="42" spans="1:9" ht="23.25" customHeight="1" x14ac:dyDescent="0.3">
      <c r="A42" s="572">
        <f t="shared" si="1"/>
        <v>37</v>
      </c>
      <c r="B42" s="15" t="s">
        <v>321</v>
      </c>
      <c r="C42" s="603">
        <v>22</v>
      </c>
      <c r="D42" s="604"/>
      <c r="E42" s="603"/>
      <c r="F42" s="603">
        <v>312.5</v>
      </c>
      <c r="G42" s="159">
        <f t="shared" si="0"/>
        <v>-22</v>
      </c>
      <c r="H42" s="160">
        <f t="shared" si="0"/>
        <v>312.5</v>
      </c>
    </row>
    <row r="43" spans="1:9" x14ac:dyDescent="0.3">
      <c r="A43" s="572">
        <f t="shared" si="1"/>
        <v>38</v>
      </c>
      <c r="B43" s="15" t="s">
        <v>256</v>
      </c>
      <c r="C43" s="603"/>
      <c r="D43" s="603"/>
      <c r="E43" s="603"/>
      <c r="F43" s="603"/>
      <c r="G43" s="159">
        <f t="shared" si="0"/>
        <v>0</v>
      </c>
      <c r="H43" s="160">
        <f t="shared" si="0"/>
        <v>0</v>
      </c>
    </row>
    <row r="44" spans="1:9" ht="18" x14ac:dyDescent="0.3">
      <c r="A44" s="572">
        <f t="shared" si="1"/>
        <v>39</v>
      </c>
      <c r="B44" s="15" t="s">
        <v>1359</v>
      </c>
      <c r="C44" s="161">
        <f>SUM(C45:C49)</f>
        <v>69772.959999999992</v>
      </c>
      <c r="D44" s="161">
        <f>SUM(D45:D49)</f>
        <v>1876.39</v>
      </c>
      <c r="E44" s="162">
        <f>SUM(E45:E49)</f>
        <v>49231.98</v>
      </c>
      <c r="F44" s="162">
        <f>SUM(F45:F49)</f>
        <v>7497.54</v>
      </c>
      <c r="G44" s="159">
        <f t="shared" si="0"/>
        <v>-20540.979999999989</v>
      </c>
      <c r="H44" s="160">
        <f t="shared" si="0"/>
        <v>5621.15</v>
      </c>
    </row>
    <row r="45" spans="1:9" x14ac:dyDescent="0.3">
      <c r="A45" s="572">
        <f>A44+1</f>
        <v>40</v>
      </c>
      <c r="B45" s="31" t="s">
        <v>234</v>
      </c>
      <c r="C45" s="603">
        <v>733</v>
      </c>
      <c r="D45" s="604">
        <v>1876.39</v>
      </c>
      <c r="E45" s="603">
        <v>440</v>
      </c>
      <c r="F45" s="610">
        <v>7497.54</v>
      </c>
      <c r="G45" s="159">
        <f t="shared" si="0"/>
        <v>-293</v>
      </c>
      <c r="H45" s="159" t="s">
        <v>312</v>
      </c>
      <c r="I45" s="517"/>
    </row>
    <row r="46" spans="1:9" x14ac:dyDescent="0.3">
      <c r="A46" s="572">
        <f t="shared" si="1"/>
        <v>41</v>
      </c>
      <c r="B46" s="31" t="s">
        <v>102</v>
      </c>
      <c r="C46" s="603">
        <v>59000</v>
      </c>
      <c r="D46" s="200" t="s">
        <v>312</v>
      </c>
      <c r="E46" s="603">
        <v>38831.94</v>
      </c>
      <c r="F46" s="610" t="s">
        <v>312</v>
      </c>
      <c r="G46" s="159">
        <f t="shared" si="0"/>
        <v>-20168.059999999998</v>
      </c>
      <c r="H46" s="159" t="s">
        <v>312</v>
      </c>
    </row>
    <row r="47" spans="1:9" ht="18.600000000000001" x14ac:dyDescent="0.3">
      <c r="A47" s="572">
        <f t="shared" si="1"/>
        <v>42</v>
      </c>
      <c r="B47" s="31" t="s">
        <v>1360</v>
      </c>
      <c r="C47" s="603"/>
      <c r="D47" s="200" t="s">
        <v>312</v>
      </c>
      <c r="E47" s="603"/>
      <c r="F47" s="610" t="s">
        <v>312</v>
      </c>
      <c r="G47" s="159">
        <f t="shared" si="0"/>
        <v>0</v>
      </c>
      <c r="H47" s="159" t="s">
        <v>312</v>
      </c>
    </row>
    <row r="48" spans="1:9" ht="31.2" x14ac:dyDescent="0.3">
      <c r="A48" s="572">
        <f t="shared" si="1"/>
        <v>43</v>
      </c>
      <c r="B48" s="31" t="s">
        <v>1038</v>
      </c>
      <c r="C48" s="603">
        <v>10039.959999999999</v>
      </c>
      <c r="D48" s="200" t="s">
        <v>312</v>
      </c>
      <c r="E48" s="603">
        <v>9960.0400000000009</v>
      </c>
      <c r="F48" s="610" t="s">
        <v>312</v>
      </c>
      <c r="G48" s="159">
        <f t="shared" si="0"/>
        <v>-79.919999999998254</v>
      </c>
      <c r="H48" s="159" t="s">
        <v>312</v>
      </c>
    </row>
    <row r="49" spans="1:10" x14ac:dyDescent="0.3">
      <c r="A49" s="572">
        <f t="shared" si="1"/>
        <v>44</v>
      </c>
      <c r="B49" s="31" t="s">
        <v>1030</v>
      </c>
      <c r="C49" s="603"/>
      <c r="D49" s="200" t="s">
        <v>312</v>
      </c>
      <c r="E49" s="603"/>
      <c r="F49" s="610" t="s">
        <v>312</v>
      </c>
      <c r="G49" s="159">
        <f t="shared" si="0"/>
        <v>0</v>
      </c>
      <c r="H49" s="159" t="s">
        <v>312</v>
      </c>
    </row>
    <row r="50" spans="1:10" x14ac:dyDescent="0.3">
      <c r="A50" s="572">
        <f t="shared" si="1"/>
        <v>45</v>
      </c>
      <c r="B50" s="15" t="s">
        <v>345</v>
      </c>
      <c r="C50" s="603"/>
      <c r="D50" s="604"/>
      <c r="E50" s="603"/>
      <c r="F50" s="603"/>
      <c r="G50" s="159">
        <f t="shared" si="0"/>
        <v>0</v>
      </c>
      <c r="H50" s="160">
        <f t="shared" si="0"/>
        <v>0</v>
      </c>
    </row>
    <row r="51" spans="1:10" x14ac:dyDescent="0.3">
      <c r="A51" s="572">
        <f t="shared" si="1"/>
        <v>46</v>
      </c>
      <c r="B51" s="15" t="s">
        <v>137</v>
      </c>
      <c r="C51" s="603">
        <v>1245.6400000000001</v>
      </c>
      <c r="D51" s="604">
        <v>129007.37</v>
      </c>
      <c r="E51" s="603">
        <v>1661.22</v>
      </c>
      <c r="F51" s="603">
        <v>135383.59</v>
      </c>
      <c r="G51" s="159">
        <f t="shared" si="0"/>
        <v>415.57999999999993</v>
      </c>
      <c r="H51" s="160">
        <f t="shared" si="0"/>
        <v>6376.2200000000012</v>
      </c>
    </row>
    <row r="52" spans="1:10" x14ac:dyDescent="0.3">
      <c r="A52" s="572">
        <f t="shared" si="1"/>
        <v>47</v>
      </c>
      <c r="B52" s="15" t="s">
        <v>179</v>
      </c>
      <c r="C52" s="610" t="s">
        <v>312</v>
      </c>
      <c r="D52" s="610" t="s">
        <v>312</v>
      </c>
      <c r="E52" s="610" t="s">
        <v>312</v>
      </c>
      <c r="F52" s="610" t="s">
        <v>312</v>
      </c>
      <c r="G52" s="202" t="s">
        <v>157</v>
      </c>
      <c r="H52" s="203" t="s">
        <v>157</v>
      </c>
    </row>
    <row r="53" spans="1:10" x14ac:dyDescent="0.3">
      <c r="A53" s="572">
        <f t="shared" si="1"/>
        <v>48</v>
      </c>
      <c r="B53" s="611" t="s">
        <v>139</v>
      </c>
      <c r="C53" s="603">
        <v>5777</v>
      </c>
      <c r="D53" s="603"/>
      <c r="E53" s="603">
        <v>2479.88</v>
      </c>
      <c r="F53" s="603"/>
      <c r="G53" s="159">
        <f t="shared" si="0"/>
        <v>-3297.12</v>
      </c>
      <c r="H53" s="160">
        <f t="shared" si="0"/>
        <v>0</v>
      </c>
    </row>
    <row r="54" spans="1:10" x14ac:dyDescent="0.3">
      <c r="A54" s="572">
        <f t="shared" si="1"/>
        <v>49</v>
      </c>
      <c r="B54" s="611" t="s">
        <v>817</v>
      </c>
      <c r="C54" s="603"/>
      <c r="D54" s="603"/>
      <c r="E54" s="603"/>
      <c r="F54" s="603"/>
      <c r="G54" s="159">
        <f>E54-C54</f>
        <v>0</v>
      </c>
      <c r="H54" s="160">
        <f t="shared" si="0"/>
        <v>0</v>
      </c>
    </row>
    <row r="55" spans="1:10" x14ac:dyDescent="0.3">
      <c r="A55" s="572">
        <f t="shared" si="1"/>
        <v>50</v>
      </c>
      <c r="B55" s="15" t="s">
        <v>140</v>
      </c>
      <c r="C55" s="610" t="s">
        <v>312</v>
      </c>
      <c r="D55" s="610" t="s">
        <v>312</v>
      </c>
      <c r="E55" s="610" t="s">
        <v>312</v>
      </c>
      <c r="F55" s="610" t="s">
        <v>312</v>
      </c>
      <c r="G55" s="202" t="s">
        <v>157</v>
      </c>
      <c r="H55" s="203" t="s">
        <v>157</v>
      </c>
    </row>
    <row r="56" spans="1:10" x14ac:dyDescent="0.3">
      <c r="A56" s="572">
        <f t="shared" si="1"/>
        <v>51</v>
      </c>
      <c r="B56" s="15" t="s">
        <v>141</v>
      </c>
      <c r="C56" s="603">
        <v>37820063.289999999</v>
      </c>
      <c r="D56" s="603"/>
      <c r="E56" s="603">
        <v>36038355.719999999</v>
      </c>
      <c r="F56" s="603"/>
      <c r="G56" s="159">
        <f t="shared" si="0"/>
        <v>-1781707.5700000003</v>
      </c>
      <c r="H56" s="160">
        <f t="shared" si="0"/>
        <v>0</v>
      </c>
    </row>
    <row r="57" spans="1:10" x14ac:dyDescent="0.3">
      <c r="A57" s="572">
        <f t="shared" si="1"/>
        <v>52</v>
      </c>
      <c r="B57" s="612" t="s">
        <v>300</v>
      </c>
      <c r="C57" s="613"/>
      <c r="D57" s="613"/>
      <c r="E57" s="613"/>
      <c r="F57" s="613"/>
      <c r="G57" s="159">
        <f t="shared" si="0"/>
        <v>0</v>
      </c>
      <c r="H57" s="160">
        <f t="shared" si="0"/>
        <v>0</v>
      </c>
    </row>
    <row r="58" spans="1:10" x14ac:dyDescent="0.3">
      <c r="A58" s="572">
        <f t="shared" si="1"/>
        <v>53</v>
      </c>
      <c r="B58" s="612" t="s">
        <v>159</v>
      </c>
      <c r="C58" s="613">
        <v>747669.74</v>
      </c>
      <c r="D58" s="613"/>
      <c r="E58" s="613">
        <v>513833.26</v>
      </c>
      <c r="F58" s="613"/>
      <c r="G58" s="159">
        <f t="shared" si="0"/>
        <v>-233836.47999999998</v>
      </c>
      <c r="H58" s="160">
        <f t="shared" si="0"/>
        <v>0</v>
      </c>
    </row>
    <row r="59" spans="1:10" s="614" customFormat="1" ht="47.4" thickBot="1" x14ac:dyDescent="0.35">
      <c r="A59" s="572">
        <f t="shared" si="1"/>
        <v>54</v>
      </c>
      <c r="B59" s="21" t="s">
        <v>1361</v>
      </c>
      <c r="C59" s="112">
        <f>C6+C11+SUM(C16:C21)+C24+C25+SUM(C39:C44)+SUM(C50:C54)+C56</f>
        <v>53916179.269999996</v>
      </c>
      <c r="D59" s="112">
        <f>D6+D11+SUM(D16:D21)+D24+D25+SUM(D39:D44)+SUM(D50:D54)+D56</f>
        <v>1462983.6099999999</v>
      </c>
      <c r="E59" s="162">
        <f t="shared" ref="E59:F59" si="2">E6+E11+SUM(E16:E21)+E24+E25+SUM(E39:E44)+SUM(E50:E54)+E56</f>
        <v>52517345.269999996</v>
      </c>
      <c r="F59" s="162">
        <f t="shared" si="2"/>
        <v>2009031.35</v>
      </c>
      <c r="G59" s="163">
        <f t="shared" si="0"/>
        <v>-1398834</v>
      </c>
      <c r="H59" s="164">
        <f t="shared" si="0"/>
        <v>546047.74000000022</v>
      </c>
      <c r="I59" s="196"/>
      <c r="J59" s="196"/>
    </row>
    <row r="60" spans="1:10" ht="21" customHeight="1" x14ac:dyDescent="0.3">
      <c r="B60" s="522"/>
      <c r="C60" s="522"/>
      <c r="D60" s="615"/>
      <c r="E60" s="615"/>
      <c r="F60" s="615"/>
      <c r="G60" s="522"/>
      <c r="H60" s="522"/>
    </row>
    <row r="61" spans="1:10" x14ac:dyDescent="0.3">
      <c r="A61" s="658" t="s">
        <v>1043</v>
      </c>
      <c r="B61" s="659"/>
      <c r="C61" s="659"/>
      <c r="D61" s="659"/>
      <c r="E61" s="659"/>
      <c r="F61" s="659"/>
      <c r="G61" s="659"/>
      <c r="H61" s="660"/>
    </row>
    <row r="62" spans="1:10" ht="30.75" customHeight="1" x14ac:dyDescent="0.3">
      <c r="A62" s="661" t="s">
        <v>235</v>
      </c>
      <c r="B62" s="662"/>
      <c r="C62" s="662"/>
      <c r="D62" s="662"/>
      <c r="E62" s="662"/>
      <c r="F62" s="662"/>
      <c r="G62" s="662"/>
      <c r="H62" s="663"/>
    </row>
    <row r="63" spans="1:10" x14ac:dyDescent="0.3">
      <c r="D63" s="617"/>
      <c r="E63" s="617"/>
      <c r="F63" s="617"/>
    </row>
    <row r="64" spans="1:10" x14ac:dyDescent="0.3">
      <c r="C64" s="618"/>
      <c r="D64" s="619"/>
    </row>
    <row r="65" spans="3:4" ht="18.75" customHeight="1" x14ac:dyDescent="0.3">
      <c r="C65" s="619"/>
      <c r="D65" s="619"/>
    </row>
    <row r="66" spans="3:4" x14ac:dyDescent="0.3">
      <c r="C66" s="620"/>
      <c r="D66" s="620"/>
    </row>
    <row r="68" spans="3:4" x14ac:dyDescent="0.3">
      <c r="D68" s="621"/>
    </row>
  </sheetData>
  <mergeCells count="9">
    <mergeCell ref="A61:H61"/>
    <mergeCell ref="A62:H62"/>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1" fitToWidth="2" fitToHeight="2" orientation="landscape" r:id="rId1"/>
  <headerFooter alignWithMargins="0">
    <oddFooter>&amp;C&amp;P z &amp;N</oddFooter>
  </headerFooter>
  <rowBreaks count="1" manualBreakCount="1">
    <brk id="3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zoomScaleNormal="100" workbookViewId="0">
      <selection activeCell="B8" sqref="B8"/>
    </sheetView>
  </sheetViews>
  <sheetFormatPr defaultRowHeight="13.2" x14ac:dyDescent="0.25"/>
  <cols>
    <col min="1" max="1" width="8.88671875" style="393"/>
    <col min="2" max="2" width="56.88671875" style="393" customWidth="1"/>
    <col min="3" max="3" width="22" style="393" customWidth="1"/>
    <col min="4" max="16384" width="8.88671875" style="393"/>
  </cols>
  <sheetData>
    <row r="1" spans="1:4" ht="30.75" customHeight="1" thickBot="1" x14ac:dyDescent="0.3">
      <c r="A1" s="937" t="s">
        <v>1012</v>
      </c>
      <c r="B1" s="938"/>
      <c r="C1" s="939"/>
    </row>
    <row r="2" spans="1:4" ht="29.25" customHeight="1" thickBot="1" x14ac:dyDescent="0.3">
      <c r="A2" s="628" t="s">
        <v>993</v>
      </c>
      <c r="B2" s="629" t="s">
        <v>994</v>
      </c>
      <c r="C2" s="630" t="s">
        <v>995</v>
      </c>
    </row>
    <row r="3" spans="1:4" ht="24" customHeight="1" x14ac:dyDescent="0.25">
      <c r="A3" s="631">
        <v>1</v>
      </c>
      <c r="B3" s="632" t="s">
        <v>1003</v>
      </c>
      <c r="C3" s="633">
        <v>38623</v>
      </c>
    </row>
    <row r="4" spans="1:4" ht="24" customHeight="1" x14ac:dyDescent="0.25">
      <c r="A4" s="634">
        <v>4</v>
      </c>
      <c r="B4" s="635" t="s">
        <v>1002</v>
      </c>
      <c r="C4" s="636">
        <v>39326</v>
      </c>
    </row>
    <row r="5" spans="1:4" ht="24" customHeight="1" x14ac:dyDescent="0.25">
      <c r="A5" s="634">
        <v>5</v>
      </c>
      <c r="B5" s="635" t="s">
        <v>997</v>
      </c>
      <c r="C5" s="636">
        <v>39326</v>
      </c>
    </row>
    <row r="6" spans="1:4" ht="24" customHeight="1" x14ac:dyDescent="0.25">
      <c r="A6" s="634">
        <v>6</v>
      </c>
      <c r="B6" s="635" t="s">
        <v>1000</v>
      </c>
      <c r="C6" s="636">
        <v>39326</v>
      </c>
    </row>
    <row r="7" spans="1:4" ht="32.25" customHeight="1" x14ac:dyDescent="0.25">
      <c r="A7" s="634">
        <v>7</v>
      </c>
      <c r="B7" s="635" t="s">
        <v>999</v>
      </c>
      <c r="C7" s="636">
        <v>39326</v>
      </c>
    </row>
    <row r="8" spans="1:4" ht="24" customHeight="1" x14ac:dyDescent="0.25">
      <c r="A8" s="634">
        <v>8</v>
      </c>
      <c r="B8" s="635" t="s">
        <v>998</v>
      </c>
      <c r="C8" s="636">
        <v>39326</v>
      </c>
    </row>
    <row r="9" spans="1:4" ht="24" customHeight="1" x14ac:dyDescent="0.25">
      <c r="A9" s="634">
        <v>9</v>
      </c>
      <c r="B9" s="635" t="s">
        <v>1005</v>
      </c>
      <c r="C9" s="636">
        <v>39326</v>
      </c>
    </row>
    <row r="10" spans="1:4" ht="24" customHeight="1" x14ac:dyDescent="0.25">
      <c r="A10" s="634">
        <v>10</v>
      </c>
      <c r="B10" s="635" t="s">
        <v>1010</v>
      </c>
      <c r="C10" s="636">
        <v>40245</v>
      </c>
      <c r="D10" s="634" t="s">
        <v>1015</v>
      </c>
    </row>
    <row r="11" spans="1:4" ht="24" customHeight="1" x14ac:dyDescent="0.25">
      <c r="A11" s="634">
        <v>11</v>
      </c>
      <c r="B11" s="635" t="s">
        <v>1009</v>
      </c>
      <c r="C11" s="636">
        <v>40245</v>
      </c>
      <c r="D11" s="634" t="s">
        <v>1015</v>
      </c>
    </row>
    <row r="12" spans="1:4" ht="24" customHeight="1" x14ac:dyDescent="0.25">
      <c r="A12" s="634">
        <v>12</v>
      </c>
      <c r="B12" s="635" t="s">
        <v>1008</v>
      </c>
      <c r="C12" s="636">
        <v>40245</v>
      </c>
      <c r="D12" s="634" t="s">
        <v>1015</v>
      </c>
    </row>
    <row r="13" spans="1:4" ht="24" customHeight="1" x14ac:dyDescent="0.25">
      <c r="A13" s="634">
        <v>13</v>
      </c>
      <c r="B13" s="635" t="s">
        <v>1007</v>
      </c>
      <c r="C13" s="636">
        <v>40245</v>
      </c>
      <c r="D13" s="634" t="s">
        <v>1015</v>
      </c>
    </row>
    <row r="14" spans="1:4" ht="24" customHeight="1" x14ac:dyDescent="0.25">
      <c r="A14" s="634">
        <v>14</v>
      </c>
      <c r="B14" s="635" t="s">
        <v>996</v>
      </c>
      <c r="C14" s="636">
        <v>40245</v>
      </c>
      <c r="D14" s="634" t="s">
        <v>1015</v>
      </c>
    </row>
    <row r="15" spans="1:4" ht="24" customHeight="1" x14ac:dyDescent="0.25">
      <c r="A15" s="634">
        <v>15</v>
      </c>
      <c r="B15" s="635" t="s">
        <v>1011</v>
      </c>
      <c r="C15" s="636">
        <v>40245</v>
      </c>
      <c r="D15" s="634" t="s">
        <v>1015</v>
      </c>
    </row>
    <row r="16" spans="1:4" ht="24" customHeight="1" x14ac:dyDescent="0.25">
      <c r="A16" s="634">
        <v>16</v>
      </c>
      <c r="B16" s="635" t="s">
        <v>1018</v>
      </c>
      <c r="C16" s="636">
        <v>40245</v>
      </c>
      <c r="D16" s="634" t="s">
        <v>1015</v>
      </c>
    </row>
    <row r="17" spans="1:4" ht="24" customHeight="1" x14ac:dyDescent="0.25">
      <c r="A17" s="634">
        <v>17</v>
      </c>
      <c r="B17" s="635" t="s">
        <v>1004</v>
      </c>
      <c r="C17" s="636">
        <v>40245</v>
      </c>
      <c r="D17" s="634" t="s">
        <v>1015</v>
      </c>
    </row>
    <row r="18" spans="1:4" ht="24" customHeight="1" x14ac:dyDescent="0.25">
      <c r="A18" s="634">
        <v>18</v>
      </c>
      <c r="B18" s="635" t="s">
        <v>1006</v>
      </c>
      <c r="C18" s="636">
        <v>40245</v>
      </c>
    </row>
    <row r="19" spans="1:4" ht="24" customHeight="1" thickBot="1" x14ac:dyDescent="0.3">
      <c r="A19" s="637">
        <v>19</v>
      </c>
      <c r="B19" s="635" t="s">
        <v>1001</v>
      </c>
      <c r="C19" s="638">
        <v>41275</v>
      </c>
    </row>
  </sheetData>
  <mergeCells count="1">
    <mergeCell ref="A1:C1"/>
  </mergeCells>
  <pageMargins left="0.7" right="0.7" top="0.75" bottom="0.75" header="0.3" footer="0.3"/>
  <pageSetup paperSize="9" scale="9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3.2" x14ac:dyDescent="0.25"/>
  <cols>
    <col min="1" max="1" width="60.88671875" customWidth="1"/>
    <col min="2" max="2" width="8.88671875" customWidth="1"/>
    <col min="3" max="3" width="13.109375" customWidth="1"/>
    <col min="4" max="4" width="14.6640625" customWidth="1"/>
    <col min="5" max="5" width="14.33203125" customWidth="1"/>
    <col min="6" max="6" width="13.6640625" customWidth="1"/>
  </cols>
  <sheetData>
    <row r="1" spans="1:6" ht="45.75" customHeight="1" x14ac:dyDescent="0.25">
      <c r="A1" s="941" t="s">
        <v>525</v>
      </c>
      <c r="B1" s="942"/>
      <c r="C1" s="942"/>
      <c r="D1" s="942"/>
      <c r="E1" s="942"/>
      <c r="F1" s="943"/>
    </row>
    <row r="2" spans="1:6" ht="19.5" customHeight="1" x14ac:dyDescent="0.3">
      <c r="A2" s="940" t="s">
        <v>391</v>
      </c>
      <c r="B2" s="940"/>
      <c r="C2" s="940"/>
      <c r="D2" s="940"/>
      <c r="E2" s="940"/>
      <c r="F2" s="940"/>
    </row>
    <row r="3" spans="1:6" ht="42" customHeight="1" x14ac:dyDescent="0.25">
      <c r="A3" s="37" t="s">
        <v>401</v>
      </c>
      <c r="B3" s="38" t="s">
        <v>402</v>
      </c>
      <c r="C3" s="45" t="s">
        <v>571</v>
      </c>
      <c r="D3" s="38" t="s">
        <v>521</v>
      </c>
      <c r="E3" s="38" t="s">
        <v>522</v>
      </c>
      <c r="F3" s="38" t="s">
        <v>523</v>
      </c>
    </row>
    <row r="4" spans="1:6" ht="15.6" x14ac:dyDescent="0.3">
      <c r="A4" s="39" t="s">
        <v>403</v>
      </c>
      <c r="B4" s="39" t="s">
        <v>404</v>
      </c>
      <c r="C4" s="40"/>
      <c r="D4" s="40"/>
      <c r="E4" s="40"/>
      <c r="F4" s="40"/>
    </row>
    <row r="5" spans="1:6" ht="15.6" x14ac:dyDescent="0.3">
      <c r="A5" s="44" t="s">
        <v>405</v>
      </c>
      <c r="B5" s="39" t="s">
        <v>406</v>
      </c>
      <c r="C5" s="40"/>
      <c r="D5" s="40"/>
      <c r="E5" s="40"/>
      <c r="F5" s="40"/>
    </row>
    <row r="6" spans="1:6" ht="15.6" x14ac:dyDescent="0.3">
      <c r="A6" s="39" t="s">
        <v>407</v>
      </c>
      <c r="B6" s="39" t="s">
        <v>408</v>
      </c>
      <c r="C6" s="40"/>
      <c r="D6" s="40"/>
      <c r="E6" s="40"/>
      <c r="F6" s="40"/>
    </row>
    <row r="7" spans="1:6" ht="15.6" x14ac:dyDescent="0.3">
      <c r="A7" s="39" t="s">
        <v>409</v>
      </c>
      <c r="B7" s="39" t="s">
        <v>410</v>
      </c>
      <c r="C7" s="40"/>
      <c r="D7" s="40"/>
      <c r="E7" s="40"/>
      <c r="F7" s="40"/>
    </row>
    <row r="8" spans="1:6" ht="15.6" x14ac:dyDescent="0.3">
      <c r="A8" s="43" t="s">
        <v>526</v>
      </c>
      <c r="B8" s="39" t="s">
        <v>411</v>
      </c>
      <c r="C8" s="40"/>
      <c r="D8" s="40"/>
      <c r="E8" s="40"/>
      <c r="F8" s="40"/>
    </row>
    <row r="9" spans="1:6" ht="15.6" x14ac:dyDescent="0.3">
      <c r="A9" s="39" t="s">
        <v>412</v>
      </c>
      <c r="B9" s="39" t="s">
        <v>413</v>
      </c>
      <c r="C9" s="40"/>
      <c r="D9" s="40"/>
      <c r="E9" s="40"/>
      <c r="F9" s="40"/>
    </row>
    <row r="10" spans="1:6" ht="15.6" x14ac:dyDescent="0.3">
      <c r="A10" s="39" t="s">
        <v>414</v>
      </c>
      <c r="B10" s="39" t="s">
        <v>415</v>
      </c>
      <c r="C10" s="40"/>
      <c r="D10" s="40"/>
      <c r="E10" s="40"/>
      <c r="F10" s="40"/>
    </row>
    <row r="11" spans="1:6" ht="15.6" x14ac:dyDescent="0.3">
      <c r="A11" s="39" t="s">
        <v>416</v>
      </c>
      <c r="B11" s="39" t="s">
        <v>417</v>
      </c>
      <c r="C11" s="40"/>
      <c r="D11" s="40"/>
      <c r="E11" s="40"/>
      <c r="F11" s="40"/>
    </row>
    <row r="12" spans="1:6" ht="15.6" x14ac:dyDescent="0.3">
      <c r="A12" s="44" t="s">
        <v>418</v>
      </c>
      <c r="B12" s="39" t="s">
        <v>419</v>
      </c>
      <c r="C12" s="40"/>
      <c r="D12" s="40"/>
      <c r="E12" s="40"/>
      <c r="F12" s="40"/>
    </row>
    <row r="13" spans="1:6" ht="15.6" x14ac:dyDescent="0.3">
      <c r="A13" s="39" t="s">
        <v>420</v>
      </c>
      <c r="B13" s="39" t="s">
        <v>421</v>
      </c>
      <c r="C13" s="40"/>
      <c r="D13" s="40"/>
      <c r="E13" s="40"/>
      <c r="F13" s="40"/>
    </row>
    <row r="14" spans="1:6" ht="15.6" x14ac:dyDescent="0.3">
      <c r="A14" s="39" t="s">
        <v>422</v>
      </c>
      <c r="B14" s="39" t="s">
        <v>423</v>
      </c>
      <c r="C14" s="40"/>
      <c r="D14" s="40"/>
      <c r="E14" s="40"/>
      <c r="F14" s="40"/>
    </row>
    <row r="15" spans="1:6" ht="15.6" x14ac:dyDescent="0.3">
      <c r="A15" s="39" t="s">
        <v>424</v>
      </c>
      <c r="B15" s="39" t="s">
        <v>425</v>
      </c>
      <c r="C15" s="40"/>
      <c r="D15" s="40"/>
      <c r="E15" s="40"/>
      <c r="F15" s="40"/>
    </row>
    <row r="16" spans="1:6" ht="15.6" x14ac:dyDescent="0.3">
      <c r="A16" s="39" t="s">
        <v>426</v>
      </c>
      <c r="B16" s="39" t="s">
        <v>427</v>
      </c>
      <c r="C16" s="40"/>
      <c r="D16" s="40"/>
      <c r="E16" s="40"/>
      <c r="F16" s="40"/>
    </row>
    <row r="17" spans="1:6" ht="15.6" x14ac:dyDescent="0.3">
      <c r="A17" s="39" t="s">
        <v>428</v>
      </c>
      <c r="B17" s="39" t="s">
        <v>429</v>
      </c>
      <c r="C17" s="40"/>
      <c r="D17" s="40"/>
      <c r="E17" s="40"/>
      <c r="F17" s="40"/>
    </row>
    <row r="18" spans="1:6" ht="15.6" x14ac:dyDescent="0.3">
      <c r="A18" s="39" t="s">
        <v>430</v>
      </c>
      <c r="B18" s="39" t="s">
        <v>431</v>
      </c>
      <c r="C18" s="40"/>
      <c r="D18" s="40"/>
      <c r="E18" s="40"/>
      <c r="F18" s="40"/>
    </row>
    <row r="19" spans="1:6" ht="15.6" x14ac:dyDescent="0.3">
      <c r="A19" s="39" t="s">
        <v>432</v>
      </c>
      <c r="B19" s="39" t="s">
        <v>433</v>
      </c>
      <c r="C19" s="40"/>
      <c r="D19" s="40"/>
      <c r="E19" s="40"/>
      <c r="F19" s="40"/>
    </row>
    <row r="20" spans="1:6" ht="15.6" x14ac:dyDescent="0.3">
      <c r="A20" s="39" t="s">
        <v>434</v>
      </c>
      <c r="B20" s="39" t="s">
        <v>435</v>
      </c>
      <c r="C20" s="40"/>
      <c r="D20" s="40"/>
      <c r="E20" s="40"/>
      <c r="F20" s="40"/>
    </row>
    <row r="21" spans="1:6" ht="15.6" x14ac:dyDescent="0.3">
      <c r="A21" s="39" t="s">
        <v>436</v>
      </c>
      <c r="B21" s="39" t="s">
        <v>437</v>
      </c>
      <c r="C21" s="40"/>
      <c r="D21" s="40"/>
      <c r="E21" s="40"/>
      <c r="F21" s="40"/>
    </row>
    <row r="22" spans="1:6" ht="15.6" x14ac:dyDescent="0.3">
      <c r="A22" s="39" t="s">
        <v>438</v>
      </c>
      <c r="B22" s="39" t="s">
        <v>439</v>
      </c>
      <c r="C22" s="40"/>
      <c r="D22" s="40"/>
      <c r="E22" s="40"/>
      <c r="F22" s="40"/>
    </row>
    <row r="23" spans="1:6" ht="15.6" x14ac:dyDescent="0.3">
      <c r="A23" s="39" t="s">
        <v>440</v>
      </c>
      <c r="B23" s="39" t="s">
        <v>441</v>
      </c>
      <c r="C23" s="40"/>
      <c r="D23" s="40"/>
      <c r="E23" s="40"/>
      <c r="F23" s="40"/>
    </row>
    <row r="24" spans="1:6" ht="15.6" x14ac:dyDescent="0.3">
      <c r="A24" s="44" t="s">
        <v>442</v>
      </c>
      <c r="B24" s="39" t="s">
        <v>443</v>
      </c>
      <c r="C24" s="40"/>
      <c r="D24" s="40"/>
      <c r="E24" s="40"/>
      <c r="F24" s="40"/>
    </row>
    <row r="25" spans="1:6" ht="15.6" x14ac:dyDescent="0.3">
      <c r="A25" s="39" t="s">
        <v>444</v>
      </c>
      <c r="B25" s="39" t="s">
        <v>445</v>
      </c>
      <c r="C25" s="40"/>
      <c r="D25" s="40"/>
      <c r="E25" s="40"/>
      <c r="F25" s="40"/>
    </row>
    <row r="26" spans="1:6" ht="15.6" x14ac:dyDescent="0.3">
      <c r="A26" s="39" t="s">
        <v>446</v>
      </c>
      <c r="B26" s="39" t="s">
        <v>447</v>
      </c>
      <c r="C26" s="40"/>
      <c r="D26" s="40"/>
      <c r="E26" s="40"/>
      <c r="F26" s="40"/>
    </row>
    <row r="27" spans="1:6" ht="15.6" x14ac:dyDescent="0.3">
      <c r="A27" s="39" t="s">
        <v>448</v>
      </c>
      <c r="B27" s="39" t="s">
        <v>449</v>
      </c>
      <c r="C27" s="40"/>
      <c r="D27" s="40"/>
      <c r="E27" s="40"/>
      <c r="F27" s="40"/>
    </row>
    <row r="28" spans="1:6" ht="15.6" x14ac:dyDescent="0.3">
      <c r="A28" s="39" t="s">
        <v>450</v>
      </c>
      <c r="B28" s="39" t="s">
        <v>451</v>
      </c>
      <c r="C28" s="40"/>
      <c r="D28" s="40"/>
      <c r="E28" s="40"/>
      <c r="F28" s="40"/>
    </row>
    <row r="29" spans="1:6" ht="15.6" x14ac:dyDescent="0.3">
      <c r="A29" s="39" t="s">
        <v>452</v>
      </c>
      <c r="B29" s="39" t="s">
        <v>453</v>
      </c>
      <c r="C29" s="40"/>
      <c r="D29" s="40"/>
      <c r="E29" s="40"/>
      <c r="F29" s="40"/>
    </row>
    <row r="30" spans="1:6" ht="15.6" x14ac:dyDescent="0.3">
      <c r="A30" s="39" t="s">
        <v>454</v>
      </c>
      <c r="B30" s="39" t="s">
        <v>455</v>
      </c>
      <c r="C30" s="40"/>
      <c r="D30" s="40"/>
      <c r="E30" s="40"/>
      <c r="F30" s="40"/>
    </row>
    <row r="31" spans="1:6" ht="15.6" x14ac:dyDescent="0.3">
      <c r="A31" s="39" t="s">
        <v>456</v>
      </c>
      <c r="B31" s="39" t="s">
        <v>457</v>
      </c>
      <c r="C31" s="40"/>
      <c r="D31" s="40"/>
      <c r="E31" s="40"/>
      <c r="F31" s="40"/>
    </row>
    <row r="32" spans="1:6" ht="15.6" x14ac:dyDescent="0.3">
      <c r="A32" s="39" t="s">
        <v>458</v>
      </c>
      <c r="B32" s="39" t="s">
        <v>459</v>
      </c>
      <c r="C32" s="40"/>
      <c r="D32" s="40"/>
      <c r="E32" s="40"/>
      <c r="F32" s="40"/>
    </row>
    <row r="33" spans="1:6" ht="15.6" x14ac:dyDescent="0.3">
      <c r="A33" s="44" t="s">
        <v>460</v>
      </c>
      <c r="B33" s="39" t="s">
        <v>461</v>
      </c>
      <c r="C33" s="40"/>
      <c r="D33" s="40"/>
      <c r="E33" s="40"/>
      <c r="F33" s="40"/>
    </row>
    <row r="34" spans="1:6" ht="15.6" x14ac:dyDescent="0.3">
      <c r="A34" s="39" t="s">
        <v>462</v>
      </c>
      <c r="B34" s="39" t="s">
        <v>463</v>
      </c>
      <c r="C34" s="40"/>
      <c r="D34" s="40"/>
      <c r="E34" s="40"/>
      <c r="F34" s="40"/>
    </row>
    <row r="35" spans="1:6" ht="15.6" x14ac:dyDescent="0.3">
      <c r="A35" s="39" t="s">
        <v>464</v>
      </c>
      <c r="B35" s="39" t="s">
        <v>465</v>
      </c>
      <c r="C35" s="40"/>
      <c r="D35" s="40"/>
      <c r="E35" s="40"/>
      <c r="F35" s="40"/>
    </row>
    <row r="36" spans="1:6" ht="15.6" x14ac:dyDescent="0.3">
      <c r="A36" s="39" t="s">
        <v>466</v>
      </c>
      <c r="B36" s="39" t="s">
        <v>467</v>
      </c>
      <c r="C36" s="40"/>
      <c r="D36" s="40"/>
      <c r="E36" s="40"/>
      <c r="F36" s="40"/>
    </row>
    <row r="37" spans="1:6" ht="15.6" x14ac:dyDescent="0.3">
      <c r="A37" s="39" t="s">
        <v>468</v>
      </c>
      <c r="B37" s="39" t="s">
        <v>469</v>
      </c>
      <c r="C37" s="40"/>
      <c r="D37" s="40"/>
      <c r="E37" s="40"/>
      <c r="F37" s="40"/>
    </row>
    <row r="38" spans="1:6" ht="15.6" x14ac:dyDescent="0.3">
      <c r="A38" s="39" t="s">
        <v>470</v>
      </c>
      <c r="B38" s="39" t="s">
        <v>471</v>
      </c>
      <c r="C38" s="40"/>
      <c r="D38" s="40"/>
      <c r="E38" s="40"/>
      <c r="F38" s="40"/>
    </row>
    <row r="39" spans="1:6" ht="15.6" x14ac:dyDescent="0.3">
      <c r="A39" s="39" t="s">
        <v>472</v>
      </c>
      <c r="B39" s="39" t="s">
        <v>473</v>
      </c>
      <c r="C39" s="40"/>
      <c r="D39" s="40"/>
      <c r="E39" s="40"/>
      <c r="F39" s="40"/>
    </row>
    <row r="40" spans="1:6" ht="15.6" x14ac:dyDescent="0.3">
      <c r="A40" s="44" t="s">
        <v>474</v>
      </c>
      <c r="B40" s="39" t="s">
        <v>475</v>
      </c>
      <c r="C40" s="40"/>
      <c r="D40" s="40"/>
      <c r="E40" s="40"/>
      <c r="F40" s="40"/>
    </row>
    <row r="41" spans="1:6" ht="15.6" x14ac:dyDescent="0.3">
      <c r="A41" s="39" t="s">
        <v>476</v>
      </c>
      <c r="B41" s="39" t="s">
        <v>477</v>
      </c>
      <c r="C41" s="40"/>
      <c r="D41" s="40"/>
      <c r="E41" s="40"/>
      <c r="F41" s="40"/>
    </row>
    <row r="42" spans="1:6" ht="15.6" x14ac:dyDescent="0.3">
      <c r="A42" s="39" t="s">
        <v>478</v>
      </c>
      <c r="B42" s="39" t="s">
        <v>479</v>
      </c>
      <c r="C42" s="40"/>
      <c r="D42" s="40"/>
      <c r="E42" s="40"/>
      <c r="F42" s="40"/>
    </row>
    <row r="43" spans="1:6" ht="15.6" x14ac:dyDescent="0.3">
      <c r="A43" s="39" t="s">
        <v>480</v>
      </c>
      <c r="B43" s="39" t="s">
        <v>481</v>
      </c>
      <c r="C43" s="40"/>
      <c r="D43" s="40"/>
      <c r="E43" s="40"/>
      <c r="F43" s="40"/>
    </row>
    <row r="44" spans="1:6" ht="15.6" x14ac:dyDescent="0.3">
      <c r="A44" s="39" t="s">
        <v>482</v>
      </c>
      <c r="B44" s="39" t="s">
        <v>483</v>
      </c>
      <c r="C44" s="40"/>
      <c r="D44" s="40"/>
      <c r="E44" s="40"/>
      <c r="F44" s="40"/>
    </row>
    <row r="45" spans="1:6" ht="15.6" x14ac:dyDescent="0.3">
      <c r="A45" s="44" t="s">
        <v>484</v>
      </c>
      <c r="B45" s="39" t="s">
        <v>485</v>
      </c>
      <c r="C45" s="40"/>
      <c r="D45" s="40"/>
      <c r="E45" s="40"/>
      <c r="F45" s="40"/>
    </row>
    <row r="46" spans="1:6" ht="15.6" x14ac:dyDescent="0.3">
      <c r="A46" s="39" t="s">
        <v>486</v>
      </c>
      <c r="B46" s="39" t="s">
        <v>487</v>
      </c>
      <c r="C46" s="40"/>
      <c r="D46" s="40"/>
      <c r="E46" s="40"/>
      <c r="F46" s="40"/>
    </row>
    <row r="47" spans="1:6" ht="15.6" x14ac:dyDescent="0.3">
      <c r="A47" s="39" t="s">
        <v>478</v>
      </c>
      <c r="B47" s="39" t="s">
        <v>488</v>
      </c>
      <c r="C47" s="40"/>
      <c r="D47" s="40"/>
      <c r="E47" s="40"/>
      <c r="F47" s="40"/>
    </row>
    <row r="48" spans="1:6" ht="15.6" x14ac:dyDescent="0.3">
      <c r="A48" s="39" t="s">
        <v>489</v>
      </c>
      <c r="B48" s="39" t="s">
        <v>490</v>
      </c>
      <c r="C48" s="40"/>
      <c r="D48" s="40"/>
      <c r="E48" s="40"/>
      <c r="F48" s="40"/>
    </row>
    <row r="49" spans="1:6" ht="15.6" x14ac:dyDescent="0.3">
      <c r="A49" s="39" t="s">
        <v>491</v>
      </c>
      <c r="B49" s="39" t="s">
        <v>492</v>
      </c>
      <c r="C49" s="40"/>
      <c r="D49" s="40"/>
      <c r="E49" s="40"/>
      <c r="F49" s="40"/>
    </row>
    <row r="50" spans="1:6" ht="15.6" x14ac:dyDescent="0.3">
      <c r="A50" s="39" t="s">
        <v>493</v>
      </c>
      <c r="B50" s="39" t="s">
        <v>494</v>
      </c>
      <c r="C50" s="40"/>
      <c r="D50" s="40"/>
      <c r="E50" s="40"/>
      <c r="F50" s="40"/>
    </row>
    <row r="51" spans="1:6" ht="15.6" x14ac:dyDescent="0.3">
      <c r="A51" s="39" t="s">
        <v>480</v>
      </c>
      <c r="B51" s="39" t="s">
        <v>495</v>
      </c>
      <c r="C51" s="40"/>
      <c r="D51" s="40"/>
      <c r="E51" s="40"/>
      <c r="F51" s="40"/>
    </row>
    <row r="52" spans="1:6" ht="15.6" x14ac:dyDescent="0.3">
      <c r="A52" s="39" t="s">
        <v>496</v>
      </c>
      <c r="B52" s="39" t="s">
        <v>497</v>
      </c>
      <c r="C52" s="40"/>
      <c r="D52" s="40"/>
      <c r="E52" s="40"/>
      <c r="F52" s="40"/>
    </row>
    <row r="53" spans="1:6" ht="15.6" x14ac:dyDescent="0.3">
      <c r="A53" s="39" t="s">
        <v>482</v>
      </c>
      <c r="B53" s="39" t="s">
        <v>498</v>
      </c>
      <c r="C53" s="40"/>
      <c r="D53" s="40"/>
      <c r="E53" s="40"/>
      <c r="F53" s="40"/>
    </row>
    <row r="54" spans="1:6" ht="15.6" x14ac:dyDescent="0.3">
      <c r="A54" s="44" t="s">
        <v>499</v>
      </c>
      <c r="B54" s="39" t="s">
        <v>500</v>
      </c>
      <c r="C54" s="40"/>
      <c r="D54" s="40"/>
      <c r="E54" s="40"/>
      <c r="F54" s="40"/>
    </row>
    <row r="55" spans="1:6" ht="15.6" x14ac:dyDescent="0.3">
      <c r="A55" s="39" t="s">
        <v>501</v>
      </c>
      <c r="B55" s="39" t="s">
        <v>502</v>
      </c>
      <c r="C55" s="40"/>
      <c r="D55" s="40"/>
      <c r="E55" s="40"/>
      <c r="F55" s="40"/>
    </row>
    <row r="56" spans="1:6" ht="15.6" x14ac:dyDescent="0.3">
      <c r="A56" s="39" t="s">
        <v>503</v>
      </c>
      <c r="B56" s="39" t="s">
        <v>504</v>
      </c>
      <c r="C56" s="40"/>
      <c r="D56" s="40"/>
      <c r="E56" s="40"/>
      <c r="F56" s="40"/>
    </row>
    <row r="57" spans="1:6" ht="15.6" x14ac:dyDescent="0.3">
      <c r="A57" s="39" t="s">
        <v>505</v>
      </c>
      <c r="B57" s="39" t="s">
        <v>506</v>
      </c>
      <c r="C57" s="40"/>
      <c r="D57" s="40"/>
      <c r="E57" s="40"/>
      <c r="F57" s="40"/>
    </row>
    <row r="58" spans="1:6" ht="15.6" x14ac:dyDescent="0.3">
      <c r="A58" s="39" t="s">
        <v>507</v>
      </c>
      <c r="B58" s="39" t="s">
        <v>508</v>
      </c>
      <c r="C58" s="40"/>
      <c r="D58" s="40"/>
      <c r="E58" s="40"/>
      <c r="F58" s="40"/>
    </row>
    <row r="59" spans="1:6" ht="15.6" x14ac:dyDescent="0.3">
      <c r="A59" s="39" t="s">
        <v>509</v>
      </c>
      <c r="B59" s="39" t="s">
        <v>510</v>
      </c>
      <c r="C59" s="40"/>
      <c r="D59" s="40"/>
      <c r="E59" s="40"/>
      <c r="F59" s="40"/>
    </row>
    <row r="60" spans="1:6" ht="15.6" x14ac:dyDescent="0.3">
      <c r="A60" s="39" t="s">
        <v>511</v>
      </c>
      <c r="B60" s="39" t="s">
        <v>512</v>
      </c>
      <c r="C60" s="40"/>
      <c r="D60" s="40"/>
      <c r="E60" s="40"/>
      <c r="F60" s="40"/>
    </row>
    <row r="61" spans="1:6" ht="15.6" x14ac:dyDescent="0.3">
      <c r="A61" s="44" t="s">
        <v>513</v>
      </c>
      <c r="B61" s="39" t="s">
        <v>514</v>
      </c>
      <c r="C61" s="40"/>
      <c r="D61" s="40"/>
      <c r="E61" s="40"/>
      <c r="F61" s="40"/>
    </row>
    <row r="62" spans="1:6" ht="15.6" x14ac:dyDescent="0.3">
      <c r="A62" s="39" t="s">
        <v>515</v>
      </c>
      <c r="B62" s="39" t="s">
        <v>516</v>
      </c>
      <c r="C62" s="40"/>
      <c r="D62" s="40"/>
      <c r="E62" s="40"/>
      <c r="F62" s="40"/>
    </row>
    <row r="63" spans="1:6" ht="15.6" x14ac:dyDescent="0.3">
      <c r="A63" s="39" t="s">
        <v>517</v>
      </c>
      <c r="B63" s="39" t="s">
        <v>518</v>
      </c>
      <c r="C63" s="40"/>
      <c r="D63" s="40"/>
      <c r="E63" s="40"/>
      <c r="F63" s="40"/>
    </row>
    <row r="64" spans="1:6" ht="15.6" x14ac:dyDescent="0.3">
      <c r="A64" s="41" t="s">
        <v>519</v>
      </c>
      <c r="B64" s="42"/>
      <c r="C64" s="40"/>
      <c r="D64" s="40"/>
      <c r="E64" s="40"/>
      <c r="F64" s="40"/>
    </row>
    <row r="65" spans="1:6" ht="15.6" x14ac:dyDescent="0.3">
      <c r="A65" s="19"/>
      <c r="B65" s="19"/>
      <c r="C65" s="19"/>
      <c r="D65" s="19"/>
      <c r="E65" s="19"/>
      <c r="F65" s="19"/>
    </row>
    <row r="66" spans="1:6" ht="15.6" x14ac:dyDescent="0.3">
      <c r="A66" s="19"/>
      <c r="B66" s="19"/>
      <c r="C66" s="19"/>
      <c r="D66" s="19"/>
      <c r="E66" s="19"/>
      <c r="F66" s="19"/>
    </row>
    <row r="67" spans="1:6" ht="15.6" x14ac:dyDescent="0.3">
      <c r="A67" s="19"/>
      <c r="B67" s="19"/>
      <c r="C67" s="19"/>
      <c r="D67" s="19"/>
      <c r="E67" s="19"/>
      <c r="F67" s="19"/>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46"/>
  <sheetViews>
    <sheetView zoomScaleNormal="100" workbookViewId="0">
      <pane xSplit="2" ySplit="5" topLeftCell="C6" activePane="bottomRight" state="frozen"/>
      <selection pane="topRight" activeCell="C1" sqref="C1"/>
      <selection pane="bottomLeft" activeCell="A6" sqref="A6"/>
      <selection pane="bottomRight" activeCell="C20" sqref="C20"/>
    </sheetView>
  </sheetViews>
  <sheetFormatPr defaultColWidth="9.109375" defaultRowHeight="15.6" x14ac:dyDescent="0.3"/>
  <cols>
    <col min="1" max="1" width="7.88671875" style="155" customWidth="1"/>
    <col min="2" max="2" width="71.109375" style="128" customWidth="1"/>
    <col min="3" max="3" width="18.109375" style="165" customWidth="1"/>
    <col min="4" max="4" width="18.33203125" style="165" customWidth="1"/>
    <col min="5" max="5" width="17.44140625" style="165" customWidth="1"/>
    <col min="6" max="6" width="19.109375" style="165" customWidth="1"/>
    <col min="7" max="7" width="16.88671875" style="165" customWidth="1"/>
    <col min="8" max="8" width="17.33203125" style="165" customWidth="1"/>
    <col min="9" max="16384" width="9.109375" style="9"/>
  </cols>
  <sheetData>
    <row r="1" spans="1:9" ht="35.1" customHeight="1" x14ac:dyDescent="0.35">
      <c r="A1" s="673" t="s">
        <v>1441</v>
      </c>
      <c r="B1" s="674"/>
      <c r="C1" s="674"/>
      <c r="D1" s="674"/>
      <c r="E1" s="674"/>
      <c r="F1" s="674"/>
      <c r="G1" s="674"/>
      <c r="H1" s="675"/>
      <c r="I1" s="592"/>
    </row>
    <row r="2" spans="1:9" ht="31.95" customHeight="1" thickBot="1" x14ac:dyDescent="0.35">
      <c r="A2" s="676" t="s">
        <v>1218</v>
      </c>
      <c r="B2" s="677"/>
      <c r="C2" s="678"/>
      <c r="D2" s="678"/>
      <c r="E2" s="678"/>
      <c r="F2" s="678"/>
      <c r="G2" s="678"/>
      <c r="H2" s="679"/>
    </row>
    <row r="3" spans="1:9" ht="24" customHeight="1" x14ac:dyDescent="0.3">
      <c r="A3" s="680" t="s">
        <v>205</v>
      </c>
      <c r="B3" s="682" t="s">
        <v>327</v>
      </c>
      <c r="C3" s="684">
        <v>2014</v>
      </c>
      <c r="D3" s="685"/>
      <c r="E3" s="684">
        <v>2015</v>
      </c>
      <c r="F3" s="686"/>
      <c r="G3" s="687" t="s">
        <v>1354</v>
      </c>
      <c r="H3" s="688"/>
    </row>
    <row r="4" spans="1:9" s="144" customFormat="1" ht="47.4" thickBot="1" x14ac:dyDescent="0.35">
      <c r="A4" s="681"/>
      <c r="B4" s="683"/>
      <c r="C4" s="133" t="s">
        <v>1285</v>
      </c>
      <c r="D4" s="133" t="s">
        <v>1286</v>
      </c>
      <c r="E4" s="133" t="s">
        <v>1285</v>
      </c>
      <c r="F4" s="133" t="s">
        <v>1286</v>
      </c>
      <c r="G4" s="133" t="s">
        <v>1285</v>
      </c>
      <c r="H4" s="133" t="s">
        <v>1286</v>
      </c>
    </row>
    <row r="5" spans="1:9" s="144" customFormat="1" x14ac:dyDescent="0.3">
      <c r="A5" s="208"/>
      <c r="B5" s="167"/>
      <c r="C5" s="168" t="s">
        <v>283</v>
      </c>
      <c r="D5" s="225" t="s">
        <v>284</v>
      </c>
      <c r="E5" s="251" t="s">
        <v>285</v>
      </c>
      <c r="F5" s="169" t="s">
        <v>292</v>
      </c>
      <c r="G5" s="251" t="s">
        <v>23</v>
      </c>
      <c r="H5" s="169" t="s">
        <v>24</v>
      </c>
    </row>
    <row r="6" spans="1:9" x14ac:dyDescent="0.3">
      <c r="A6" s="593" t="s">
        <v>722</v>
      </c>
      <c r="B6" s="594" t="s">
        <v>1090</v>
      </c>
      <c r="C6" s="170">
        <f>'T3-Výnosy'!C6</f>
        <v>164469.81000000003</v>
      </c>
      <c r="D6" s="171">
        <f>'T3-Výnosy'!D6</f>
        <v>363769.76</v>
      </c>
      <c r="E6" s="172">
        <v>209371.92</v>
      </c>
      <c r="F6" s="173">
        <v>432266.15</v>
      </c>
      <c r="G6" s="174">
        <f>E6-C6</f>
        <v>44902.109999999986</v>
      </c>
      <c r="H6" s="146">
        <f>F6-D6</f>
        <v>68496.390000000014</v>
      </c>
    </row>
    <row r="7" spans="1:9" x14ac:dyDescent="0.3">
      <c r="A7" s="593" t="s">
        <v>724</v>
      </c>
      <c r="B7" s="594" t="s">
        <v>1091</v>
      </c>
      <c r="C7" s="170">
        <f>'T3-Výnosy'!C11</f>
        <v>894632.82</v>
      </c>
      <c r="D7" s="171">
        <f>'T3-Výnosy'!D11</f>
        <v>877827.45</v>
      </c>
      <c r="E7" s="172">
        <v>1106104.3400000001</v>
      </c>
      <c r="F7" s="173">
        <v>1306786.8700000001</v>
      </c>
      <c r="G7" s="174">
        <f t="shared" ref="G7:H45" si="0">E7-C7</f>
        <v>211471.52000000014</v>
      </c>
      <c r="H7" s="146">
        <f t="shared" si="0"/>
        <v>428959.42000000016</v>
      </c>
    </row>
    <row r="8" spans="1:9" x14ac:dyDescent="0.3">
      <c r="A8" s="593" t="s">
        <v>726</v>
      </c>
      <c r="B8" s="594" t="s">
        <v>1092</v>
      </c>
      <c r="C8" s="170">
        <f>'T3-Výnosy'!C16</f>
        <v>0</v>
      </c>
      <c r="D8" s="171">
        <f>'T3-Výnosy'!D16</f>
        <v>61344.14</v>
      </c>
      <c r="E8" s="172"/>
      <c r="F8" s="173">
        <v>73906.92</v>
      </c>
      <c r="G8" s="174">
        <f t="shared" si="0"/>
        <v>0</v>
      </c>
      <c r="H8" s="146">
        <f t="shared" si="0"/>
        <v>12562.779999999999</v>
      </c>
    </row>
    <row r="9" spans="1:9" x14ac:dyDescent="0.3">
      <c r="A9" s="593" t="s">
        <v>728</v>
      </c>
      <c r="B9" s="594" t="s">
        <v>1093</v>
      </c>
      <c r="C9" s="170"/>
      <c r="D9" s="171"/>
      <c r="E9" s="172"/>
      <c r="F9" s="173"/>
      <c r="G9" s="174">
        <f t="shared" si="0"/>
        <v>0</v>
      </c>
      <c r="H9" s="146">
        <f t="shared" si="0"/>
        <v>0</v>
      </c>
    </row>
    <row r="10" spans="1:9" x14ac:dyDescent="0.3">
      <c r="A10" s="593" t="s">
        <v>730</v>
      </c>
      <c r="B10" s="594" t="s">
        <v>1094</v>
      </c>
      <c r="C10" s="170"/>
      <c r="D10" s="171"/>
      <c r="E10" s="172"/>
      <c r="F10" s="173"/>
      <c r="G10" s="174">
        <f t="shared" si="0"/>
        <v>0</v>
      </c>
      <c r="H10" s="146">
        <f t="shared" si="0"/>
        <v>0</v>
      </c>
    </row>
    <row r="11" spans="1:9" x14ac:dyDescent="0.3">
      <c r="A11" s="593" t="s">
        <v>732</v>
      </c>
      <c r="B11" s="594" t="s">
        <v>1095</v>
      </c>
      <c r="C11" s="170"/>
      <c r="D11" s="171"/>
      <c r="E11" s="172"/>
      <c r="F11" s="173"/>
      <c r="G11" s="174">
        <f t="shared" si="0"/>
        <v>0</v>
      </c>
      <c r="H11" s="146">
        <f t="shared" si="0"/>
        <v>0</v>
      </c>
    </row>
    <row r="12" spans="1:9" x14ac:dyDescent="0.3">
      <c r="A12" s="593" t="s">
        <v>734</v>
      </c>
      <c r="B12" s="594" t="s">
        <v>1096</v>
      </c>
      <c r="C12" s="170"/>
      <c r="D12" s="171"/>
      <c r="E12" s="172"/>
      <c r="F12" s="173"/>
      <c r="G12" s="174">
        <f t="shared" si="0"/>
        <v>0</v>
      </c>
      <c r="H12" s="146">
        <f t="shared" si="0"/>
        <v>0</v>
      </c>
    </row>
    <row r="13" spans="1:9" x14ac:dyDescent="0.3">
      <c r="A13" s="593" t="s">
        <v>736</v>
      </c>
      <c r="B13" s="594" t="s">
        <v>1097</v>
      </c>
      <c r="C13" s="170"/>
      <c r="D13" s="171"/>
      <c r="E13" s="172"/>
      <c r="F13" s="173"/>
      <c r="G13" s="174">
        <f t="shared" si="0"/>
        <v>0</v>
      </c>
      <c r="H13" s="146">
        <f t="shared" si="0"/>
        <v>0</v>
      </c>
    </row>
    <row r="14" spans="1:9" x14ac:dyDescent="0.3">
      <c r="A14" s="593" t="s">
        <v>738</v>
      </c>
      <c r="B14" s="594" t="s">
        <v>1098</v>
      </c>
      <c r="C14" s="170"/>
      <c r="D14" s="171"/>
      <c r="E14" s="172"/>
      <c r="F14" s="173"/>
      <c r="G14" s="174">
        <f t="shared" si="0"/>
        <v>0</v>
      </c>
      <c r="H14" s="146">
        <f t="shared" si="0"/>
        <v>0</v>
      </c>
    </row>
    <row r="15" spans="1:9" x14ac:dyDescent="0.3">
      <c r="A15" s="593" t="s">
        <v>740</v>
      </c>
      <c r="B15" s="594" t="s">
        <v>1099</v>
      </c>
      <c r="C15" s="170"/>
      <c r="D15" s="171"/>
      <c r="E15" s="172"/>
      <c r="F15" s="173"/>
      <c r="G15" s="174">
        <f t="shared" si="0"/>
        <v>0</v>
      </c>
      <c r="H15" s="146">
        <f t="shared" si="0"/>
        <v>0</v>
      </c>
    </row>
    <row r="16" spans="1:9" x14ac:dyDescent="0.3">
      <c r="A16" s="593" t="s">
        <v>742</v>
      </c>
      <c r="B16" s="594" t="s">
        <v>1100</v>
      </c>
      <c r="C16" s="170"/>
      <c r="D16" s="171"/>
      <c r="E16" s="172"/>
      <c r="F16" s="173"/>
      <c r="G16" s="174">
        <f t="shared" si="0"/>
        <v>0</v>
      </c>
      <c r="H16" s="146">
        <f t="shared" si="0"/>
        <v>0</v>
      </c>
    </row>
    <row r="17" spans="1:8" x14ac:dyDescent="0.3">
      <c r="A17" s="593" t="s">
        <v>743</v>
      </c>
      <c r="B17" s="594" t="s">
        <v>1101</v>
      </c>
      <c r="C17" s="170">
        <v>2545.23</v>
      </c>
      <c r="D17" s="171">
        <v>138.54</v>
      </c>
      <c r="E17" s="172">
        <v>235.01</v>
      </c>
      <c r="F17" s="173">
        <v>2493.85</v>
      </c>
      <c r="G17" s="174">
        <f t="shared" si="0"/>
        <v>-2310.2200000000003</v>
      </c>
      <c r="H17" s="146">
        <f t="shared" si="0"/>
        <v>2355.31</v>
      </c>
    </row>
    <row r="18" spans="1:8" x14ac:dyDescent="0.3">
      <c r="A18" s="593" t="s">
        <v>744</v>
      </c>
      <c r="B18" s="594" t="s">
        <v>1102</v>
      </c>
      <c r="C18" s="170">
        <v>810.2</v>
      </c>
      <c r="D18" s="171"/>
      <c r="E18" s="172">
        <v>10</v>
      </c>
      <c r="F18" s="173"/>
      <c r="G18" s="174">
        <f t="shared" si="0"/>
        <v>-800.2</v>
      </c>
      <c r="H18" s="146">
        <f t="shared" si="0"/>
        <v>0</v>
      </c>
    </row>
    <row r="19" spans="1:8" x14ac:dyDescent="0.3">
      <c r="A19" s="593" t="s">
        <v>746</v>
      </c>
      <c r="B19" s="594" t="s">
        <v>1103</v>
      </c>
      <c r="C19" s="170"/>
      <c r="D19" s="171"/>
      <c r="E19" s="172">
        <v>417.09</v>
      </c>
      <c r="F19" s="173">
        <v>13229.97</v>
      </c>
      <c r="G19" s="174">
        <f t="shared" si="0"/>
        <v>417.09</v>
      </c>
      <c r="H19" s="146">
        <f t="shared" si="0"/>
        <v>13229.97</v>
      </c>
    </row>
    <row r="20" spans="1:8" x14ac:dyDescent="0.3">
      <c r="A20" s="593" t="s">
        <v>747</v>
      </c>
      <c r="B20" s="594" t="s">
        <v>1104</v>
      </c>
      <c r="C20" s="170">
        <v>57.32</v>
      </c>
      <c r="D20" s="171">
        <v>79.8</v>
      </c>
      <c r="E20" s="172">
        <v>45.81</v>
      </c>
      <c r="F20" s="173">
        <v>39.07</v>
      </c>
      <c r="G20" s="174">
        <f t="shared" si="0"/>
        <v>-11.509999999999998</v>
      </c>
      <c r="H20" s="146">
        <f t="shared" si="0"/>
        <v>-40.729999999999997</v>
      </c>
    </row>
    <row r="21" spans="1:8" x14ac:dyDescent="0.3">
      <c r="A21" s="593" t="s">
        <v>749</v>
      </c>
      <c r="B21" s="594" t="s">
        <v>1105</v>
      </c>
      <c r="C21" s="170">
        <v>69980.539999999994</v>
      </c>
      <c r="D21" s="171"/>
      <c r="E21" s="172">
        <v>69014.52</v>
      </c>
      <c r="F21" s="173"/>
      <c r="G21" s="174">
        <f t="shared" si="0"/>
        <v>-966.01999999998952</v>
      </c>
      <c r="H21" s="146">
        <f t="shared" si="0"/>
        <v>0</v>
      </c>
    </row>
    <row r="22" spans="1:8" x14ac:dyDescent="0.3">
      <c r="A22" s="593" t="s">
        <v>751</v>
      </c>
      <c r="B22" s="594" t="s">
        <v>1106</v>
      </c>
      <c r="C22" s="170"/>
      <c r="D22" s="171"/>
      <c r="E22" s="172"/>
      <c r="F22" s="173"/>
      <c r="G22" s="174">
        <f t="shared" si="0"/>
        <v>0</v>
      </c>
      <c r="H22" s="146">
        <f t="shared" si="0"/>
        <v>0</v>
      </c>
    </row>
    <row r="23" spans="1:8" x14ac:dyDescent="0.3">
      <c r="A23" s="593" t="s">
        <v>753</v>
      </c>
      <c r="B23" s="594" t="s">
        <v>1107</v>
      </c>
      <c r="C23" s="170"/>
      <c r="D23" s="171"/>
      <c r="E23" s="172"/>
      <c r="F23" s="173"/>
      <c r="G23" s="174">
        <f t="shared" si="0"/>
        <v>0</v>
      </c>
      <c r="H23" s="146">
        <f t="shared" si="0"/>
        <v>0</v>
      </c>
    </row>
    <row r="24" spans="1:8" x14ac:dyDescent="0.3">
      <c r="A24" s="593" t="s">
        <v>755</v>
      </c>
      <c r="B24" s="594" t="s">
        <v>1108</v>
      </c>
      <c r="C24" s="170"/>
      <c r="D24" s="171"/>
      <c r="E24" s="172"/>
      <c r="F24" s="173"/>
      <c r="G24" s="174">
        <f t="shared" si="0"/>
        <v>0</v>
      </c>
      <c r="H24" s="146">
        <f t="shared" si="0"/>
        <v>0</v>
      </c>
    </row>
    <row r="25" spans="1:8" x14ac:dyDescent="0.3">
      <c r="A25" s="593" t="s">
        <v>757</v>
      </c>
      <c r="B25" s="594" t="s">
        <v>1109</v>
      </c>
      <c r="C25" s="170">
        <f>10913062.78+3812077.28</f>
        <v>14725140.059999999</v>
      </c>
      <c r="D25" s="171">
        <f>1524.01+27416.15</f>
        <v>28940.16</v>
      </c>
      <c r="E25" s="172">
        <v>15034087.779999999</v>
      </c>
      <c r="F25" s="173">
        <v>37114.89</v>
      </c>
      <c r="G25" s="174">
        <f t="shared" si="0"/>
        <v>308947.72000000067</v>
      </c>
      <c r="H25" s="146">
        <f t="shared" si="0"/>
        <v>8174.73</v>
      </c>
    </row>
    <row r="26" spans="1:8" x14ac:dyDescent="0.3">
      <c r="A26" s="593" t="s">
        <v>759</v>
      </c>
      <c r="B26" s="594" t="s">
        <v>1110</v>
      </c>
      <c r="C26" s="170">
        <v>161662.39999999999</v>
      </c>
      <c r="D26" s="171"/>
      <c r="E26" s="172">
        <v>6330</v>
      </c>
      <c r="F26" s="173"/>
      <c r="G26" s="174">
        <f t="shared" si="0"/>
        <v>-155332.4</v>
      </c>
      <c r="H26" s="146">
        <f t="shared" si="0"/>
        <v>0</v>
      </c>
    </row>
    <row r="27" spans="1:8" x14ac:dyDescent="0.3">
      <c r="A27" s="593" t="s">
        <v>761</v>
      </c>
      <c r="B27" s="594" t="s">
        <v>1111</v>
      </c>
      <c r="C27" s="170"/>
      <c r="D27" s="171"/>
      <c r="E27" s="172"/>
      <c r="F27" s="173"/>
      <c r="G27" s="174">
        <f t="shared" si="0"/>
        <v>0</v>
      </c>
      <c r="H27" s="146">
        <f t="shared" si="0"/>
        <v>0</v>
      </c>
    </row>
    <row r="28" spans="1:8" x14ac:dyDescent="0.3">
      <c r="A28" s="593" t="s">
        <v>763</v>
      </c>
      <c r="B28" s="594" t="s">
        <v>1112</v>
      </c>
      <c r="C28" s="170"/>
      <c r="D28" s="171"/>
      <c r="E28" s="172"/>
      <c r="F28" s="173"/>
      <c r="G28" s="174">
        <f t="shared" si="0"/>
        <v>0</v>
      </c>
      <c r="H28" s="146">
        <f t="shared" si="0"/>
        <v>0</v>
      </c>
    </row>
    <row r="29" spans="1:8" x14ac:dyDescent="0.3">
      <c r="A29" s="593" t="s">
        <v>765</v>
      </c>
      <c r="B29" s="594" t="s">
        <v>1113</v>
      </c>
      <c r="C29" s="170">
        <v>22</v>
      </c>
      <c r="D29" s="171"/>
      <c r="E29" s="172"/>
      <c r="F29" s="173">
        <v>312.5</v>
      </c>
      <c r="G29" s="174">
        <f t="shared" si="0"/>
        <v>-22</v>
      </c>
      <c r="H29" s="146">
        <f t="shared" si="0"/>
        <v>312.5</v>
      </c>
    </row>
    <row r="30" spans="1:8" x14ac:dyDescent="0.3">
      <c r="A30" s="593" t="s">
        <v>767</v>
      </c>
      <c r="B30" s="594" t="s">
        <v>1114</v>
      </c>
      <c r="C30" s="170"/>
      <c r="D30" s="171"/>
      <c r="E30" s="172"/>
      <c r="F30" s="173"/>
      <c r="G30" s="174">
        <f t="shared" si="0"/>
        <v>0</v>
      </c>
      <c r="H30" s="146">
        <f t="shared" si="0"/>
        <v>0</v>
      </c>
    </row>
    <row r="31" spans="1:8" x14ac:dyDescent="0.3">
      <c r="A31" s="593" t="s">
        <v>769</v>
      </c>
      <c r="B31" s="594" t="s">
        <v>1115</v>
      </c>
      <c r="C31" s="170">
        <v>69772.960000000006</v>
      </c>
      <c r="D31" s="171">
        <v>1876.39</v>
      </c>
      <c r="E31" s="172">
        <v>49231.98</v>
      </c>
      <c r="F31" s="173">
        <v>7497.54</v>
      </c>
      <c r="G31" s="174">
        <f t="shared" si="0"/>
        <v>-20540.980000000003</v>
      </c>
      <c r="H31" s="146">
        <f t="shared" si="0"/>
        <v>5621.15</v>
      </c>
    </row>
    <row r="32" spans="1:8" x14ac:dyDescent="0.3">
      <c r="A32" s="593" t="s">
        <v>771</v>
      </c>
      <c r="B32" s="594" t="s">
        <v>1116</v>
      </c>
      <c r="C32" s="170"/>
      <c r="D32" s="171"/>
      <c r="E32" s="172"/>
      <c r="F32" s="173"/>
      <c r="G32" s="174">
        <f t="shared" si="0"/>
        <v>0</v>
      </c>
      <c r="H32" s="146">
        <f t="shared" si="0"/>
        <v>0</v>
      </c>
    </row>
    <row r="33" spans="1:10" x14ac:dyDescent="0.3">
      <c r="A33" s="593" t="s">
        <v>773</v>
      </c>
      <c r="B33" s="594" t="s">
        <v>1117</v>
      </c>
      <c r="C33" s="170">
        <v>1245.6400000000001</v>
      </c>
      <c r="D33" s="171">
        <v>129007.37</v>
      </c>
      <c r="E33" s="172">
        <v>1661.22</v>
      </c>
      <c r="F33" s="173">
        <v>135383.59</v>
      </c>
      <c r="G33" s="174">
        <f t="shared" si="0"/>
        <v>415.57999999999993</v>
      </c>
      <c r="H33" s="146">
        <f t="shared" si="0"/>
        <v>6376.2200000000012</v>
      </c>
    </row>
    <row r="34" spans="1:10" x14ac:dyDescent="0.3">
      <c r="A34" s="593" t="s">
        <v>775</v>
      </c>
      <c r="B34" s="594" t="s">
        <v>1118</v>
      </c>
      <c r="C34" s="170"/>
      <c r="D34" s="171"/>
      <c r="E34" s="172"/>
      <c r="F34" s="173"/>
      <c r="G34" s="174">
        <f t="shared" si="0"/>
        <v>0</v>
      </c>
      <c r="H34" s="146">
        <f t="shared" si="0"/>
        <v>0</v>
      </c>
    </row>
    <row r="35" spans="1:10" x14ac:dyDescent="0.3">
      <c r="A35" s="593" t="s">
        <v>777</v>
      </c>
      <c r="B35" s="594" t="s">
        <v>1119</v>
      </c>
      <c r="C35" s="170">
        <v>5777</v>
      </c>
      <c r="D35" s="171"/>
      <c r="E35" s="172">
        <v>2479.88</v>
      </c>
      <c r="F35" s="173"/>
      <c r="G35" s="174">
        <f t="shared" si="0"/>
        <v>-3297.12</v>
      </c>
      <c r="H35" s="146">
        <f t="shared" si="0"/>
        <v>0</v>
      </c>
    </row>
    <row r="36" spans="1:10" x14ac:dyDescent="0.3">
      <c r="A36" s="593" t="s">
        <v>779</v>
      </c>
      <c r="B36" s="594" t="s">
        <v>1120</v>
      </c>
      <c r="C36" s="170"/>
      <c r="D36" s="171"/>
      <c r="E36" s="172"/>
      <c r="F36" s="173"/>
      <c r="G36" s="174">
        <f t="shared" si="0"/>
        <v>0</v>
      </c>
      <c r="H36" s="146">
        <f t="shared" si="0"/>
        <v>0</v>
      </c>
    </row>
    <row r="37" spans="1:10" x14ac:dyDescent="0.3">
      <c r="A37" s="593" t="s">
        <v>781</v>
      </c>
      <c r="B37" s="594" t="s">
        <v>1121</v>
      </c>
      <c r="C37" s="170"/>
      <c r="D37" s="171"/>
      <c r="E37" s="172"/>
      <c r="F37" s="173"/>
      <c r="G37" s="174">
        <f t="shared" si="0"/>
        <v>0</v>
      </c>
      <c r="H37" s="146">
        <f t="shared" si="0"/>
        <v>0</v>
      </c>
    </row>
    <row r="38" spans="1:10" x14ac:dyDescent="0.3">
      <c r="A38" s="593" t="s">
        <v>783</v>
      </c>
      <c r="B38" s="594" t="s">
        <v>1122</v>
      </c>
      <c r="C38" s="170"/>
      <c r="D38" s="171"/>
      <c r="E38" s="172"/>
      <c r="F38" s="173"/>
      <c r="G38" s="174">
        <f t="shared" si="0"/>
        <v>0</v>
      </c>
      <c r="H38" s="146">
        <f t="shared" si="0"/>
        <v>0</v>
      </c>
    </row>
    <row r="39" spans="1:10" x14ac:dyDescent="0.3">
      <c r="A39" s="593" t="s">
        <v>785</v>
      </c>
      <c r="B39" s="594" t="s">
        <v>1123</v>
      </c>
      <c r="C39" s="170"/>
      <c r="D39" s="171"/>
      <c r="E39" s="172"/>
      <c r="F39" s="173"/>
      <c r="G39" s="174">
        <f t="shared" si="0"/>
        <v>0</v>
      </c>
      <c r="H39" s="146">
        <f t="shared" si="0"/>
        <v>0</v>
      </c>
    </row>
    <row r="40" spans="1:10" ht="16.2" thickBot="1" x14ac:dyDescent="0.35">
      <c r="A40" s="595" t="s">
        <v>787</v>
      </c>
      <c r="B40" s="596" t="s">
        <v>1124</v>
      </c>
      <c r="C40" s="175">
        <v>37820063.289999999</v>
      </c>
      <c r="D40" s="176"/>
      <c r="E40" s="177">
        <v>36038355.719999999</v>
      </c>
      <c r="F40" s="178"/>
      <c r="G40" s="179">
        <f t="shared" si="0"/>
        <v>-1781707.5700000003</v>
      </c>
      <c r="H40" s="149">
        <f t="shared" si="0"/>
        <v>0</v>
      </c>
    </row>
    <row r="41" spans="1:10" ht="16.2" thickBot="1" x14ac:dyDescent="0.35">
      <c r="A41" s="597" t="s">
        <v>789</v>
      </c>
      <c r="B41" s="598" t="s">
        <v>1125</v>
      </c>
      <c r="C41" s="180">
        <f>SUM(C6:C40)</f>
        <v>53916179.269999996</v>
      </c>
      <c r="D41" s="181">
        <f>SUM(D6:D40)</f>
        <v>1462983.6099999999</v>
      </c>
      <c r="E41" s="182">
        <f>SUM(E6:E40)</f>
        <v>52517345.269999996</v>
      </c>
      <c r="F41" s="183">
        <f>SUM(F6:F40)</f>
        <v>2009031.35</v>
      </c>
      <c r="G41" s="184">
        <f t="shared" si="0"/>
        <v>-1398834</v>
      </c>
      <c r="H41" s="185">
        <f t="shared" si="0"/>
        <v>546047.74000000022</v>
      </c>
    </row>
    <row r="42" spans="1:10" ht="16.2" thickBot="1" x14ac:dyDescent="0.35">
      <c r="A42" s="597" t="s">
        <v>791</v>
      </c>
      <c r="B42" s="598" t="s">
        <v>1126</v>
      </c>
      <c r="C42" s="180">
        <f>C41-'T5a - Náklady '!C43</f>
        <v>850518.78999997675</v>
      </c>
      <c r="D42" s="186">
        <f>D41-'T5a - Náklady '!D43</f>
        <v>56691.409999999916</v>
      </c>
      <c r="E42" s="182">
        <f>E41-'T5a - Náklady '!E43</f>
        <v>1608674.1199999973</v>
      </c>
      <c r="F42" s="187">
        <f>F41-'T5a - Náklady '!F43</f>
        <v>208792.81000000029</v>
      </c>
      <c r="G42" s="184">
        <f t="shared" si="0"/>
        <v>758155.33000002056</v>
      </c>
      <c r="H42" s="185">
        <f t="shared" si="0"/>
        <v>152101.40000000037</v>
      </c>
    </row>
    <row r="43" spans="1:10" x14ac:dyDescent="0.3">
      <c r="A43" s="599" t="s">
        <v>793</v>
      </c>
      <c r="B43" s="600" t="s">
        <v>1127</v>
      </c>
      <c r="C43" s="173">
        <v>29531.13</v>
      </c>
      <c r="D43" s="173">
        <v>15093.9</v>
      </c>
      <c r="E43" s="188">
        <v>373.81</v>
      </c>
      <c r="F43" s="173">
        <v>55384.92</v>
      </c>
      <c r="G43" s="189">
        <f t="shared" si="0"/>
        <v>-29157.32</v>
      </c>
      <c r="H43" s="190">
        <f t="shared" si="0"/>
        <v>40291.019999999997</v>
      </c>
    </row>
    <row r="44" spans="1:10" x14ac:dyDescent="0.3">
      <c r="A44" s="593" t="s">
        <v>795</v>
      </c>
      <c r="B44" s="594" t="s">
        <v>1128</v>
      </c>
      <c r="C44" s="170"/>
      <c r="D44" s="171"/>
      <c r="E44" s="172"/>
      <c r="F44" s="173"/>
      <c r="G44" s="174">
        <f t="shared" si="0"/>
        <v>0</v>
      </c>
      <c r="H44" s="146">
        <f t="shared" si="0"/>
        <v>0</v>
      </c>
    </row>
    <row r="45" spans="1:10" ht="16.2" thickBot="1" x14ac:dyDescent="0.35">
      <c r="A45" s="601" t="s">
        <v>797</v>
      </c>
      <c r="B45" s="602" t="s">
        <v>1129</v>
      </c>
      <c r="C45" s="191">
        <f>C42-C43-C44</f>
        <v>820987.65999997675</v>
      </c>
      <c r="D45" s="192">
        <f>D42-D43-D44</f>
        <v>41597.509999999915</v>
      </c>
      <c r="E45" s="193">
        <f>E42-E43-E44</f>
        <v>1608300.3099999973</v>
      </c>
      <c r="F45" s="194">
        <f>F42-F43-F44</f>
        <v>153407.89000000031</v>
      </c>
      <c r="G45" s="195">
        <f t="shared" si="0"/>
        <v>787312.65000002051</v>
      </c>
      <c r="H45" s="151">
        <f t="shared" si="0"/>
        <v>111810.38000000038</v>
      </c>
    </row>
    <row r="46" spans="1:10" x14ac:dyDescent="0.3">
      <c r="D46" s="156"/>
      <c r="F46" s="156"/>
      <c r="I46" s="165"/>
      <c r="J46" s="165"/>
    </row>
  </sheetData>
  <mergeCells count="7">
    <mergeCell ref="A1:H1"/>
    <mergeCell ref="A2:H2"/>
    <mergeCell ref="A3:A4"/>
    <mergeCell ref="B3:B4"/>
    <mergeCell ref="C3:D3"/>
    <mergeCell ref="E3:F3"/>
    <mergeCell ref="G3:H3"/>
  </mergeCells>
  <printOptions gridLines="1"/>
  <pageMargins left="0.51181102362204722" right="0.31496062992125984" top="0.43307086614173229" bottom="0.48" header="0.39370078740157483" footer="0.23622047244094491"/>
  <pageSetup paperSize="9" scale="70" fitToWidth="2"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activeCell="H9" sqref="H9"/>
    </sheetView>
  </sheetViews>
  <sheetFormatPr defaultColWidth="9.109375" defaultRowHeight="15.6" x14ac:dyDescent="0.3"/>
  <cols>
    <col min="1" max="1" width="7.88671875" style="522" customWidth="1"/>
    <col min="2" max="2" width="89" style="591" customWidth="1"/>
    <col min="3" max="3" width="16.88671875" style="196" customWidth="1"/>
    <col min="4" max="4" width="17.33203125" style="196" customWidth="1"/>
    <col min="5" max="5" width="10" style="196" customWidth="1"/>
    <col min="6" max="9" width="9.109375" style="196"/>
    <col min="10" max="10" width="37" style="196" customWidth="1"/>
    <col min="11" max="16384" width="9.109375" style="196"/>
  </cols>
  <sheetData>
    <row r="1" spans="1:10" ht="45.75" customHeight="1" thickBot="1" x14ac:dyDescent="0.35">
      <c r="A1" s="652" t="s">
        <v>1350</v>
      </c>
      <c r="B1" s="653"/>
      <c r="C1" s="653"/>
      <c r="D1" s="654"/>
    </row>
    <row r="2" spans="1:10" ht="37.5" customHeight="1" x14ac:dyDescent="0.3">
      <c r="A2" s="649" t="s">
        <v>1219</v>
      </c>
      <c r="B2" s="650"/>
      <c r="C2" s="650"/>
      <c r="D2" s="651"/>
    </row>
    <row r="3" spans="1:10" s="517" customFormat="1" ht="31.2" x14ac:dyDescent="0.3">
      <c r="A3" s="516" t="s">
        <v>205</v>
      </c>
      <c r="B3" s="585" t="s">
        <v>327</v>
      </c>
      <c r="C3" s="5">
        <v>2014</v>
      </c>
      <c r="D3" s="250">
        <v>2015</v>
      </c>
    </row>
    <row r="4" spans="1:10" s="517" customFormat="1" x14ac:dyDescent="0.3">
      <c r="A4" s="516"/>
      <c r="B4" s="585"/>
      <c r="C4" s="5" t="s">
        <v>283</v>
      </c>
      <c r="D4" s="250" t="s">
        <v>284</v>
      </c>
      <c r="F4" s="196"/>
    </row>
    <row r="5" spans="1:10" x14ac:dyDescent="0.3">
      <c r="A5" s="572">
        <v>1</v>
      </c>
      <c r="B5" s="15" t="s">
        <v>1351</v>
      </c>
      <c r="C5" s="145">
        <f>+SUM(C6:C10)</f>
        <v>8367771.8799999999</v>
      </c>
      <c r="D5" s="199">
        <f>+SUM(D6:D10)</f>
        <v>9268357.2899999991</v>
      </c>
      <c r="E5" s="517"/>
      <c r="F5" s="197"/>
      <c r="G5" s="586"/>
      <c r="H5" s="586"/>
    </row>
    <row r="6" spans="1:10" x14ac:dyDescent="0.3">
      <c r="A6" s="572">
        <v>2</v>
      </c>
      <c r="B6" s="31" t="s">
        <v>1205</v>
      </c>
      <c r="C6" s="148"/>
      <c r="D6" s="198">
        <v>600</v>
      </c>
      <c r="F6" s="517"/>
      <c r="G6" s="586"/>
    </row>
    <row r="7" spans="1:10" x14ac:dyDescent="0.3">
      <c r="A7" s="572">
        <v>3</v>
      </c>
      <c r="B7" s="31" t="s">
        <v>1027</v>
      </c>
      <c r="C7" s="148">
        <v>247119.99</v>
      </c>
      <c r="D7" s="198">
        <v>198331.67</v>
      </c>
      <c r="G7" s="586"/>
    </row>
    <row r="8" spans="1:10" x14ac:dyDescent="0.3">
      <c r="A8" s="572">
        <v>4</v>
      </c>
      <c r="B8" s="31" t="s">
        <v>1203</v>
      </c>
      <c r="C8" s="148">
        <v>7670323.4199999999</v>
      </c>
      <c r="D8" s="198">
        <v>8713814.0099999998</v>
      </c>
      <c r="G8" s="586"/>
    </row>
    <row r="9" spans="1:10" x14ac:dyDescent="0.3">
      <c r="A9" s="572">
        <v>5</v>
      </c>
      <c r="B9" s="31" t="s">
        <v>1028</v>
      </c>
      <c r="C9" s="148">
        <v>450328.47</v>
      </c>
      <c r="D9" s="198">
        <v>355611.61</v>
      </c>
      <c r="G9" s="586"/>
    </row>
    <row r="10" spans="1:10" ht="18.600000000000001" x14ac:dyDescent="0.3">
      <c r="A10" s="572">
        <v>6</v>
      </c>
      <c r="B10" s="31" t="s">
        <v>1352</v>
      </c>
      <c r="C10" s="148"/>
      <c r="D10" s="198"/>
      <c r="G10" s="586"/>
    </row>
    <row r="11" spans="1:10" x14ac:dyDescent="0.3">
      <c r="A11" s="572">
        <v>7</v>
      </c>
      <c r="B11" s="15" t="s">
        <v>1353</v>
      </c>
      <c r="C11" s="145">
        <f>SUM(C12:C17)</f>
        <v>451597.91</v>
      </c>
      <c r="D11" s="199">
        <f>SUM(D12:D17)</f>
        <v>421609.06</v>
      </c>
    </row>
    <row r="12" spans="1:10" x14ac:dyDescent="0.3">
      <c r="A12" s="572">
        <v>8</v>
      </c>
      <c r="B12" s="31" t="s">
        <v>933</v>
      </c>
      <c r="C12" s="148">
        <v>271967.09999999998</v>
      </c>
      <c r="D12" s="198">
        <v>251324.64</v>
      </c>
    </row>
    <row r="13" spans="1:10" x14ac:dyDescent="0.3">
      <c r="A13" s="572">
        <v>9</v>
      </c>
      <c r="B13" s="31" t="s">
        <v>934</v>
      </c>
      <c r="C13" s="148">
        <v>123272.45</v>
      </c>
      <c r="D13" s="198">
        <v>118210.92</v>
      </c>
    </row>
    <row r="14" spans="1:10" x14ac:dyDescent="0.3">
      <c r="A14" s="572">
        <v>10</v>
      </c>
      <c r="B14" s="31" t="s">
        <v>935</v>
      </c>
      <c r="C14" s="148">
        <v>35398.36</v>
      </c>
      <c r="D14" s="198">
        <v>34272</v>
      </c>
    </row>
    <row r="15" spans="1:10" x14ac:dyDescent="0.3">
      <c r="A15" s="572">
        <v>11</v>
      </c>
      <c r="B15" s="31" t="s">
        <v>1035</v>
      </c>
      <c r="C15" s="148">
        <v>20960</v>
      </c>
      <c r="D15" s="198">
        <v>14567.5</v>
      </c>
      <c r="E15" s="196" t="s">
        <v>1138</v>
      </c>
    </row>
    <row r="16" spans="1:10" ht="31.2" x14ac:dyDescent="0.3">
      <c r="A16" s="572">
        <v>12</v>
      </c>
      <c r="B16" s="31" t="s">
        <v>1130</v>
      </c>
      <c r="C16" s="200" t="s">
        <v>312</v>
      </c>
      <c r="D16" s="198">
        <v>0</v>
      </c>
      <c r="F16" s="154"/>
      <c r="G16" s="154"/>
      <c r="H16" s="154"/>
      <c r="J16" s="587"/>
    </row>
    <row r="17" spans="1:10" x14ac:dyDescent="0.3">
      <c r="A17" s="572">
        <v>13</v>
      </c>
      <c r="B17" s="31" t="s">
        <v>1131</v>
      </c>
      <c r="C17" s="200" t="s">
        <v>312</v>
      </c>
      <c r="D17" s="198">
        <v>3234</v>
      </c>
      <c r="F17" s="154"/>
      <c r="G17" s="154"/>
      <c r="H17" s="154"/>
      <c r="J17" s="587"/>
    </row>
    <row r="18" spans="1:10" x14ac:dyDescent="0.3">
      <c r="A18" s="572">
        <v>14</v>
      </c>
      <c r="B18" s="15" t="s">
        <v>242</v>
      </c>
      <c r="C18" s="199">
        <f>(C6+C7)*0.2</f>
        <v>49423.998</v>
      </c>
      <c r="D18" s="199">
        <f>(D6+D7)*0.2</f>
        <v>39786.334000000003</v>
      </c>
    </row>
    <row r="19" spans="1:10" ht="16.2" thickBot="1" x14ac:dyDescent="0.35">
      <c r="A19" s="520">
        <v>15</v>
      </c>
      <c r="B19" s="21" t="s">
        <v>331</v>
      </c>
      <c r="C19" s="112">
        <v>56608</v>
      </c>
      <c r="D19" s="588">
        <v>46922.6</v>
      </c>
    </row>
    <row r="20" spans="1:10" x14ac:dyDescent="0.3">
      <c r="B20" s="201"/>
    </row>
    <row r="21" spans="1:10" ht="18.600000000000001" x14ac:dyDescent="0.3">
      <c r="A21" s="589"/>
      <c r="B21" s="201" t="s">
        <v>1132</v>
      </c>
    </row>
    <row r="22" spans="1:10" x14ac:dyDescent="0.3">
      <c r="B22" s="201"/>
    </row>
    <row r="23" spans="1:10" ht="31.2" x14ac:dyDescent="0.3">
      <c r="B23" s="590" t="s">
        <v>1215</v>
      </c>
    </row>
    <row r="24" spans="1:10" x14ac:dyDescent="0.3">
      <c r="B24" s="201"/>
    </row>
    <row r="25" spans="1:10" x14ac:dyDescent="0.3">
      <c r="B25" s="201"/>
    </row>
    <row r="26" spans="1:10" x14ac:dyDescent="0.3">
      <c r="B26" s="201"/>
    </row>
    <row r="27" spans="1:10" x14ac:dyDescent="0.3">
      <c r="B27" s="201"/>
    </row>
    <row r="28" spans="1:10" x14ac:dyDescent="0.3">
      <c r="B28" s="201"/>
    </row>
  </sheetData>
  <mergeCells count="2">
    <mergeCell ref="A1:D1"/>
    <mergeCell ref="A2:D2"/>
  </mergeCells>
  <pageMargins left="0.70866141732283472" right="0.2" top="0.74803149606299213" bottom="0.74803149606299213" header="0.31496062992125984" footer="0.31496062992125984"/>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993"/>
  <sheetViews>
    <sheetView tabSelected="1" zoomScaleNormal="100" zoomScaleSheetLayoutView="80" workbookViewId="0">
      <pane xSplit="2" ySplit="5" topLeftCell="C87" activePane="bottomRight" state="frozen"/>
      <selection pane="topRight" activeCell="C1" sqref="C1"/>
      <selection pane="bottomLeft" activeCell="A6" sqref="A6"/>
      <selection pane="bottomRight" activeCell="D99" sqref="D99"/>
    </sheetView>
  </sheetViews>
  <sheetFormatPr defaultColWidth="9.109375" defaultRowHeight="15.6" x14ac:dyDescent="0.3"/>
  <cols>
    <col min="1" max="1" width="8.44140625" style="522" customWidth="1"/>
    <col min="2" max="2" width="74.109375" style="582" customWidth="1"/>
    <col min="3" max="3" width="18" style="196" customWidth="1"/>
    <col min="4" max="7" width="17" style="196" customWidth="1"/>
    <col min="8" max="8" width="18" style="196" customWidth="1"/>
    <col min="9" max="9" width="14" style="196" bestFit="1" customWidth="1"/>
    <col min="10" max="16384" width="9.109375" style="196"/>
  </cols>
  <sheetData>
    <row r="1" spans="1:8" ht="35.1" customHeight="1" thickBot="1" x14ac:dyDescent="0.35">
      <c r="A1" s="689" t="s">
        <v>1338</v>
      </c>
      <c r="B1" s="690"/>
      <c r="C1" s="690"/>
      <c r="D1" s="690"/>
      <c r="E1" s="690"/>
      <c r="F1" s="690"/>
      <c r="G1" s="690"/>
      <c r="H1" s="691"/>
    </row>
    <row r="2" spans="1:8" ht="32.4" customHeight="1" x14ac:dyDescent="0.3">
      <c r="A2" s="692" t="s">
        <v>1220</v>
      </c>
      <c r="B2" s="693"/>
      <c r="C2" s="693"/>
      <c r="D2" s="693"/>
      <c r="E2" s="693"/>
      <c r="F2" s="693"/>
      <c r="G2" s="693"/>
      <c r="H2" s="694"/>
    </row>
    <row r="3" spans="1:8" s="517" customFormat="1" ht="31.5" customHeight="1" x14ac:dyDescent="0.3">
      <c r="A3" s="667" t="s">
        <v>205</v>
      </c>
      <c r="B3" s="668" t="s">
        <v>327</v>
      </c>
      <c r="C3" s="695">
        <v>2014</v>
      </c>
      <c r="D3" s="695"/>
      <c r="E3" s="695">
        <v>2015</v>
      </c>
      <c r="F3" s="695"/>
      <c r="G3" s="670" t="s">
        <v>1137</v>
      </c>
      <c r="H3" s="672"/>
    </row>
    <row r="4" spans="1:8" ht="43.2" customHeight="1" x14ac:dyDescent="0.3">
      <c r="A4" s="667"/>
      <c r="B4" s="669"/>
      <c r="C4" s="5" t="s">
        <v>1285</v>
      </c>
      <c r="D4" s="5" t="s">
        <v>1286</v>
      </c>
      <c r="E4" s="5" t="s">
        <v>1285</v>
      </c>
      <c r="F4" s="5" t="s">
        <v>1286</v>
      </c>
      <c r="G4" s="5" t="s">
        <v>1285</v>
      </c>
      <c r="H4" s="5" t="s">
        <v>1286</v>
      </c>
    </row>
    <row r="5" spans="1:8" x14ac:dyDescent="0.3">
      <c r="A5" s="572"/>
      <c r="B5" s="573"/>
      <c r="C5" s="4" t="s">
        <v>283</v>
      </c>
      <c r="D5" s="4" t="s">
        <v>284</v>
      </c>
      <c r="E5" s="4" t="s">
        <v>285</v>
      </c>
      <c r="F5" s="4" t="s">
        <v>292</v>
      </c>
      <c r="G5" s="4" t="s">
        <v>23</v>
      </c>
      <c r="H5" s="14" t="s">
        <v>24</v>
      </c>
    </row>
    <row r="6" spans="1:8" x14ac:dyDescent="0.3">
      <c r="A6" s="572">
        <v>1</v>
      </c>
      <c r="B6" s="574" t="s">
        <v>1339</v>
      </c>
      <c r="C6" s="145">
        <f>SUM(C7:C18)</f>
        <v>4930949.97</v>
      </c>
      <c r="D6" s="145">
        <f>SUM(D7:D18)</f>
        <v>328217.67000000004</v>
      </c>
      <c r="E6" s="145">
        <f>SUM(E7:E18)</f>
        <v>2452067.1400000006</v>
      </c>
      <c r="F6" s="145">
        <f>SUM(F7:F18)</f>
        <v>366106.44</v>
      </c>
      <c r="G6" s="158">
        <f>E6-C6</f>
        <v>-2478882.8299999991</v>
      </c>
      <c r="H6" s="146">
        <f>F6-D6</f>
        <v>37888.76999999996</v>
      </c>
    </row>
    <row r="7" spans="1:8" ht="17.25" customHeight="1" x14ac:dyDescent="0.3">
      <c r="A7" s="572">
        <f>A6+1</f>
        <v>2</v>
      </c>
      <c r="B7" s="575" t="s">
        <v>951</v>
      </c>
      <c r="C7" s="148">
        <v>278204.58</v>
      </c>
      <c r="D7" s="148">
        <v>5262.33</v>
      </c>
      <c r="E7" s="148">
        <f>252344.34-140.25</f>
        <v>252204.09</v>
      </c>
      <c r="F7" s="148">
        <v>4930.3999999999996</v>
      </c>
      <c r="G7" s="202">
        <f>E7-C7</f>
        <v>-26000.49000000002</v>
      </c>
      <c r="H7" s="203">
        <f>F7-D7</f>
        <v>-331.93000000000029</v>
      </c>
    </row>
    <row r="8" spans="1:8" ht="30.6" customHeight="1" x14ac:dyDescent="0.3">
      <c r="A8" s="572">
        <f t="shared" ref="A8:A71" si="0">A7+1</f>
        <v>3</v>
      </c>
      <c r="B8" s="576" t="s">
        <v>103</v>
      </c>
      <c r="C8" s="148">
        <v>2738964.01</v>
      </c>
      <c r="D8" s="148">
        <v>50.75</v>
      </c>
      <c r="E8" s="148">
        <v>882676.98</v>
      </c>
      <c r="F8" s="148">
        <v>389.68</v>
      </c>
      <c r="G8" s="202">
        <f t="shared" ref="G8:H71" si="1">E8-C8</f>
        <v>-1856287.0299999998</v>
      </c>
      <c r="H8" s="203">
        <f t="shared" si="1"/>
        <v>338.93</v>
      </c>
    </row>
    <row r="9" spans="1:8" x14ac:dyDescent="0.3">
      <c r="A9" s="572">
        <f t="shared" si="0"/>
        <v>4</v>
      </c>
      <c r="B9" s="575" t="s">
        <v>952</v>
      </c>
      <c r="C9" s="148">
        <v>151247.29</v>
      </c>
      <c r="D9" s="148">
        <v>3436.53</v>
      </c>
      <c r="E9" s="148">
        <v>202718.1</v>
      </c>
      <c r="F9" s="148">
        <v>8927.5300000000007</v>
      </c>
      <c r="G9" s="202">
        <f t="shared" si="1"/>
        <v>51470.81</v>
      </c>
      <c r="H9" s="203">
        <f t="shared" si="1"/>
        <v>5491</v>
      </c>
    </row>
    <row r="10" spans="1:8" x14ac:dyDescent="0.3">
      <c r="A10" s="572">
        <f t="shared" si="0"/>
        <v>5</v>
      </c>
      <c r="B10" s="575" t="s">
        <v>953</v>
      </c>
      <c r="C10" s="148">
        <v>17764.63</v>
      </c>
      <c r="D10" s="148">
        <v>513.5</v>
      </c>
      <c r="E10" s="148">
        <v>21016.09</v>
      </c>
      <c r="F10" s="148">
        <v>4390.76</v>
      </c>
      <c r="G10" s="202">
        <f t="shared" si="1"/>
        <v>3251.4599999999991</v>
      </c>
      <c r="H10" s="203">
        <f t="shared" si="1"/>
        <v>3877.26</v>
      </c>
    </row>
    <row r="11" spans="1:8" x14ac:dyDescent="0.3">
      <c r="A11" s="572">
        <f t="shared" si="0"/>
        <v>6</v>
      </c>
      <c r="B11" s="575" t="s">
        <v>954</v>
      </c>
      <c r="C11" s="148">
        <v>42038.13</v>
      </c>
      <c r="D11" s="148">
        <v>1162.55</v>
      </c>
      <c r="E11" s="148">
        <v>34181.300000000003</v>
      </c>
      <c r="F11" s="148">
        <v>3184.17</v>
      </c>
      <c r="G11" s="202">
        <f t="shared" si="1"/>
        <v>-7856.8299999999945</v>
      </c>
      <c r="H11" s="203">
        <f t="shared" si="1"/>
        <v>2021.6200000000001</v>
      </c>
    </row>
    <row r="12" spans="1:8" x14ac:dyDescent="0.3">
      <c r="A12" s="572">
        <f t="shared" si="0"/>
        <v>7</v>
      </c>
      <c r="B12" s="575" t="s">
        <v>955</v>
      </c>
      <c r="C12" s="148">
        <v>43815.09</v>
      </c>
      <c r="D12" s="148">
        <v>21645.53</v>
      </c>
      <c r="E12" s="148">
        <v>54163.07</v>
      </c>
      <c r="F12" s="148">
        <v>25114.58</v>
      </c>
      <c r="G12" s="202">
        <f t="shared" si="1"/>
        <v>10347.980000000003</v>
      </c>
      <c r="H12" s="203">
        <f t="shared" si="1"/>
        <v>3469.0500000000029</v>
      </c>
    </row>
    <row r="13" spans="1:8" ht="31.2" x14ac:dyDescent="0.3">
      <c r="A13" s="572">
        <f t="shared" si="0"/>
        <v>8</v>
      </c>
      <c r="B13" s="575" t="s">
        <v>104</v>
      </c>
      <c r="C13" s="148">
        <v>68294.45</v>
      </c>
      <c r="D13" s="148">
        <v>4124.87</v>
      </c>
      <c r="E13" s="148">
        <v>91482.16</v>
      </c>
      <c r="F13" s="148">
        <v>6325.02</v>
      </c>
      <c r="G13" s="202">
        <f t="shared" si="1"/>
        <v>23187.710000000006</v>
      </c>
      <c r="H13" s="203">
        <f t="shared" si="1"/>
        <v>2200.1500000000005</v>
      </c>
    </row>
    <row r="14" spans="1:8" x14ac:dyDescent="0.3">
      <c r="A14" s="572">
        <f t="shared" si="0"/>
        <v>9</v>
      </c>
      <c r="B14" s="575" t="s">
        <v>105</v>
      </c>
      <c r="C14" s="148">
        <v>135576.07999999999</v>
      </c>
      <c r="D14" s="148">
        <v>209484.53</v>
      </c>
      <c r="E14" s="148">
        <v>171638.84</v>
      </c>
      <c r="F14" s="148">
        <v>237640.74</v>
      </c>
      <c r="G14" s="202">
        <f t="shared" si="1"/>
        <v>36062.760000000009</v>
      </c>
      <c r="H14" s="203">
        <f t="shared" si="1"/>
        <v>28156.209999999992</v>
      </c>
    </row>
    <row r="15" spans="1:8" x14ac:dyDescent="0.3">
      <c r="A15" s="572">
        <f t="shared" si="0"/>
        <v>10</v>
      </c>
      <c r="B15" s="31" t="s">
        <v>106</v>
      </c>
      <c r="C15" s="148">
        <v>630412.62</v>
      </c>
      <c r="D15" s="148">
        <v>16255.04</v>
      </c>
      <c r="E15" s="148">
        <v>324200.01</v>
      </c>
      <c r="F15" s="148">
        <v>20232.73</v>
      </c>
      <c r="G15" s="202">
        <f t="shared" si="1"/>
        <v>-306212.61</v>
      </c>
      <c r="H15" s="203">
        <f t="shared" si="1"/>
        <v>3977.6899999999987</v>
      </c>
    </row>
    <row r="16" spans="1:8" ht="16.2" customHeight="1" x14ac:dyDescent="0.3">
      <c r="A16" s="572">
        <f t="shared" si="0"/>
        <v>11</v>
      </c>
      <c r="B16" s="575" t="s">
        <v>107</v>
      </c>
      <c r="C16" s="148">
        <v>282561.55</v>
      </c>
      <c r="D16" s="148">
        <v>24273.65</v>
      </c>
      <c r="E16" s="148">
        <v>25907.38</v>
      </c>
      <c r="F16" s="148">
        <v>20908.5</v>
      </c>
      <c r="G16" s="202">
        <f t="shared" si="1"/>
        <v>-256654.16999999998</v>
      </c>
      <c r="H16" s="203">
        <f t="shared" si="1"/>
        <v>-3365.1500000000015</v>
      </c>
    </row>
    <row r="17" spans="1:8" x14ac:dyDescent="0.3">
      <c r="A17" s="572">
        <f t="shared" si="0"/>
        <v>12</v>
      </c>
      <c r="B17" s="31" t="s">
        <v>818</v>
      </c>
      <c r="C17" s="148">
        <v>298641.7</v>
      </c>
      <c r="D17" s="148">
        <v>25563.68</v>
      </c>
      <c r="E17" s="148">
        <f>238313.44+105827.44</f>
        <v>344140.88</v>
      </c>
      <c r="F17" s="148">
        <v>28248.83</v>
      </c>
      <c r="G17" s="202">
        <f t="shared" si="1"/>
        <v>45499.179999999993</v>
      </c>
      <c r="H17" s="203">
        <f t="shared" si="1"/>
        <v>2685.1500000000015</v>
      </c>
    </row>
    <row r="18" spans="1:8" x14ac:dyDescent="0.3">
      <c r="A18" s="572">
        <f t="shared" si="0"/>
        <v>13</v>
      </c>
      <c r="B18" s="575" t="s">
        <v>956</v>
      </c>
      <c r="C18" s="148">
        <v>243429.84</v>
      </c>
      <c r="D18" s="148">
        <v>16444.71</v>
      </c>
      <c r="E18" s="148">
        <v>47738.239999999998</v>
      </c>
      <c r="F18" s="148">
        <v>5813.5</v>
      </c>
      <c r="G18" s="202">
        <f t="shared" si="1"/>
        <v>-195691.6</v>
      </c>
      <c r="H18" s="203">
        <f t="shared" si="1"/>
        <v>-10631.21</v>
      </c>
    </row>
    <row r="19" spans="1:8" x14ac:dyDescent="0.3">
      <c r="A19" s="572">
        <f t="shared" si="0"/>
        <v>14</v>
      </c>
      <c r="B19" s="574" t="s">
        <v>1340</v>
      </c>
      <c r="C19" s="145">
        <f>SUM(C20:C25)</f>
        <v>1797576.8099999996</v>
      </c>
      <c r="D19" s="145">
        <f>SUM(D20:D25)</f>
        <v>58983.88</v>
      </c>
      <c r="E19" s="145">
        <f>SUM(E20:E25)</f>
        <v>1734411.2</v>
      </c>
      <c r="F19" s="145">
        <f>SUM(F20:F25)</f>
        <v>70162.42</v>
      </c>
      <c r="G19" s="158">
        <f t="shared" si="1"/>
        <v>-63165.609999999637</v>
      </c>
      <c r="H19" s="146">
        <f t="shared" si="1"/>
        <v>11178.54</v>
      </c>
    </row>
    <row r="20" spans="1:8" x14ac:dyDescent="0.3">
      <c r="A20" s="572">
        <f t="shared" si="0"/>
        <v>15</v>
      </c>
      <c r="B20" s="575" t="s">
        <v>957</v>
      </c>
      <c r="C20" s="148">
        <v>583175.73</v>
      </c>
      <c r="D20" s="148">
        <v>21075.99</v>
      </c>
      <c r="E20" s="148">
        <v>507317.46</v>
      </c>
      <c r="F20" s="148">
        <v>23717.95</v>
      </c>
      <c r="G20" s="202">
        <f t="shared" si="1"/>
        <v>-75858.26999999996</v>
      </c>
      <c r="H20" s="203">
        <f t="shared" si="1"/>
        <v>2641.9599999999991</v>
      </c>
    </row>
    <row r="21" spans="1:8" x14ac:dyDescent="0.3">
      <c r="A21" s="572">
        <f t="shared" si="0"/>
        <v>16</v>
      </c>
      <c r="B21" s="575" t="s">
        <v>958</v>
      </c>
      <c r="C21" s="148">
        <v>868530.59</v>
      </c>
      <c r="D21" s="148">
        <v>13382.16</v>
      </c>
      <c r="E21" s="148">
        <v>927530.63</v>
      </c>
      <c r="F21" s="148">
        <v>19102.34</v>
      </c>
      <c r="G21" s="202">
        <f t="shared" si="1"/>
        <v>59000.040000000037</v>
      </c>
      <c r="H21" s="203">
        <f t="shared" si="1"/>
        <v>5720.18</v>
      </c>
    </row>
    <row r="22" spans="1:8" x14ac:dyDescent="0.3">
      <c r="A22" s="572">
        <f t="shared" si="0"/>
        <v>17</v>
      </c>
      <c r="B22" s="575" t="s">
        <v>959</v>
      </c>
      <c r="C22" s="148">
        <v>177180.96000000002</v>
      </c>
      <c r="D22" s="148">
        <v>17437.13</v>
      </c>
      <c r="E22" s="148">
        <v>165280.4</v>
      </c>
      <c r="F22" s="148">
        <v>20191.96</v>
      </c>
      <c r="G22" s="202">
        <f t="shared" si="1"/>
        <v>-11900.560000000027</v>
      </c>
      <c r="H22" s="203">
        <f t="shared" si="1"/>
        <v>2754.8299999999981</v>
      </c>
    </row>
    <row r="23" spans="1:8" x14ac:dyDescent="0.3">
      <c r="A23" s="572">
        <f t="shared" si="0"/>
        <v>18</v>
      </c>
      <c r="B23" s="575" t="s">
        <v>960</v>
      </c>
      <c r="C23" s="148">
        <v>155183.49</v>
      </c>
      <c r="D23" s="148">
        <v>7088.6</v>
      </c>
      <c r="E23" s="148">
        <v>117484.08</v>
      </c>
      <c r="F23" s="148">
        <v>7150.17</v>
      </c>
      <c r="G23" s="202">
        <f t="shared" si="1"/>
        <v>-37699.409999999989</v>
      </c>
      <c r="H23" s="203">
        <f t="shared" si="1"/>
        <v>61.569999999999709</v>
      </c>
    </row>
    <row r="24" spans="1:8" x14ac:dyDescent="0.3">
      <c r="A24" s="572">
        <f t="shared" si="0"/>
        <v>19</v>
      </c>
      <c r="B24" s="575" t="s">
        <v>961</v>
      </c>
      <c r="C24" s="148">
        <v>1938.91</v>
      </c>
      <c r="D24" s="148"/>
      <c r="E24" s="148">
        <v>1158.4000000000001</v>
      </c>
      <c r="F24" s="148"/>
      <c r="G24" s="202">
        <f t="shared" si="1"/>
        <v>-780.51</v>
      </c>
      <c r="H24" s="203">
        <f t="shared" si="1"/>
        <v>0</v>
      </c>
    </row>
    <row r="25" spans="1:8" x14ac:dyDescent="0.3">
      <c r="A25" s="572">
        <f t="shared" si="0"/>
        <v>20</v>
      </c>
      <c r="B25" s="575" t="s">
        <v>801</v>
      </c>
      <c r="C25" s="148">
        <v>11567.13</v>
      </c>
      <c r="D25" s="148"/>
      <c r="E25" s="148">
        <v>15640.23</v>
      </c>
      <c r="F25" s="148"/>
      <c r="G25" s="202">
        <f t="shared" si="1"/>
        <v>4073.1000000000004</v>
      </c>
      <c r="H25" s="203">
        <f t="shared" si="1"/>
        <v>0</v>
      </c>
    </row>
    <row r="26" spans="1:8" x14ac:dyDescent="0.3">
      <c r="A26" s="572">
        <f t="shared" si="0"/>
        <v>21</v>
      </c>
      <c r="B26" s="574" t="s">
        <v>322</v>
      </c>
      <c r="C26" s="111" t="s">
        <v>312</v>
      </c>
      <c r="D26" s="111" t="s">
        <v>312</v>
      </c>
      <c r="E26" s="111" t="s">
        <v>312</v>
      </c>
      <c r="F26" s="111" t="s">
        <v>312</v>
      </c>
      <c r="G26" s="202" t="s">
        <v>157</v>
      </c>
      <c r="H26" s="203" t="s">
        <v>157</v>
      </c>
    </row>
    <row r="27" spans="1:8" x14ac:dyDescent="0.3">
      <c r="A27" s="572">
        <f t="shared" si="0"/>
        <v>22</v>
      </c>
      <c r="B27" s="574" t="s">
        <v>1341</v>
      </c>
      <c r="C27" s="145">
        <f>SUM(C28:C31)</f>
        <v>0</v>
      </c>
      <c r="D27" s="145">
        <f>SUM(D28:D31)</f>
        <v>30711.599999999999</v>
      </c>
      <c r="E27" s="145">
        <f>SUM(E28:E31)</f>
        <v>415.28</v>
      </c>
      <c r="F27" s="145">
        <f>SUM(F28:F31)</f>
        <v>38822.699999999997</v>
      </c>
      <c r="G27" s="158">
        <f t="shared" si="1"/>
        <v>415.28</v>
      </c>
      <c r="H27" s="146">
        <f t="shared" si="1"/>
        <v>8111.0999999999985</v>
      </c>
    </row>
    <row r="28" spans="1:8" x14ac:dyDescent="0.3">
      <c r="A28" s="572">
        <f t="shared" si="0"/>
        <v>23</v>
      </c>
      <c r="B28" s="575" t="s">
        <v>273</v>
      </c>
      <c r="C28" s="148"/>
      <c r="D28" s="148"/>
      <c r="E28" s="148"/>
      <c r="F28" s="148"/>
      <c r="G28" s="202">
        <f t="shared" si="1"/>
        <v>0</v>
      </c>
      <c r="H28" s="203">
        <f t="shared" si="1"/>
        <v>0</v>
      </c>
    </row>
    <row r="29" spans="1:8" x14ac:dyDescent="0.3">
      <c r="A29" s="572">
        <f t="shared" si="0"/>
        <v>24</v>
      </c>
      <c r="B29" s="576" t="s">
        <v>299</v>
      </c>
      <c r="C29" s="148"/>
      <c r="D29" s="148"/>
      <c r="E29" s="148"/>
      <c r="F29" s="148"/>
      <c r="G29" s="202">
        <f t="shared" si="1"/>
        <v>0</v>
      </c>
      <c r="H29" s="203">
        <f t="shared" si="1"/>
        <v>0</v>
      </c>
    </row>
    <row r="30" spans="1:8" x14ac:dyDescent="0.3">
      <c r="A30" s="572">
        <f t="shared" si="0"/>
        <v>25</v>
      </c>
      <c r="B30" s="576" t="s">
        <v>59</v>
      </c>
      <c r="C30" s="148"/>
      <c r="D30" s="148"/>
      <c r="E30" s="148"/>
      <c r="F30" s="148"/>
      <c r="G30" s="202">
        <f t="shared" si="1"/>
        <v>0</v>
      </c>
      <c r="H30" s="203">
        <f t="shared" si="1"/>
        <v>0</v>
      </c>
    </row>
    <row r="31" spans="1:8" x14ac:dyDescent="0.3">
      <c r="A31" s="572">
        <f t="shared" si="0"/>
        <v>26</v>
      </c>
      <c r="B31" s="575" t="s">
        <v>60</v>
      </c>
      <c r="C31" s="148"/>
      <c r="D31" s="148">
        <v>30711.599999999999</v>
      </c>
      <c r="E31" s="148">
        <v>415.28</v>
      </c>
      <c r="F31" s="148">
        <v>38822.699999999997</v>
      </c>
      <c r="G31" s="202">
        <f t="shared" si="1"/>
        <v>415.28</v>
      </c>
      <c r="H31" s="203">
        <f t="shared" si="1"/>
        <v>8111.0999999999985</v>
      </c>
    </row>
    <row r="32" spans="1:8" x14ac:dyDescent="0.3">
      <c r="A32" s="572">
        <f t="shared" si="0"/>
        <v>27</v>
      </c>
      <c r="B32" s="574" t="s">
        <v>1342</v>
      </c>
      <c r="C32" s="145">
        <f>SUM(C33:C39)</f>
        <v>973915.17999999993</v>
      </c>
      <c r="D32" s="145">
        <f>SUM(D33:D39)</f>
        <v>28826.379999999997</v>
      </c>
      <c r="E32" s="145">
        <f>SUM(E33:E39)</f>
        <v>526924.1100000001</v>
      </c>
      <c r="F32" s="145">
        <f>SUM(F33:F39)</f>
        <v>41568.519999999997</v>
      </c>
      <c r="G32" s="158">
        <f t="shared" si="1"/>
        <v>-446991.06999999983</v>
      </c>
      <c r="H32" s="146">
        <f t="shared" si="1"/>
        <v>12742.14</v>
      </c>
    </row>
    <row r="33" spans="1:8" x14ac:dyDescent="0.3">
      <c r="A33" s="572">
        <f t="shared" si="0"/>
        <v>28</v>
      </c>
      <c r="B33" s="575" t="s">
        <v>108</v>
      </c>
      <c r="C33" s="148">
        <v>776099.44</v>
      </c>
      <c r="D33" s="148">
        <v>10880.7</v>
      </c>
      <c r="E33" s="148">
        <v>305008.59000000003</v>
      </c>
      <c r="F33" s="148">
        <v>24336.16</v>
      </c>
      <c r="G33" s="202">
        <f t="shared" si="1"/>
        <v>-471090.84999999992</v>
      </c>
      <c r="H33" s="203">
        <f t="shared" si="1"/>
        <v>13455.46</v>
      </c>
    </row>
    <row r="34" spans="1:8" ht="31.2" x14ac:dyDescent="0.3">
      <c r="A34" s="572">
        <f t="shared" si="0"/>
        <v>29</v>
      </c>
      <c r="B34" s="575" t="s">
        <v>109</v>
      </c>
      <c r="C34" s="148">
        <v>77212.08</v>
      </c>
      <c r="D34" s="148">
        <v>9344.98</v>
      </c>
      <c r="E34" s="148">
        <v>97463.02</v>
      </c>
      <c r="F34" s="148">
        <v>7608.35</v>
      </c>
      <c r="G34" s="202">
        <f t="shared" si="1"/>
        <v>20250.940000000002</v>
      </c>
      <c r="H34" s="203">
        <f t="shared" si="1"/>
        <v>-1736.6299999999992</v>
      </c>
    </row>
    <row r="35" spans="1:8" x14ac:dyDescent="0.3">
      <c r="A35" s="572">
        <f t="shared" si="0"/>
        <v>30</v>
      </c>
      <c r="B35" s="575" t="s">
        <v>110</v>
      </c>
      <c r="C35" s="148">
        <v>22494.75</v>
      </c>
      <c r="D35" s="148">
        <v>992</v>
      </c>
      <c r="E35" s="148">
        <v>30188</v>
      </c>
      <c r="F35" s="148">
        <v>1769.21</v>
      </c>
      <c r="G35" s="202">
        <f t="shared" si="1"/>
        <v>7693.25</v>
      </c>
      <c r="H35" s="203">
        <f t="shared" si="1"/>
        <v>777.21</v>
      </c>
    </row>
    <row r="36" spans="1:8" x14ac:dyDescent="0.3">
      <c r="A36" s="572">
        <f t="shared" si="0"/>
        <v>31</v>
      </c>
      <c r="B36" s="575" t="s">
        <v>111</v>
      </c>
      <c r="C36" s="148">
        <v>17878.59</v>
      </c>
      <c r="D36" s="148">
        <v>4746.6899999999996</v>
      </c>
      <c r="E36" s="148">
        <v>31811.61</v>
      </c>
      <c r="F36" s="148">
        <v>6014.04</v>
      </c>
      <c r="G36" s="202">
        <f t="shared" si="1"/>
        <v>13933.02</v>
      </c>
      <c r="H36" s="203">
        <f t="shared" si="1"/>
        <v>1267.3500000000004</v>
      </c>
    </row>
    <row r="37" spans="1:8" ht="31.2" x14ac:dyDescent="0.3">
      <c r="A37" s="572">
        <f t="shared" si="0"/>
        <v>32</v>
      </c>
      <c r="B37" s="31" t="s">
        <v>112</v>
      </c>
      <c r="C37" s="148">
        <v>2794.51</v>
      </c>
      <c r="D37" s="148">
        <v>1840.2</v>
      </c>
      <c r="E37" s="148">
        <v>7874.2</v>
      </c>
      <c r="F37" s="148">
        <v>53.2</v>
      </c>
      <c r="G37" s="202">
        <f t="shared" si="1"/>
        <v>5079.6899999999996</v>
      </c>
      <c r="H37" s="203">
        <f t="shared" si="1"/>
        <v>-1787</v>
      </c>
    </row>
    <row r="38" spans="1:8" x14ac:dyDescent="0.3">
      <c r="A38" s="572">
        <f t="shared" si="0"/>
        <v>33</v>
      </c>
      <c r="B38" s="575" t="s">
        <v>1021</v>
      </c>
      <c r="C38" s="148">
        <v>34290.01</v>
      </c>
      <c r="D38" s="148">
        <v>634.44000000000005</v>
      </c>
      <c r="E38" s="148">
        <v>51700.21</v>
      </c>
      <c r="F38" s="148">
        <v>267.02999999999997</v>
      </c>
      <c r="G38" s="202">
        <f t="shared" si="1"/>
        <v>17410.199999999997</v>
      </c>
      <c r="H38" s="203">
        <f t="shared" si="1"/>
        <v>-367.41000000000008</v>
      </c>
    </row>
    <row r="39" spans="1:8" x14ac:dyDescent="0.3">
      <c r="A39" s="572">
        <f t="shared" si="0"/>
        <v>34</v>
      </c>
      <c r="B39" s="575" t="s">
        <v>113</v>
      </c>
      <c r="C39" s="148">
        <v>43145.8</v>
      </c>
      <c r="D39" s="148">
        <v>387.37</v>
      </c>
      <c r="E39" s="148">
        <v>2878.48</v>
      </c>
      <c r="F39" s="148">
        <v>1520.53</v>
      </c>
      <c r="G39" s="202">
        <f t="shared" si="1"/>
        <v>-40267.32</v>
      </c>
      <c r="H39" s="203">
        <f t="shared" si="1"/>
        <v>1133.1599999999999</v>
      </c>
    </row>
    <row r="40" spans="1:8" x14ac:dyDescent="0.3">
      <c r="A40" s="572">
        <f t="shared" si="0"/>
        <v>35</v>
      </c>
      <c r="B40" s="574" t="s">
        <v>1343</v>
      </c>
      <c r="C40" s="145">
        <f>C41+C42</f>
        <v>1415518.3399999999</v>
      </c>
      <c r="D40" s="145">
        <f>D41+D42</f>
        <v>6314.43</v>
      </c>
      <c r="E40" s="145">
        <f>E41+E42</f>
        <v>1376221.44</v>
      </c>
      <c r="F40" s="145">
        <f>F41+F42</f>
        <v>15490.33</v>
      </c>
      <c r="G40" s="158">
        <f t="shared" si="1"/>
        <v>-39296.899999999907</v>
      </c>
      <c r="H40" s="146">
        <f t="shared" si="1"/>
        <v>9175.9</v>
      </c>
    </row>
    <row r="41" spans="1:8" x14ac:dyDescent="0.3">
      <c r="A41" s="572">
        <f t="shared" si="0"/>
        <v>36</v>
      </c>
      <c r="B41" s="575" t="s">
        <v>962</v>
      </c>
      <c r="C41" s="148">
        <v>169564.16999999998</v>
      </c>
      <c r="D41" s="148">
        <v>6090.01</v>
      </c>
      <c r="E41" s="148">
        <v>154942.51999999999</v>
      </c>
      <c r="F41" s="148">
        <v>15077.11</v>
      </c>
      <c r="G41" s="202">
        <f t="shared" si="1"/>
        <v>-14621.649999999994</v>
      </c>
      <c r="H41" s="203">
        <f t="shared" si="1"/>
        <v>8987.1</v>
      </c>
    </row>
    <row r="42" spans="1:8" x14ac:dyDescent="0.3">
      <c r="A42" s="572">
        <f t="shared" si="0"/>
        <v>37</v>
      </c>
      <c r="B42" s="575" t="s">
        <v>963</v>
      </c>
      <c r="C42" s="148">
        <v>1245954.17</v>
      </c>
      <c r="D42" s="148">
        <v>224.42</v>
      </c>
      <c r="E42" s="148">
        <f>780601.55+440677.37</f>
        <v>1221278.92</v>
      </c>
      <c r="F42" s="148">
        <v>413.22</v>
      </c>
      <c r="G42" s="202">
        <f t="shared" si="1"/>
        <v>-24675.25</v>
      </c>
      <c r="H42" s="203">
        <f t="shared" si="1"/>
        <v>188.80000000000004</v>
      </c>
    </row>
    <row r="43" spans="1:8" x14ac:dyDescent="0.3">
      <c r="A43" s="572">
        <f t="shared" si="0"/>
        <v>38</v>
      </c>
      <c r="B43" s="574" t="s">
        <v>323</v>
      </c>
      <c r="C43" s="145">
        <v>42038.26</v>
      </c>
      <c r="D43" s="145">
        <v>2493.62</v>
      </c>
      <c r="E43" s="145">
        <v>51701.94</v>
      </c>
      <c r="F43" s="145">
        <v>1746.61</v>
      </c>
      <c r="G43" s="202">
        <f t="shared" si="1"/>
        <v>9663.68</v>
      </c>
      <c r="H43" s="203">
        <f t="shared" si="1"/>
        <v>-747.01</v>
      </c>
    </row>
    <row r="44" spans="1:8" x14ac:dyDescent="0.3">
      <c r="A44" s="572">
        <f t="shared" si="0"/>
        <v>39</v>
      </c>
      <c r="B44" s="574" t="s">
        <v>1344</v>
      </c>
      <c r="C44" s="145">
        <f>SUM(C45:C59)</f>
        <v>3822702.4</v>
      </c>
      <c r="D44" s="145">
        <f>SUM(D45:D59)</f>
        <v>278453.24000000005</v>
      </c>
      <c r="E44" s="145">
        <f>SUM(E45:E59)</f>
        <v>5175031.49</v>
      </c>
      <c r="F44" s="145">
        <f>SUM(F45:F59)</f>
        <v>325459.7</v>
      </c>
      <c r="G44" s="158">
        <f t="shared" si="1"/>
        <v>1352329.0900000003</v>
      </c>
      <c r="H44" s="146">
        <f t="shared" si="1"/>
        <v>47006.459999999963</v>
      </c>
    </row>
    <row r="45" spans="1:8" x14ac:dyDescent="0.3">
      <c r="A45" s="572">
        <f t="shared" si="0"/>
        <v>40</v>
      </c>
      <c r="B45" s="575" t="s">
        <v>115</v>
      </c>
      <c r="C45" s="148">
        <v>87951.25</v>
      </c>
      <c r="D45" s="148"/>
      <c r="E45" s="148">
        <v>91187.16</v>
      </c>
      <c r="F45" s="148">
        <v>54215.46</v>
      </c>
      <c r="G45" s="202">
        <f t="shared" si="1"/>
        <v>3235.9100000000035</v>
      </c>
      <c r="H45" s="203">
        <f t="shared" si="1"/>
        <v>54215.46</v>
      </c>
    </row>
    <row r="46" spans="1:8" x14ac:dyDescent="0.3">
      <c r="A46" s="572">
        <f t="shared" si="0"/>
        <v>41</v>
      </c>
      <c r="B46" s="575" t="s">
        <v>114</v>
      </c>
      <c r="C46" s="148">
        <v>2727.63</v>
      </c>
      <c r="D46" s="148">
        <v>278.88</v>
      </c>
      <c r="E46" s="148">
        <v>17000.18</v>
      </c>
      <c r="F46" s="148">
        <v>1501.64</v>
      </c>
      <c r="G46" s="202">
        <f t="shared" si="1"/>
        <v>14272.55</v>
      </c>
      <c r="H46" s="203">
        <f t="shared" si="1"/>
        <v>1222.7600000000002</v>
      </c>
    </row>
    <row r="47" spans="1:8" x14ac:dyDescent="0.3">
      <c r="A47" s="572">
        <f t="shared" si="0"/>
        <v>42</v>
      </c>
      <c r="B47" s="575" t="s">
        <v>116</v>
      </c>
      <c r="C47" s="148">
        <v>136497.73000000001</v>
      </c>
      <c r="D47" s="148">
        <v>178.4</v>
      </c>
      <c r="E47" s="148">
        <v>157420.26999999999</v>
      </c>
      <c r="F47" s="148">
        <v>222</v>
      </c>
      <c r="G47" s="202">
        <f t="shared" si="1"/>
        <v>20922.539999999979</v>
      </c>
      <c r="H47" s="203">
        <f t="shared" si="1"/>
        <v>43.599999999999994</v>
      </c>
    </row>
    <row r="48" spans="1:8" x14ac:dyDescent="0.3">
      <c r="A48" s="572">
        <f t="shared" si="0"/>
        <v>43</v>
      </c>
      <c r="B48" s="575" t="s">
        <v>117</v>
      </c>
      <c r="C48" s="148">
        <v>288899.77</v>
      </c>
      <c r="D48" s="148">
        <v>223163.07</v>
      </c>
      <c r="E48" s="148">
        <v>111582.42</v>
      </c>
      <c r="F48" s="148">
        <v>183681.85</v>
      </c>
      <c r="G48" s="202">
        <f t="shared" si="1"/>
        <v>-177317.35000000003</v>
      </c>
      <c r="H48" s="203">
        <f t="shared" si="1"/>
        <v>-39481.22</v>
      </c>
    </row>
    <row r="49" spans="1:8" x14ac:dyDescent="0.3">
      <c r="A49" s="572">
        <f t="shared" si="0"/>
        <v>44</v>
      </c>
      <c r="B49" s="575" t="s">
        <v>964</v>
      </c>
      <c r="C49" s="148">
        <v>65211.199999999997</v>
      </c>
      <c r="D49" s="148">
        <v>5734.3099999999995</v>
      </c>
      <c r="E49" s="148">
        <v>59801.22</v>
      </c>
      <c r="F49" s="148">
        <v>5820.99</v>
      </c>
      <c r="G49" s="202">
        <f t="shared" si="1"/>
        <v>-5409.9799999999959</v>
      </c>
      <c r="H49" s="203">
        <f t="shared" si="1"/>
        <v>86.680000000000291</v>
      </c>
    </row>
    <row r="50" spans="1:8" x14ac:dyDescent="0.3">
      <c r="A50" s="572">
        <f t="shared" si="0"/>
        <v>45</v>
      </c>
      <c r="B50" s="575" t="s">
        <v>118</v>
      </c>
      <c r="C50" s="148">
        <v>1420.83</v>
      </c>
      <c r="D50" s="148">
        <v>600.88</v>
      </c>
      <c r="E50" s="148">
        <v>5135.37</v>
      </c>
      <c r="F50" s="148">
        <v>1531.96</v>
      </c>
      <c r="G50" s="202">
        <f t="shared" si="1"/>
        <v>3714.54</v>
      </c>
      <c r="H50" s="203">
        <f t="shared" si="1"/>
        <v>931.08</v>
      </c>
    </row>
    <row r="51" spans="1:8" x14ac:dyDescent="0.3">
      <c r="A51" s="572">
        <f t="shared" si="0"/>
        <v>46</v>
      </c>
      <c r="B51" s="575" t="s">
        <v>965</v>
      </c>
      <c r="C51" s="148">
        <v>49957.26</v>
      </c>
      <c r="D51" s="148">
        <v>1640.42</v>
      </c>
      <c r="E51" s="148">
        <v>49257.96</v>
      </c>
      <c r="F51" s="148">
        <v>2409.0100000000002</v>
      </c>
      <c r="G51" s="202">
        <f t="shared" si="1"/>
        <v>-699.30000000000291</v>
      </c>
      <c r="H51" s="203">
        <f t="shared" si="1"/>
        <v>768.59000000000015</v>
      </c>
    </row>
    <row r="52" spans="1:8" x14ac:dyDescent="0.3">
      <c r="A52" s="572">
        <f t="shared" si="0"/>
        <v>47</v>
      </c>
      <c r="B52" s="575" t="s">
        <v>966</v>
      </c>
      <c r="C52" s="148">
        <v>10971.6</v>
      </c>
      <c r="D52" s="148"/>
      <c r="E52" s="148">
        <v>19360.02</v>
      </c>
      <c r="F52" s="148"/>
      <c r="G52" s="202">
        <f t="shared" si="1"/>
        <v>8388.42</v>
      </c>
      <c r="H52" s="203">
        <f t="shared" si="1"/>
        <v>0</v>
      </c>
    </row>
    <row r="53" spans="1:8" x14ac:dyDescent="0.3">
      <c r="A53" s="572">
        <f t="shared" si="0"/>
        <v>48</v>
      </c>
      <c r="B53" s="575" t="s">
        <v>119</v>
      </c>
      <c r="C53" s="148">
        <v>33599.1</v>
      </c>
      <c r="D53" s="148">
        <v>1517.93</v>
      </c>
      <c r="E53" s="148">
        <v>41519.019999999997</v>
      </c>
      <c r="F53" s="148">
        <v>1032.6300000000001</v>
      </c>
      <c r="G53" s="202">
        <f t="shared" si="1"/>
        <v>7919.9199999999983</v>
      </c>
      <c r="H53" s="203">
        <f t="shared" si="1"/>
        <v>-485.29999999999995</v>
      </c>
    </row>
    <row r="54" spans="1:8" x14ac:dyDescent="0.3">
      <c r="A54" s="572">
        <f t="shared" si="0"/>
        <v>49</v>
      </c>
      <c r="B54" s="575" t="s">
        <v>120</v>
      </c>
      <c r="C54" s="148">
        <v>0</v>
      </c>
      <c r="D54" s="148"/>
      <c r="E54" s="148"/>
      <c r="F54" s="148"/>
      <c r="G54" s="202">
        <f t="shared" si="1"/>
        <v>0</v>
      </c>
      <c r="H54" s="203">
        <f t="shared" si="1"/>
        <v>0</v>
      </c>
    </row>
    <row r="55" spans="1:8" x14ac:dyDescent="0.3">
      <c r="A55" s="572">
        <f t="shared" si="0"/>
        <v>50</v>
      </c>
      <c r="B55" s="575" t="s">
        <v>121</v>
      </c>
      <c r="C55" s="148">
        <v>12109.82</v>
      </c>
      <c r="D55" s="148">
        <v>0.7</v>
      </c>
      <c r="E55" s="148">
        <v>11992.85</v>
      </c>
      <c r="F55" s="148">
        <v>178.92</v>
      </c>
      <c r="G55" s="202">
        <f t="shared" si="1"/>
        <v>-116.96999999999935</v>
      </c>
      <c r="H55" s="203">
        <f t="shared" si="1"/>
        <v>178.22</v>
      </c>
    </row>
    <row r="56" spans="1:8" x14ac:dyDescent="0.3">
      <c r="A56" s="572">
        <f t="shared" si="0"/>
        <v>51</v>
      </c>
      <c r="B56" s="575" t="s">
        <v>90</v>
      </c>
      <c r="C56" s="148">
        <v>50428.22</v>
      </c>
      <c r="D56" s="148">
        <v>6468.84</v>
      </c>
      <c r="E56" s="148">
        <v>38123.46</v>
      </c>
      <c r="F56" s="148">
        <v>3257.1</v>
      </c>
      <c r="G56" s="202">
        <f t="shared" si="1"/>
        <v>-12304.760000000002</v>
      </c>
      <c r="H56" s="203">
        <f t="shared" si="1"/>
        <v>-3211.7400000000002</v>
      </c>
    </row>
    <row r="57" spans="1:8" x14ac:dyDescent="0.3">
      <c r="A57" s="572">
        <f t="shared" si="0"/>
        <v>52</v>
      </c>
      <c r="B57" s="575" t="s">
        <v>91</v>
      </c>
      <c r="C57" s="148">
        <v>0</v>
      </c>
      <c r="D57" s="148"/>
      <c r="E57" s="148">
        <v>35</v>
      </c>
      <c r="F57" s="148"/>
      <c r="G57" s="202">
        <f t="shared" si="1"/>
        <v>35</v>
      </c>
      <c r="H57" s="203">
        <f t="shared" si="1"/>
        <v>0</v>
      </c>
    </row>
    <row r="58" spans="1:8" ht="31.2" x14ac:dyDescent="0.3">
      <c r="A58" s="572">
        <f t="shared" si="0"/>
        <v>53</v>
      </c>
      <c r="B58" s="575" t="s">
        <v>967</v>
      </c>
      <c r="C58" s="148">
        <v>2189657.9500000002</v>
      </c>
      <c r="D58" s="148">
        <v>22044.04</v>
      </c>
      <c r="E58" s="148">
        <v>3189522.85</v>
      </c>
      <c r="F58" s="148">
        <f>67371.56</f>
        <v>67371.56</v>
      </c>
      <c r="G58" s="202">
        <f t="shared" si="1"/>
        <v>999864.89999999991</v>
      </c>
      <c r="H58" s="203">
        <f t="shared" si="1"/>
        <v>45327.519999999997</v>
      </c>
    </row>
    <row r="59" spans="1:8" x14ac:dyDescent="0.3">
      <c r="A59" s="572">
        <f t="shared" si="0"/>
        <v>54</v>
      </c>
      <c r="B59" s="575" t="s">
        <v>122</v>
      </c>
      <c r="C59" s="148">
        <v>893270.04</v>
      </c>
      <c r="D59" s="148">
        <v>16825.77</v>
      </c>
      <c r="E59" s="148">
        <v>1383093.71</v>
      </c>
      <c r="F59" s="148">
        <v>4236.58</v>
      </c>
      <c r="G59" s="202">
        <f t="shared" si="1"/>
        <v>489823.66999999993</v>
      </c>
      <c r="H59" s="203">
        <f t="shared" si="1"/>
        <v>-12589.19</v>
      </c>
    </row>
    <row r="60" spans="1:8" x14ac:dyDescent="0.3">
      <c r="A60" s="572">
        <f t="shared" si="0"/>
        <v>55</v>
      </c>
      <c r="B60" s="574" t="s">
        <v>1345</v>
      </c>
      <c r="C60" s="145">
        <f>C61+C62</f>
        <v>19555741.75</v>
      </c>
      <c r="D60" s="145">
        <f>D61+D62</f>
        <v>413391.21</v>
      </c>
      <c r="E60" s="145">
        <f>E61+E62</f>
        <v>20490332.169999998</v>
      </c>
      <c r="F60" s="145">
        <f>F61+F62</f>
        <v>593873.59000000008</v>
      </c>
      <c r="G60" s="158">
        <f t="shared" si="1"/>
        <v>934590.41999999806</v>
      </c>
      <c r="H60" s="146">
        <f t="shared" si="1"/>
        <v>180482.38000000006</v>
      </c>
    </row>
    <row r="61" spans="1:8" x14ac:dyDescent="0.3">
      <c r="A61" s="572">
        <f t="shared" si="0"/>
        <v>56</v>
      </c>
      <c r="B61" s="575" t="s">
        <v>968</v>
      </c>
      <c r="C61" s="148">
        <v>19075448.280000001</v>
      </c>
      <c r="D61" s="148">
        <v>380663.63</v>
      </c>
      <c r="E61" s="148">
        <v>20017734.629999999</v>
      </c>
      <c r="F61" s="148">
        <v>534785.41</v>
      </c>
      <c r="G61" s="202">
        <f t="shared" si="1"/>
        <v>942286.34999999776</v>
      </c>
      <c r="H61" s="203">
        <f t="shared" si="1"/>
        <v>154121.78000000003</v>
      </c>
    </row>
    <row r="62" spans="1:8" x14ac:dyDescent="0.3">
      <c r="A62" s="572">
        <f t="shared" si="0"/>
        <v>57</v>
      </c>
      <c r="B62" s="574" t="s">
        <v>4</v>
      </c>
      <c r="C62" s="145">
        <f>SUM(C63:C65)</f>
        <v>480293.47</v>
      </c>
      <c r="D62" s="145">
        <f>SUM(D63:D65)</f>
        <v>32727.58</v>
      </c>
      <c r="E62" s="145">
        <f>SUM(E63:E65)</f>
        <v>472597.54</v>
      </c>
      <c r="F62" s="145">
        <f>SUM(F63:F65)</f>
        <v>59088.179999999993</v>
      </c>
      <c r="G62" s="158">
        <f t="shared" si="1"/>
        <v>-7695.929999999993</v>
      </c>
      <c r="H62" s="146">
        <f t="shared" si="1"/>
        <v>26360.599999999991</v>
      </c>
    </row>
    <row r="63" spans="1:8" s="579" customFormat="1" ht="16.5" customHeight="1" x14ac:dyDescent="0.25">
      <c r="A63" s="572">
        <f t="shared" si="0"/>
        <v>58</v>
      </c>
      <c r="B63" s="577" t="s">
        <v>2</v>
      </c>
      <c r="C63" s="578"/>
      <c r="D63" s="578"/>
      <c r="E63" s="578"/>
      <c r="F63" s="578"/>
      <c r="G63" s="202">
        <f t="shared" si="1"/>
        <v>0</v>
      </c>
      <c r="H63" s="203">
        <f t="shared" si="1"/>
        <v>0</v>
      </c>
    </row>
    <row r="64" spans="1:8" ht="31.2" x14ac:dyDescent="0.3">
      <c r="A64" s="572">
        <f t="shared" si="0"/>
        <v>59</v>
      </c>
      <c r="B64" s="577" t="s">
        <v>3</v>
      </c>
      <c r="C64" s="148">
        <v>451281.1</v>
      </c>
      <c r="D64" s="148">
        <v>24492.06</v>
      </c>
      <c r="E64" s="148">
        <v>444585.87</v>
      </c>
      <c r="F64" s="148">
        <v>48999.7</v>
      </c>
      <c r="G64" s="202">
        <f t="shared" si="1"/>
        <v>-6695.2299999999814</v>
      </c>
      <c r="H64" s="203">
        <f t="shared" si="1"/>
        <v>24507.639999999996</v>
      </c>
    </row>
    <row r="65" spans="1:8" x14ac:dyDescent="0.3">
      <c r="A65" s="572">
        <f t="shared" si="0"/>
        <v>60</v>
      </c>
      <c r="B65" s="575" t="s">
        <v>238</v>
      </c>
      <c r="C65" s="148">
        <v>29012.37</v>
      </c>
      <c r="D65" s="148">
        <v>8235.52</v>
      </c>
      <c r="E65" s="148">
        <v>28011.67</v>
      </c>
      <c r="F65" s="148">
        <v>10088.48</v>
      </c>
      <c r="G65" s="202">
        <f t="shared" si="1"/>
        <v>-1000.7000000000007</v>
      </c>
      <c r="H65" s="203">
        <f t="shared" si="1"/>
        <v>1852.9599999999991</v>
      </c>
    </row>
    <row r="66" spans="1:8" x14ac:dyDescent="0.3">
      <c r="A66" s="572">
        <f t="shared" si="0"/>
        <v>61</v>
      </c>
      <c r="B66" s="574" t="s">
        <v>178</v>
      </c>
      <c r="C66" s="148">
        <v>6619362.5199999996</v>
      </c>
      <c r="D66" s="148">
        <v>139786.38</v>
      </c>
      <c r="E66" s="148">
        <v>6925661.3899999997</v>
      </c>
      <c r="F66" s="148">
        <v>197335.43</v>
      </c>
      <c r="G66" s="202">
        <f t="shared" si="1"/>
        <v>306298.87000000011</v>
      </c>
      <c r="H66" s="203">
        <f t="shared" si="1"/>
        <v>57549.049999999988</v>
      </c>
    </row>
    <row r="67" spans="1:8" x14ac:dyDescent="0.3">
      <c r="A67" s="572">
        <f t="shared" si="0"/>
        <v>62</v>
      </c>
      <c r="B67" s="574" t="s">
        <v>21</v>
      </c>
      <c r="C67" s="148">
        <v>105344.48</v>
      </c>
      <c r="D67" s="148">
        <v>3677.7</v>
      </c>
      <c r="E67" s="148">
        <v>128891.42</v>
      </c>
      <c r="F67" s="148">
        <v>6129.58</v>
      </c>
      <c r="G67" s="202">
        <f t="shared" si="1"/>
        <v>23546.940000000002</v>
      </c>
      <c r="H67" s="203">
        <f t="shared" si="1"/>
        <v>2451.88</v>
      </c>
    </row>
    <row r="68" spans="1:8" x14ac:dyDescent="0.3">
      <c r="A68" s="572">
        <f t="shared" si="0"/>
        <v>63</v>
      </c>
      <c r="B68" s="574" t="s">
        <v>5</v>
      </c>
      <c r="C68" s="145">
        <f>SUM(C69:C74)</f>
        <v>577138.67999999993</v>
      </c>
      <c r="D68" s="145">
        <f>SUM(D69:D74)</f>
        <v>7368.58</v>
      </c>
      <c r="E68" s="145">
        <f>SUM(E69:E74)</f>
        <v>629674.16</v>
      </c>
      <c r="F68" s="145">
        <f>SUM(F69:F74)</f>
        <v>8122.65</v>
      </c>
      <c r="G68" s="158">
        <f t="shared" si="1"/>
        <v>52535.480000000098</v>
      </c>
      <c r="H68" s="146">
        <f t="shared" si="1"/>
        <v>754.06999999999971</v>
      </c>
    </row>
    <row r="69" spans="1:8" x14ac:dyDescent="0.3">
      <c r="A69" s="572">
        <f t="shared" si="0"/>
        <v>64</v>
      </c>
      <c r="B69" s="575" t="s">
        <v>78</v>
      </c>
      <c r="C69" s="148">
        <v>206939.75</v>
      </c>
      <c r="D69" s="148">
        <v>4608.45</v>
      </c>
      <c r="E69" s="148">
        <v>217426.12</v>
      </c>
      <c r="F69" s="148">
        <v>5911.51</v>
      </c>
      <c r="G69" s="202">
        <f t="shared" si="1"/>
        <v>10486.369999999995</v>
      </c>
      <c r="H69" s="203">
        <f t="shared" si="1"/>
        <v>1303.0600000000004</v>
      </c>
    </row>
    <row r="70" spans="1:8" x14ac:dyDescent="0.3">
      <c r="A70" s="572">
        <f t="shared" si="0"/>
        <v>65</v>
      </c>
      <c r="B70" s="575" t="s">
        <v>123</v>
      </c>
      <c r="C70" s="148">
        <v>285431.39</v>
      </c>
      <c r="D70" s="148"/>
      <c r="E70" s="148">
        <v>311045.17</v>
      </c>
      <c r="F70" s="148"/>
      <c r="G70" s="202">
        <f t="shared" si="1"/>
        <v>25613.77999999997</v>
      </c>
      <c r="H70" s="203">
        <f t="shared" si="1"/>
        <v>0</v>
      </c>
    </row>
    <row r="71" spans="1:8" x14ac:dyDescent="0.3">
      <c r="A71" s="572">
        <f t="shared" si="0"/>
        <v>66</v>
      </c>
      <c r="B71" s="575" t="s">
        <v>124</v>
      </c>
      <c r="C71" s="148">
        <v>51424.480000000003</v>
      </c>
      <c r="D71" s="148">
        <v>1476</v>
      </c>
      <c r="E71" s="148">
        <v>49707.23</v>
      </c>
      <c r="F71" s="148"/>
      <c r="G71" s="202">
        <f t="shared" si="1"/>
        <v>-1717.25</v>
      </c>
      <c r="H71" s="203">
        <f t="shared" si="1"/>
        <v>-1476</v>
      </c>
    </row>
    <row r="72" spans="1:8" x14ac:dyDescent="0.3">
      <c r="A72" s="572">
        <f t="shared" ref="A72:A102" si="2">A71+1</f>
        <v>67</v>
      </c>
      <c r="B72" s="575" t="s">
        <v>125</v>
      </c>
      <c r="C72" s="148">
        <v>33320.370000000003</v>
      </c>
      <c r="D72" s="148">
        <v>1284.1300000000001</v>
      </c>
      <c r="E72" s="148">
        <v>51495.64</v>
      </c>
      <c r="F72" s="148">
        <v>2211.14</v>
      </c>
      <c r="G72" s="202">
        <f t="shared" ref="G72:H101" si="3">E72-C72</f>
        <v>18175.269999999997</v>
      </c>
      <c r="H72" s="203">
        <f t="shared" si="3"/>
        <v>927.00999999999976</v>
      </c>
    </row>
    <row r="73" spans="1:8" x14ac:dyDescent="0.3">
      <c r="A73" s="572">
        <f t="shared" si="2"/>
        <v>68</v>
      </c>
      <c r="B73" s="575" t="s">
        <v>126</v>
      </c>
      <c r="C73" s="148">
        <v>22.69</v>
      </c>
      <c r="D73" s="148"/>
      <c r="E73" s="148"/>
      <c r="F73" s="148"/>
      <c r="G73" s="202">
        <f t="shared" si="3"/>
        <v>-22.69</v>
      </c>
      <c r="H73" s="203">
        <f t="shared" si="3"/>
        <v>0</v>
      </c>
    </row>
    <row r="74" spans="1:8" x14ac:dyDescent="0.3">
      <c r="A74" s="572">
        <f t="shared" si="2"/>
        <v>69</v>
      </c>
      <c r="B74" s="575" t="s">
        <v>127</v>
      </c>
      <c r="C74" s="148">
        <v>0</v>
      </c>
      <c r="D74" s="148"/>
      <c r="E74" s="148"/>
      <c r="F74" s="148"/>
      <c r="G74" s="202">
        <f t="shared" si="3"/>
        <v>0</v>
      </c>
      <c r="H74" s="203">
        <f t="shared" si="3"/>
        <v>0</v>
      </c>
    </row>
    <row r="75" spans="1:8" x14ac:dyDescent="0.3">
      <c r="A75" s="572">
        <f t="shared" si="2"/>
        <v>70</v>
      </c>
      <c r="B75" s="574" t="s">
        <v>36</v>
      </c>
      <c r="C75" s="148">
        <v>0</v>
      </c>
      <c r="D75" s="148"/>
      <c r="E75" s="148"/>
      <c r="F75" s="148"/>
      <c r="G75" s="202">
        <f t="shared" si="3"/>
        <v>0</v>
      </c>
      <c r="H75" s="203">
        <f t="shared" si="3"/>
        <v>0</v>
      </c>
    </row>
    <row r="76" spans="1:8" x14ac:dyDescent="0.3">
      <c r="A76" s="572">
        <f t="shared" si="2"/>
        <v>71</v>
      </c>
      <c r="B76" s="574" t="s">
        <v>373</v>
      </c>
      <c r="C76" s="148">
        <v>0</v>
      </c>
      <c r="D76" s="148">
        <v>124.15</v>
      </c>
      <c r="E76" s="148"/>
      <c r="F76" s="148">
        <v>124.15</v>
      </c>
      <c r="G76" s="202">
        <f t="shared" si="3"/>
        <v>0</v>
      </c>
      <c r="H76" s="203">
        <f t="shared" si="3"/>
        <v>0</v>
      </c>
    </row>
    <row r="77" spans="1:8" x14ac:dyDescent="0.3">
      <c r="A77" s="572">
        <f t="shared" si="2"/>
        <v>72</v>
      </c>
      <c r="B77" s="574" t="s">
        <v>180</v>
      </c>
      <c r="C77" s="148">
        <v>23234.38</v>
      </c>
      <c r="D77" s="148">
        <v>2184.92</v>
      </c>
      <c r="E77" s="148">
        <v>21189.66</v>
      </c>
      <c r="F77" s="148">
        <v>4200.76</v>
      </c>
      <c r="G77" s="202">
        <f t="shared" si="3"/>
        <v>-2044.7200000000012</v>
      </c>
      <c r="H77" s="203">
        <f t="shared" si="3"/>
        <v>2015.8400000000001</v>
      </c>
    </row>
    <row r="78" spans="1:8" x14ac:dyDescent="0.3">
      <c r="A78" s="572">
        <f t="shared" si="2"/>
        <v>73</v>
      </c>
      <c r="B78" s="574" t="s">
        <v>296</v>
      </c>
      <c r="C78" s="148">
        <v>139806.21</v>
      </c>
      <c r="D78" s="148">
        <v>3555.78</v>
      </c>
      <c r="E78" s="148">
        <v>118997.85</v>
      </c>
      <c r="F78" s="148">
        <v>2986.31</v>
      </c>
      <c r="G78" s="202">
        <f t="shared" si="3"/>
        <v>-20808.359999999986</v>
      </c>
      <c r="H78" s="203">
        <f t="shared" si="3"/>
        <v>-569.47000000000025</v>
      </c>
    </row>
    <row r="79" spans="1:8" x14ac:dyDescent="0.3">
      <c r="A79" s="572">
        <f t="shared" si="2"/>
        <v>74</v>
      </c>
      <c r="B79" s="574" t="s">
        <v>1346</v>
      </c>
      <c r="C79" s="145">
        <f>C80+C81</f>
        <v>6310314.4000000004</v>
      </c>
      <c r="D79" s="145">
        <f>D80+D81</f>
        <v>31916.84</v>
      </c>
      <c r="E79" s="145">
        <f>E80+E81</f>
        <v>5475418.2199999997</v>
      </c>
      <c r="F79" s="145">
        <f>F80+F81</f>
        <v>99793.96</v>
      </c>
      <c r="G79" s="158">
        <f t="shared" si="3"/>
        <v>-834896.18000000063</v>
      </c>
      <c r="H79" s="146">
        <f t="shared" si="3"/>
        <v>67877.12000000001</v>
      </c>
    </row>
    <row r="80" spans="1:8" ht="31.2" x14ac:dyDescent="0.3">
      <c r="A80" s="572">
        <f t="shared" si="2"/>
        <v>75</v>
      </c>
      <c r="B80" s="574" t="s">
        <v>241</v>
      </c>
      <c r="C80" s="145">
        <v>16401.23</v>
      </c>
      <c r="D80" s="145">
        <v>257.83999999999997</v>
      </c>
      <c r="E80" s="145">
        <v>24426.17</v>
      </c>
      <c r="F80" s="145">
        <v>4.99</v>
      </c>
      <c r="G80" s="202">
        <f t="shared" si="3"/>
        <v>8024.9399999999987</v>
      </c>
      <c r="H80" s="203">
        <f t="shared" si="3"/>
        <v>-252.84999999999997</v>
      </c>
    </row>
    <row r="81" spans="1:9" x14ac:dyDescent="0.3">
      <c r="A81" s="572">
        <f t="shared" si="2"/>
        <v>76</v>
      </c>
      <c r="B81" s="574" t="s">
        <v>6</v>
      </c>
      <c r="C81" s="145">
        <f>SUM(C82:C88)</f>
        <v>6293913.1699999999</v>
      </c>
      <c r="D81" s="145">
        <f>SUM(D82:D88)</f>
        <v>31659</v>
      </c>
      <c r="E81" s="145">
        <f>SUM(E82:E88)</f>
        <v>5450992.0499999998</v>
      </c>
      <c r="F81" s="145">
        <f>SUM(F82:F88)</f>
        <v>99788.97</v>
      </c>
      <c r="G81" s="158">
        <f t="shared" si="3"/>
        <v>-842921.12000000011</v>
      </c>
      <c r="H81" s="146">
        <f t="shared" si="3"/>
        <v>68129.97</v>
      </c>
      <c r="I81" s="580"/>
    </row>
    <row r="82" spans="1:9" x14ac:dyDescent="0.3">
      <c r="A82" s="572">
        <f t="shared" si="2"/>
        <v>77</v>
      </c>
      <c r="B82" s="575" t="s">
        <v>888</v>
      </c>
      <c r="C82" s="148">
        <v>2141898.0099999998</v>
      </c>
      <c r="D82" s="148">
        <v>200</v>
      </c>
      <c r="E82" s="148">
        <v>2088649.37</v>
      </c>
      <c r="F82" s="148"/>
      <c r="G82" s="202">
        <f t="shared" si="3"/>
        <v>-53248.639999999665</v>
      </c>
      <c r="H82" s="203">
        <f t="shared" si="3"/>
        <v>-200</v>
      </c>
    </row>
    <row r="83" spans="1:9" x14ac:dyDescent="0.3">
      <c r="A83" s="572">
        <f t="shared" si="2"/>
        <v>78</v>
      </c>
      <c r="B83" s="575" t="s">
        <v>128</v>
      </c>
      <c r="C83" s="148">
        <v>4342.4399999999996</v>
      </c>
      <c r="D83" s="148">
        <v>209.8</v>
      </c>
      <c r="E83" s="148">
        <v>4447.91</v>
      </c>
      <c r="F83" s="148">
        <v>298.25</v>
      </c>
      <c r="G83" s="202">
        <f t="shared" si="3"/>
        <v>105.47000000000025</v>
      </c>
      <c r="H83" s="203">
        <f t="shared" si="3"/>
        <v>88.449999999999989</v>
      </c>
    </row>
    <row r="84" spans="1:9" x14ac:dyDescent="0.3">
      <c r="A84" s="572">
        <f t="shared" si="2"/>
        <v>79</v>
      </c>
      <c r="B84" s="575" t="s">
        <v>129</v>
      </c>
      <c r="C84" s="148">
        <v>0</v>
      </c>
      <c r="D84" s="148"/>
      <c r="E84" s="148"/>
      <c r="F84" s="148"/>
      <c r="G84" s="202">
        <f t="shared" si="3"/>
        <v>0</v>
      </c>
      <c r="H84" s="203">
        <f t="shared" si="3"/>
        <v>0</v>
      </c>
    </row>
    <row r="85" spans="1:9" ht="31.2" x14ac:dyDescent="0.3">
      <c r="A85" s="572">
        <f t="shared" si="2"/>
        <v>80</v>
      </c>
      <c r="B85" s="575" t="s">
        <v>1022</v>
      </c>
      <c r="C85" s="148">
        <v>52908.95</v>
      </c>
      <c r="D85" s="148">
        <v>27.04</v>
      </c>
      <c r="E85" s="148">
        <v>56111.05</v>
      </c>
      <c r="F85" s="148">
        <v>708.35</v>
      </c>
      <c r="G85" s="202">
        <f t="shared" si="3"/>
        <v>3202.1000000000058</v>
      </c>
      <c r="H85" s="203">
        <f t="shared" si="3"/>
        <v>681.31000000000006</v>
      </c>
    </row>
    <row r="86" spans="1:9" x14ac:dyDescent="0.3">
      <c r="A86" s="572">
        <f t="shared" si="2"/>
        <v>81</v>
      </c>
      <c r="B86" s="575" t="s">
        <v>130</v>
      </c>
      <c r="C86" s="148">
        <v>22163</v>
      </c>
      <c r="D86" s="148"/>
      <c r="E86" s="148">
        <f>2390</f>
        <v>2390</v>
      </c>
      <c r="F86" s="148"/>
      <c r="G86" s="202">
        <f t="shared" si="3"/>
        <v>-19773</v>
      </c>
      <c r="H86" s="203">
        <f t="shared" si="3"/>
        <v>0</v>
      </c>
    </row>
    <row r="87" spans="1:9" x14ac:dyDescent="0.3">
      <c r="A87" s="572">
        <f t="shared" si="2"/>
        <v>82</v>
      </c>
      <c r="B87" s="575" t="s">
        <v>131</v>
      </c>
      <c r="C87" s="148">
        <v>46979.9</v>
      </c>
      <c r="D87" s="148">
        <v>0</v>
      </c>
      <c r="E87" s="148">
        <f>26990+13081.94</f>
        <v>40071.94</v>
      </c>
      <c r="F87" s="148">
        <v>-13.44</v>
      </c>
      <c r="G87" s="202">
        <f t="shared" si="3"/>
        <v>-6907.9599999999991</v>
      </c>
      <c r="H87" s="203">
        <f t="shared" si="3"/>
        <v>-13.44</v>
      </c>
    </row>
    <row r="88" spans="1:9" x14ac:dyDescent="0.3">
      <c r="A88" s="572">
        <f t="shared" si="2"/>
        <v>83</v>
      </c>
      <c r="B88" s="575" t="s">
        <v>1284</v>
      </c>
      <c r="C88" s="148">
        <f>217350.33+3808270.54</f>
        <v>4025620.87</v>
      </c>
      <c r="D88" s="148">
        <f>-0.73+31222.89</f>
        <v>31222.16</v>
      </c>
      <c r="E88" s="148">
        <f>21341.34+3237980.44</f>
        <v>3259321.78</v>
      </c>
      <c r="F88" s="148">
        <f>53.34+98742.47</f>
        <v>98795.81</v>
      </c>
      <c r="G88" s="202">
        <f t="shared" si="3"/>
        <v>-766299.09000000032</v>
      </c>
      <c r="H88" s="203">
        <f t="shared" si="3"/>
        <v>67573.649999999994</v>
      </c>
    </row>
    <row r="89" spans="1:9" ht="31.2" x14ac:dyDescent="0.3">
      <c r="A89" s="572">
        <f t="shared" si="2"/>
        <v>84</v>
      </c>
      <c r="B89" s="574" t="s">
        <v>1139</v>
      </c>
      <c r="C89" s="145">
        <f>SUM(C90:C98)</f>
        <v>6728850.0999999996</v>
      </c>
      <c r="D89" s="145">
        <f>SUM(D90:D98)</f>
        <v>70285.820000000007</v>
      </c>
      <c r="E89" s="145">
        <f>SUM(E90:E98)</f>
        <v>5777339.6799999997</v>
      </c>
      <c r="F89" s="145">
        <f>SUM(F90:F98)</f>
        <v>28315.39</v>
      </c>
      <c r="G89" s="158">
        <f t="shared" si="3"/>
        <v>-951510.41999999993</v>
      </c>
      <c r="H89" s="146">
        <f t="shared" si="3"/>
        <v>-41970.430000000008</v>
      </c>
    </row>
    <row r="90" spans="1:9" ht="31.5" customHeight="1" x14ac:dyDescent="0.3">
      <c r="A90" s="572">
        <f t="shared" si="2"/>
        <v>85</v>
      </c>
      <c r="B90" s="575" t="s">
        <v>969</v>
      </c>
      <c r="C90" s="148">
        <v>747669.74</v>
      </c>
      <c r="D90" s="148"/>
      <c r="E90" s="148">
        <v>513833.26</v>
      </c>
      <c r="F90" s="148"/>
      <c r="G90" s="202">
        <f t="shared" si="3"/>
        <v>-233836.47999999998</v>
      </c>
      <c r="H90" s="203">
        <f t="shared" si="3"/>
        <v>0</v>
      </c>
    </row>
    <row r="91" spans="1:9" x14ac:dyDescent="0.3">
      <c r="A91" s="572">
        <f t="shared" si="2"/>
        <v>86</v>
      </c>
      <c r="B91" s="575" t="s">
        <v>982</v>
      </c>
      <c r="C91" s="148">
        <v>1257512.68</v>
      </c>
      <c r="D91" s="148">
        <v>42375.64</v>
      </c>
      <c r="E91" s="148">
        <v>1127244.1399999999</v>
      </c>
      <c r="F91" s="148">
        <v>28315.39</v>
      </c>
      <c r="G91" s="202">
        <f t="shared" si="3"/>
        <v>-130268.54000000004</v>
      </c>
      <c r="H91" s="203">
        <f t="shared" si="3"/>
        <v>-14060.25</v>
      </c>
    </row>
    <row r="92" spans="1:9" ht="31.2" x14ac:dyDescent="0.3">
      <c r="A92" s="572" t="s">
        <v>819</v>
      </c>
      <c r="B92" s="575" t="s">
        <v>983</v>
      </c>
      <c r="C92" s="148">
        <v>4535895.1399999997</v>
      </c>
      <c r="D92" s="148"/>
      <c r="E92" s="148">
        <v>4083479.68</v>
      </c>
      <c r="F92" s="148"/>
      <c r="G92" s="202">
        <f>E92-C92</f>
        <v>-452415.4599999995</v>
      </c>
      <c r="H92" s="203">
        <f>F92-D92</f>
        <v>0</v>
      </c>
    </row>
    <row r="93" spans="1:9" x14ac:dyDescent="0.3">
      <c r="A93" s="572">
        <f>A91+1</f>
        <v>87</v>
      </c>
      <c r="B93" s="575" t="s">
        <v>970</v>
      </c>
      <c r="C93" s="148">
        <v>35940.869999999995</v>
      </c>
      <c r="D93" s="148">
        <v>27910.18</v>
      </c>
      <c r="E93" s="148">
        <v>5860</v>
      </c>
      <c r="F93" s="148"/>
      <c r="G93" s="202">
        <f t="shared" si="3"/>
        <v>-30080.869999999995</v>
      </c>
      <c r="H93" s="203">
        <f t="shared" si="3"/>
        <v>-27910.18</v>
      </c>
    </row>
    <row r="94" spans="1:9" x14ac:dyDescent="0.3">
      <c r="A94" s="572">
        <f t="shared" si="2"/>
        <v>88</v>
      </c>
      <c r="B94" s="575" t="s">
        <v>160</v>
      </c>
      <c r="C94" s="148">
        <v>0</v>
      </c>
      <c r="D94" s="148"/>
      <c r="E94" s="148"/>
      <c r="F94" s="148"/>
      <c r="G94" s="202">
        <f t="shared" si="3"/>
        <v>0</v>
      </c>
      <c r="H94" s="203">
        <f t="shared" si="3"/>
        <v>0</v>
      </c>
    </row>
    <row r="95" spans="1:9" x14ac:dyDescent="0.3">
      <c r="A95" s="572">
        <f t="shared" si="2"/>
        <v>89</v>
      </c>
      <c r="B95" s="575" t="s">
        <v>161</v>
      </c>
      <c r="C95" s="148">
        <v>56608</v>
      </c>
      <c r="D95" s="148"/>
      <c r="E95" s="148">
        <v>46922.6</v>
      </c>
      <c r="F95" s="148"/>
      <c r="G95" s="202">
        <f t="shared" si="3"/>
        <v>-9685.4000000000015</v>
      </c>
      <c r="H95" s="203">
        <f t="shared" si="3"/>
        <v>0</v>
      </c>
    </row>
    <row r="96" spans="1:9" x14ac:dyDescent="0.3">
      <c r="A96" s="572">
        <f t="shared" si="2"/>
        <v>90</v>
      </c>
      <c r="B96" s="575" t="s">
        <v>971</v>
      </c>
      <c r="C96" s="148">
        <v>95223.67</v>
      </c>
      <c r="D96" s="148"/>
      <c r="E96" s="148"/>
      <c r="F96" s="148"/>
      <c r="G96" s="202">
        <f t="shared" si="3"/>
        <v>-95223.67</v>
      </c>
      <c r="H96" s="203">
        <f t="shared" si="3"/>
        <v>0</v>
      </c>
    </row>
    <row r="97" spans="1:9" ht="46.8" x14ac:dyDescent="0.3">
      <c r="A97" s="572">
        <f t="shared" si="2"/>
        <v>91</v>
      </c>
      <c r="B97" s="31" t="s">
        <v>1037</v>
      </c>
      <c r="C97" s="148">
        <v>0</v>
      </c>
      <c r="D97" s="148"/>
      <c r="E97" s="148"/>
      <c r="F97" s="148"/>
      <c r="G97" s="202">
        <f t="shared" ref="G97" si="4">E97-C97</f>
        <v>0</v>
      </c>
      <c r="H97" s="203">
        <f t="shared" ref="H97" si="5">F97-D97</f>
        <v>0</v>
      </c>
    </row>
    <row r="98" spans="1:9" x14ac:dyDescent="0.3">
      <c r="A98" s="572">
        <f>A97+1</f>
        <v>92</v>
      </c>
      <c r="B98" s="575" t="s">
        <v>1029</v>
      </c>
      <c r="C98" s="148">
        <v>0</v>
      </c>
      <c r="D98" s="148"/>
      <c r="E98" s="148"/>
      <c r="F98" s="148"/>
      <c r="G98" s="202">
        <f t="shared" si="3"/>
        <v>0</v>
      </c>
      <c r="H98" s="203">
        <f t="shared" si="3"/>
        <v>0</v>
      </c>
    </row>
    <row r="99" spans="1:9" x14ac:dyDescent="0.3">
      <c r="A99" s="572">
        <f t="shared" si="2"/>
        <v>93</v>
      </c>
      <c r="B99" s="574" t="s">
        <v>1347</v>
      </c>
      <c r="C99" s="148">
        <v>23167</v>
      </c>
      <c r="D99" s="148"/>
      <c r="E99" s="148">
        <v>24394</v>
      </c>
      <c r="F99" s="148"/>
      <c r="G99" s="202">
        <f t="shared" si="3"/>
        <v>1227</v>
      </c>
      <c r="H99" s="203">
        <f t="shared" si="3"/>
        <v>0</v>
      </c>
    </row>
    <row r="100" spans="1:9" x14ac:dyDescent="0.3">
      <c r="A100" s="572" t="s">
        <v>1036</v>
      </c>
      <c r="B100" s="574" t="s">
        <v>820</v>
      </c>
      <c r="C100" s="200" t="s">
        <v>312</v>
      </c>
      <c r="D100" s="200" t="s">
        <v>312</v>
      </c>
      <c r="E100" s="200" t="s">
        <v>312</v>
      </c>
      <c r="F100" s="200" t="s">
        <v>312</v>
      </c>
      <c r="G100" s="202" t="s">
        <v>157</v>
      </c>
      <c r="H100" s="203" t="s">
        <v>157</v>
      </c>
    </row>
    <row r="101" spans="1:9" x14ac:dyDescent="0.3">
      <c r="A101" s="572">
        <f>A99+1</f>
        <v>94</v>
      </c>
      <c r="B101" s="574" t="s">
        <v>272</v>
      </c>
      <c r="C101" s="148">
        <v>29531.13</v>
      </c>
      <c r="D101" s="148">
        <v>15093.9</v>
      </c>
      <c r="E101" s="148">
        <v>373.81</v>
      </c>
      <c r="F101" s="148">
        <v>55384.92</v>
      </c>
      <c r="G101" s="202">
        <f t="shared" si="3"/>
        <v>-29157.32</v>
      </c>
      <c r="H101" s="203">
        <f t="shared" si="3"/>
        <v>40291.019999999997</v>
      </c>
    </row>
    <row r="102" spans="1:9" ht="31.8" thickBot="1" x14ac:dyDescent="0.35">
      <c r="A102" s="520">
        <f t="shared" si="2"/>
        <v>95</v>
      </c>
      <c r="B102" s="581" t="s">
        <v>1348</v>
      </c>
      <c r="C102" s="112">
        <f>C6+C19+C27+C32+C40+C43+C44+C60+C66+C67+C68+SUM(C75:C79)+C89+C99+C101</f>
        <v>53095191.610000007</v>
      </c>
      <c r="D102" s="112">
        <f>D6+D19+D27+D32+D40+D43+D44+D60+D66+D67+D68+SUM(D75:D79)+D89+D99+D101</f>
        <v>1421386.1</v>
      </c>
      <c r="E102" s="112">
        <f>E6+E19+E27+E32+E40+E43+E44+E60+E66+E67+E68+SUM(E75:E79)+E89+E99+E101</f>
        <v>50909044.959999993</v>
      </c>
      <c r="F102" s="112">
        <f>F6+F19+F27+F32+F40+F43+F44+F60+F66+F67+F68+SUM(F75:F79)+F89+F99+F101</f>
        <v>1855623.4599999997</v>
      </c>
      <c r="G102" s="206">
        <f>E102-C102</f>
        <v>-2186146.6500000134</v>
      </c>
      <c r="H102" s="151">
        <f>F102-D102</f>
        <v>434237.35999999964</v>
      </c>
    </row>
    <row r="103" spans="1:9" x14ac:dyDescent="0.3">
      <c r="A103" s="196"/>
      <c r="B103" s="196"/>
    </row>
    <row r="104" spans="1:9" s="579" customFormat="1" ht="27" customHeight="1" x14ac:dyDescent="0.3">
      <c r="A104" s="196" t="s">
        <v>162</v>
      </c>
      <c r="B104" s="196"/>
      <c r="C104" s="196"/>
      <c r="D104" s="196"/>
      <c r="E104" s="196"/>
      <c r="F104" s="196"/>
      <c r="G104" s="196"/>
      <c r="H104" s="196"/>
    </row>
    <row r="105" spans="1:9" x14ac:dyDescent="0.3">
      <c r="D105" s="583"/>
      <c r="E105" s="583"/>
      <c r="F105" s="583"/>
      <c r="I105" s="583"/>
    </row>
    <row r="106" spans="1:9" x14ac:dyDescent="0.3">
      <c r="A106" s="207" t="s">
        <v>972</v>
      </c>
      <c r="B106" s="584" t="s">
        <v>1349</v>
      </c>
    </row>
    <row r="974" spans="6:6" x14ac:dyDescent="0.3">
      <c r="F974" s="196" t="s">
        <v>377</v>
      </c>
    </row>
    <row r="993" spans="4:4" x14ac:dyDescent="0.3">
      <c r="D993" s="196" t="s">
        <v>376</v>
      </c>
    </row>
  </sheetData>
  <mergeCells count="7">
    <mergeCell ref="A1:H1"/>
    <mergeCell ref="A2:H2"/>
    <mergeCell ref="A3:A4"/>
    <mergeCell ref="B3:B4"/>
    <mergeCell ref="C3:D3"/>
    <mergeCell ref="E3:F3"/>
    <mergeCell ref="G3:H3"/>
  </mergeCells>
  <printOptions gridLines="1"/>
  <pageMargins left="0.74803149606299213" right="0.63" top="0.64" bottom="0.39370078740157483" header="0.39370078740157483" footer="0.23622047244094491"/>
  <pageSetup paperSize="9" scale="70" fitToWidth="3" fitToHeight="3" orientation="landscape" r:id="rId1"/>
  <headerFooter alignWithMargins="0">
    <oddFooter xml:space="preserve">&amp;C &amp;P z &amp;N  </oddFooter>
  </headerFooter>
  <rowBreaks count="2" manualBreakCount="2">
    <brk id="39" max="7" man="1"/>
    <brk id="7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890"/>
  <sheetViews>
    <sheetView zoomScaleNormal="100" workbookViewId="0">
      <pane xSplit="2" ySplit="5" topLeftCell="C6" activePane="bottomRight" state="frozen"/>
      <selection pane="topRight" activeCell="C1" sqref="C1"/>
      <selection pane="bottomLeft" activeCell="A6" sqref="A6"/>
      <selection pane="bottomRight" sqref="A1:H1"/>
    </sheetView>
  </sheetViews>
  <sheetFormatPr defaultColWidth="9.109375" defaultRowHeight="15.6" x14ac:dyDescent="0.3"/>
  <cols>
    <col min="1" max="1" width="8.44140625" style="155" customWidth="1"/>
    <col min="2" max="2" width="74.109375" style="129" customWidth="1"/>
    <col min="3" max="8" width="17" style="9" customWidth="1"/>
    <col min="9" max="9" width="14" style="9" bestFit="1" customWidth="1"/>
    <col min="10" max="16384" width="9.109375" style="9"/>
  </cols>
  <sheetData>
    <row r="1" spans="1:9" ht="35.1" customHeight="1" thickBot="1" x14ac:dyDescent="0.4">
      <c r="A1" s="696" t="s">
        <v>1440</v>
      </c>
      <c r="B1" s="697"/>
      <c r="C1" s="697"/>
      <c r="D1" s="697"/>
      <c r="E1" s="697"/>
      <c r="F1" s="697"/>
      <c r="G1" s="697"/>
      <c r="H1" s="698"/>
      <c r="I1" s="166"/>
    </row>
    <row r="2" spans="1:9" ht="32.4" customHeight="1" thickBot="1" x14ac:dyDescent="0.35">
      <c r="A2" s="699" t="s">
        <v>1221</v>
      </c>
      <c r="B2" s="700"/>
      <c r="C2" s="700"/>
      <c r="D2" s="700"/>
      <c r="E2" s="700"/>
      <c r="F2" s="700"/>
      <c r="G2" s="700"/>
      <c r="H2" s="701"/>
    </row>
    <row r="3" spans="1:9" s="144" customFormat="1" ht="31.5" customHeight="1" x14ac:dyDescent="0.3">
      <c r="A3" s="702" t="s">
        <v>205</v>
      </c>
      <c r="B3" s="704" t="s">
        <v>327</v>
      </c>
      <c r="C3" s="684">
        <v>2014</v>
      </c>
      <c r="D3" s="686"/>
      <c r="E3" s="705">
        <v>2015</v>
      </c>
      <c r="F3" s="706"/>
      <c r="G3" s="685" t="s">
        <v>1136</v>
      </c>
      <c r="H3" s="688"/>
    </row>
    <row r="4" spans="1:9" ht="44.4" customHeight="1" thickBot="1" x14ac:dyDescent="0.35">
      <c r="A4" s="703"/>
      <c r="B4" s="683"/>
      <c r="C4" s="126" t="s">
        <v>1285</v>
      </c>
      <c r="D4" s="126" t="s">
        <v>1286</v>
      </c>
      <c r="E4" s="126" t="s">
        <v>1285</v>
      </c>
      <c r="F4" s="126" t="s">
        <v>1286</v>
      </c>
      <c r="G4" s="126" t="s">
        <v>1285</v>
      </c>
      <c r="H4" s="126" t="s">
        <v>1286</v>
      </c>
    </row>
    <row r="5" spans="1:9" ht="16.2" thickBot="1" x14ac:dyDescent="0.35">
      <c r="A5" s="209"/>
      <c r="B5" s="95"/>
      <c r="C5" s="89" t="s">
        <v>283</v>
      </c>
      <c r="D5" s="90" t="s">
        <v>284</v>
      </c>
      <c r="E5" s="91" t="s">
        <v>285</v>
      </c>
      <c r="F5" s="92" t="s">
        <v>292</v>
      </c>
      <c r="G5" s="92" t="s">
        <v>23</v>
      </c>
      <c r="H5" s="90" t="s">
        <v>24</v>
      </c>
    </row>
    <row r="6" spans="1:9" x14ac:dyDescent="0.3">
      <c r="A6" s="87" t="s">
        <v>649</v>
      </c>
      <c r="B6" s="87" t="s">
        <v>1052</v>
      </c>
      <c r="C6" s="210">
        <v>4930949.97</v>
      </c>
      <c r="D6" s="211">
        <v>328217.67</v>
      </c>
      <c r="E6" s="212">
        <v>2452067.14</v>
      </c>
      <c r="F6" s="213">
        <v>366106.44</v>
      </c>
      <c r="G6" s="214">
        <f t="shared" ref="G6:H42" si="0">E6-C6</f>
        <v>-2478882.8299999996</v>
      </c>
      <c r="H6" s="215">
        <f t="shared" si="0"/>
        <v>37888.770000000019</v>
      </c>
    </row>
    <row r="7" spans="1:9" x14ac:dyDescent="0.3">
      <c r="A7" s="88" t="s">
        <v>651</v>
      </c>
      <c r="B7" s="88" t="s">
        <v>1053</v>
      </c>
      <c r="C7" s="216">
        <v>1797576.81</v>
      </c>
      <c r="D7" s="217">
        <v>58983.88</v>
      </c>
      <c r="E7" s="218">
        <v>1734411.2</v>
      </c>
      <c r="F7" s="219">
        <v>70162.42</v>
      </c>
      <c r="G7" s="174">
        <f t="shared" si="0"/>
        <v>-63165.610000000102</v>
      </c>
      <c r="H7" s="146">
        <f t="shared" si="0"/>
        <v>11178.54</v>
      </c>
    </row>
    <row r="8" spans="1:9" x14ac:dyDescent="0.3">
      <c r="A8" s="88" t="s">
        <v>653</v>
      </c>
      <c r="B8" s="88" t="s">
        <v>1054</v>
      </c>
      <c r="C8" s="216"/>
      <c r="D8" s="217">
        <v>30711.599999999999</v>
      </c>
      <c r="E8" s="218">
        <v>415.28</v>
      </c>
      <c r="F8" s="219">
        <v>38822.699999999997</v>
      </c>
      <c r="G8" s="174">
        <f t="shared" si="0"/>
        <v>415.28</v>
      </c>
      <c r="H8" s="146">
        <f t="shared" si="0"/>
        <v>8111.0999999999985</v>
      </c>
    </row>
    <row r="9" spans="1:9" x14ac:dyDescent="0.3">
      <c r="A9" s="88" t="s">
        <v>655</v>
      </c>
      <c r="B9" s="88" t="s">
        <v>1055</v>
      </c>
      <c r="C9" s="216">
        <v>973915.18</v>
      </c>
      <c r="D9" s="217">
        <v>28826.38</v>
      </c>
      <c r="E9" s="218">
        <v>526924.11</v>
      </c>
      <c r="F9" s="219">
        <v>41568.519999999997</v>
      </c>
      <c r="G9" s="174">
        <f t="shared" si="0"/>
        <v>-446991.07000000007</v>
      </c>
      <c r="H9" s="146">
        <f t="shared" si="0"/>
        <v>12742.139999999996</v>
      </c>
    </row>
    <row r="10" spans="1:9" x14ac:dyDescent="0.3">
      <c r="A10" s="88" t="s">
        <v>657</v>
      </c>
      <c r="B10" s="88" t="s">
        <v>1056</v>
      </c>
      <c r="C10" s="216">
        <v>1415518.34</v>
      </c>
      <c r="D10" s="217">
        <v>6314.43</v>
      </c>
      <c r="E10" s="218">
        <v>1376221.44</v>
      </c>
      <c r="F10" s="219">
        <v>15490.33</v>
      </c>
      <c r="G10" s="174">
        <f t="shared" si="0"/>
        <v>-39296.90000000014</v>
      </c>
      <c r="H10" s="146">
        <f t="shared" si="0"/>
        <v>9175.9</v>
      </c>
    </row>
    <row r="11" spans="1:9" x14ac:dyDescent="0.3">
      <c r="A11" s="88" t="s">
        <v>659</v>
      </c>
      <c r="B11" s="88" t="s">
        <v>1057</v>
      </c>
      <c r="C11" s="216">
        <v>42038.26</v>
      </c>
      <c r="D11" s="217">
        <v>2493.62</v>
      </c>
      <c r="E11" s="218">
        <v>51701.94</v>
      </c>
      <c r="F11" s="219">
        <v>1746.61</v>
      </c>
      <c r="G11" s="174">
        <f t="shared" si="0"/>
        <v>9663.68</v>
      </c>
      <c r="H11" s="146">
        <f t="shared" si="0"/>
        <v>-747.01</v>
      </c>
    </row>
    <row r="12" spans="1:9" x14ac:dyDescent="0.3">
      <c r="A12" s="88" t="s">
        <v>661</v>
      </c>
      <c r="B12" s="88" t="s">
        <v>1058</v>
      </c>
      <c r="C12" s="216">
        <v>3822702.4</v>
      </c>
      <c r="D12" s="217">
        <v>278453.24</v>
      </c>
      <c r="E12" s="218">
        <v>5175031.49</v>
      </c>
      <c r="F12" s="219">
        <v>325459.7</v>
      </c>
      <c r="G12" s="174">
        <f t="shared" si="0"/>
        <v>1352329.0900000003</v>
      </c>
      <c r="H12" s="146">
        <f t="shared" si="0"/>
        <v>47006.460000000021</v>
      </c>
    </row>
    <row r="13" spans="1:9" x14ac:dyDescent="0.3">
      <c r="A13" s="88" t="s">
        <v>663</v>
      </c>
      <c r="B13" s="88" t="s">
        <v>1059</v>
      </c>
      <c r="C13" s="216">
        <v>19555741.75</v>
      </c>
      <c r="D13" s="217">
        <v>413391.21</v>
      </c>
      <c r="E13" s="218">
        <v>20490332.170000002</v>
      </c>
      <c r="F13" s="219">
        <v>593873.59</v>
      </c>
      <c r="G13" s="174">
        <f t="shared" si="0"/>
        <v>934590.42000000179</v>
      </c>
      <c r="H13" s="146">
        <f t="shared" si="0"/>
        <v>180482.37999999995</v>
      </c>
    </row>
    <row r="14" spans="1:9" x14ac:dyDescent="0.3">
      <c r="A14" s="88" t="s">
        <v>665</v>
      </c>
      <c r="B14" s="88" t="s">
        <v>1060</v>
      </c>
      <c r="C14" s="216">
        <v>6619362.5199999996</v>
      </c>
      <c r="D14" s="217">
        <v>139786.38</v>
      </c>
      <c r="E14" s="218">
        <v>6925661.3899999997</v>
      </c>
      <c r="F14" s="219">
        <v>197335.43</v>
      </c>
      <c r="G14" s="174">
        <f t="shared" si="0"/>
        <v>306298.87000000011</v>
      </c>
      <c r="H14" s="146">
        <f t="shared" si="0"/>
        <v>57549.049999999988</v>
      </c>
    </row>
    <row r="15" spans="1:9" x14ac:dyDescent="0.3">
      <c r="A15" s="88" t="s">
        <v>667</v>
      </c>
      <c r="B15" s="88" t="s">
        <v>1061</v>
      </c>
      <c r="C15" s="216">
        <v>105344.48</v>
      </c>
      <c r="D15" s="217">
        <v>3677.7</v>
      </c>
      <c r="E15" s="218">
        <v>128891.42</v>
      </c>
      <c r="F15" s="219">
        <v>6129.58</v>
      </c>
      <c r="G15" s="174">
        <f t="shared" si="0"/>
        <v>23546.940000000002</v>
      </c>
      <c r="H15" s="146">
        <f t="shared" si="0"/>
        <v>2451.88</v>
      </c>
    </row>
    <row r="16" spans="1:9" x14ac:dyDescent="0.3">
      <c r="A16" s="88" t="s">
        <v>669</v>
      </c>
      <c r="B16" s="88" t="s">
        <v>1062</v>
      </c>
      <c r="C16" s="216">
        <v>577138.68000000005</v>
      </c>
      <c r="D16" s="217">
        <v>7368.58</v>
      </c>
      <c r="E16" s="218">
        <v>629674.16</v>
      </c>
      <c r="F16" s="219">
        <v>8122.65</v>
      </c>
      <c r="G16" s="174">
        <f t="shared" si="0"/>
        <v>52535.479999999981</v>
      </c>
      <c r="H16" s="146">
        <f t="shared" si="0"/>
        <v>754.06999999999971</v>
      </c>
    </row>
    <row r="17" spans="1:8" x14ac:dyDescent="0.3">
      <c r="A17" s="88" t="s">
        <v>671</v>
      </c>
      <c r="B17" s="88" t="s">
        <v>1063</v>
      </c>
      <c r="C17" s="216"/>
      <c r="D17" s="217"/>
      <c r="E17" s="218"/>
      <c r="F17" s="219"/>
      <c r="G17" s="174">
        <f t="shared" si="0"/>
        <v>0</v>
      </c>
      <c r="H17" s="146">
        <f t="shared" si="0"/>
        <v>0</v>
      </c>
    </row>
    <row r="18" spans="1:8" x14ac:dyDescent="0.3">
      <c r="A18" s="88" t="s">
        <v>673</v>
      </c>
      <c r="B18" s="88" t="s">
        <v>1064</v>
      </c>
      <c r="C18" s="216"/>
      <c r="D18" s="217">
        <v>124.15</v>
      </c>
      <c r="E18" s="218"/>
      <c r="F18" s="219">
        <v>124.15</v>
      </c>
      <c r="G18" s="174">
        <f t="shared" si="0"/>
        <v>0</v>
      </c>
      <c r="H18" s="146">
        <f t="shared" si="0"/>
        <v>0</v>
      </c>
    </row>
    <row r="19" spans="1:8" x14ac:dyDescent="0.3">
      <c r="A19" s="88" t="s">
        <v>675</v>
      </c>
      <c r="B19" s="88" t="s">
        <v>1065</v>
      </c>
      <c r="C19" s="216">
        <v>23234.38</v>
      </c>
      <c r="D19" s="217">
        <v>2184.92</v>
      </c>
      <c r="E19" s="218">
        <v>21189.66</v>
      </c>
      <c r="F19" s="219">
        <v>4200.76</v>
      </c>
      <c r="G19" s="174">
        <f t="shared" si="0"/>
        <v>-2044.7200000000012</v>
      </c>
      <c r="H19" s="146">
        <f t="shared" si="0"/>
        <v>2015.8400000000001</v>
      </c>
    </row>
    <row r="20" spans="1:8" x14ac:dyDescent="0.3">
      <c r="A20" s="88" t="s">
        <v>677</v>
      </c>
      <c r="B20" s="88" t="s">
        <v>1066</v>
      </c>
      <c r="C20" s="216">
        <v>139806.21</v>
      </c>
      <c r="D20" s="217">
        <v>3555.78</v>
      </c>
      <c r="E20" s="218">
        <v>118997.85</v>
      </c>
      <c r="F20" s="219">
        <v>2986.31</v>
      </c>
      <c r="G20" s="174">
        <f t="shared" si="0"/>
        <v>-20808.359999999986</v>
      </c>
      <c r="H20" s="146">
        <f t="shared" si="0"/>
        <v>-569.47000000000025</v>
      </c>
    </row>
    <row r="21" spans="1:8" x14ac:dyDescent="0.3">
      <c r="A21" s="88" t="s">
        <v>679</v>
      </c>
      <c r="B21" s="88" t="s">
        <v>1067</v>
      </c>
      <c r="C21" s="216"/>
      <c r="D21" s="217"/>
      <c r="E21" s="218">
        <v>14.83</v>
      </c>
      <c r="F21" s="219">
        <v>4.99</v>
      </c>
      <c r="G21" s="174">
        <f t="shared" si="0"/>
        <v>14.83</v>
      </c>
      <c r="H21" s="146">
        <f t="shared" si="0"/>
        <v>4.99</v>
      </c>
    </row>
    <row r="22" spans="1:8" x14ac:dyDescent="0.3">
      <c r="A22" s="88" t="s">
        <v>681</v>
      </c>
      <c r="B22" s="88" t="s">
        <v>1068</v>
      </c>
      <c r="C22" s="216">
        <v>42.7</v>
      </c>
      <c r="D22" s="217">
        <v>12.1</v>
      </c>
      <c r="E22" s="218">
        <v>25</v>
      </c>
      <c r="F22" s="219"/>
      <c r="G22" s="174">
        <f t="shared" si="0"/>
        <v>-17.700000000000003</v>
      </c>
      <c r="H22" s="146">
        <f t="shared" si="0"/>
        <v>-12.1</v>
      </c>
    </row>
    <row r="23" spans="1:8" x14ac:dyDescent="0.3">
      <c r="A23" s="88" t="s">
        <v>683</v>
      </c>
      <c r="B23" s="88" t="s">
        <v>1069</v>
      </c>
      <c r="C23" s="216">
        <v>190</v>
      </c>
      <c r="D23" s="217">
        <v>245.74</v>
      </c>
      <c r="E23" s="218">
        <v>52.2</v>
      </c>
      <c r="F23" s="219"/>
      <c r="G23" s="174">
        <f t="shared" si="0"/>
        <v>-137.80000000000001</v>
      </c>
      <c r="H23" s="146">
        <f t="shared" si="0"/>
        <v>-245.74</v>
      </c>
    </row>
    <row r="24" spans="1:8" x14ac:dyDescent="0.3">
      <c r="A24" s="88" t="s">
        <v>685</v>
      </c>
      <c r="B24" s="88" t="s">
        <v>1070</v>
      </c>
      <c r="C24" s="216"/>
      <c r="D24" s="217"/>
      <c r="E24" s="218"/>
      <c r="F24" s="219"/>
      <c r="G24" s="174">
        <f t="shared" si="0"/>
        <v>0</v>
      </c>
      <c r="H24" s="146">
        <f t="shared" si="0"/>
        <v>0</v>
      </c>
    </row>
    <row r="25" spans="1:8" x14ac:dyDescent="0.3">
      <c r="A25" s="88" t="s">
        <v>687</v>
      </c>
      <c r="B25" s="88" t="s">
        <v>1071</v>
      </c>
      <c r="C25" s="216">
        <v>8876.66</v>
      </c>
      <c r="D25" s="217"/>
      <c r="E25" s="218">
        <v>24334.14</v>
      </c>
      <c r="F25" s="219"/>
      <c r="G25" s="174">
        <f t="shared" si="0"/>
        <v>15457.48</v>
      </c>
      <c r="H25" s="146">
        <f t="shared" si="0"/>
        <v>0</v>
      </c>
    </row>
    <row r="26" spans="1:8" x14ac:dyDescent="0.3">
      <c r="A26" s="88" t="s">
        <v>689</v>
      </c>
      <c r="B26" s="88" t="s">
        <v>1072</v>
      </c>
      <c r="C26" s="216">
        <v>185.6</v>
      </c>
      <c r="D26" s="217"/>
      <c r="E26" s="218"/>
      <c r="F26" s="219"/>
      <c r="G26" s="174">
        <f t="shared" si="0"/>
        <v>-185.6</v>
      </c>
      <c r="H26" s="146">
        <f t="shared" si="0"/>
        <v>0</v>
      </c>
    </row>
    <row r="27" spans="1:8" x14ac:dyDescent="0.3">
      <c r="A27" s="88" t="s">
        <v>691</v>
      </c>
      <c r="B27" s="88" t="s">
        <v>1073</v>
      </c>
      <c r="C27" s="216"/>
      <c r="D27" s="217"/>
      <c r="E27" s="218"/>
      <c r="F27" s="219"/>
      <c r="G27" s="174">
        <f t="shared" si="0"/>
        <v>0</v>
      </c>
      <c r="H27" s="146">
        <f t="shared" si="0"/>
        <v>0</v>
      </c>
    </row>
    <row r="28" spans="1:8" x14ac:dyDescent="0.3">
      <c r="A28" s="88" t="s">
        <v>693</v>
      </c>
      <c r="B28" s="88" t="s">
        <v>1074</v>
      </c>
      <c r="C28" s="216">
        <v>7106.27</v>
      </c>
      <c r="D28" s="217"/>
      <c r="E28" s="218"/>
      <c r="F28" s="219"/>
      <c r="G28" s="174">
        <f t="shared" si="0"/>
        <v>-7106.27</v>
      </c>
      <c r="H28" s="146">
        <f t="shared" si="0"/>
        <v>0</v>
      </c>
    </row>
    <row r="29" spans="1:8" x14ac:dyDescent="0.3">
      <c r="A29" s="88" t="s">
        <v>695</v>
      </c>
      <c r="B29" s="88" t="s">
        <v>1075</v>
      </c>
      <c r="C29" s="216">
        <f>2485642.63+3808270.54</f>
        <v>6293913.1699999999</v>
      </c>
      <c r="D29" s="217">
        <f>436.11+31222.89</f>
        <v>31659</v>
      </c>
      <c r="E29" s="218">
        <f>2213011.61+3237980.44</f>
        <v>5450992.0499999998</v>
      </c>
      <c r="F29" s="219">
        <f>1046.5+98742.47</f>
        <v>99788.97</v>
      </c>
      <c r="G29" s="174">
        <f t="shared" si="0"/>
        <v>-842921.12000000011</v>
      </c>
      <c r="H29" s="146">
        <f t="shared" si="0"/>
        <v>68129.97</v>
      </c>
    </row>
    <row r="30" spans="1:8" x14ac:dyDescent="0.3">
      <c r="A30" s="88" t="s">
        <v>697</v>
      </c>
      <c r="B30" s="88" t="s">
        <v>1076</v>
      </c>
      <c r="C30" s="216">
        <v>6541077.5599999996</v>
      </c>
      <c r="D30" s="217">
        <v>42375.64</v>
      </c>
      <c r="E30" s="218">
        <v>5724557.0800000001</v>
      </c>
      <c r="F30" s="219">
        <v>28315.39</v>
      </c>
      <c r="G30" s="174">
        <f t="shared" si="0"/>
        <v>-816520.47999999952</v>
      </c>
      <c r="H30" s="146">
        <f t="shared" si="0"/>
        <v>-14060.25</v>
      </c>
    </row>
    <row r="31" spans="1:8" x14ac:dyDescent="0.3">
      <c r="A31" s="88" t="s">
        <v>698</v>
      </c>
      <c r="B31" s="88" t="s">
        <v>1077</v>
      </c>
      <c r="C31" s="216">
        <v>35422.949999999997</v>
      </c>
      <c r="D31" s="217"/>
      <c r="E31" s="218">
        <v>5860</v>
      </c>
      <c r="F31" s="219"/>
      <c r="G31" s="174">
        <f t="shared" si="0"/>
        <v>-29562.949999999997</v>
      </c>
      <c r="H31" s="146">
        <f t="shared" si="0"/>
        <v>0</v>
      </c>
    </row>
    <row r="32" spans="1:8" x14ac:dyDescent="0.3">
      <c r="A32" s="88" t="s">
        <v>700</v>
      </c>
      <c r="B32" s="88" t="s">
        <v>1078</v>
      </c>
      <c r="C32" s="216"/>
      <c r="D32" s="217"/>
      <c r="E32" s="218"/>
      <c r="F32" s="219"/>
      <c r="G32" s="174">
        <f t="shared" si="0"/>
        <v>0</v>
      </c>
      <c r="H32" s="146">
        <f t="shared" si="0"/>
        <v>0</v>
      </c>
    </row>
    <row r="33" spans="1:8" x14ac:dyDescent="0.3">
      <c r="A33" s="88" t="s">
        <v>702</v>
      </c>
      <c r="B33" s="88" t="s">
        <v>1079</v>
      </c>
      <c r="C33" s="216"/>
      <c r="D33" s="217"/>
      <c r="E33" s="218"/>
      <c r="F33" s="219"/>
      <c r="G33" s="174">
        <f t="shared" si="0"/>
        <v>0</v>
      </c>
      <c r="H33" s="146">
        <f t="shared" si="0"/>
        <v>0</v>
      </c>
    </row>
    <row r="34" spans="1:8" x14ac:dyDescent="0.3">
      <c r="A34" s="88" t="s">
        <v>704</v>
      </c>
      <c r="B34" s="88" t="s">
        <v>1080</v>
      </c>
      <c r="C34" s="216"/>
      <c r="D34" s="217"/>
      <c r="E34" s="218"/>
      <c r="F34" s="219"/>
      <c r="G34" s="174">
        <f t="shared" si="0"/>
        <v>0</v>
      </c>
      <c r="H34" s="146">
        <f t="shared" si="0"/>
        <v>0</v>
      </c>
    </row>
    <row r="35" spans="1:8" x14ac:dyDescent="0.3">
      <c r="A35" s="88" t="s">
        <v>706</v>
      </c>
      <c r="B35" s="88" t="s">
        <v>1081</v>
      </c>
      <c r="C35" s="216">
        <v>151831.67000000001</v>
      </c>
      <c r="D35" s="217"/>
      <c r="E35" s="218">
        <v>46922.6</v>
      </c>
      <c r="F35" s="219"/>
      <c r="G35" s="174">
        <f t="shared" si="0"/>
        <v>-104909.07</v>
      </c>
      <c r="H35" s="146">
        <f t="shared" si="0"/>
        <v>0</v>
      </c>
    </row>
    <row r="36" spans="1:8" x14ac:dyDescent="0.3">
      <c r="A36" s="88" t="s">
        <v>708</v>
      </c>
      <c r="B36" s="88" t="s">
        <v>1082</v>
      </c>
      <c r="C36" s="216"/>
      <c r="D36" s="217"/>
      <c r="E36" s="218"/>
      <c r="F36" s="219"/>
      <c r="G36" s="174">
        <f t="shared" si="0"/>
        <v>0</v>
      </c>
      <c r="H36" s="146">
        <f t="shared" si="0"/>
        <v>0</v>
      </c>
    </row>
    <row r="37" spans="1:8" x14ac:dyDescent="0.3">
      <c r="A37" s="88" t="s">
        <v>710</v>
      </c>
      <c r="B37" s="88" t="s">
        <v>1083</v>
      </c>
      <c r="C37" s="216">
        <v>517.91999999999996</v>
      </c>
      <c r="D37" s="217">
        <v>27910.18</v>
      </c>
      <c r="E37" s="218"/>
      <c r="F37" s="219"/>
      <c r="G37" s="174">
        <f t="shared" si="0"/>
        <v>-517.91999999999996</v>
      </c>
      <c r="H37" s="146">
        <f t="shared" si="0"/>
        <v>-27910.18</v>
      </c>
    </row>
    <row r="38" spans="1:8" x14ac:dyDescent="0.3">
      <c r="A38" s="88" t="s">
        <v>711</v>
      </c>
      <c r="B38" s="88" t="s">
        <v>1084</v>
      </c>
      <c r="C38" s="216"/>
      <c r="D38" s="217"/>
      <c r="E38" s="218"/>
      <c r="F38" s="219"/>
      <c r="G38" s="174">
        <f t="shared" si="0"/>
        <v>0</v>
      </c>
      <c r="H38" s="146">
        <f t="shared" si="0"/>
        <v>0</v>
      </c>
    </row>
    <row r="39" spans="1:8" x14ac:dyDescent="0.3">
      <c r="A39" s="88" t="s">
        <v>713</v>
      </c>
      <c r="B39" s="88" t="s">
        <v>1085</v>
      </c>
      <c r="C39" s="216">
        <v>23167</v>
      </c>
      <c r="D39" s="217"/>
      <c r="E39" s="218">
        <v>24394</v>
      </c>
      <c r="F39" s="219"/>
      <c r="G39" s="174">
        <f t="shared" si="0"/>
        <v>1227</v>
      </c>
      <c r="H39" s="146">
        <f t="shared" si="0"/>
        <v>0</v>
      </c>
    </row>
    <row r="40" spans="1:8" x14ac:dyDescent="0.3">
      <c r="A40" s="88" t="s">
        <v>715</v>
      </c>
      <c r="B40" s="88" t="s">
        <v>1086</v>
      </c>
      <c r="C40" s="216"/>
      <c r="D40" s="217"/>
      <c r="E40" s="218"/>
      <c r="F40" s="219"/>
      <c r="G40" s="174">
        <f t="shared" si="0"/>
        <v>0</v>
      </c>
      <c r="H40" s="146">
        <f t="shared" si="0"/>
        <v>0</v>
      </c>
    </row>
    <row r="41" spans="1:8" x14ac:dyDescent="0.3">
      <c r="A41" s="88" t="s">
        <v>717</v>
      </c>
      <c r="B41" s="88" t="s">
        <v>1087</v>
      </c>
      <c r="C41" s="216"/>
      <c r="D41" s="217"/>
      <c r="E41" s="218"/>
      <c r="F41" s="219"/>
      <c r="G41" s="174">
        <f t="shared" si="0"/>
        <v>0</v>
      </c>
      <c r="H41" s="146">
        <f t="shared" si="0"/>
        <v>0</v>
      </c>
    </row>
    <row r="42" spans="1:8" ht="16.2" thickBot="1" x14ac:dyDescent="0.35">
      <c r="A42" s="93" t="s">
        <v>719</v>
      </c>
      <c r="B42" s="93" t="s">
        <v>1088</v>
      </c>
      <c r="C42" s="220"/>
      <c r="D42" s="221"/>
      <c r="E42" s="222"/>
      <c r="F42" s="223"/>
      <c r="G42" s="179">
        <f t="shared" si="0"/>
        <v>0</v>
      </c>
      <c r="H42" s="149">
        <f t="shared" si="0"/>
        <v>0</v>
      </c>
    </row>
    <row r="43" spans="1:8" ht="16.2" thickBot="1" x14ac:dyDescent="0.35">
      <c r="A43" s="94" t="s">
        <v>720</v>
      </c>
      <c r="B43" s="94" t="s">
        <v>1089</v>
      </c>
      <c r="C43" s="182">
        <f>SUM(C6:C42)</f>
        <v>53065660.480000019</v>
      </c>
      <c r="D43" s="182">
        <f>SUM(D6:D42)</f>
        <v>1406292.2</v>
      </c>
      <c r="E43" s="182">
        <f>SUM(E6:E42)</f>
        <v>50908671.149999999</v>
      </c>
      <c r="F43" s="182">
        <f>SUM(F6:F42)</f>
        <v>1800238.5399999998</v>
      </c>
      <c r="G43" s="184">
        <f>E43-C43</f>
        <v>-2156989.3300000206</v>
      </c>
      <c r="H43" s="185">
        <f>F43-D43</f>
        <v>393946.33999999985</v>
      </c>
    </row>
    <row r="44" spans="1:8" x14ac:dyDescent="0.3">
      <c r="C44" s="205"/>
      <c r="D44" s="205"/>
      <c r="F44" s="205"/>
    </row>
    <row r="871" spans="6:6" x14ac:dyDescent="0.3">
      <c r="F871" s="9" t="s">
        <v>377</v>
      </c>
    </row>
    <row r="890" spans="4:4" x14ac:dyDescent="0.3">
      <c r="D890" s="9" t="s">
        <v>376</v>
      </c>
    </row>
  </sheetData>
  <mergeCells count="7">
    <mergeCell ref="A1:H1"/>
    <mergeCell ref="A2:H2"/>
    <mergeCell ref="A3:A4"/>
    <mergeCell ref="B3:B4"/>
    <mergeCell ref="C3:D3"/>
    <mergeCell ref="E3:F3"/>
    <mergeCell ref="G3:H3"/>
  </mergeCells>
  <printOptions gridLines="1"/>
  <pageMargins left="0.74803149606299213" right="0.74803149606299213" top="0.43307086614173229" bottom="0.39370078740157483" header="0.39370078740157483" footer="0.23622047244094491"/>
  <pageSetup paperSize="9" scale="71" orientation="landscape" r:id="rId1"/>
  <headerFooter alignWithMargins="0"/>
  <rowBreaks count="1" manualBreakCount="1">
    <brk id="4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K37"/>
  <sheetViews>
    <sheetView zoomScaleNormal="100" workbookViewId="0">
      <pane xSplit="2" ySplit="6" topLeftCell="D28" activePane="bottomRight" state="frozen"/>
      <selection pane="topRight" activeCell="C1" sqref="C1"/>
      <selection pane="bottomLeft" activeCell="A7" sqref="A7"/>
      <selection pane="bottomRight" activeCell="B34" sqref="B34:J34"/>
    </sheetView>
  </sheetViews>
  <sheetFormatPr defaultColWidth="9.109375" defaultRowHeight="15.6" x14ac:dyDescent="0.25"/>
  <cols>
    <col min="1" max="1" width="5.5546875" style="142" customWidth="1"/>
    <col min="2" max="2" width="65.44140625" style="143" customWidth="1"/>
    <col min="3" max="3" width="14.6640625" style="27" customWidth="1"/>
    <col min="4" max="4" width="14" style="27" customWidth="1"/>
    <col min="5" max="5" width="15.88671875" style="27" customWidth="1"/>
    <col min="6" max="6" width="15.6640625" style="27" customWidth="1"/>
    <col min="7" max="7" width="19.109375" style="27" customWidth="1"/>
    <col min="8" max="8" width="18.6640625" style="27" customWidth="1"/>
    <col min="9" max="9" width="16.33203125" style="27" customWidth="1"/>
    <col min="10" max="10" width="17.6640625" style="27" bestFit="1" customWidth="1"/>
    <col min="11" max="11" width="13.33203125" style="27" customWidth="1"/>
    <col min="12" max="16384" width="9.109375" style="27"/>
  </cols>
  <sheetData>
    <row r="1" spans="1:11" ht="35.1" customHeight="1" thickBot="1" x14ac:dyDescent="0.3">
      <c r="A1" s="717" t="s">
        <v>1336</v>
      </c>
      <c r="B1" s="718"/>
      <c r="C1" s="718"/>
      <c r="D1" s="718"/>
      <c r="E1" s="718"/>
      <c r="F1" s="718"/>
      <c r="G1" s="718"/>
      <c r="H1" s="718"/>
      <c r="I1" s="718"/>
      <c r="J1" s="718"/>
      <c r="K1" s="718"/>
    </row>
    <row r="2" spans="1:11" ht="35.4" customHeight="1" x14ac:dyDescent="0.25">
      <c r="A2" s="692" t="s">
        <v>1272</v>
      </c>
      <c r="B2" s="693"/>
      <c r="C2" s="693"/>
      <c r="D2" s="693"/>
      <c r="E2" s="693"/>
      <c r="F2" s="693"/>
      <c r="G2" s="693"/>
      <c r="H2" s="693"/>
      <c r="I2" s="693"/>
      <c r="J2" s="693"/>
      <c r="K2" s="694"/>
    </row>
    <row r="3" spans="1:11" ht="42.75" customHeight="1" x14ac:dyDescent="0.25">
      <c r="A3" s="715" t="s">
        <v>205</v>
      </c>
      <c r="B3" s="713" t="s">
        <v>228</v>
      </c>
      <c r="C3" s="708" t="s">
        <v>1337</v>
      </c>
      <c r="D3" s="708"/>
      <c r="E3" s="708"/>
      <c r="F3" s="708"/>
      <c r="G3" s="708" t="s">
        <v>859</v>
      </c>
      <c r="H3" s="708" t="s">
        <v>300</v>
      </c>
      <c r="I3" s="708" t="s">
        <v>861</v>
      </c>
      <c r="J3" s="719" t="s">
        <v>862</v>
      </c>
      <c r="K3" s="721" t="s">
        <v>1023</v>
      </c>
    </row>
    <row r="4" spans="1:11" ht="34.5" customHeight="1" x14ac:dyDescent="0.25">
      <c r="A4" s="716"/>
      <c r="B4" s="714"/>
      <c r="C4" s="709" t="s">
        <v>226</v>
      </c>
      <c r="D4" s="133" t="s">
        <v>300</v>
      </c>
      <c r="E4" s="709" t="s">
        <v>227</v>
      </c>
      <c r="F4" s="709" t="s">
        <v>184</v>
      </c>
      <c r="G4" s="709"/>
      <c r="H4" s="709"/>
      <c r="I4" s="709"/>
      <c r="J4" s="720"/>
      <c r="K4" s="721"/>
    </row>
    <row r="5" spans="1:11" s="226" customFormat="1" ht="62.4" x14ac:dyDescent="0.25">
      <c r="A5" s="716"/>
      <c r="B5" s="714"/>
      <c r="C5" s="709"/>
      <c r="D5" s="133" t="s">
        <v>805</v>
      </c>
      <c r="E5" s="709"/>
      <c r="F5" s="709"/>
      <c r="G5" s="709"/>
      <c r="H5" s="133" t="s">
        <v>860</v>
      </c>
      <c r="I5" s="709"/>
      <c r="J5" s="720"/>
      <c r="K5" s="722"/>
    </row>
    <row r="6" spans="1:11" s="228" customFormat="1" ht="18" customHeight="1" x14ac:dyDescent="0.25">
      <c r="A6" s="157"/>
      <c r="B6" s="11"/>
      <c r="C6" s="133" t="s">
        <v>283</v>
      </c>
      <c r="D6" s="133" t="s">
        <v>284</v>
      </c>
      <c r="E6" s="133" t="s">
        <v>285</v>
      </c>
      <c r="F6" s="133" t="s">
        <v>185</v>
      </c>
      <c r="G6" s="133" t="s">
        <v>286</v>
      </c>
      <c r="H6" s="133" t="s">
        <v>287</v>
      </c>
      <c r="I6" s="133" t="s">
        <v>288</v>
      </c>
      <c r="J6" s="132" t="s">
        <v>186</v>
      </c>
      <c r="K6" s="227" t="s">
        <v>1024</v>
      </c>
    </row>
    <row r="7" spans="1:11" s="231" customFormat="1" x14ac:dyDescent="0.25">
      <c r="A7" s="7">
        <v>1</v>
      </c>
      <c r="B7" s="11" t="s">
        <v>279</v>
      </c>
      <c r="C7" s="145">
        <f>SUM(C8:C12)</f>
        <v>568.29</v>
      </c>
      <c r="D7" s="145">
        <f>SUM(D8:D12)</f>
        <v>563.51</v>
      </c>
      <c r="E7" s="145">
        <f>SUM(E8:E12)</f>
        <v>78.42</v>
      </c>
      <c r="F7" s="145">
        <f t="shared" ref="F7:F13" si="0">C7+E7</f>
        <v>646.70999999999992</v>
      </c>
      <c r="G7" s="145">
        <f>SUM(G8:G12)</f>
        <v>8721411.1300000008</v>
      </c>
      <c r="H7" s="145">
        <f>SUM(H8:H12)</f>
        <v>8116010.4100000001</v>
      </c>
      <c r="I7" s="145">
        <f>SUM(I8:I12)</f>
        <v>3595489.82</v>
      </c>
      <c r="J7" s="229">
        <f t="shared" ref="J7:J13" si="1">G7+I7</f>
        <v>12316900.950000001</v>
      </c>
      <c r="K7" s="230">
        <f>IF(F7=0,0,J7/F7/12)</f>
        <v>1587.1231502528183</v>
      </c>
    </row>
    <row r="8" spans="1:11" ht="31.2" x14ac:dyDescent="0.25">
      <c r="A8" s="7">
        <v>2</v>
      </c>
      <c r="B8" s="10" t="s">
        <v>1025</v>
      </c>
      <c r="C8" s="232">
        <v>91.75</v>
      </c>
      <c r="D8" s="232">
        <v>91.65</v>
      </c>
      <c r="E8" s="232">
        <v>18.59</v>
      </c>
      <c r="F8" s="145">
        <f t="shared" si="0"/>
        <v>110.34</v>
      </c>
      <c r="G8" s="232">
        <v>2168061.08</v>
      </c>
      <c r="H8" s="232">
        <v>2024485.01</v>
      </c>
      <c r="I8" s="232">
        <v>1080452.42</v>
      </c>
      <c r="J8" s="229">
        <f t="shared" si="1"/>
        <v>3248513.5</v>
      </c>
      <c r="K8" s="230">
        <f t="shared" ref="K8:K30" si="2">IF(F8=0,0,J8/F8/12)</f>
        <v>2453.4118029122105</v>
      </c>
    </row>
    <row r="9" spans="1:11" x14ac:dyDescent="0.25">
      <c r="A9" s="7">
        <v>3</v>
      </c>
      <c r="B9" s="10" t="s">
        <v>229</v>
      </c>
      <c r="C9" s="232">
        <v>121.92</v>
      </c>
      <c r="D9" s="232">
        <v>121.81</v>
      </c>
      <c r="E9" s="232">
        <v>11.86</v>
      </c>
      <c r="F9" s="145">
        <f t="shared" si="0"/>
        <v>133.78</v>
      </c>
      <c r="G9" s="232">
        <v>2193186.4900000002</v>
      </c>
      <c r="H9" s="232">
        <v>2033952.51</v>
      </c>
      <c r="I9" s="232">
        <v>612910.59</v>
      </c>
      <c r="J9" s="229">
        <f t="shared" si="1"/>
        <v>2806097.08</v>
      </c>
      <c r="K9" s="230">
        <f t="shared" si="2"/>
        <v>1747.9550256640257</v>
      </c>
    </row>
    <row r="10" spans="1:11" x14ac:dyDescent="0.25">
      <c r="A10" s="7">
        <v>4</v>
      </c>
      <c r="B10" s="10" t="s">
        <v>230</v>
      </c>
      <c r="C10" s="232">
        <v>305.16000000000003</v>
      </c>
      <c r="D10" s="232">
        <v>301.64</v>
      </c>
      <c r="E10" s="232">
        <v>39.619999999999997</v>
      </c>
      <c r="F10" s="145">
        <f t="shared" si="0"/>
        <v>344.78000000000003</v>
      </c>
      <c r="G10" s="232">
        <v>3897072.56</v>
      </c>
      <c r="H10" s="232">
        <v>3605209.4</v>
      </c>
      <c r="I10" s="232">
        <v>1673015.15</v>
      </c>
      <c r="J10" s="229">
        <f t="shared" si="1"/>
        <v>5570087.71</v>
      </c>
      <c r="K10" s="230">
        <f t="shared" si="2"/>
        <v>1346.2903179805478</v>
      </c>
    </row>
    <row r="11" spans="1:11" x14ac:dyDescent="0.25">
      <c r="A11" s="7">
        <v>5</v>
      </c>
      <c r="B11" s="10" t="s">
        <v>231</v>
      </c>
      <c r="C11" s="232">
        <v>39.03</v>
      </c>
      <c r="D11" s="232">
        <v>38.61</v>
      </c>
      <c r="E11" s="232">
        <v>2.81</v>
      </c>
      <c r="F11" s="145">
        <f t="shared" si="0"/>
        <v>41.84</v>
      </c>
      <c r="G11" s="232">
        <v>356993.49</v>
      </c>
      <c r="H11" s="232">
        <v>351765.11</v>
      </c>
      <c r="I11" s="232">
        <v>163740.68</v>
      </c>
      <c r="J11" s="229">
        <f t="shared" si="1"/>
        <v>520734.17</v>
      </c>
      <c r="K11" s="230">
        <f t="shared" si="2"/>
        <v>1037.1537802740597</v>
      </c>
    </row>
    <row r="12" spans="1:11" x14ac:dyDescent="0.25">
      <c r="A12" s="7">
        <v>6</v>
      </c>
      <c r="B12" s="10" t="s">
        <v>232</v>
      </c>
      <c r="C12" s="232">
        <v>10.43</v>
      </c>
      <c r="D12" s="232">
        <v>9.8000000000000007</v>
      </c>
      <c r="E12" s="232">
        <v>5.54</v>
      </c>
      <c r="F12" s="145">
        <f t="shared" si="0"/>
        <v>15.969999999999999</v>
      </c>
      <c r="G12" s="232">
        <v>106097.51</v>
      </c>
      <c r="H12" s="232">
        <v>100598.38</v>
      </c>
      <c r="I12" s="232">
        <v>65370.98</v>
      </c>
      <c r="J12" s="229">
        <f t="shared" si="1"/>
        <v>171468.49</v>
      </c>
      <c r="K12" s="230">
        <f t="shared" si="2"/>
        <v>894.74269463577548</v>
      </c>
    </row>
    <row r="13" spans="1:11" x14ac:dyDescent="0.25">
      <c r="A13" s="7">
        <v>7</v>
      </c>
      <c r="B13" s="11" t="s">
        <v>61</v>
      </c>
      <c r="C13" s="232">
        <v>172.74</v>
      </c>
      <c r="D13" s="232">
        <v>158.88999999999999</v>
      </c>
      <c r="E13" s="232">
        <v>30.09</v>
      </c>
      <c r="F13" s="145">
        <f t="shared" si="0"/>
        <v>202.83</v>
      </c>
      <c r="G13" s="232">
        <v>1705684.49</v>
      </c>
      <c r="H13" s="232">
        <v>1431417</v>
      </c>
      <c r="I13" s="232">
        <v>494504.83</v>
      </c>
      <c r="J13" s="229">
        <f t="shared" si="1"/>
        <v>2200189.3199999998</v>
      </c>
      <c r="K13" s="230">
        <f t="shared" si="2"/>
        <v>903.95459251589989</v>
      </c>
    </row>
    <row r="14" spans="1:11" x14ac:dyDescent="0.25">
      <c r="A14" s="7"/>
      <c r="B14" s="10" t="s">
        <v>300</v>
      </c>
      <c r="C14" s="232"/>
      <c r="D14" s="232"/>
      <c r="E14" s="232"/>
      <c r="F14" s="145"/>
      <c r="G14" s="232"/>
      <c r="H14" s="232"/>
      <c r="I14" s="232"/>
      <c r="J14" s="229"/>
      <c r="K14" s="230"/>
    </row>
    <row r="15" spans="1:11" x14ac:dyDescent="0.25">
      <c r="A15" s="7">
        <v>8</v>
      </c>
      <c r="B15" s="10" t="s">
        <v>65</v>
      </c>
      <c r="C15" s="232">
        <v>41</v>
      </c>
      <c r="D15" s="232">
        <v>39.07</v>
      </c>
      <c r="E15" s="232">
        <v>7.06</v>
      </c>
      <c r="F15" s="145">
        <f t="shared" ref="F15:F21" si="3">C15+E15</f>
        <v>48.06</v>
      </c>
      <c r="G15" s="232">
        <v>519526.34</v>
      </c>
      <c r="H15" s="232">
        <v>443314.03</v>
      </c>
      <c r="I15" s="232">
        <v>127398.79</v>
      </c>
      <c r="J15" s="229">
        <f t="shared" ref="J15:J21" si="4">G15+I15</f>
        <v>646925.13</v>
      </c>
      <c r="K15" s="230">
        <f t="shared" si="2"/>
        <v>1121.7317415730338</v>
      </c>
    </row>
    <row r="16" spans="1:11" x14ac:dyDescent="0.25">
      <c r="A16" s="7">
        <v>9</v>
      </c>
      <c r="B16" s="11" t="s">
        <v>280</v>
      </c>
      <c r="C16" s="145">
        <f>SUM(C17:C19)</f>
        <v>174.57999999999998</v>
      </c>
      <c r="D16" s="145">
        <f>SUM(D17:D19)</f>
        <v>172.02999999999997</v>
      </c>
      <c r="E16" s="145">
        <f>SUM(E17:E19)</f>
        <v>36.21</v>
      </c>
      <c r="F16" s="145">
        <f t="shared" si="3"/>
        <v>210.79</v>
      </c>
      <c r="G16" s="145">
        <f>SUM(G17:G19)</f>
        <v>1685226.51</v>
      </c>
      <c r="H16" s="145">
        <f>SUM(H17:H19)</f>
        <v>1610828</v>
      </c>
      <c r="I16" s="145">
        <f>SUM(I17:I19)</f>
        <v>532009.98</v>
      </c>
      <c r="J16" s="229">
        <f t="shared" si="4"/>
        <v>2217236.4900000002</v>
      </c>
      <c r="K16" s="230">
        <f t="shared" si="2"/>
        <v>876.55822145263073</v>
      </c>
    </row>
    <row r="17" spans="1:11" x14ac:dyDescent="0.25">
      <c r="A17" s="7">
        <v>10</v>
      </c>
      <c r="B17" s="10" t="s">
        <v>233</v>
      </c>
      <c r="C17" s="232">
        <v>67.36</v>
      </c>
      <c r="D17" s="232">
        <v>66.67</v>
      </c>
      <c r="E17" s="232">
        <v>2.87</v>
      </c>
      <c r="F17" s="145">
        <f t="shared" si="3"/>
        <v>70.23</v>
      </c>
      <c r="G17" s="232">
        <v>710280.83</v>
      </c>
      <c r="H17" s="232">
        <v>679747.27</v>
      </c>
      <c r="I17" s="232">
        <v>57151.37</v>
      </c>
      <c r="J17" s="229">
        <f t="shared" si="4"/>
        <v>767432.2</v>
      </c>
      <c r="K17" s="230">
        <f t="shared" si="2"/>
        <v>910.61773221320402</v>
      </c>
    </row>
    <row r="18" spans="1:11" x14ac:dyDescent="0.25">
      <c r="A18" s="7">
        <v>11</v>
      </c>
      <c r="B18" s="10" t="s">
        <v>187</v>
      </c>
      <c r="C18" s="232">
        <v>65.92</v>
      </c>
      <c r="D18" s="232">
        <v>64.099999999999994</v>
      </c>
      <c r="E18" s="232">
        <v>22.2</v>
      </c>
      <c r="F18" s="145">
        <f t="shared" si="3"/>
        <v>88.12</v>
      </c>
      <c r="G18" s="232">
        <v>666910.43000000005</v>
      </c>
      <c r="H18" s="232">
        <v>625019.05000000005</v>
      </c>
      <c r="I18" s="232">
        <v>347137.96</v>
      </c>
      <c r="J18" s="229">
        <f t="shared" si="4"/>
        <v>1014048.3900000001</v>
      </c>
      <c r="K18" s="230">
        <f t="shared" si="2"/>
        <v>958.96541647753065</v>
      </c>
    </row>
    <row r="19" spans="1:11" x14ac:dyDescent="0.25">
      <c r="A19" s="7">
        <v>12</v>
      </c>
      <c r="B19" s="10" t="s">
        <v>164</v>
      </c>
      <c r="C19" s="232">
        <v>41.3</v>
      </c>
      <c r="D19" s="232">
        <v>41.26</v>
      </c>
      <c r="E19" s="232">
        <v>11.14</v>
      </c>
      <c r="F19" s="145">
        <f t="shared" si="3"/>
        <v>52.44</v>
      </c>
      <c r="G19" s="232">
        <v>308035.25</v>
      </c>
      <c r="H19" s="232">
        <v>306061.68</v>
      </c>
      <c r="I19" s="232">
        <v>127720.65</v>
      </c>
      <c r="J19" s="229">
        <f t="shared" si="4"/>
        <v>435755.9</v>
      </c>
      <c r="K19" s="230">
        <f t="shared" si="2"/>
        <v>692.4674230867023</v>
      </c>
    </row>
    <row r="20" spans="1:11" x14ac:dyDescent="0.25">
      <c r="A20" s="7">
        <v>13</v>
      </c>
      <c r="B20" s="11" t="s">
        <v>277</v>
      </c>
      <c r="C20" s="232">
        <v>107.1</v>
      </c>
      <c r="D20" s="232">
        <v>84.6</v>
      </c>
      <c r="E20" s="232">
        <v>21.33</v>
      </c>
      <c r="F20" s="145">
        <f t="shared" si="3"/>
        <v>128.43</v>
      </c>
      <c r="G20" s="232">
        <v>1497185.49</v>
      </c>
      <c r="H20" s="232">
        <v>1196733.21</v>
      </c>
      <c r="I20" s="232">
        <v>616832.01</v>
      </c>
      <c r="J20" s="229">
        <f t="shared" si="4"/>
        <v>2114017.5</v>
      </c>
      <c r="K20" s="230">
        <f t="shared" si="2"/>
        <v>1371.7054037218716</v>
      </c>
    </row>
    <row r="21" spans="1:11" ht="31.2" x14ac:dyDescent="0.25">
      <c r="A21" s="7">
        <v>14</v>
      </c>
      <c r="B21" s="11" t="s">
        <v>62</v>
      </c>
      <c r="C21" s="232">
        <v>135.28</v>
      </c>
      <c r="D21" s="232">
        <v>135.28</v>
      </c>
      <c r="E21" s="232">
        <v>18.97</v>
      </c>
      <c r="F21" s="145">
        <f t="shared" si="3"/>
        <v>154.25</v>
      </c>
      <c r="G21" s="232">
        <v>843743.74</v>
      </c>
      <c r="H21" s="232">
        <v>842543.74</v>
      </c>
      <c r="I21" s="232">
        <v>197088.34</v>
      </c>
      <c r="J21" s="229">
        <f t="shared" si="4"/>
        <v>1040832.08</v>
      </c>
      <c r="K21" s="230">
        <f t="shared" si="2"/>
        <v>562.30798487304162</v>
      </c>
    </row>
    <row r="22" spans="1:11" ht="46.8" x14ac:dyDescent="0.25">
      <c r="A22" s="7">
        <v>15</v>
      </c>
      <c r="B22" s="11" t="s">
        <v>319</v>
      </c>
      <c r="C22" s="145">
        <f>SUM(C23:C26)</f>
        <v>37.86</v>
      </c>
      <c r="D22" s="145">
        <f>SUM(D23:D26)</f>
        <v>37.86</v>
      </c>
      <c r="E22" s="145">
        <f>SUM(E23:E26)</f>
        <v>1.54</v>
      </c>
      <c r="F22" s="145">
        <f>SUM(F27:F27)</f>
        <v>0</v>
      </c>
      <c r="G22" s="145">
        <f>SUM(G23:G26)</f>
        <v>251932.15</v>
      </c>
      <c r="H22" s="145">
        <f>SUM(H23:H26)</f>
        <v>251932.15</v>
      </c>
      <c r="I22" s="145">
        <f>SUM(I23:I26)</f>
        <v>19502.04</v>
      </c>
      <c r="J22" s="229">
        <f>SUM(J23:J26)</f>
        <v>271434.19</v>
      </c>
      <c r="K22" s="230">
        <f t="shared" si="2"/>
        <v>0</v>
      </c>
    </row>
    <row r="23" spans="1:11" x14ac:dyDescent="0.25">
      <c r="A23" s="7" t="s">
        <v>278</v>
      </c>
      <c r="B23" s="10" t="s">
        <v>1273</v>
      </c>
      <c r="C23" s="232">
        <v>37.86</v>
      </c>
      <c r="D23" s="232">
        <v>37.86</v>
      </c>
      <c r="E23" s="232">
        <v>1.54</v>
      </c>
      <c r="F23" s="145">
        <f t="shared" ref="F23:F29" si="5">C23+E23</f>
        <v>39.4</v>
      </c>
      <c r="G23" s="232">
        <v>251932.15</v>
      </c>
      <c r="H23" s="232">
        <v>251932.15</v>
      </c>
      <c r="I23" s="232">
        <v>19502.04</v>
      </c>
      <c r="J23" s="229">
        <f>G23+I23</f>
        <v>271434.19</v>
      </c>
      <c r="K23" s="230">
        <f t="shared" si="2"/>
        <v>574.09938663282571</v>
      </c>
    </row>
    <row r="24" spans="1:11" x14ac:dyDescent="0.25">
      <c r="A24" s="7" t="s">
        <v>388</v>
      </c>
      <c r="B24" s="10"/>
      <c r="C24" s="232"/>
      <c r="D24" s="232"/>
      <c r="E24" s="232"/>
      <c r="F24" s="145">
        <f t="shared" si="5"/>
        <v>0</v>
      </c>
      <c r="G24" s="232"/>
      <c r="H24" s="232"/>
      <c r="I24" s="232"/>
      <c r="J24" s="229">
        <f>G24+I24</f>
        <v>0</v>
      </c>
      <c r="K24" s="230">
        <f t="shared" si="2"/>
        <v>0</v>
      </c>
    </row>
    <row r="25" spans="1:11" x14ac:dyDescent="0.25">
      <c r="A25" s="7" t="s">
        <v>389</v>
      </c>
      <c r="B25" s="10"/>
      <c r="C25" s="232"/>
      <c r="D25" s="232"/>
      <c r="E25" s="232"/>
      <c r="F25" s="145">
        <f t="shared" si="5"/>
        <v>0</v>
      </c>
      <c r="G25" s="232"/>
      <c r="H25" s="232"/>
      <c r="I25" s="232"/>
      <c r="J25" s="229">
        <f>G25+I25</f>
        <v>0</v>
      </c>
      <c r="K25" s="230">
        <f t="shared" si="2"/>
        <v>0</v>
      </c>
    </row>
    <row r="26" spans="1:11" ht="16.5" customHeight="1" x14ac:dyDescent="0.25">
      <c r="A26" s="7" t="s">
        <v>390</v>
      </c>
      <c r="B26" s="10"/>
      <c r="C26" s="232"/>
      <c r="D26" s="232"/>
      <c r="E26" s="232"/>
      <c r="F26" s="145">
        <f t="shared" si="5"/>
        <v>0</v>
      </c>
      <c r="G26" s="232"/>
      <c r="H26" s="232"/>
      <c r="I26" s="232"/>
      <c r="J26" s="229">
        <f>G26+I26</f>
        <v>0</v>
      </c>
      <c r="K26" s="230">
        <f t="shared" si="2"/>
        <v>0</v>
      </c>
    </row>
    <row r="27" spans="1:11" x14ac:dyDescent="0.25">
      <c r="A27" s="7"/>
      <c r="B27" s="10"/>
      <c r="C27" s="232"/>
      <c r="D27" s="232"/>
      <c r="E27" s="232"/>
      <c r="F27" s="145">
        <f t="shared" si="5"/>
        <v>0</v>
      </c>
      <c r="G27" s="232"/>
      <c r="H27" s="232"/>
      <c r="I27" s="232"/>
      <c r="J27" s="229"/>
      <c r="K27" s="230"/>
    </row>
    <row r="28" spans="1:11" x14ac:dyDescent="0.25">
      <c r="A28" s="7">
        <v>16</v>
      </c>
      <c r="B28" s="11" t="s">
        <v>63</v>
      </c>
      <c r="C28" s="232">
        <v>46.2</v>
      </c>
      <c r="D28" s="232">
        <v>46.2</v>
      </c>
      <c r="E28" s="232">
        <v>13.9</v>
      </c>
      <c r="F28" s="145">
        <f t="shared" si="5"/>
        <v>60.1</v>
      </c>
      <c r="G28" s="232">
        <v>308014.96999999997</v>
      </c>
      <c r="H28" s="232">
        <v>308014.96999999997</v>
      </c>
      <c r="I28" s="232">
        <v>123105.48</v>
      </c>
      <c r="J28" s="229">
        <f>G28+I28</f>
        <v>431120.44999999995</v>
      </c>
      <c r="K28" s="230">
        <f t="shared" si="2"/>
        <v>597.78209927897944</v>
      </c>
    </row>
    <row r="29" spans="1:11" x14ac:dyDescent="0.25">
      <c r="A29" s="7">
        <v>17</v>
      </c>
      <c r="B29" s="11" t="s">
        <v>64</v>
      </c>
      <c r="C29" s="232"/>
      <c r="D29" s="232"/>
      <c r="E29" s="232">
        <v>36.299999999999997</v>
      </c>
      <c r="F29" s="145">
        <f t="shared" si="5"/>
        <v>36.299999999999997</v>
      </c>
      <c r="G29" s="232">
        <v>6041.08</v>
      </c>
      <c r="H29" s="232">
        <v>6041.08</v>
      </c>
      <c r="I29" s="232">
        <v>230768.43</v>
      </c>
      <c r="J29" s="229">
        <f>G29+I29</f>
        <v>236809.50999999998</v>
      </c>
      <c r="K29" s="230">
        <f t="shared" si="2"/>
        <v>543.63983011937557</v>
      </c>
    </row>
    <row r="30" spans="1:11" ht="16.2" thickBot="1" x14ac:dyDescent="0.3">
      <c r="A30" s="66">
        <v>18</v>
      </c>
      <c r="B30" s="12" t="s">
        <v>320</v>
      </c>
      <c r="C30" s="112">
        <f t="shared" ref="C30:J30" si="6">C7+C13+C16+C20+C21+C28+C29</f>
        <v>1204.19</v>
      </c>
      <c r="D30" s="112">
        <f t="shared" si="6"/>
        <v>1160.51</v>
      </c>
      <c r="E30" s="112">
        <f t="shared" si="6"/>
        <v>235.22000000000003</v>
      </c>
      <c r="F30" s="112">
        <f t="shared" si="6"/>
        <v>1439.4099999999999</v>
      </c>
      <c r="G30" s="112">
        <f t="shared" si="6"/>
        <v>14767307.410000002</v>
      </c>
      <c r="H30" s="112">
        <f t="shared" si="6"/>
        <v>13511588.410000002</v>
      </c>
      <c r="I30" s="112">
        <f t="shared" si="6"/>
        <v>5789798.8899999997</v>
      </c>
      <c r="J30" s="233">
        <f t="shared" si="6"/>
        <v>20557106.300000001</v>
      </c>
      <c r="K30" s="234">
        <f t="shared" si="2"/>
        <v>1190.1349800728542</v>
      </c>
    </row>
    <row r="31" spans="1:11" x14ac:dyDescent="0.25">
      <c r="A31" s="130"/>
      <c r="B31" s="130"/>
      <c r="C31" s="235"/>
      <c r="D31" s="130"/>
      <c r="E31" s="130"/>
      <c r="F31" s="235"/>
      <c r="G31" s="235"/>
      <c r="H31" s="235"/>
      <c r="I31" s="235"/>
      <c r="J31" s="235"/>
    </row>
    <row r="32" spans="1:11" x14ac:dyDescent="0.3">
      <c r="A32" s="242" t="s">
        <v>1277</v>
      </c>
      <c r="B32" s="236"/>
      <c r="C32" s="236"/>
      <c r="D32" s="236"/>
      <c r="E32" s="236"/>
      <c r="F32" s="236"/>
      <c r="G32" s="236"/>
      <c r="H32" s="236"/>
      <c r="I32" s="236"/>
      <c r="J32" s="237"/>
    </row>
    <row r="33" spans="1:11" x14ac:dyDescent="0.3">
      <c r="A33" s="710" t="s">
        <v>1026</v>
      </c>
      <c r="B33" s="711"/>
      <c r="C33" s="711"/>
      <c r="D33" s="711"/>
      <c r="E33" s="711"/>
      <c r="F33" s="711"/>
      <c r="G33" s="711"/>
      <c r="H33" s="711"/>
      <c r="I33" s="711"/>
      <c r="J33" s="712"/>
    </row>
    <row r="34" spans="1:11" ht="50.25" customHeight="1" x14ac:dyDescent="0.25">
      <c r="B34" s="707" t="s">
        <v>1335</v>
      </c>
      <c r="C34" s="707"/>
      <c r="D34" s="707"/>
      <c r="E34" s="707"/>
      <c r="F34" s="707"/>
      <c r="G34" s="707"/>
      <c r="H34" s="707"/>
      <c r="I34" s="707"/>
      <c r="J34" s="707"/>
      <c r="K34" s="142"/>
    </row>
    <row r="35" spans="1:11" x14ac:dyDescent="0.25">
      <c r="B35" s="571" t="s">
        <v>838</v>
      </c>
    </row>
    <row r="36" spans="1:11" x14ac:dyDescent="0.25">
      <c r="B36" s="571" t="s">
        <v>839</v>
      </c>
    </row>
    <row r="37" spans="1:11" x14ac:dyDescent="0.25">
      <c r="B37" s="571" t="s">
        <v>840</v>
      </c>
    </row>
  </sheetData>
  <mergeCells count="15">
    <mergeCell ref="A1:K1"/>
    <mergeCell ref="A2:K2"/>
    <mergeCell ref="J3:J5"/>
    <mergeCell ref="C3:F3"/>
    <mergeCell ref="H3:H4"/>
    <mergeCell ref="K3:K5"/>
    <mergeCell ref="B34:J34"/>
    <mergeCell ref="G3:G5"/>
    <mergeCell ref="I3:I5"/>
    <mergeCell ref="C4:C5"/>
    <mergeCell ref="A33:J33"/>
    <mergeCell ref="E4:E5"/>
    <mergeCell ref="F4:F5"/>
    <mergeCell ref="B3:B5"/>
    <mergeCell ref="A3:A5"/>
  </mergeCells>
  <phoneticPr fontId="0" type="noConversion"/>
  <printOptions gridLines="1"/>
  <pageMargins left="0.47244094488188981" right="0.31496062992125984" top="0.74803149606299213" bottom="0.39370078740157483" header="0.51181102362204722" footer="0.27559055118110237"/>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Normal="100" workbookViewId="0">
      <pane xSplit="2" ySplit="6" topLeftCell="E25" activePane="bottomRight" state="frozen"/>
      <selection pane="topRight" activeCell="C1" sqref="C1"/>
      <selection pane="bottomLeft" activeCell="A7" sqref="A7"/>
      <selection pane="bottomRight" activeCell="H31" sqref="H31"/>
    </sheetView>
  </sheetViews>
  <sheetFormatPr defaultColWidth="9.109375" defaultRowHeight="15.6" x14ac:dyDescent="0.25"/>
  <cols>
    <col min="1" max="1" width="5.5546875" style="142" customWidth="1"/>
    <col min="2" max="2" width="65.44140625" style="143" customWidth="1"/>
    <col min="3" max="3" width="14.6640625" style="27" customWidth="1"/>
    <col min="4" max="4" width="14" style="27" customWidth="1"/>
    <col min="5" max="5" width="15.88671875" style="27" customWidth="1"/>
    <col min="6" max="6" width="15.6640625" style="27" customWidth="1"/>
    <col min="7" max="7" width="19.109375" style="27" customWidth="1"/>
    <col min="8" max="8" width="18.6640625" style="27" customWidth="1"/>
    <col min="9" max="9" width="16.33203125" style="27" customWidth="1"/>
    <col min="10" max="10" width="17.6640625" style="27" bestFit="1" customWidth="1"/>
    <col min="11" max="11" width="13.33203125" style="27" customWidth="1"/>
    <col min="12" max="12" width="14.6640625" style="27" customWidth="1"/>
    <col min="13" max="16384" width="9.109375" style="27"/>
  </cols>
  <sheetData>
    <row r="1" spans="1:12" ht="35.1" customHeight="1" thickBot="1" x14ac:dyDescent="0.3">
      <c r="A1" s="717" t="s">
        <v>1333</v>
      </c>
      <c r="B1" s="718"/>
      <c r="C1" s="718"/>
      <c r="D1" s="718"/>
      <c r="E1" s="718"/>
      <c r="F1" s="718"/>
      <c r="G1" s="718"/>
      <c r="H1" s="718"/>
      <c r="I1" s="718"/>
      <c r="J1" s="718"/>
      <c r="K1" s="718"/>
    </row>
    <row r="2" spans="1:12" ht="35.4" customHeight="1" x14ac:dyDescent="0.25">
      <c r="A2" s="692" t="s">
        <v>1272</v>
      </c>
      <c r="B2" s="693"/>
      <c r="C2" s="693"/>
      <c r="D2" s="693"/>
      <c r="E2" s="693"/>
      <c r="F2" s="693"/>
      <c r="G2" s="693"/>
      <c r="H2" s="693"/>
      <c r="I2" s="693"/>
      <c r="J2" s="693"/>
      <c r="K2" s="693"/>
      <c r="L2" s="570" t="s">
        <v>1206</v>
      </c>
    </row>
    <row r="3" spans="1:12" ht="42.75" customHeight="1" x14ac:dyDescent="0.25">
      <c r="A3" s="715" t="s">
        <v>205</v>
      </c>
      <c r="B3" s="713" t="s">
        <v>1332</v>
      </c>
      <c r="C3" s="708" t="s">
        <v>1334</v>
      </c>
      <c r="D3" s="708"/>
      <c r="E3" s="708"/>
      <c r="F3" s="708"/>
      <c r="G3" s="708" t="s">
        <v>859</v>
      </c>
      <c r="H3" s="708" t="s">
        <v>300</v>
      </c>
      <c r="I3" s="708" t="s">
        <v>861</v>
      </c>
      <c r="J3" s="719" t="s">
        <v>862</v>
      </c>
      <c r="K3" s="728" t="s">
        <v>1208</v>
      </c>
      <c r="L3" s="726" t="s">
        <v>1207</v>
      </c>
    </row>
    <row r="4" spans="1:12" ht="34.5" customHeight="1" x14ac:dyDescent="0.25">
      <c r="A4" s="716"/>
      <c r="B4" s="714"/>
      <c r="C4" s="709" t="s">
        <v>1209</v>
      </c>
      <c r="D4" s="133" t="s">
        <v>300</v>
      </c>
      <c r="E4" s="709" t="s">
        <v>1211</v>
      </c>
      <c r="F4" s="709" t="s">
        <v>1212</v>
      </c>
      <c r="G4" s="709"/>
      <c r="H4" s="709"/>
      <c r="I4" s="709"/>
      <c r="J4" s="720"/>
      <c r="K4" s="728"/>
      <c r="L4" s="726"/>
    </row>
    <row r="5" spans="1:12" s="226" customFormat="1" ht="62.4" x14ac:dyDescent="0.25">
      <c r="A5" s="716"/>
      <c r="B5" s="714"/>
      <c r="C5" s="709"/>
      <c r="D5" s="5" t="s">
        <v>1210</v>
      </c>
      <c r="E5" s="709"/>
      <c r="F5" s="709"/>
      <c r="G5" s="709"/>
      <c r="H5" s="133" t="s">
        <v>860</v>
      </c>
      <c r="I5" s="709"/>
      <c r="J5" s="720"/>
      <c r="K5" s="729"/>
      <c r="L5" s="727"/>
    </row>
    <row r="6" spans="1:12" s="228" customFormat="1" ht="18" customHeight="1" x14ac:dyDescent="0.25">
      <c r="A6" s="157"/>
      <c r="B6" s="11"/>
      <c r="C6" s="133" t="s">
        <v>283</v>
      </c>
      <c r="D6" s="133" t="s">
        <v>284</v>
      </c>
      <c r="E6" s="133" t="s">
        <v>285</v>
      </c>
      <c r="F6" s="133" t="s">
        <v>185</v>
      </c>
      <c r="G6" s="133" t="s">
        <v>286</v>
      </c>
      <c r="H6" s="133" t="s">
        <v>287</v>
      </c>
      <c r="I6" s="133" t="s">
        <v>288</v>
      </c>
      <c r="J6" s="132" t="s">
        <v>186</v>
      </c>
      <c r="K6" s="238" t="s">
        <v>1024</v>
      </c>
      <c r="L6" s="227" t="s">
        <v>826</v>
      </c>
    </row>
    <row r="7" spans="1:12" s="231" customFormat="1" x14ac:dyDescent="0.25">
      <c r="A7" s="7">
        <v>1</v>
      </c>
      <c r="B7" s="11" t="s">
        <v>279</v>
      </c>
      <c r="C7" s="145">
        <f>SUM(C8:C12)</f>
        <v>280.80399999999997</v>
      </c>
      <c r="D7" s="145">
        <f>SUM(D8:D12)</f>
        <v>277.65999999999997</v>
      </c>
      <c r="E7" s="145">
        <f>SUM(E8:E12)</f>
        <v>39.79999999999999</v>
      </c>
      <c r="F7" s="145">
        <f t="shared" ref="F7:F13" si="0">C7+E7</f>
        <v>320.60399999999998</v>
      </c>
      <c r="G7" s="145">
        <f>SUM(G8:G12)</f>
        <v>3941084.2600000002</v>
      </c>
      <c r="H7" s="145">
        <f>SUM(H8:H12)</f>
        <v>3708265.4099999997</v>
      </c>
      <c r="I7" s="145">
        <f>SUM(I8:I12)</f>
        <v>1689618.61</v>
      </c>
      <c r="J7" s="229">
        <f t="shared" ref="J7:J13" si="1">G7+I7</f>
        <v>5630702.8700000001</v>
      </c>
      <c r="K7" s="239">
        <f>IF(F7=0,0,J7/F7/12)</f>
        <v>1463.566390833136</v>
      </c>
      <c r="L7" s="230">
        <f>IF('[2]T6-Zamestnanci_a_mzdy'!F7-'[2]T6a-Zamestnanci_a_mzdy (ženy)'!F7=0,0,('[2]T6-Zamestnanci_a_mzdy'!J7-'[2]T6a-Zamestnanci_a_mzdy (ženy)'!J7)/('[2]T6-Zamestnanci_a_mzdy'!F7-'[2]T6a-Zamestnanci_a_mzdy (ženy)'!F7)/12)</f>
        <v>1708.5952829243668</v>
      </c>
    </row>
    <row r="8" spans="1:12" ht="31.2" x14ac:dyDescent="0.25">
      <c r="A8" s="7">
        <v>2</v>
      </c>
      <c r="B8" s="10" t="s">
        <v>1025</v>
      </c>
      <c r="C8" s="232">
        <v>22.07</v>
      </c>
      <c r="D8" s="232">
        <v>22.07</v>
      </c>
      <c r="E8" s="232">
        <v>6.85</v>
      </c>
      <c r="F8" s="145">
        <f t="shared" si="0"/>
        <v>28.92</v>
      </c>
      <c r="G8" s="232">
        <v>520357.01</v>
      </c>
      <c r="H8" s="232">
        <v>491204.73</v>
      </c>
      <c r="I8" s="232">
        <v>392969.25</v>
      </c>
      <c r="J8" s="229">
        <f t="shared" si="1"/>
        <v>913326.26</v>
      </c>
      <c r="K8" s="239">
        <f t="shared" ref="K8:K30" si="2">IF(F8=0,0,J8/F8/12)</f>
        <v>2631.7607768556936</v>
      </c>
      <c r="L8" s="230">
        <f>IF('[2]T6-Zamestnanci_a_mzdy'!F8-'[2]T6a-Zamestnanci_a_mzdy (ženy)'!F8=0,0,('[2]T6-Zamestnanci_a_mzdy'!J8-'[2]T6a-Zamestnanci_a_mzdy (ženy)'!J8)/('[2]T6-Zamestnanci_a_mzdy'!F8-'[2]T6a-Zamestnanci_a_mzdy (ženy)'!F8)/12)</f>
        <v>2390.0630885122414</v>
      </c>
    </row>
    <row r="9" spans="1:12" x14ac:dyDescent="0.25">
      <c r="A9" s="7">
        <v>3</v>
      </c>
      <c r="B9" s="10" t="s">
        <v>229</v>
      </c>
      <c r="C9" s="232">
        <v>56.54</v>
      </c>
      <c r="D9" s="232">
        <v>56.46</v>
      </c>
      <c r="E9" s="232">
        <v>6.9</v>
      </c>
      <c r="F9" s="145">
        <f t="shared" si="0"/>
        <v>63.44</v>
      </c>
      <c r="G9" s="232">
        <v>990422.27</v>
      </c>
      <c r="H9" s="232">
        <v>927896.29</v>
      </c>
      <c r="I9" s="232">
        <v>339052.65</v>
      </c>
      <c r="J9" s="229">
        <f t="shared" si="1"/>
        <v>1329474.92</v>
      </c>
      <c r="K9" s="239">
        <f t="shared" si="2"/>
        <v>1746.3678541403951</v>
      </c>
      <c r="L9" s="230">
        <f>IF('[2]T6-Zamestnanci_a_mzdy'!F9-'[2]T6a-Zamestnanci_a_mzdy (ženy)'!F9=0,0,('[2]T6-Zamestnanci_a_mzdy'!J9-'[2]T6a-Zamestnanci_a_mzdy (ženy)'!J9)/('[2]T6-Zamestnanci_a_mzdy'!F9-'[2]T6a-Zamestnanci_a_mzdy (ženy)'!F9)/12)</f>
        <v>1749.3865036489433</v>
      </c>
    </row>
    <row r="10" spans="1:12" x14ac:dyDescent="0.25">
      <c r="A10" s="7">
        <v>4</v>
      </c>
      <c r="B10" s="10" t="s">
        <v>230</v>
      </c>
      <c r="C10" s="232">
        <v>172.32</v>
      </c>
      <c r="D10" s="232">
        <v>170.12</v>
      </c>
      <c r="E10" s="232">
        <v>19.38</v>
      </c>
      <c r="F10" s="145">
        <f t="shared" si="0"/>
        <v>191.7</v>
      </c>
      <c r="G10" s="232">
        <v>2154453.83</v>
      </c>
      <c r="H10" s="232">
        <v>2021980.5</v>
      </c>
      <c r="I10" s="232">
        <v>804556.86</v>
      </c>
      <c r="J10" s="229">
        <f t="shared" si="1"/>
        <v>2959010.69</v>
      </c>
      <c r="K10" s="239">
        <f t="shared" si="2"/>
        <v>1286.3026821422361</v>
      </c>
      <c r="L10" s="230">
        <f>IF('[2]T6-Zamestnanci_a_mzdy'!F10-'[2]T6a-Zamestnanci_a_mzdy (ženy)'!F10=0,0,('[2]T6-Zamestnanci_a_mzdy'!J10-'[2]T6a-Zamestnanci_a_mzdy (ženy)'!J10)/('[2]T6-Zamestnanci_a_mzdy'!F10-'[2]T6a-Zamestnanci_a_mzdy (ženy)'!F10)/12)</f>
        <v>1421.4120176813865</v>
      </c>
    </row>
    <row r="11" spans="1:12" x14ac:dyDescent="0.25">
      <c r="A11" s="7">
        <v>5</v>
      </c>
      <c r="B11" s="10" t="s">
        <v>231</v>
      </c>
      <c r="C11" s="232">
        <v>24.974</v>
      </c>
      <c r="D11" s="232">
        <v>24.74</v>
      </c>
      <c r="E11" s="232">
        <v>2.12</v>
      </c>
      <c r="F11" s="145">
        <f t="shared" si="0"/>
        <v>27.094000000000001</v>
      </c>
      <c r="G11" s="232">
        <v>227850.26</v>
      </c>
      <c r="H11" s="232">
        <v>224682.13</v>
      </c>
      <c r="I11" s="232">
        <v>102150.49</v>
      </c>
      <c r="J11" s="229">
        <f t="shared" si="1"/>
        <v>330000.75</v>
      </c>
      <c r="K11" s="239">
        <f t="shared" si="2"/>
        <v>1014.9871742821289</v>
      </c>
      <c r="L11" s="230">
        <f>IF('[2]T6-Zamestnanci_a_mzdy'!F11-'[2]T6a-Zamestnanci_a_mzdy (ženy)'!F11=0,0,('[2]T6-Zamestnanci_a_mzdy'!J11-'[2]T6a-Zamestnanci_a_mzdy (ženy)'!J11)/('[2]T6-Zamestnanci_a_mzdy'!F11-'[2]T6a-Zamestnanci_a_mzdy (ženy)'!F11)/12)</f>
        <v>1077.8822505538221</v>
      </c>
    </row>
    <row r="12" spans="1:12" x14ac:dyDescent="0.25">
      <c r="A12" s="7">
        <v>6</v>
      </c>
      <c r="B12" s="10" t="s">
        <v>232</v>
      </c>
      <c r="C12" s="232">
        <v>4.9000000000000004</v>
      </c>
      <c r="D12" s="232">
        <v>4.2699999999999996</v>
      </c>
      <c r="E12" s="232">
        <v>4.55</v>
      </c>
      <c r="F12" s="145">
        <f t="shared" si="0"/>
        <v>9.4499999999999993</v>
      </c>
      <c r="G12" s="232">
        <v>48000.89</v>
      </c>
      <c r="H12" s="232">
        <v>42501.760000000002</v>
      </c>
      <c r="I12" s="232">
        <v>50889.36</v>
      </c>
      <c r="J12" s="229">
        <f t="shared" si="1"/>
        <v>98890.25</v>
      </c>
      <c r="K12" s="239">
        <f t="shared" si="2"/>
        <v>872.04805996472669</v>
      </c>
      <c r="L12" s="230">
        <f>IF('[2]T6-Zamestnanci_a_mzdy'!F12-'[2]T6a-Zamestnanci_a_mzdy (ženy)'!F12=0,0,('[2]T6-Zamestnanci_a_mzdy'!J12-'[2]T6a-Zamestnanci_a_mzdy (ženy)'!J12)/('[2]T6-Zamestnanci_a_mzdy'!F12-'[2]T6a-Zamestnanci_a_mzdy (ženy)'!F12)/12)</f>
        <v>927.63599182004089</v>
      </c>
    </row>
    <row r="13" spans="1:12" x14ac:dyDescent="0.25">
      <c r="A13" s="7">
        <v>7</v>
      </c>
      <c r="B13" s="11" t="s">
        <v>61</v>
      </c>
      <c r="C13" s="232">
        <v>116.47</v>
      </c>
      <c r="D13" s="232">
        <v>108.65</v>
      </c>
      <c r="E13" s="232">
        <v>15.42</v>
      </c>
      <c r="F13" s="145">
        <f t="shared" si="0"/>
        <v>131.88999999999999</v>
      </c>
      <c r="G13" s="232">
        <v>998887.22</v>
      </c>
      <c r="H13" s="232">
        <v>874563.37</v>
      </c>
      <c r="I13" s="232">
        <v>237988.81</v>
      </c>
      <c r="J13" s="229">
        <f t="shared" si="1"/>
        <v>1236876.03</v>
      </c>
      <c r="K13" s="239">
        <f t="shared" si="2"/>
        <v>781.50733565850339</v>
      </c>
      <c r="L13" s="230">
        <f>IF('[2]T6-Zamestnanci_a_mzdy'!F13-'[2]T6a-Zamestnanci_a_mzdy (ženy)'!F13=0,0,('[2]T6-Zamestnanci_a_mzdy'!J13-'[2]T6a-Zamestnanci_a_mzdy (ženy)'!J13)/('[2]T6-Zamestnanci_a_mzdy'!F13-'[2]T6a-Zamestnanci_a_mzdy (ženy)'!F13)/12)</f>
        <v>1131.6056879052715</v>
      </c>
    </row>
    <row r="14" spans="1:12" x14ac:dyDescent="0.25">
      <c r="A14" s="7"/>
      <c r="B14" s="10" t="s">
        <v>300</v>
      </c>
      <c r="C14" s="232"/>
      <c r="D14" s="232"/>
      <c r="E14" s="232"/>
      <c r="F14" s="145"/>
      <c r="G14" s="232"/>
      <c r="H14" s="232"/>
      <c r="I14" s="232"/>
      <c r="J14" s="229"/>
      <c r="K14" s="240"/>
      <c r="L14" s="230"/>
    </row>
    <row r="15" spans="1:12" x14ac:dyDescent="0.25">
      <c r="A15" s="7">
        <v>8</v>
      </c>
      <c r="B15" s="10" t="s">
        <v>65</v>
      </c>
      <c r="C15" s="232">
        <v>12.077999999999999</v>
      </c>
      <c r="D15" s="232">
        <v>12.08</v>
      </c>
      <c r="E15" s="232">
        <v>2.62</v>
      </c>
      <c r="F15" s="145">
        <f t="shared" ref="F15:F21" si="3">C15+E15</f>
        <v>14.698</v>
      </c>
      <c r="G15" s="232">
        <v>116886.44</v>
      </c>
      <c r="H15" s="232">
        <v>107525.79</v>
      </c>
      <c r="I15" s="232">
        <v>34875.410000000003</v>
      </c>
      <c r="J15" s="229">
        <f t="shared" ref="J15:J21" si="4">G15+I15</f>
        <v>151761.85</v>
      </c>
      <c r="K15" s="239">
        <f t="shared" si="2"/>
        <v>860.44501519481116</v>
      </c>
      <c r="L15" s="230">
        <f>IF('[2]T6-Zamestnanci_a_mzdy'!F15-'[2]T6a-Zamestnanci_a_mzdy (ženy)'!F15=0,0,('[2]T6-Zamestnanci_a_mzdy'!J15-'[2]T6a-Zamestnanci_a_mzdy (ženy)'!J15)/('[2]T6-Zamestnanci_a_mzdy'!F15-'[2]T6a-Zamestnanci_a_mzdy (ženy)'!F15)/12)</f>
        <v>1236.8445137182023</v>
      </c>
    </row>
    <row r="16" spans="1:12" x14ac:dyDescent="0.25">
      <c r="A16" s="7">
        <v>9</v>
      </c>
      <c r="B16" s="11" t="s">
        <v>280</v>
      </c>
      <c r="C16" s="145">
        <f>SUM(C17:C19)</f>
        <v>165.72900000000001</v>
      </c>
      <c r="D16" s="145">
        <f>SUM(D17:D19)</f>
        <v>163.99</v>
      </c>
      <c r="E16" s="145">
        <f>SUM(E17:E19)</f>
        <v>36.18</v>
      </c>
      <c r="F16" s="145">
        <f t="shared" si="3"/>
        <v>201.90900000000002</v>
      </c>
      <c r="G16" s="145">
        <f>SUM(G17:G19)</f>
        <v>1571948.53</v>
      </c>
      <c r="H16" s="145">
        <f>SUM(H17:H19)</f>
        <v>1515120.0199999998</v>
      </c>
      <c r="I16" s="145">
        <f>SUM(I17:I19)</f>
        <v>515878.67000000004</v>
      </c>
      <c r="J16" s="229">
        <f t="shared" si="4"/>
        <v>2087827.2000000002</v>
      </c>
      <c r="K16" s="239">
        <f t="shared" si="2"/>
        <v>861.70304444081239</v>
      </c>
      <c r="L16" s="230">
        <f>IF('[2]T6-Zamestnanci_a_mzdy'!F16-'[2]T6a-Zamestnanci_a_mzdy (ženy)'!F16=0,0,('[2]T6-Zamestnanci_a_mzdy'!J16-'[2]T6a-Zamestnanci_a_mzdy (ženy)'!J16)/('[2]T6-Zamestnanci_a_mzdy'!F16-'[2]T6a-Zamestnanci_a_mzdy (ženy)'!F16)/12)</f>
        <v>1214.2897759261386</v>
      </c>
    </row>
    <row r="17" spans="1:12" x14ac:dyDescent="0.25">
      <c r="A17" s="7">
        <v>10</v>
      </c>
      <c r="B17" s="10" t="s">
        <v>233</v>
      </c>
      <c r="C17" s="232">
        <v>60.68</v>
      </c>
      <c r="D17" s="232">
        <v>60.68</v>
      </c>
      <c r="E17" s="232">
        <v>2.84</v>
      </c>
      <c r="F17" s="145">
        <f t="shared" si="3"/>
        <v>63.519999999999996</v>
      </c>
      <c r="G17" s="232">
        <v>614952.06000000006</v>
      </c>
      <c r="H17" s="232">
        <v>600744.69999999995</v>
      </c>
      <c r="I17" s="232">
        <v>41710.07</v>
      </c>
      <c r="J17" s="229">
        <f t="shared" si="4"/>
        <v>656662.13</v>
      </c>
      <c r="K17" s="239">
        <f t="shared" si="2"/>
        <v>861.48999002938717</v>
      </c>
      <c r="L17" s="230">
        <f>IF('[2]T6-Zamestnanci_a_mzdy'!F17-'[2]T6a-Zamestnanci_a_mzdy (ženy)'!F17=0,0,('[2]T6-Zamestnanci_a_mzdy'!J17-'[2]T6a-Zamestnanci_a_mzdy (ženy)'!J17)/('[2]T6-Zamestnanci_a_mzdy'!F17-'[2]T6a-Zamestnanci_a_mzdy (ženy)'!F17)/12)</f>
        <v>1375.6839294585172</v>
      </c>
    </row>
    <row r="18" spans="1:12" x14ac:dyDescent="0.25">
      <c r="A18" s="7">
        <v>11</v>
      </c>
      <c r="B18" s="10" t="s">
        <v>187</v>
      </c>
      <c r="C18" s="232">
        <v>63.75</v>
      </c>
      <c r="D18" s="232">
        <v>62.02</v>
      </c>
      <c r="E18" s="232">
        <v>22.2</v>
      </c>
      <c r="F18" s="145">
        <f t="shared" si="3"/>
        <v>85.95</v>
      </c>
      <c r="G18" s="232">
        <v>648961.22</v>
      </c>
      <c r="H18" s="232">
        <v>608313.64</v>
      </c>
      <c r="I18" s="232">
        <v>346447.95</v>
      </c>
      <c r="J18" s="229">
        <f t="shared" si="4"/>
        <v>995409.16999999993</v>
      </c>
      <c r="K18" s="239">
        <f t="shared" si="2"/>
        <v>965.1048768663951</v>
      </c>
      <c r="L18" s="230">
        <f>IF('[2]T6-Zamestnanci_a_mzdy'!F18-'[2]T6a-Zamestnanci_a_mzdy (ženy)'!F18=0,0,('[2]T6-Zamestnanci_a_mzdy'!J18-'[2]T6a-Zamestnanci_a_mzdy (ženy)'!J18)/('[2]T6-Zamestnanci_a_mzdy'!F18-'[2]T6a-Zamestnanci_a_mzdy (ženy)'!F18)/12)</f>
        <v>715.79185867896274</v>
      </c>
    </row>
    <row r="19" spans="1:12" x14ac:dyDescent="0.25">
      <c r="A19" s="7">
        <v>12</v>
      </c>
      <c r="B19" s="10" t="s">
        <v>164</v>
      </c>
      <c r="C19" s="232">
        <v>41.298999999999999</v>
      </c>
      <c r="D19" s="232">
        <v>41.29</v>
      </c>
      <c r="E19" s="232">
        <v>11.14</v>
      </c>
      <c r="F19" s="145">
        <f t="shared" si="3"/>
        <v>52.439</v>
      </c>
      <c r="G19" s="232">
        <v>308035.25</v>
      </c>
      <c r="H19" s="232">
        <v>306061.68</v>
      </c>
      <c r="I19" s="232">
        <v>127720.65</v>
      </c>
      <c r="J19" s="229">
        <f t="shared" si="4"/>
        <v>435755.9</v>
      </c>
      <c r="K19" s="239">
        <f t="shared" si="2"/>
        <v>692.48062828556351</v>
      </c>
      <c r="L19" s="230">
        <f>IF('[2]T6-Zamestnanci_a_mzdy'!F19-'[2]T6a-Zamestnanci_a_mzdy (ženy)'!F19=0,0,('[2]T6-Zamestnanci_a_mzdy'!J19-'[2]T6a-Zamestnanci_a_mzdy (ženy)'!J19)/('[2]T6-Zamestnanci_a_mzdy'!F19-'[2]T6a-Zamestnanci_a_mzdy (ženy)'!F19)/12)</f>
        <v>0</v>
      </c>
    </row>
    <row r="20" spans="1:12" x14ac:dyDescent="0.25">
      <c r="A20" s="7">
        <v>13</v>
      </c>
      <c r="B20" s="11" t="s">
        <v>277</v>
      </c>
      <c r="C20" s="232">
        <v>58.35</v>
      </c>
      <c r="D20" s="232">
        <v>53.93</v>
      </c>
      <c r="E20" s="232">
        <v>12.87</v>
      </c>
      <c r="F20" s="145">
        <f t="shared" si="3"/>
        <v>71.22</v>
      </c>
      <c r="G20" s="232">
        <v>792373.76000000001</v>
      </c>
      <c r="H20" s="232">
        <v>734415.81</v>
      </c>
      <c r="I20" s="232">
        <v>336135.46</v>
      </c>
      <c r="J20" s="229">
        <f t="shared" si="4"/>
        <v>1128509.22</v>
      </c>
      <c r="K20" s="239">
        <f t="shared" si="2"/>
        <v>1320.4498034260039</v>
      </c>
      <c r="L20" s="230">
        <f>IF('[2]T6-Zamestnanci_a_mzdy'!F20-'[2]T6a-Zamestnanci_a_mzdy (ženy)'!F20=0,0,('[2]T6-Zamestnanci_a_mzdy'!J20-'[2]T6a-Zamestnanci_a_mzdy (ženy)'!J20)/('[2]T6-Zamestnanci_a_mzdy'!F20-'[2]T6a-Zamestnanci_a_mzdy (ženy)'!F20)/12)</f>
        <v>1435.5128474042997</v>
      </c>
    </row>
    <row r="21" spans="1:12" ht="31.2" x14ac:dyDescent="0.25">
      <c r="A21" s="7">
        <v>14</v>
      </c>
      <c r="B21" s="11" t="s">
        <v>62</v>
      </c>
      <c r="C21" s="232">
        <v>76.5</v>
      </c>
      <c r="D21" s="232">
        <v>76.5</v>
      </c>
      <c r="E21" s="232">
        <v>11.03</v>
      </c>
      <c r="F21" s="145">
        <f t="shared" si="3"/>
        <v>87.53</v>
      </c>
      <c r="G21" s="232">
        <v>406839.48</v>
      </c>
      <c r="H21" s="232">
        <v>406839.48</v>
      </c>
      <c r="I21" s="232">
        <v>107256</v>
      </c>
      <c r="J21" s="229">
        <f t="shared" si="4"/>
        <v>514095.48</v>
      </c>
      <c r="K21" s="239">
        <f t="shared" si="2"/>
        <v>489.44693248029245</v>
      </c>
      <c r="L21" s="230">
        <f>IF('[2]T6-Zamestnanci_a_mzdy'!F21-'[2]T6a-Zamestnanci_a_mzdy (ženy)'!F21=0,0,('[2]T6-Zamestnanci_a_mzdy'!J21-'[2]T6a-Zamestnanci_a_mzdy (ženy)'!J21)/('[2]T6-Zamestnanci_a_mzdy'!F21-'[2]T6a-Zamestnanci_a_mzdy (ženy)'!F21)/12)</f>
        <v>657.89443445243808</v>
      </c>
    </row>
    <row r="22" spans="1:12" ht="46.8" x14ac:dyDescent="0.25">
      <c r="A22" s="7">
        <v>15</v>
      </c>
      <c r="B22" s="11" t="s">
        <v>319</v>
      </c>
      <c r="C22" s="145">
        <f>SUM(C23:C26)</f>
        <v>21.14</v>
      </c>
      <c r="D22" s="145">
        <f>SUM(D23:D26)</f>
        <v>21.14</v>
      </c>
      <c r="E22" s="145">
        <f>SUM(E23:E26)</f>
        <v>0</v>
      </c>
      <c r="F22" s="145">
        <f>SUM(F27:F27)</f>
        <v>0</v>
      </c>
      <c r="G22" s="145">
        <f>SUM(G23:G26)</f>
        <v>120719.37</v>
      </c>
      <c r="H22" s="145">
        <f>SUM(H23:H26)</f>
        <v>120719.37</v>
      </c>
      <c r="I22" s="145">
        <f>SUM(I23:I26)</f>
        <v>4610</v>
      </c>
      <c r="J22" s="229">
        <f>SUM(J23:J26)</f>
        <v>125329.37</v>
      </c>
      <c r="K22" s="239">
        <f t="shared" si="2"/>
        <v>0</v>
      </c>
      <c r="L22" s="230">
        <f>IF('[2]T6-Zamestnanci_a_mzdy'!F22-'[2]T6a-Zamestnanci_a_mzdy (ženy)'!F22=0,0,('[2]T6-Zamestnanci_a_mzdy'!J22-'[2]T6a-Zamestnanci_a_mzdy (ženy)'!J22)/('[2]T6-Zamestnanci_a_mzdy'!F22-'[2]T6a-Zamestnanci_a_mzdy (ženy)'!F22)/12)</f>
        <v>0</v>
      </c>
    </row>
    <row r="23" spans="1:12" x14ac:dyDescent="0.25">
      <c r="A23" s="7" t="s">
        <v>278</v>
      </c>
      <c r="B23" s="10" t="s">
        <v>1273</v>
      </c>
      <c r="C23" s="232">
        <v>21.14</v>
      </c>
      <c r="D23" s="232">
        <v>21.14</v>
      </c>
      <c r="E23" s="232">
        <v>0</v>
      </c>
      <c r="F23" s="145">
        <f t="shared" ref="F23:F29" si="5">C23+E23</f>
        <v>21.14</v>
      </c>
      <c r="G23" s="232">
        <v>120719.37</v>
      </c>
      <c r="H23" s="232">
        <v>120719.37</v>
      </c>
      <c r="I23" s="232">
        <v>4610</v>
      </c>
      <c r="J23" s="229">
        <f>G23+I23</f>
        <v>125329.37</v>
      </c>
      <c r="K23" s="239">
        <f t="shared" si="2"/>
        <v>494.04513560391041</v>
      </c>
      <c r="L23" s="230">
        <f>IF('[2]T6-Zamestnanci_a_mzdy'!F23-'[2]T6a-Zamestnanci_a_mzdy (ženy)'!F23=0,0,('[2]T6-Zamestnanci_a_mzdy'!J23-'[2]T6a-Zamestnanci_a_mzdy (ženy)'!J23)/('[2]T6-Zamestnanci_a_mzdy'!F23-'[2]T6a-Zamestnanci_a_mzdy (ženy)'!F23)/12)</f>
        <v>666.77993793355256</v>
      </c>
    </row>
    <row r="24" spans="1:12" x14ac:dyDescent="0.25">
      <c r="A24" s="7" t="s">
        <v>388</v>
      </c>
      <c r="B24" s="10"/>
      <c r="C24" s="232"/>
      <c r="D24" s="232"/>
      <c r="E24" s="232"/>
      <c r="F24" s="145">
        <f t="shared" si="5"/>
        <v>0</v>
      </c>
      <c r="G24" s="232"/>
      <c r="H24" s="232"/>
      <c r="I24" s="232"/>
      <c r="J24" s="229">
        <f>G24+I24</f>
        <v>0</v>
      </c>
      <c r="K24" s="239">
        <f t="shared" si="2"/>
        <v>0</v>
      </c>
      <c r="L24" s="230">
        <f>IF('[2]T6-Zamestnanci_a_mzdy'!F24-'[2]T6a-Zamestnanci_a_mzdy (ženy)'!F24=0,0,('[2]T6-Zamestnanci_a_mzdy'!J24-'[2]T6a-Zamestnanci_a_mzdy (ženy)'!J24)/('[2]T6-Zamestnanci_a_mzdy'!F24-'[2]T6a-Zamestnanci_a_mzdy (ženy)'!F24)/12)</f>
        <v>0</v>
      </c>
    </row>
    <row r="25" spans="1:12" x14ac:dyDescent="0.25">
      <c r="A25" s="7" t="s">
        <v>389</v>
      </c>
      <c r="B25" s="10"/>
      <c r="C25" s="232"/>
      <c r="D25" s="232"/>
      <c r="E25" s="232"/>
      <c r="F25" s="145">
        <f t="shared" si="5"/>
        <v>0</v>
      </c>
      <c r="G25" s="232"/>
      <c r="H25" s="232"/>
      <c r="I25" s="232"/>
      <c r="J25" s="229">
        <f>G25+I25</f>
        <v>0</v>
      </c>
      <c r="K25" s="239">
        <f t="shared" si="2"/>
        <v>0</v>
      </c>
      <c r="L25" s="230">
        <f>IF('[2]T6-Zamestnanci_a_mzdy'!F25-'[2]T6a-Zamestnanci_a_mzdy (ženy)'!F25=0,0,('[2]T6-Zamestnanci_a_mzdy'!J25-'[2]T6a-Zamestnanci_a_mzdy (ženy)'!J25)/('[2]T6-Zamestnanci_a_mzdy'!F25-'[2]T6a-Zamestnanci_a_mzdy (ženy)'!F25)/12)</f>
        <v>0</v>
      </c>
    </row>
    <row r="26" spans="1:12" ht="16.5" customHeight="1" x14ac:dyDescent="0.25">
      <c r="A26" s="7" t="s">
        <v>390</v>
      </c>
      <c r="B26" s="10"/>
      <c r="C26" s="232"/>
      <c r="D26" s="232"/>
      <c r="E26" s="232"/>
      <c r="F26" s="145">
        <f t="shared" si="5"/>
        <v>0</v>
      </c>
      <c r="G26" s="232"/>
      <c r="H26" s="232"/>
      <c r="I26" s="232"/>
      <c r="J26" s="229">
        <f>G26+I26</f>
        <v>0</v>
      </c>
      <c r="K26" s="239">
        <f t="shared" si="2"/>
        <v>0</v>
      </c>
      <c r="L26" s="230">
        <f>IF('[2]T6-Zamestnanci_a_mzdy'!F26-'[2]T6a-Zamestnanci_a_mzdy (ženy)'!F26=0,0,('[2]T6-Zamestnanci_a_mzdy'!J26-'[2]T6a-Zamestnanci_a_mzdy (ženy)'!J26)/('[2]T6-Zamestnanci_a_mzdy'!F26-'[2]T6a-Zamestnanci_a_mzdy (ženy)'!F26)/12)</f>
        <v>0</v>
      </c>
    </row>
    <row r="27" spans="1:12" x14ac:dyDescent="0.25">
      <c r="A27" s="7"/>
      <c r="B27" s="10"/>
      <c r="C27" s="232"/>
      <c r="D27" s="232"/>
      <c r="E27" s="232"/>
      <c r="F27" s="145">
        <f t="shared" si="5"/>
        <v>0</v>
      </c>
      <c r="G27" s="232"/>
      <c r="H27" s="232"/>
      <c r="I27" s="232"/>
      <c r="J27" s="229"/>
      <c r="K27" s="240"/>
      <c r="L27" s="230"/>
    </row>
    <row r="28" spans="1:12" x14ac:dyDescent="0.25">
      <c r="A28" s="7">
        <v>16</v>
      </c>
      <c r="B28" s="11" t="s">
        <v>63</v>
      </c>
      <c r="C28" s="232">
        <v>27.95</v>
      </c>
      <c r="D28" s="232">
        <v>27.95</v>
      </c>
      <c r="E28" s="232">
        <v>9.2200000000000006</v>
      </c>
      <c r="F28" s="145">
        <f t="shared" si="5"/>
        <v>37.17</v>
      </c>
      <c r="G28" s="232">
        <v>172486.46</v>
      </c>
      <c r="H28" s="232">
        <v>172486.46</v>
      </c>
      <c r="I28" s="232">
        <v>81832.06</v>
      </c>
      <c r="J28" s="229">
        <f>G28+I28</f>
        <v>254318.52</v>
      </c>
      <c r="K28" s="239">
        <f t="shared" si="2"/>
        <v>570.16976055959105</v>
      </c>
      <c r="L28" s="230">
        <f>IF('[2]T6-Zamestnanci_a_mzdy'!F28-'[2]T6a-Zamestnanci_a_mzdy (ženy)'!F28=0,0,('[2]T6-Zamestnanci_a_mzdy'!J28-'[2]T6a-Zamestnanci_a_mzdy (ženy)'!J28)/('[2]T6-Zamestnanci_a_mzdy'!F28-'[2]T6a-Zamestnanci_a_mzdy (ženy)'!F28)/12)</f>
        <v>642.54226631777863</v>
      </c>
    </row>
    <row r="29" spans="1:12" x14ac:dyDescent="0.25">
      <c r="A29" s="7">
        <v>17</v>
      </c>
      <c r="B29" s="11" t="s">
        <v>64</v>
      </c>
      <c r="C29" s="232"/>
      <c r="D29" s="232"/>
      <c r="E29" s="232">
        <v>33.31</v>
      </c>
      <c r="F29" s="145">
        <f t="shared" si="5"/>
        <v>33.31</v>
      </c>
      <c r="G29" s="232">
        <v>5591</v>
      </c>
      <c r="H29" s="232">
        <v>5591</v>
      </c>
      <c r="I29" s="232">
        <v>210928.73</v>
      </c>
      <c r="J29" s="229">
        <f>G29+I29</f>
        <v>216519.73</v>
      </c>
      <c r="K29" s="239">
        <f t="shared" si="2"/>
        <v>541.67849994996493</v>
      </c>
      <c r="L29" s="230">
        <f>IF('[2]T6-Zamestnanci_a_mzdy'!F29-'[2]T6a-Zamestnanci_a_mzdy (ženy)'!F29=0,0,('[2]T6-Zamestnanci_a_mzdy'!J29-'[2]T6a-Zamestnanci_a_mzdy (ženy)'!J29)/('[2]T6-Zamestnanci_a_mzdy'!F29-'[2]T6a-Zamestnanci_a_mzdy (ženy)'!F29)/12)</f>
        <v>565.48996655518408</v>
      </c>
    </row>
    <row r="30" spans="1:12" ht="16.2" thickBot="1" x14ac:dyDescent="0.3">
      <c r="A30" s="66">
        <v>18</v>
      </c>
      <c r="B30" s="12" t="s">
        <v>320</v>
      </c>
      <c r="C30" s="112">
        <f t="shared" ref="C30:J30" si="6">C7+C13+C16+C20+C21+C28+C29</f>
        <v>725.80300000000011</v>
      </c>
      <c r="D30" s="112">
        <f t="shared" si="6"/>
        <v>708.68</v>
      </c>
      <c r="E30" s="112">
        <f t="shared" si="6"/>
        <v>157.82999999999998</v>
      </c>
      <c r="F30" s="112">
        <f t="shared" si="6"/>
        <v>883.63300000000004</v>
      </c>
      <c r="G30" s="112">
        <f t="shared" si="6"/>
        <v>7889210.71</v>
      </c>
      <c r="H30" s="112">
        <f t="shared" si="6"/>
        <v>7417281.5499999998</v>
      </c>
      <c r="I30" s="112">
        <f t="shared" si="6"/>
        <v>3179638.3400000003</v>
      </c>
      <c r="J30" s="233">
        <f t="shared" si="6"/>
        <v>11068849.050000003</v>
      </c>
      <c r="K30" s="241">
        <f t="shared" si="2"/>
        <v>1043.8769121343364</v>
      </c>
      <c r="L30" s="234">
        <f>IF('[2]T6-Zamestnanci_a_mzdy'!F30-'[2]T6a-Zamestnanci_a_mzdy (ženy)'!F30=0,0,('[2]T6-Zamestnanci_a_mzdy'!J30-'[2]T6a-Zamestnanci_a_mzdy (ženy)'!J30)/('[2]T6-Zamestnanci_a_mzdy'!F30-'[2]T6a-Zamestnanci_a_mzdy (ženy)'!F30)/12)</f>
        <v>1422.6715106358606</v>
      </c>
    </row>
    <row r="31" spans="1:12" x14ac:dyDescent="0.25">
      <c r="A31" s="130"/>
      <c r="B31" s="130"/>
      <c r="C31" s="235"/>
      <c r="D31" s="130"/>
      <c r="E31" s="130"/>
      <c r="F31" s="235"/>
      <c r="G31" s="235"/>
      <c r="H31" s="235"/>
      <c r="I31" s="235"/>
      <c r="J31" s="235"/>
    </row>
    <row r="32" spans="1:12" x14ac:dyDescent="0.3">
      <c r="A32" s="723" t="s">
        <v>0</v>
      </c>
      <c r="B32" s="724"/>
      <c r="C32" s="724"/>
      <c r="D32" s="724"/>
      <c r="E32" s="724"/>
      <c r="F32" s="724"/>
      <c r="G32" s="724"/>
      <c r="H32" s="724"/>
      <c r="I32" s="724"/>
      <c r="J32" s="725"/>
    </row>
    <row r="33" spans="1:12" x14ac:dyDescent="0.3">
      <c r="A33" s="710" t="s">
        <v>1026</v>
      </c>
      <c r="B33" s="711"/>
      <c r="C33" s="711"/>
      <c r="D33" s="711"/>
      <c r="E33" s="711"/>
      <c r="F33" s="711"/>
      <c r="G33" s="711"/>
      <c r="H33" s="711"/>
      <c r="I33" s="711"/>
      <c r="J33" s="712"/>
    </row>
    <row r="34" spans="1:12" ht="50.25" customHeight="1" x14ac:dyDescent="0.25">
      <c r="B34" s="707" t="s">
        <v>1335</v>
      </c>
      <c r="C34" s="707"/>
      <c r="D34" s="707"/>
      <c r="E34" s="707"/>
      <c r="F34" s="707"/>
      <c r="G34" s="707"/>
      <c r="H34" s="707"/>
      <c r="I34" s="707"/>
      <c r="J34" s="707"/>
      <c r="L34" s="142"/>
    </row>
    <row r="35" spans="1:12" x14ac:dyDescent="0.25">
      <c r="B35" s="571" t="s">
        <v>838</v>
      </c>
    </row>
    <row r="36" spans="1:12" x14ac:dyDescent="0.25">
      <c r="B36" s="571" t="s">
        <v>839</v>
      </c>
    </row>
    <row r="37" spans="1:12" x14ac:dyDescent="0.25">
      <c r="B37" s="571" t="s">
        <v>840</v>
      </c>
    </row>
  </sheetData>
  <mergeCells count="17">
    <mergeCell ref="A1:K1"/>
    <mergeCell ref="A2:K2"/>
    <mergeCell ref="A3:A5"/>
    <mergeCell ref="B3:B5"/>
    <mergeCell ref="C3:F3"/>
    <mergeCell ref="G3:G5"/>
    <mergeCell ref="H3:H4"/>
    <mergeCell ref="I3:I5"/>
    <mergeCell ref="J3:J5"/>
    <mergeCell ref="K3:K5"/>
    <mergeCell ref="C4:C5"/>
    <mergeCell ref="E4:E5"/>
    <mergeCell ref="F4:F5"/>
    <mergeCell ref="A32:J32"/>
    <mergeCell ref="A33:J33"/>
    <mergeCell ref="L3:L5"/>
    <mergeCell ref="B34:J34"/>
  </mergeCells>
  <printOptions gridLines="1"/>
  <pageMargins left="0.2" right="0.19" top="0.8" bottom="0.39370078740157483" header="0.51181102362204722" footer="0.27559055118110237"/>
  <pageSetup paperSize="9" scale="6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8802F3-CAF1-414B-986B-3ACC0176C017}">
  <ds:schemaRefs>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31</vt:i4>
      </vt:variant>
      <vt:variant>
        <vt:lpstr>Pomenované rozsahy</vt:lpstr>
      </vt:variant>
      <vt:variant>
        <vt:i4>28</vt:i4>
      </vt:variant>
    </vt:vector>
  </HeadingPairs>
  <TitlesOfParts>
    <vt:vector size="59" baseType="lpstr">
      <vt:lpstr>T1-Dotácie podľa DZ</vt:lpstr>
      <vt:lpstr>T2-Ostatné dot mimo MŠ SR</vt:lpstr>
      <vt:lpstr>T3-Výnosy</vt:lpstr>
      <vt:lpstr>T3a-Výnosy</vt:lpstr>
      <vt:lpstr>T4-Výnosy zo školného</vt:lpstr>
      <vt:lpstr>T5 - Analýza nákladov</vt:lpstr>
      <vt:lpstr>T5a - Náklady </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T24a_Aktíva_1</vt:lpstr>
      <vt:lpstr>T24b_Aktíva_2</vt:lpstr>
      <vt:lpstr>T25_Pasíva </vt:lpstr>
      <vt:lpstr>Vysvetlivky</vt:lpstr>
      <vt:lpstr>Súvzťažnosti</vt:lpstr>
      <vt:lpstr>Kódy z CRŠ</vt:lpstr>
      <vt:lpstr>T24__Aktíva</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T24a_Aktíva_1!Oblasť_tlače</vt:lpstr>
      <vt:lpstr>T24b_Aktíva_2!Oblasť_tlače</vt:lpstr>
      <vt:lpstr>'T25_Pasíva '!Oblasť_tlače</vt:lpstr>
      <vt:lpstr>'T3a-Výnosy'!Oblasť_tlače</vt:lpstr>
      <vt:lpstr>'T3-Výnosy'!Oblasť_tlače</vt:lpstr>
      <vt:lpstr>'T4-Výnosy zo školného'!Oblasť_tlače</vt:lpstr>
      <vt:lpstr>'T5 - Analýza nákladov'!Oblasť_tlače</vt:lpstr>
      <vt:lpstr>'T5a - Náklady '!Oblasť_tlače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renata.lucanska</cp:lastModifiedBy>
  <cp:lastPrinted>2016-06-02T07:30:57Z</cp:lastPrinted>
  <dcterms:created xsi:type="dcterms:W3CDTF">2002-06-05T18:53:25Z</dcterms:created>
  <dcterms:modified xsi:type="dcterms:W3CDTF">2016-06-02T07:42:46Z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