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renata.lucanska\AppData\Local\Microsoft\Windows\INetCache\Content.Outlook\A2BI4IZP\"/>
    </mc:Choice>
  </mc:AlternateContent>
  <bookViews>
    <workbookView xWindow="0" yWindow="0" windowWidth="28800" windowHeight="11730" tabRatio="896" firstSheet="13" activeTab="21"/>
  </bookViews>
  <sheets>
    <sheet name="T1-Dotácie podľa DZ" sheetId="23" r:id="rId1"/>
    <sheet name="T2-Ostatné dot mimo MŠ SR" sheetId="3" r:id="rId2"/>
    <sheet name="T3-Výnosy" sheetId="142" r:id="rId3"/>
    <sheet name="T4-Výnosy zo školného" sheetId="154" r:id="rId4"/>
    <sheet name="T5 - Analýza nákladov" sheetId="150" r:id="rId5"/>
    <sheet name="T6-Zamestnanci_a_mzdy" sheetId="76" r:id="rId6"/>
    <sheet name="T6a-Zamestnanci_a_mzdy (ženy)" sheetId="155" r:id="rId7"/>
    <sheet name="T7_Doktorandi " sheetId="159" r:id="rId8"/>
    <sheet name="T8-Soc_štipendiá" sheetId="109" r:id="rId9"/>
    <sheet name="T9_ŠD " sheetId="116" r:id="rId10"/>
    <sheet name="T10-ŠJ " sheetId="146" r:id="rId11"/>
    <sheet name="T11-Zdroje KV" sheetId="90" r:id="rId12"/>
    <sheet name="T12-KV" sheetId="91" r:id="rId13"/>
    <sheet name="T13-Fondy" sheetId="145" r:id="rId14"/>
    <sheet name="T16 - Štruktúra hotovosti" sheetId="64" r:id="rId15"/>
    <sheet name="T17-Dotácie zo ŠF EU" sheetId="149" r:id="rId16"/>
    <sheet name="T18-Ostatné dotacie z kap MŠ SR" sheetId="61" r:id="rId17"/>
    <sheet name="T19-Štip_ z vlastných " sheetId="144" r:id="rId18"/>
    <sheet name="T20_motivačné štipendiá_nová" sheetId="157" r:id="rId19"/>
    <sheet name="T21-štruktúra_384" sheetId="97" r:id="rId20"/>
    <sheet name="T22_Výnosy_soc_oblasť" sheetId="133" r:id="rId21"/>
    <sheet name="T23_Náklady_soc_oblasť" sheetId="134" r:id="rId22"/>
    <sheet name="T24__Aktíva" sheetId="135" state="hidden" r:id="rId23"/>
  </sheets>
  <externalReferences>
    <externalReference r:id="rId24"/>
    <externalReference r:id="rId25"/>
    <externalReference r:id="rId26"/>
  </externalReferences>
  <definedNames>
    <definedName name="_kmp1" localSheetId="4">#REF!</definedName>
    <definedName name="_kmp1" localSheetId="7">#REF!</definedName>
    <definedName name="_kmp1">#REF!</definedName>
    <definedName name="_kmp2" localSheetId="7">#REF!</definedName>
    <definedName name="_kmp2">#REF!</definedName>
    <definedName name="_kmt1" localSheetId="4">#REF!</definedName>
    <definedName name="_kmt1" localSheetId="7">#REF!</definedName>
    <definedName name="_kmt1">#REF!</definedName>
    <definedName name="_T1" localSheetId="7">#REF!</definedName>
    <definedName name="_T1">#REF!</definedName>
    <definedName name="_wd1" localSheetId="18">[1]vahy!$B$1</definedName>
    <definedName name="_wd1">[1]vahy!$B$1</definedName>
    <definedName name="_wd3" localSheetId="18">[1]vahy!$B$3</definedName>
    <definedName name="_wd3">[1]vahy!$B$3</definedName>
    <definedName name="_we1" localSheetId="18">[1]vahy!$B$2</definedName>
    <definedName name="_we1">[1]vahy!$B$2</definedName>
    <definedName name="_we3" localSheetId="18">[1]vahy!$B$4</definedName>
    <definedName name="_we3">[1]vahy!$B$4</definedName>
    <definedName name="aaa" hidden="1">3</definedName>
    <definedName name="denní" localSheetId="4">#REF!</definedName>
    <definedName name="denní" localSheetId="7">#REF!</definedName>
    <definedName name="denní">#REF!</definedName>
    <definedName name="dokpo" localSheetId="4">#REF!</definedName>
    <definedName name="dokpo" localSheetId="7">#REF!</definedName>
    <definedName name="dokpo">#REF!</definedName>
    <definedName name="dokpred" localSheetId="4">#REF!</definedName>
    <definedName name="dokpred" localSheetId="7">#REF!</definedName>
    <definedName name="dokpred">#REF!</definedName>
    <definedName name="druhý" localSheetId="4">#REF!</definedName>
    <definedName name="druhý" localSheetId="7">#REF!</definedName>
    <definedName name="druhý">#REF!</definedName>
    <definedName name="exterdruhý" localSheetId="4">#REF!</definedName>
    <definedName name="exterdruhý" localSheetId="7">#REF!</definedName>
    <definedName name="exterdruhý">#REF!</definedName>
    <definedName name="externeplat" localSheetId="4">#REF!</definedName>
    <definedName name="externeplat" localSheetId="7">#REF!</definedName>
    <definedName name="externeplat">#REF!</definedName>
    <definedName name="exterplat" localSheetId="4">#REF!</definedName>
    <definedName name="exterplat" localSheetId="7">#REF!</definedName>
    <definedName name="exterplat">#REF!</definedName>
    <definedName name="KKS_doc" localSheetId="4">#REF!</definedName>
    <definedName name="KKS_doc" localSheetId="7">#REF!</definedName>
    <definedName name="KKS_doc">#REF!</definedName>
    <definedName name="KKS_ost" localSheetId="4">#REF!</definedName>
    <definedName name="KKS_ost" localSheetId="7">#REF!</definedName>
    <definedName name="KKS_ost">#REF!</definedName>
    <definedName name="KKS_phd" localSheetId="4">#REF!</definedName>
    <definedName name="KKS_phd" localSheetId="7">#REF!</definedName>
    <definedName name="KKS_phd">#REF!</definedName>
    <definedName name="KKS_prof" localSheetId="4">#REF!</definedName>
    <definedName name="KKS_prof" localSheetId="7">#REF!</definedName>
    <definedName name="KKS_prof">#REF!</definedName>
    <definedName name="koef_gm_mzdy" localSheetId="4">#REF!</definedName>
    <definedName name="koef_gm_mzdy" localSheetId="7">#REF!</definedName>
    <definedName name="koef_gm_mzdy">#REF!</definedName>
    <definedName name="koef_kpn" localSheetId="4">#REF!</definedName>
    <definedName name="koef_kpn" localSheetId="7">#REF!</definedName>
    <definedName name="koef_kpn">#REF!</definedName>
    <definedName name="koef_prer_nad_gm_mzdy" localSheetId="4">#REF!</definedName>
    <definedName name="koef_prer_nad_gm_mzdy" localSheetId="7">#REF!</definedName>
    <definedName name="koef_prer_nad_gm_mzdy">#REF!</definedName>
    <definedName name="koef_PV" localSheetId="4">#REF!</definedName>
    <definedName name="koef_PV" localSheetId="7">#REF!</definedName>
    <definedName name="koef_PV">#REF!</definedName>
    <definedName name="koef_udr_kat1" localSheetId="15">#REF!</definedName>
    <definedName name="koef_udr_kat1" localSheetId="4">#REF!</definedName>
    <definedName name="koef_udr_kat1" localSheetId="6">#REF!</definedName>
    <definedName name="koef_udr_kat1" localSheetId="7">#REF!</definedName>
    <definedName name="koef_udr_kat1">#REF!</definedName>
    <definedName name="koef_udr_kat2" localSheetId="15">#REF!</definedName>
    <definedName name="koef_udr_kat2" localSheetId="4">#REF!</definedName>
    <definedName name="koef_udr_kat2" localSheetId="6">#REF!</definedName>
    <definedName name="koef_udr_kat2" localSheetId="7">#REF!</definedName>
    <definedName name="koef_udr_kat2">#REF!</definedName>
    <definedName name="koef_udr_kat3" localSheetId="15">#REF!</definedName>
    <definedName name="koef_udr_kat3" localSheetId="4">#REF!</definedName>
    <definedName name="koef_udr_kat3" localSheetId="6">#REF!</definedName>
    <definedName name="koef_udr_kat3" localSheetId="7">#REF!</definedName>
    <definedName name="koef_udr_kat3">#REF!</definedName>
    <definedName name="koef_VV" localSheetId="4">#REF!</definedName>
    <definedName name="koef_VV" localSheetId="7">#REF!</definedName>
    <definedName name="koef_VV">#REF!</definedName>
    <definedName name="kpn_ca_do" localSheetId="4">#REF!</definedName>
    <definedName name="kpn_ca_do" localSheetId="7">#REF!</definedName>
    <definedName name="kpn_ca_do">#REF!</definedName>
    <definedName name="kpn_ca_nad" localSheetId="4">#REF!</definedName>
    <definedName name="kpn_ca_nad" localSheetId="7">#REF!</definedName>
    <definedName name="kpn_ca_nad">#REF!</definedName>
    <definedName name="kzk" localSheetId="4">#REF!</definedName>
    <definedName name="kzk" localSheetId="7">#REF!</definedName>
    <definedName name="kzk">#REF!</definedName>
    <definedName name="kzspp" localSheetId="4">#REF!</definedName>
    <definedName name="kzspp" localSheetId="7">#REF!</definedName>
    <definedName name="kzspp">#REF!</definedName>
    <definedName name="nefinanc">1</definedName>
    <definedName name="_xlnm.Print_Area" localSheetId="10">'T10-ŠJ '!$A$1:$D$26</definedName>
    <definedName name="_xlnm.Print_Area" localSheetId="11">'T11-Zdroje KV'!$A$1:$D$23</definedName>
    <definedName name="_xlnm.Print_Area" localSheetId="12">'T12-KV'!$A$1:$I$25</definedName>
    <definedName name="_xlnm.Print_Area" localSheetId="13">'T13-Fondy'!$A$1:$N$22</definedName>
    <definedName name="_xlnm.Print_Area" localSheetId="14">'T16 - Štruktúra hotovosti'!$A$1:$D$22</definedName>
    <definedName name="_xlnm.Print_Area" localSheetId="15">'T17-Dotácie zo ŠF EU'!$A$1:$H$16</definedName>
    <definedName name="_xlnm.Print_Area" localSheetId="16">'T18-Ostatné dotacie z kap MŠ SR'!$A$1:$E$18</definedName>
    <definedName name="_xlnm.Print_Area" localSheetId="17">'T19-Štip_ z vlastných '!$A$1:$F$26</definedName>
    <definedName name="_xlnm.Print_Area" localSheetId="0">'T1-Dotácie podľa DZ'!$A$1:$E$19</definedName>
    <definedName name="_xlnm.Print_Area" localSheetId="18">'T20_motivačné štipendiá_nová'!$A$1:$F$14</definedName>
    <definedName name="_xlnm.Print_Area" localSheetId="19">'T21-štruktúra_384'!$A$1:$M$7</definedName>
    <definedName name="_xlnm.Print_Area" localSheetId="20">T22_Výnosy_soc_oblasť!$A$1:$F$44</definedName>
    <definedName name="_xlnm.Print_Area" localSheetId="21">T23_Náklady_soc_oblasť!$A$1:$F$42</definedName>
    <definedName name="_xlnm.Print_Area" localSheetId="2">'T3-Výnosy'!$A$1:$H$69</definedName>
    <definedName name="_xlnm.Print_Area" localSheetId="3">'T4-Výnosy zo školného'!$A$1:$E$23</definedName>
    <definedName name="_xlnm.Print_Area" localSheetId="4">'T5 - Analýza nákladov'!$A$1:$H$102</definedName>
    <definedName name="_xlnm.Print_Area" localSheetId="6">'T6a-Zamestnanci_a_mzdy (ženy)'!$A$1:$L$37</definedName>
    <definedName name="_xlnm.Print_Area" localSheetId="5">'T6-Zamestnanci_a_mzdy'!$A$1:$K$39</definedName>
    <definedName name="_xlnm.Print_Area" localSheetId="7">'T7_Doktorandi '!$A$1:$E$9</definedName>
    <definedName name="_xlnm.Print_Area" localSheetId="8">'T8-Soc_štipendiá'!$A$1:$F$15</definedName>
    <definedName name="_xlnm.Print_Area" localSheetId="9">'T9_ŠD '!$A$1:$F$21</definedName>
    <definedName name="pocet_jedal" localSheetId="15">#REF!</definedName>
    <definedName name="pocet_jedal" localSheetId="4">#REF!</definedName>
    <definedName name="pocet_jedal" localSheetId="6">#REF!</definedName>
    <definedName name="pocet_jedal" localSheetId="7">#REF!</definedName>
    <definedName name="pocet_jedal">#REF!</definedName>
    <definedName name="podiel" localSheetId="4">#REF!</definedName>
    <definedName name="podiel" localSheetId="7">#REF!</definedName>
    <definedName name="podiel">#REF!</definedName>
    <definedName name="poistné" localSheetId="4">#REF!</definedName>
    <definedName name="poistné" localSheetId="7">#REF!</definedName>
    <definedName name="poistné">#REF!</definedName>
    <definedName name="Pp_DrŠ_exist" localSheetId="15">#REF!</definedName>
    <definedName name="Pp_DrŠ_exist" localSheetId="4">#REF!</definedName>
    <definedName name="Pp_DrŠ_exist" localSheetId="6">#REF!</definedName>
    <definedName name="Pp_DrŠ_exist" localSheetId="7">#REF!</definedName>
    <definedName name="Pp_DrŠ_exist">#REF!</definedName>
    <definedName name="Pp_DrŠ_noví" localSheetId="15">#REF!</definedName>
    <definedName name="Pp_DrŠ_noví" localSheetId="4">#REF!</definedName>
    <definedName name="Pp_DrŠ_noví" localSheetId="6">#REF!</definedName>
    <definedName name="Pp_DrŠ_noví" localSheetId="7">#REF!</definedName>
    <definedName name="Pp_DrŠ_noví">#REF!</definedName>
    <definedName name="Pp_DrŠ_spolu" localSheetId="15">#REF!</definedName>
    <definedName name="Pp_DrŠ_spolu" localSheetId="4">#REF!</definedName>
    <definedName name="Pp_DrŠ_spolu" localSheetId="6">#REF!</definedName>
    <definedName name="Pp_DrŠ_spolu" localSheetId="7">#REF!</definedName>
    <definedName name="Pp_DrŠ_spolu">#REF!</definedName>
    <definedName name="Pp_klinické_TaS" localSheetId="15">#REF!</definedName>
    <definedName name="Pp_klinické_TaS" localSheetId="4">#REF!</definedName>
    <definedName name="Pp_klinické_TaS" localSheetId="6">#REF!</definedName>
    <definedName name="Pp_klinické_TaS" localSheetId="7">#REF!</definedName>
    <definedName name="Pp_klinické_TaS">#REF!</definedName>
    <definedName name="Pp_klinické_TaS_rozpísaný" localSheetId="15">#REF!</definedName>
    <definedName name="Pp_klinické_TaS_rozpísaný" localSheetId="4">#REF!</definedName>
    <definedName name="Pp_klinické_TaS_rozpísaný" localSheetId="6">#REF!</definedName>
    <definedName name="Pp_klinické_TaS_rozpísaný" localSheetId="7">#REF!</definedName>
    <definedName name="Pp_klinické_TaS_rozpísaný">#REF!</definedName>
    <definedName name="Pp_Rozvoj_BD" localSheetId="4">#REF!</definedName>
    <definedName name="Pp_Rozvoj_BD" localSheetId="7">#REF!</definedName>
    <definedName name="Pp_Rozvoj_BD">#REF!</definedName>
    <definedName name="Pp_Soc_BD" localSheetId="4">#REF!</definedName>
    <definedName name="Pp_Soc_BD" localSheetId="7">#REF!</definedName>
    <definedName name="Pp_Soc_BD">#REF!</definedName>
    <definedName name="Pp_VaT_BD" localSheetId="4">#REF!</definedName>
    <definedName name="Pp_VaT_BD" localSheetId="7">#REF!</definedName>
    <definedName name="Pp_VaT_BD">#REF!</definedName>
    <definedName name="Pp_VaT_mzdy" localSheetId="4">#REF!</definedName>
    <definedName name="Pp_VaT_mzdy" localSheetId="7">#REF!</definedName>
    <definedName name="Pp_VaT_mzdy">#REF!</definedName>
    <definedName name="Pp_VaT_mzdy_rezerva" localSheetId="4">#REF!</definedName>
    <definedName name="Pp_VaT_mzdy_rezerva" localSheetId="7">#REF!</definedName>
    <definedName name="Pp_VaT_mzdy_rezerva">#REF!</definedName>
    <definedName name="Pp_VaT_mzdy_zac_roka" localSheetId="4">#REF!</definedName>
    <definedName name="Pp_VaT_mzdy_zac_roka" localSheetId="7">#REF!</definedName>
    <definedName name="Pp_VaT_mzdy_zac_roka">#REF!</definedName>
    <definedName name="Pp_Vzdel_BD" localSheetId="4">#REF!</definedName>
    <definedName name="Pp_Vzdel_BD" localSheetId="7">#REF!</definedName>
    <definedName name="Pp_Vzdel_BD">#REF!</definedName>
    <definedName name="Pp_Vzdel_mzdy" localSheetId="4">#REF!</definedName>
    <definedName name="Pp_Vzdel_mzdy" localSheetId="7">#REF!</definedName>
    <definedName name="Pp_Vzdel_mzdy">#REF!</definedName>
    <definedName name="Pp_Vzdel_mzdy_kontr" localSheetId="4">#REF!</definedName>
    <definedName name="Pp_Vzdel_mzdy_kontr" localSheetId="7">#REF!</definedName>
    <definedName name="Pp_Vzdel_mzdy_kontr">#REF!</definedName>
    <definedName name="Pp_Vzdel_mzdy_na_prer_modif" localSheetId="15">#REF!</definedName>
    <definedName name="Pp_Vzdel_mzdy_na_prer_modif" localSheetId="4">#REF!</definedName>
    <definedName name="Pp_Vzdel_mzdy_na_prer_modif" localSheetId="6">#REF!</definedName>
    <definedName name="Pp_Vzdel_mzdy_na_prer_modif" localSheetId="7">#REF!</definedName>
    <definedName name="Pp_Vzdel_mzdy_na_prer_modif">#REF!</definedName>
    <definedName name="Pp_Vzdel_mzdy_na_prer_nemodif" localSheetId="15">#REF!</definedName>
    <definedName name="Pp_Vzdel_mzdy_na_prer_nemodif" localSheetId="4">#REF!</definedName>
    <definedName name="Pp_Vzdel_mzdy_na_prer_nemodif" localSheetId="6">#REF!</definedName>
    <definedName name="Pp_Vzdel_mzdy_na_prer_nemodif" localSheetId="7">#REF!</definedName>
    <definedName name="Pp_Vzdel_mzdy_na_prer_nemodif">#REF!</definedName>
    <definedName name="Pp_Vzdel_mzdy_prevádz" localSheetId="4">#REF!</definedName>
    <definedName name="Pp_Vzdel_mzdy_prevádz" localSheetId="7">#REF!</definedName>
    <definedName name="Pp_Vzdel_mzdy_prevádz">#REF!</definedName>
    <definedName name="Pp_Vzdel_mzdy_rezerva" localSheetId="4">#REF!</definedName>
    <definedName name="Pp_Vzdel_mzdy_rezerva" localSheetId="7">#REF!</definedName>
    <definedName name="Pp_Vzdel_mzdy_rezerva">#REF!</definedName>
    <definedName name="Pp_Vzdel_mzdy_spec" localSheetId="4">#REF!</definedName>
    <definedName name="Pp_Vzdel_mzdy_spec" localSheetId="7">#REF!</definedName>
    <definedName name="Pp_Vzdel_mzdy_spec">#REF!</definedName>
    <definedName name="Pp_Vzdel_mzdy_výkon" localSheetId="4">#REF!</definedName>
    <definedName name="Pp_Vzdel_mzdy_výkon" localSheetId="7">#REF!</definedName>
    <definedName name="Pp_Vzdel_mzdy_výkon">#REF!</definedName>
    <definedName name="Pp_Vzdel_mzdy_výkon_PV" localSheetId="4">#REF!</definedName>
    <definedName name="Pp_Vzdel_mzdy_výkon_PV" localSheetId="7">#REF!</definedName>
    <definedName name="Pp_Vzdel_mzdy_výkon_PV">#REF!</definedName>
    <definedName name="Pp_Vzdel_mzdy_výkon_PV_bez" localSheetId="4">#REF!</definedName>
    <definedName name="Pp_Vzdel_mzdy_výkon_PV_bez" localSheetId="7">#REF!</definedName>
    <definedName name="Pp_Vzdel_mzdy_výkon_PV_bez">#REF!</definedName>
    <definedName name="Pp_Vzdel_mzdy_výkon_PV_um" localSheetId="4">#REF!</definedName>
    <definedName name="Pp_Vzdel_mzdy_výkon_PV_um" localSheetId="7">#REF!</definedName>
    <definedName name="Pp_Vzdel_mzdy_výkon_PV_um">#REF!</definedName>
    <definedName name="Pp_Vzdel_mzdy_výkon_VV" localSheetId="4">#REF!</definedName>
    <definedName name="Pp_Vzdel_mzdy_výkon_VV" localSheetId="7">#REF!</definedName>
    <definedName name="Pp_Vzdel_mzdy_výkon_VV">#REF!</definedName>
    <definedName name="Pp_Vzdel_mzdy_výkon_VV_bez" localSheetId="4">#REF!</definedName>
    <definedName name="Pp_Vzdel_mzdy_výkon_VV_bez" localSheetId="7">#REF!</definedName>
    <definedName name="Pp_Vzdel_mzdy_výkon_VV_bez">#REF!</definedName>
    <definedName name="Pp_Vzdel_mzdy_výkon_VV_um" localSheetId="4">#REF!</definedName>
    <definedName name="Pp_Vzdel_mzdy_výkon_VV_um" localSheetId="7">#REF!</definedName>
    <definedName name="Pp_Vzdel_mzdy_výkon_VV_um">#REF!</definedName>
    <definedName name="Pp_Vzdel_spec_prax" localSheetId="15">#REF!</definedName>
    <definedName name="Pp_Vzdel_spec_prax" localSheetId="4">#REF!</definedName>
    <definedName name="Pp_Vzdel_spec_prax" localSheetId="6">#REF!</definedName>
    <definedName name="Pp_Vzdel_spec_prax" localSheetId="7">#REF!</definedName>
    <definedName name="Pp_Vzdel_spec_prax">#REF!</definedName>
    <definedName name="Pp_Vzdel_TaS" localSheetId="4">#REF!</definedName>
    <definedName name="Pp_Vzdel_TaS" localSheetId="7">#REF!</definedName>
    <definedName name="Pp_Vzdel_TaS">#REF!</definedName>
    <definedName name="Pp_Vzdel_TaS_rezerva" localSheetId="4">#REF!</definedName>
    <definedName name="Pp_Vzdel_TaS_rezerva" localSheetId="7">#REF!</definedName>
    <definedName name="Pp_Vzdel_TaS_rezerva">#REF!</definedName>
    <definedName name="Pp_Vzdel_TaS_spec" localSheetId="15">#REF!</definedName>
    <definedName name="Pp_Vzdel_TaS_spec" localSheetId="4">#REF!</definedName>
    <definedName name="Pp_Vzdel_TaS_spec" localSheetId="6">#REF!</definedName>
    <definedName name="Pp_Vzdel_TaS_spec" localSheetId="7">#REF!</definedName>
    <definedName name="Pp_Vzdel_TaS_spec">#REF!</definedName>
    <definedName name="Pp_Vzdel_TaS_stav" localSheetId="4">#REF!</definedName>
    <definedName name="Pp_Vzdel_TaS_stav" localSheetId="7">#REF!</definedName>
    <definedName name="Pp_Vzdel_TaS_stav">#REF!</definedName>
    <definedName name="Pp_Vzdel_TaS_výkon" localSheetId="15">#REF!</definedName>
    <definedName name="Pp_Vzdel_TaS_výkon" localSheetId="4">#REF!</definedName>
    <definedName name="Pp_Vzdel_TaS_výkon" localSheetId="6">#REF!</definedName>
    <definedName name="Pp_Vzdel_TaS_výkon" localSheetId="7">#REF!</definedName>
    <definedName name="Pp_Vzdel_TaS_výkon">#REF!</definedName>
    <definedName name="Pp_Vzdel_TaS_výkon_PPŠ" localSheetId="15">#REF!</definedName>
    <definedName name="Pp_Vzdel_TaS_výkon_PPŠ" localSheetId="4">#REF!</definedName>
    <definedName name="Pp_Vzdel_TaS_výkon_PPŠ" localSheetId="6">#REF!</definedName>
    <definedName name="Pp_Vzdel_TaS_výkon_PPŠ" localSheetId="7">#REF!</definedName>
    <definedName name="Pp_Vzdel_TaS_výkon_PPŠ">#REF!</definedName>
    <definedName name="Pp_Vzdel_TaS_výkon_PPŠ_a_zákl" localSheetId="15">#REF!</definedName>
    <definedName name="Pp_Vzdel_TaS_výkon_PPŠ_a_zákl" localSheetId="4">#REF!</definedName>
    <definedName name="Pp_Vzdel_TaS_výkon_PPŠ_a_zákl" localSheetId="6">#REF!</definedName>
    <definedName name="Pp_Vzdel_TaS_výkon_PPŠ_a_zákl" localSheetId="7">#REF!</definedName>
    <definedName name="Pp_Vzdel_TaS_výkon_PPŠ_a_zákl">#REF!</definedName>
    <definedName name="Pp_Vzdel_TaS_výkon_PPŠ_KEN" localSheetId="15">#REF!</definedName>
    <definedName name="Pp_Vzdel_TaS_výkon_PPŠ_KEN" localSheetId="4">#REF!</definedName>
    <definedName name="Pp_Vzdel_TaS_výkon_PPŠ_KEN" localSheetId="6">#REF!</definedName>
    <definedName name="Pp_Vzdel_TaS_výkon_PPŠ_KEN" localSheetId="7">#REF!</definedName>
    <definedName name="Pp_Vzdel_TaS_výkon_PPŠ_KEN">#REF!</definedName>
    <definedName name="Pp_Vzdel_TaS_zahr_granty" localSheetId="4">#REF!</definedName>
    <definedName name="Pp_Vzdel_TaS_zahr_granty" localSheetId="7">#REF!</definedName>
    <definedName name="Pp_Vzdel_TaS_zahr_granty">#REF!</definedName>
    <definedName name="Pp_Vzdel_TaS_zákl" localSheetId="15">#REF!</definedName>
    <definedName name="Pp_Vzdel_TaS_zákl" localSheetId="4">#REF!</definedName>
    <definedName name="Pp_Vzdel_TaS_zákl" localSheetId="6">#REF!</definedName>
    <definedName name="Pp_Vzdel_TaS_zákl" localSheetId="7">#REF!</definedName>
    <definedName name="Pp_Vzdel_TaS_zákl">#REF!</definedName>
    <definedName name="Pr_AV_BD" localSheetId="4">#REF!</definedName>
    <definedName name="Pr_AV_BD" localSheetId="7">#REF!</definedName>
    <definedName name="Pr_AV_BD">#REF!</definedName>
    <definedName name="Pr_IV_BD" localSheetId="4">#REF!</definedName>
    <definedName name="Pr_IV_BD" localSheetId="7">#REF!</definedName>
    <definedName name="Pr_IV_BD">#REF!</definedName>
    <definedName name="Pr_IV_KV" localSheetId="4">#REF!</definedName>
    <definedName name="Pr_IV_KV" localSheetId="7">#REF!</definedName>
    <definedName name="Pr_IV_KV">#REF!</definedName>
    <definedName name="Pr_IV_KV_rezerva" localSheetId="4">#REF!</definedName>
    <definedName name="Pr_IV_KV_rezerva" localSheetId="7">#REF!</definedName>
    <definedName name="Pr_IV_KV_rezerva">#REF!</definedName>
    <definedName name="Pr_KEGA_BD" localSheetId="4">#REF!</definedName>
    <definedName name="Pr_KEGA_BD" localSheetId="7">#REF!</definedName>
    <definedName name="Pr_KEGA_BD">#REF!</definedName>
    <definedName name="Pr_klinické" localSheetId="4">#REF!</definedName>
    <definedName name="Pr_klinické" localSheetId="7">#REF!</definedName>
    <definedName name="Pr_klinické">#REF!</definedName>
    <definedName name="Pr_KŠ" localSheetId="15">#REF!</definedName>
    <definedName name="Pr_KŠ" localSheetId="4">#REF!</definedName>
    <definedName name="Pr_KŠ" localSheetId="6">#REF!</definedName>
    <definedName name="Pr_KŠ" localSheetId="7">#REF!</definedName>
    <definedName name="Pr_KŠ">#REF!</definedName>
    <definedName name="Pr_motštip_BD" localSheetId="4">#REF!</definedName>
    <definedName name="Pr_motštip_BD" localSheetId="7">#REF!</definedName>
    <definedName name="Pr_motštip_BD">#REF!</definedName>
    <definedName name="Pr_MVTS_BD" localSheetId="4">#REF!</definedName>
    <definedName name="Pr_MVTS_BD" localSheetId="7">#REF!</definedName>
    <definedName name="Pr_MVTS_BD">#REF!</definedName>
    <definedName name="Pr_socštip_BD" localSheetId="4">#REF!</definedName>
    <definedName name="Pr_socštip_BD" localSheetId="7">#REF!</definedName>
    <definedName name="Pr_socštip_BD">#REF!</definedName>
    <definedName name="Pr_ŠD" localSheetId="15">#REF!</definedName>
    <definedName name="Pr_ŠD" localSheetId="4">#REF!</definedName>
    <definedName name="Pr_ŠD" localSheetId="6">#REF!</definedName>
    <definedName name="Pr_ŠD" localSheetId="7">#REF!</definedName>
    <definedName name="Pr_ŠD">#REF!</definedName>
    <definedName name="Pr_ŠDaJKŠPC_BD" localSheetId="4">#REF!</definedName>
    <definedName name="Pr_ŠDaJKŠPC_BD" localSheetId="7">#REF!</definedName>
    <definedName name="Pr_ŠDaJKŠPC_BD">#REF!</definedName>
    <definedName name="Pr_VaT_KV_zac_roka" localSheetId="4">#REF!</definedName>
    <definedName name="Pr_VaT_KV_zac_roka" localSheetId="7">#REF!</definedName>
    <definedName name="Pr_VaT_KV_zac_roka">#REF!</definedName>
    <definedName name="Pr_VaT_TaS" localSheetId="4">#REF!</definedName>
    <definedName name="Pr_VaT_TaS" localSheetId="7">#REF!</definedName>
    <definedName name="Pr_VaT_TaS">#REF!</definedName>
    <definedName name="Pr_VaT_TaS_rezerva" localSheetId="4">#REF!</definedName>
    <definedName name="Pr_VaT_TaS_rezerva" localSheetId="7">#REF!</definedName>
    <definedName name="Pr_VaT_TaS_rezerva">#REF!</definedName>
    <definedName name="Pr_VaT_TaS_zac_roka" localSheetId="4">#REF!</definedName>
    <definedName name="Pr_VaT_TaS_zac_roka" localSheetId="7">#REF!</definedName>
    <definedName name="Pr_VaT_TaS_zac_roka">#REF!</definedName>
    <definedName name="Pr_VEGA_BD" localSheetId="4">#REF!</definedName>
    <definedName name="Pr_VEGA_BD" localSheetId="7">#REF!</definedName>
    <definedName name="Pr_VEGA_BD">#REF!</definedName>
    <definedName name="predmety" localSheetId="4">#REF!</definedName>
    <definedName name="predmety" localSheetId="7">#REF!</definedName>
    <definedName name="predmety">#REF!</definedName>
    <definedName name="prisp_na_1_jedlo" localSheetId="15">#REF!</definedName>
    <definedName name="prisp_na_1_jedlo" localSheetId="4">#REF!</definedName>
    <definedName name="prisp_na_1_jedlo" localSheetId="6">#REF!</definedName>
    <definedName name="prisp_na_1_jedlo" localSheetId="7">#REF!</definedName>
    <definedName name="prisp_na_1_jedlo">#REF!</definedName>
    <definedName name="prisp_na_ubyt_stud_SD" localSheetId="15">#REF!</definedName>
    <definedName name="prisp_na_ubyt_stud_SD" localSheetId="4">#REF!</definedName>
    <definedName name="prisp_na_ubyt_stud_SD" localSheetId="6">#REF!</definedName>
    <definedName name="prisp_na_ubyt_stud_SD" localSheetId="7">#REF!</definedName>
    <definedName name="prisp_na_ubyt_stud_SD">#REF!</definedName>
    <definedName name="prisp_na_ubyt_stud_ZZ" localSheetId="15">#REF!</definedName>
    <definedName name="prisp_na_ubyt_stud_ZZ" localSheetId="4">#REF!</definedName>
    <definedName name="prisp_na_ubyt_stud_ZZ" localSheetId="6">#REF!</definedName>
    <definedName name="prisp_na_ubyt_stud_ZZ" localSheetId="7">#REF!</definedName>
    <definedName name="prisp_na_ubyt_stud_ZZ">#REF!</definedName>
    <definedName name="prísp_zákl_prev" localSheetId="4">#REF!</definedName>
    <definedName name="prísp_zákl_prev" localSheetId="7">#REF!</definedName>
    <definedName name="prísp_zákl_prev">#REF!</definedName>
    <definedName name="R_vvs" localSheetId="4">#REF!</definedName>
    <definedName name="R_vvs" localSheetId="7">#REF!</definedName>
    <definedName name="R_vvs">#REF!</definedName>
    <definedName name="R_vvs_BD" localSheetId="4">#REF!</definedName>
    <definedName name="R_vvs_BD" localSheetId="7">#REF!</definedName>
    <definedName name="R_vvs_BD">#REF!</definedName>
    <definedName name="R_vvs_VaT_BD" localSheetId="4">#REF!</definedName>
    <definedName name="R_vvs_VaT_BD" localSheetId="7">#REF!</definedName>
    <definedName name="R_vvs_VaT_BD">#REF!</definedName>
    <definedName name="Sanet" localSheetId="4">#REF!</definedName>
    <definedName name="Sanet" localSheetId="7">#REF!</definedName>
    <definedName name="Sanet">#REF!</definedName>
    <definedName name="SAPBEXrevision" hidden="1">7</definedName>
    <definedName name="SAPBEXsysID" hidden="1">"BS1"</definedName>
    <definedName name="SAPBEXwbID" hidden="1">"3TG3S316PX9BHXMQEBSXSYZZO"</definedName>
    <definedName name="stavba_ucelova" localSheetId="4">#REF!</definedName>
    <definedName name="stavba_ucelova" localSheetId="7">#REF!</definedName>
    <definedName name="stavba_ucelova">#REF!</definedName>
    <definedName name="studenti_vstup" localSheetId="4">#REF!</definedName>
    <definedName name="studenti_vstup" localSheetId="7">#REF!</definedName>
    <definedName name="studenti_vstup">#REF!</definedName>
    <definedName name="sustava" localSheetId="4">#REF!</definedName>
    <definedName name="sustava" localSheetId="7">#REF!</definedName>
    <definedName name="sustava">#REF!</definedName>
    <definedName name="T_1" localSheetId="7">#REF!</definedName>
    <definedName name="T_1">#REF!</definedName>
    <definedName name="T_25_so_štip_2007" localSheetId="7">#REF!</definedName>
    <definedName name="T_25_so_štip_2007">#REF!</definedName>
    <definedName name="T_M" localSheetId="7">#REF!</definedName>
    <definedName name="T_M">#REF!</definedName>
    <definedName name="váha_absDrš" localSheetId="4">#REF!</definedName>
    <definedName name="váha_absDrš" localSheetId="7">#REF!</definedName>
    <definedName name="váha_absDrš">#REF!</definedName>
    <definedName name="váha_DG" localSheetId="4">#REF!</definedName>
    <definedName name="váha_DG" localSheetId="7">#REF!</definedName>
    <definedName name="váha_DG">#REF!</definedName>
    <definedName name="váha_poDs" localSheetId="4">#REF!</definedName>
    <definedName name="váha_poDs" localSheetId="7">#REF!</definedName>
    <definedName name="váha_poDs">#REF!</definedName>
    <definedName name="váha_Pub" localSheetId="4">#REF!</definedName>
    <definedName name="váha_Pub" localSheetId="7">#REF!</definedName>
    <definedName name="váha_Pub">#REF!</definedName>
    <definedName name="váha_ZG" localSheetId="4">#REF!</definedName>
    <definedName name="váha_ZG" localSheetId="7">#REF!</definedName>
    <definedName name="váha_ZG">#REF!</definedName>
    <definedName name="výkon_um" localSheetId="4">#REF!</definedName>
    <definedName name="výkon_um" localSheetId="7">#REF!</definedName>
    <definedName name="výkon_um">#REF!</definedName>
    <definedName name="x" localSheetId="7">#REF!</definedName>
    <definedName name="x">#REF!</definedName>
    <definedName name="xxx" hidden="1">"3TGMUFSSIAIMK2KTNC9DELQD0"</definedName>
    <definedName name="zakl_prisp_na_prev_SD" localSheetId="15">#REF!</definedName>
    <definedName name="zakl_prisp_na_prev_SD" localSheetId="4">#REF!</definedName>
    <definedName name="zakl_prisp_na_prev_SD" localSheetId="6">#REF!</definedName>
    <definedName name="zakl_prisp_na_prev_SD" localSheetId="7">#REF!</definedName>
    <definedName name="zakl_prisp_na_prev_SD">#REF!</definedName>
    <definedName name="záloha" localSheetId="15">#REF!</definedName>
    <definedName name="záloha" localSheetId="4">#REF!</definedName>
    <definedName name="záloha" localSheetId="6">#REF!</definedName>
    <definedName name="záloha" localSheetId="7">#REF!</definedName>
    <definedName name="záloha">#REF!</definedName>
  </definedNames>
  <calcPr calcId="162913"/>
</workbook>
</file>

<file path=xl/calcChain.xml><?xml version="1.0" encoding="utf-8"?>
<calcChain xmlns="http://schemas.openxmlformats.org/spreadsheetml/2006/main">
  <c r="E28" i="134" l="1"/>
  <c r="D28" i="134"/>
  <c r="E24" i="133"/>
  <c r="D24" i="133"/>
  <c r="D10" i="146" l="1"/>
  <c r="F9" i="145" l="1"/>
  <c r="H6" i="97" l="1"/>
  <c r="F41" i="134" l="1"/>
  <c r="F40" i="134"/>
  <c r="F39" i="134"/>
  <c r="F38" i="134"/>
  <c r="F37" i="134"/>
  <c r="F36" i="134"/>
  <c r="F35" i="134"/>
  <c r="F34" i="134"/>
  <c r="F33" i="134"/>
  <c r="F32" i="134"/>
  <c r="F31" i="134"/>
  <c r="F30" i="134"/>
  <c r="F29" i="134"/>
  <c r="E42" i="134"/>
  <c r="D42" i="134"/>
  <c r="F27" i="134"/>
  <c r="F26" i="134"/>
  <c r="F25" i="134"/>
  <c r="F24" i="134"/>
  <c r="F23" i="134"/>
  <c r="F22" i="134"/>
  <c r="F21" i="134"/>
  <c r="F20" i="134"/>
  <c r="F19" i="134"/>
  <c r="F18" i="134"/>
  <c r="F17" i="134"/>
  <c r="F16" i="134"/>
  <c r="F15" i="134"/>
  <c r="F14" i="134"/>
  <c r="F13" i="134"/>
  <c r="F12" i="134"/>
  <c r="F11" i="134"/>
  <c r="F10" i="134"/>
  <c r="F9" i="134"/>
  <c r="F8" i="134"/>
  <c r="F7" i="134"/>
  <c r="F6" i="134"/>
  <c r="F5" i="134"/>
  <c r="F43" i="133"/>
  <c r="F42" i="133"/>
  <c r="F39" i="133"/>
  <c r="F38" i="133"/>
  <c r="F37" i="133"/>
  <c r="F36" i="133"/>
  <c r="F35" i="133"/>
  <c r="F34" i="133"/>
  <c r="F33" i="133"/>
  <c r="F32" i="133"/>
  <c r="F31" i="133"/>
  <c r="F30" i="133"/>
  <c r="F29" i="133"/>
  <c r="F28" i="133"/>
  <c r="F27" i="133"/>
  <c r="F26" i="133"/>
  <c r="F25" i="133"/>
  <c r="F24" i="133"/>
  <c r="D40" i="133"/>
  <c r="D41" i="133" s="1"/>
  <c r="D44" i="133" s="1"/>
  <c r="F23" i="133"/>
  <c r="F22" i="133"/>
  <c r="F21" i="133"/>
  <c r="F20" i="133"/>
  <c r="F19" i="133"/>
  <c r="F18" i="133"/>
  <c r="F17" i="133"/>
  <c r="F16" i="133"/>
  <c r="F15" i="133"/>
  <c r="F14" i="133"/>
  <c r="F13" i="133"/>
  <c r="F12" i="133"/>
  <c r="F11" i="133"/>
  <c r="F10" i="133"/>
  <c r="F9" i="133"/>
  <c r="F8" i="133"/>
  <c r="F7" i="133"/>
  <c r="F6" i="133"/>
  <c r="F5" i="133"/>
  <c r="I6" i="97"/>
  <c r="G6" i="97"/>
  <c r="M6" i="97" l="1"/>
  <c r="E40" i="133"/>
  <c r="E41" i="133" s="1"/>
  <c r="E44" i="133" s="1"/>
  <c r="F44" i="133" s="1"/>
  <c r="F40" i="133"/>
  <c r="F41" i="133" s="1"/>
  <c r="F28" i="134"/>
  <c r="F42" i="134" s="1"/>
  <c r="F16" i="149" l="1"/>
  <c r="D17" i="149"/>
  <c r="D16" i="149" s="1"/>
  <c r="E17" i="149"/>
  <c r="E16" i="149" s="1"/>
  <c r="F17" i="149"/>
  <c r="C17" i="149"/>
  <c r="C16" i="149" s="1"/>
  <c r="F12" i="149"/>
  <c r="F15" i="149" s="1"/>
  <c r="E12" i="149"/>
  <c r="E15" i="149" s="1"/>
  <c r="E20" i="149" s="1"/>
  <c r="D12" i="149"/>
  <c r="D15" i="149" s="1"/>
  <c r="C12" i="149"/>
  <c r="C15" i="149" s="1"/>
  <c r="F20" i="149" l="1"/>
  <c r="D20" i="149"/>
  <c r="C20" i="149"/>
  <c r="D21" i="146" l="1"/>
  <c r="C21" i="146"/>
  <c r="D20" i="146"/>
  <c r="C20" i="146"/>
  <c r="D17" i="146"/>
  <c r="C17" i="146"/>
  <c r="D12" i="146"/>
  <c r="C12" i="146"/>
  <c r="C9" i="146" s="1"/>
  <c r="D9" i="146"/>
  <c r="A7" i="146"/>
  <c r="A8" i="146" s="1"/>
  <c r="A9" i="146" s="1"/>
  <c r="A10" i="146" s="1"/>
  <c r="A11" i="146" s="1"/>
  <c r="A12" i="146" s="1"/>
  <c r="A13" i="146" s="1"/>
  <c r="A15" i="146" s="1"/>
  <c r="A16" i="146" s="1"/>
  <c r="A17" i="146" s="1"/>
  <c r="A18" i="146" s="1"/>
  <c r="A19" i="146" s="1"/>
  <c r="A20" i="146" s="1"/>
  <c r="A21" i="146" s="1"/>
  <c r="D6" i="146"/>
  <c r="C6" i="146"/>
  <c r="A6" i="146"/>
  <c r="D5" i="146"/>
  <c r="D16" i="146" s="1"/>
  <c r="C5" i="146" l="1"/>
  <c r="C16" i="146" s="1"/>
  <c r="E89" i="150"/>
  <c r="I20" i="91"/>
  <c r="I19" i="91"/>
  <c r="E18" i="91"/>
  <c r="I18" i="91" s="1"/>
  <c r="I17" i="91"/>
  <c r="I16" i="91"/>
  <c r="I15" i="91"/>
  <c r="I14" i="91"/>
  <c r="I13" i="91"/>
  <c r="I12" i="91"/>
  <c r="I11" i="91"/>
  <c r="H10" i="91"/>
  <c r="H21" i="91" s="1"/>
  <c r="G10" i="91"/>
  <c r="G21" i="91" s="1"/>
  <c r="F10" i="91"/>
  <c r="F21" i="91" s="1"/>
  <c r="E10" i="91"/>
  <c r="D10" i="91"/>
  <c r="D21" i="91" s="1"/>
  <c r="C10" i="91"/>
  <c r="C21" i="91" s="1"/>
  <c r="I9" i="91"/>
  <c r="I8" i="91"/>
  <c r="E6" i="91"/>
  <c r="E21" i="91" s="1"/>
  <c r="D17" i="90"/>
  <c r="D7" i="90"/>
  <c r="D14" i="90" s="1"/>
  <c r="D20" i="90" s="1"/>
  <c r="C7" i="90"/>
  <c r="C14" i="90" s="1"/>
  <c r="C20" i="90" s="1"/>
  <c r="A7" i="90"/>
  <c r="A8" i="90" s="1"/>
  <c r="A9" i="90" s="1"/>
  <c r="A10" i="90" s="1"/>
  <c r="A11" i="90" s="1"/>
  <c r="A12" i="90" s="1"/>
  <c r="A13" i="90" s="1"/>
  <c r="A14" i="90" s="1"/>
  <c r="A15" i="90" s="1"/>
  <c r="A17" i="90" s="1"/>
  <c r="A18" i="90" s="1"/>
  <c r="A19" i="90" s="1"/>
  <c r="A20" i="90" s="1"/>
  <c r="D14" i="116"/>
  <c r="C14" i="116"/>
  <c r="C13" i="116"/>
  <c r="C17" i="116" s="1"/>
  <c r="D9" i="116"/>
  <c r="D13" i="116" s="1"/>
  <c r="A9" i="116"/>
  <c r="A10" i="116" s="1"/>
  <c r="A11" i="116" s="1"/>
  <c r="A12" i="116" s="1"/>
  <c r="A13" i="116" s="1"/>
  <c r="A14" i="116" s="1"/>
  <c r="A15" i="116" s="1"/>
  <c r="A16" i="116" s="1"/>
  <c r="A17" i="116" s="1"/>
  <c r="A18" i="116" s="1"/>
  <c r="F8" i="116"/>
  <c r="E8" i="116"/>
  <c r="A7" i="116"/>
  <c r="D7" i="159"/>
  <c r="C7" i="159"/>
  <c r="E6" i="159"/>
  <c r="E5" i="159"/>
  <c r="D18" i="116" l="1"/>
  <c r="D17" i="116"/>
  <c r="C18" i="116"/>
  <c r="E7" i="159"/>
  <c r="I6" i="91"/>
  <c r="I21" i="91"/>
  <c r="I10" i="91"/>
  <c r="E8" i="144" l="1"/>
  <c r="E14" i="144"/>
  <c r="J29" i="155" l="1"/>
  <c r="F29" i="155"/>
  <c r="J28" i="155"/>
  <c r="F28" i="155"/>
  <c r="K28" i="155" s="1"/>
  <c r="F27" i="155"/>
  <c r="F22" i="155" s="1"/>
  <c r="K22" i="155" s="1"/>
  <c r="J26" i="155"/>
  <c r="F26" i="155"/>
  <c r="K26" i="155" s="1"/>
  <c r="J25" i="155"/>
  <c r="F25" i="155"/>
  <c r="K25" i="155" s="1"/>
  <c r="J24" i="155"/>
  <c r="F24" i="155"/>
  <c r="K24" i="155" s="1"/>
  <c r="J23" i="155"/>
  <c r="J22" i="155" s="1"/>
  <c r="F23" i="155"/>
  <c r="I22" i="155"/>
  <c r="H22" i="155"/>
  <c r="G22" i="155"/>
  <c r="E22" i="155"/>
  <c r="D22" i="155"/>
  <c r="C22" i="155"/>
  <c r="J21" i="155"/>
  <c r="F21" i="155"/>
  <c r="J20" i="155"/>
  <c r="F20" i="155"/>
  <c r="J19" i="155"/>
  <c r="F19" i="155"/>
  <c r="J18" i="155"/>
  <c r="F18" i="155"/>
  <c r="J17" i="155"/>
  <c r="F17" i="155"/>
  <c r="I16" i="155"/>
  <c r="H16" i="155"/>
  <c r="G16" i="155"/>
  <c r="E16" i="155"/>
  <c r="D16" i="155"/>
  <c r="C16" i="155"/>
  <c r="J15" i="155"/>
  <c r="F15" i="155"/>
  <c r="F14" i="155"/>
  <c r="J13" i="155"/>
  <c r="F13" i="155"/>
  <c r="J12" i="155"/>
  <c r="F12" i="155"/>
  <c r="J11" i="155"/>
  <c r="F11" i="155"/>
  <c r="J10" i="155"/>
  <c r="F10" i="155"/>
  <c r="J9" i="155"/>
  <c r="F9" i="155"/>
  <c r="J8" i="155"/>
  <c r="F8" i="155"/>
  <c r="I7" i="155"/>
  <c r="H7" i="155"/>
  <c r="H30" i="155" s="1"/>
  <c r="G7" i="155"/>
  <c r="E7" i="155"/>
  <c r="D7" i="155"/>
  <c r="C7" i="155"/>
  <c r="C30" i="155" s="1"/>
  <c r="J29" i="76"/>
  <c r="F29" i="76"/>
  <c r="K29" i="76" s="1"/>
  <c r="J28" i="76"/>
  <c r="F28" i="76"/>
  <c r="F27" i="76"/>
  <c r="F22" i="76" s="1"/>
  <c r="J26" i="76"/>
  <c r="F26" i="76"/>
  <c r="L26" i="155" s="1"/>
  <c r="J25" i="76"/>
  <c r="F25" i="76"/>
  <c r="K25" i="76" s="1"/>
  <c r="J24" i="76"/>
  <c r="F24" i="76"/>
  <c r="K24" i="76" s="1"/>
  <c r="J23" i="76"/>
  <c r="F23" i="76"/>
  <c r="I22" i="76"/>
  <c r="H22" i="76"/>
  <c r="G22" i="76"/>
  <c r="E22" i="76"/>
  <c r="D22" i="76"/>
  <c r="C22" i="76"/>
  <c r="J21" i="76"/>
  <c r="F21" i="76"/>
  <c r="J20" i="76"/>
  <c r="F20" i="76"/>
  <c r="J19" i="76"/>
  <c r="F19" i="76"/>
  <c r="J18" i="76"/>
  <c r="F18" i="76"/>
  <c r="J17" i="76"/>
  <c r="F17" i="76"/>
  <c r="I16" i="76"/>
  <c r="H16" i="76"/>
  <c r="G16" i="76"/>
  <c r="E16" i="76"/>
  <c r="D16" i="76"/>
  <c r="C16" i="76"/>
  <c r="J15" i="76"/>
  <c r="F15" i="76"/>
  <c r="J13" i="76"/>
  <c r="F13" i="76"/>
  <c r="J12" i="76"/>
  <c r="F12" i="76"/>
  <c r="J11" i="76"/>
  <c r="F11" i="76"/>
  <c r="J10" i="76"/>
  <c r="F10" i="76"/>
  <c r="J9" i="76"/>
  <c r="F9" i="76"/>
  <c r="J8" i="76"/>
  <c r="K8" i="76" s="1"/>
  <c r="F8" i="76"/>
  <c r="I7" i="76"/>
  <c r="H7" i="76"/>
  <c r="G7" i="76"/>
  <c r="G30" i="76" s="1"/>
  <c r="E7" i="76"/>
  <c r="D7" i="76"/>
  <c r="C7" i="76"/>
  <c r="K13" i="76" l="1"/>
  <c r="K15" i="76"/>
  <c r="K17" i="76"/>
  <c r="K21" i="76"/>
  <c r="K23" i="76"/>
  <c r="K26" i="76"/>
  <c r="L9" i="155"/>
  <c r="L11" i="155"/>
  <c r="L13" i="155"/>
  <c r="J16" i="155"/>
  <c r="L29" i="155"/>
  <c r="C30" i="76"/>
  <c r="H30" i="76"/>
  <c r="K9" i="76"/>
  <c r="K10" i="76"/>
  <c r="K11" i="76"/>
  <c r="K20" i="76"/>
  <c r="K28" i="76"/>
  <c r="D30" i="155"/>
  <c r="F16" i="155"/>
  <c r="K23" i="155"/>
  <c r="K22" i="76"/>
  <c r="L22" i="155"/>
  <c r="K12" i="76"/>
  <c r="I30" i="155"/>
  <c r="L15" i="155"/>
  <c r="L18" i="155"/>
  <c r="L20" i="155"/>
  <c r="L25" i="155"/>
  <c r="D30" i="76"/>
  <c r="J7" i="76"/>
  <c r="J16" i="76"/>
  <c r="K19" i="76"/>
  <c r="F7" i="155"/>
  <c r="F30" i="155" s="1"/>
  <c r="L8" i="155"/>
  <c r="L10" i="155"/>
  <c r="L12" i="155"/>
  <c r="L24" i="155"/>
  <c r="L28" i="155"/>
  <c r="E30" i="76"/>
  <c r="F16" i="76"/>
  <c r="K18" i="76"/>
  <c r="J22" i="76"/>
  <c r="G30" i="155"/>
  <c r="K15" i="155"/>
  <c r="L17" i="155"/>
  <c r="L19" i="155"/>
  <c r="L21" i="155"/>
  <c r="L23" i="155"/>
  <c r="K29" i="155"/>
  <c r="E30" i="155"/>
  <c r="J7" i="155"/>
  <c r="K16" i="155"/>
  <c r="K17" i="155"/>
  <c r="K18" i="155"/>
  <c r="K19" i="155"/>
  <c r="K20" i="155"/>
  <c r="K21" i="155"/>
  <c r="K8" i="155"/>
  <c r="K9" i="155"/>
  <c r="K10" i="155"/>
  <c r="K11" i="155"/>
  <c r="K12" i="155"/>
  <c r="K13" i="155"/>
  <c r="F7" i="76"/>
  <c r="I30" i="76"/>
  <c r="C19" i="64"/>
  <c r="J30" i="155" l="1"/>
  <c r="K16" i="76"/>
  <c r="L16" i="155"/>
  <c r="J30" i="76"/>
  <c r="K30" i="155"/>
  <c r="K7" i="155"/>
  <c r="L7" i="155"/>
  <c r="F30" i="76"/>
  <c r="K30" i="76" s="1"/>
  <c r="K7" i="76"/>
  <c r="G61" i="150"/>
  <c r="G7" i="150"/>
  <c r="G8" i="150"/>
  <c r="G9" i="150"/>
  <c r="G10" i="150"/>
  <c r="G11" i="150"/>
  <c r="G12" i="150"/>
  <c r="G13" i="150"/>
  <c r="G14" i="150"/>
  <c r="G15" i="150"/>
  <c r="G16" i="150"/>
  <c r="G17" i="150"/>
  <c r="G18" i="150"/>
  <c r="E48" i="142"/>
  <c r="E39" i="142"/>
  <c r="E30" i="142"/>
  <c r="E25" i="142"/>
  <c r="F48" i="142"/>
  <c r="F15" i="142"/>
  <c r="C48" i="142"/>
  <c r="C34" i="142"/>
  <c r="C27" i="142"/>
  <c r="L30" i="155" l="1"/>
  <c r="C20" i="3"/>
  <c r="E24" i="3" l="1"/>
  <c r="E25" i="3"/>
  <c r="E26" i="3"/>
  <c r="E27" i="3"/>
  <c r="E28" i="3"/>
  <c r="E29" i="3"/>
  <c r="E30" i="3"/>
  <c r="C16" i="3" l="1"/>
  <c r="C11" i="3"/>
  <c r="C5" i="3"/>
  <c r="E9" i="3"/>
  <c r="G47" i="142" l="1"/>
  <c r="H47" i="142"/>
  <c r="D30" i="142"/>
  <c r="F30" i="142"/>
  <c r="D25" i="142"/>
  <c r="F25" i="142"/>
  <c r="D5" i="154" l="1"/>
  <c r="C5" i="154"/>
  <c r="C30" i="142" l="1"/>
  <c r="G35" i="142" l="1"/>
  <c r="H35" i="142"/>
  <c r="G36" i="142"/>
  <c r="H36" i="142"/>
  <c r="G30" i="142" l="1"/>
  <c r="H30" i="142"/>
  <c r="H37" i="142"/>
  <c r="G37" i="142"/>
  <c r="D9" i="157" l="1"/>
  <c r="F6" i="157" s="1"/>
  <c r="F9" i="157" s="1"/>
  <c r="C5" i="64" l="1"/>
  <c r="C22" i="64" s="1"/>
  <c r="D19" i="144" l="1"/>
  <c r="E19" i="144"/>
  <c r="F19" i="144"/>
  <c r="D16" i="144"/>
  <c r="E16" i="144"/>
  <c r="F16" i="144"/>
  <c r="D13" i="144"/>
  <c r="E13" i="144"/>
  <c r="F13" i="144"/>
  <c r="D10" i="144"/>
  <c r="E10" i="144"/>
  <c r="F10" i="144"/>
  <c r="D7" i="144"/>
  <c r="E7" i="144"/>
  <c r="F7" i="144"/>
  <c r="E6" i="144" l="1"/>
  <c r="F6" i="144"/>
  <c r="D6" i="144"/>
  <c r="E6" i="23"/>
  <c r="E14" i="23"/>
  <c r="E16" i="23"/>
  <c r="E17" i="23"/>
  <c r="E18" i="23"/>
  <c r="E8" i="23"/>
  <c r="E9" i="23"/>
  <c r="E10" i="23"/>
  <c r="E11" i="23"/>
  <c r="E12" i="23"/>
  <c r="D7" i="23"/>
  <c r="C7" i="23"/>
  <c r="E7" i="23" l="1"/>
  <c r="G63" i="142"/>
  <c r="H63" i="142"/>
  <c r="G65" i="142"/>
  <c r="H65" i="142"/>
  <c r="G87" i="150" l="1"/>
  <c r="H87" i="150"/>
  <c r="G55" i="142" l="1"/>
  <c r="G56" i="142"/>
  <c r="G57" i="142"/>
  <c r="G58" i="142"/>
  <c r="G59" i="142"/>
  <c r="G60" i="142"/>
  <c r="G61" i="142"/>
  <c r="G7" i="142"/>
  <c r="H7" i="142"/>
  <c r="G8" i="142"/>
  <c r="H8" i="142"/>
  <c r="G9" i="142"/>
  <c r="H9" i="142"/>
  <c r="G10" i="142"/>
  <c r="H10" i="142"/>
  <c r="G12" i="142"/>
  <c r="H12" i="142"/>
  <c r="G13" i="142"/>
  <c r="H13" i="142"/>
  <c r="G14" i="142"/>
  <c r="H14" i="142"/>
  <c r="G15" i="142"/>
  <c r="H15" i="142"/>
  <c r="G16" i="142"/>
  <c r="H16" i="142"/>
  <c r="G17" i="142"/>
  <c r="H17" i="142"/>
  <c r="G18" i="142"/>
  <c r="H18" i="142"/>
  <c r="G19" i="142"/>
  <c r="H19" i="142"/>
  <c r="G20" i="142"/>
  <c r="G22" i="142"/>
  <c r="H22" i="142"/>
  <c r="G23" i="142"/>
  <c r="H23" i="142"/>
  <c r="G24" i="142"/>
  <c r="H24" i="142"/>
  <c r="G26" i="142"/>
  <c r="H26" i="142"/>
  <c r="G27" i="142"/>
  <c r="H27" i="142"/>
  <c r="G28" i="142"/>
  <c r="H28" i="142"/>
  <c r="G29" i="142"/>
  <c r="H29" i="142"/>
  <c r="G31" i="142"/>
  <c r="H31" i="142"/>
  <c r="G32" i="142"/>
  <c r="H32" i="142"/>
  <c r="G33" i="142"/>
  <c r="H33" i="142"/>
  <c r="G34" i="142"/>
  <c r="H34" i="142"/>
  <c r="G39" i="142"/>
  <c r="H39" i="142"/>
  <c r="G40" i="142"/>
  <c r="H40" i="142"/>
  <c r="G41" i="142"/>
  <c r="H41" i="142"/>
  <c r="G42" i="142"/>
  <c r="H42" i="142"/>
  <c r="G43" i="142"/>
  <c r="H43" i="142"/>
  <c r="G44" i="142"/>
  <c r="H44" i="142"/>
  <c r="G45" i="142"/>
  <c r="H45" i="142"/>
  <c r="G46" i="142"/>
  <c r="H46" i="142"/>
  <c r="G48" i="142"/>
  <c r="H48" i="142"/>
  <c r="G49" i="142"/>
  <c r="H49" i="142"/>
  <c r="G50" i="142"/>
  <c r="H50" i="142"/>
  <c r="G51" i="142"/>
  <c r="H51" i="142"/>
  <c r="G52" i="142"/>
  <c r="H52" i="142"/>
  <c r="G53" i="142"/>
  <c r="H53" i="142"/>
  <c r="H60" i="142"/>
  <c r="H61" i="142"/>
  <c r="G62" i="142"/>
  <c r="H62" i="142"/>
  <c r="G64" i="142"/>
  <c r="H64" i="142"/>
  <c r="G66" i="142"/>
  <c r="H66" i="142"/>
  <c r="G67" i="142"/>
  <c r="H67" i="142"/>
  <c r="G68" i="142"/>
  <c r="H68" i="142"/>
  <c r="D6" i="142"/>
  <c r="E6" i="142"/>
  <c r="F6" i="142"/>
  <c r="D11" i="142"/>
  <c r="E11" i="142"/>
  <c r="F11" i="142"/>
  <c r="D21" i="142"/>
  <c r="E21" i="142"/>
  <c r="F21" i="142"/>
  <c r="D38" i="142"/>
  <c r="E38" i="142"/>
  <c r="F38" i="142"/>
  <c r="D54" i="142"/>
  <c r="E54" i="142"/>
  <c r="F54" i="142"/>
  <c r="H21" i="142" l="1"/>
  <c r="H38" i="142"/>
  <c r="E69" i="142"/>
  <c r="D69" i="142"/>
  <c r="H54" i="142"/>
  <c r="F69" i="142"/>
  <c r="H11" i="142"/>
  <c r="H25" i="142"/>
  <c r="H69" i="142" l="1"/>
  <c r="C38" i="142"/>
  <c r="G38" i="142" s="1"/>
  <c r="C25" i="142" l="1"/>
  <c r="G25" i="142" l="1"/>
  <c r="C13" i="144" l="1"/>
  <c r="G98" i="150" l="1"/>
  <c r="H98" i="150"/>
  <c r="C9" i="157" l="1"/>
  <c r="E6" i="157" s="1"/>
  <c r="E9" i="157" s="1"/>
  <c r="D18" i="154"/>
  <c r="C18" i="154"/>
  <c r="D11" i="154"/>
  <c r="C11" i="154"/>
  <c r="D16" i="3"/>
  <c r="D20" i="3"/>
  <c r="H101" i="150"/>
  <c r="G101" i="150"/>
  <c r="H100" i="150"/>
  <c r="G100" i="150"/>
  <c r="H99" i="150"/>
  <c r="G99" i="150"/>
  <c r="H97" i="150"/>
  <c r="G97" i="150"/>
  <c r="H96" i="150"/>
  <c r="G96" i="150"/>
  <c r="H95" i="150"/>
  <c r="G95" i="150"/>
  <c r="H94" i="150"/>
  <c r="G94" i="150"/>
  <c r="H93" i="150"/>
  <c r="G93" i="150"/>
  <c r="H92" i="150"/>
  <c r="G92" i="150"/>
  <c r="H91" i="150"/>
  <c r="G91" i="150"/>
  <c r="F90" i="150"/>
  <c r="E90" i="150"/>
  <c r="D90" i="150"/>
  <c r="C90" i="150"/>
  <c r="H89" i="150"/>
  <c r="G89" i="150"/>
  <c r="H88" i="150"/>
  <c r="G88" i="150"/>
  <c r="H86" i="150"/>
  <c r="G86" i="150"/>
  <c r="H85" i="150"/>
  <c r="G85" i="150"/>
  <c r="H84" i="150"/>
  <c r="G84" i="150"/>
  <c r="H83" i="150"/>
  <c r="G83" i="150"/>
  <c r="H82" i="150"/>
  <c r="G82" i="150"/>
  <c r="F81" i="150"/>
  <c r="F79" i="150" s="1"/>
  <c r="E81" i="150"/>
  <c r="E79" i="150" s="1"/>
  <c r="D81" i="150"/>
  <c r="D79" i="150" s="1"/>
  <c r="C81" i="150"/>
  <c r="H80" i="150"/>
  <c r="G80" i="150"/>
  <c r="C79" i="150"/>
  <c r="H78" i="150"/>
  <c r="G78" i="150"/>
  <c r="H77" i="150"/>
  <c r="G77" i="150"/>
  <c r="H76" i="150"/>
  <c r="G76" i="150"/>
  <c r="H75" i="150"/>
  <c r="G75" i="150"/>
  <c r="H74" i="150"/>
  <c r="G74" i="150"/>
  <c r="H73" i="150"/>
  <c r="G73" i="150"/>
  <c r="H72" i="150"/>
  <c r="G72" i="150"/>
  <c r="H71" i="150"/>
  <c r="G71" i="150"/>
  <c r="H70" i="150"/>
  <c r="G70" i="150"/>
  <c r="H69" i="150"/>
  <c r="G69" i="150"/>
  <c r="F68" i="150"/>
  <c r="E68" i="150"/>
  <c r="D68" i="150"/>
  <c r="C68" i="150"/>
  <c r="H67" i="150"/>
  <c r="G67" i="150"/>
  <c r="H66" i="150"/>
  <c r="G66" i="150"/>
  <c r="H65" i="150"/>
  <c r="G65" i="150"/>
  <c r="H64" i="150"/>
  <c r="G64" i="150"/>
  <c r="H63" i="150"/>
  <c r="G63" i="150"/>
  <c r="F62" i="150"/>
  <c r="F60" i="150" s="1"/>
  <c r="E62" i="150"/>
  <c r="E60" i="150" s="1"/>
  <c r="D62" i="150"/>
  <c r="D60" i="150" s="1"/>
  <c r="C62" i="150"/>
  <c r="C60" i="150" s="1"/>
  <c r="H61" i="150"/>
  <c r="H59" i="150"/>
  <c r="G59" i="150"/>
  <c r="H58" i="150"/>
  <c r="G58" i="150"/>
  <c r="H57" i="150"/>
  <c r="G57" i="150"/>
  <c r="H56" i="150"/>
  <c r="G56" i="150"/>
  <c r="H55" i="150"/>
  <c r="G55" i="150"/>
  <c r="H54" i="150"/>
  <c r="G54" i="150"/>
  <c r="H53" i="150"/>
  <c r="G53" i="150"/>
  <c r="H52" i="150"/>
  <c r="G52" i="150"/>
  <c r="H51" i="150"/>
  <c r="G51" i="150"/>
  <c r="H50" i="150"/>
  <c r="G50" i="150"/>
  <c r="H49" i="150"/>
  <c r="G49" i="150"/>
  <c r="H48" i="150"/>
  <c r="G48" i="150"/>
  <c r="H47" i="150"/>
  <c r="G47" i="150"/>
  <c r="H46" i="150"/>
  <c r="G46" i="150"/>
  <c r="H45" i="150"/>
  <c r="G45" i="150"/>
  <c r="F44" i="150"/>
  <c r="E44" i="150"/>
  <c r="D44" i="150"/>
  <c r="H44" i="150" s="1"/>
  <c r="C44" i="150"/>
  <c r="H43" i="150"/>
  <c r="G43" i="150"/>
  <c r="H42" i="150"/>
  <c r="G42" i="150"/>
  <c r="H41" i="150"/>
  <c r="G41" i="150"/>
  <c r="F40" i="150"/>
  <c r="E40" i="150"/>
  <c r="D40" i="150"/>
  <c r="C40" i="150"/>
  <c r="G40" i="150" s="1"/>
  <c r="H39" i="150"/>
  <c r="G39" i="150"/>
  <c r="H38" i="150"/>
  <c r="G38" i="150"/>
  <c r="H37" i="150"/>
  <c r="G37" i="150"/>
  <c r="H36" i="150"/>
  <c r="G36" i="150"/>
  <c r="H35" i="150"/>
  <c r="G35" i="150"/>
  <c r="H34" i="150"/>
  <c r="G34" i="150"/>
  <c r="H33" i="150"/>
  <c r="G33" i="150"/>
  <c r="F32" i="150"/>
  <c r="E32" i="150"/>
  <c r="D32" i="150"/>
  <c r="C32" i="150"/>
  <c r="H31" i="150"/>
  <c r="H30" i="150"/>
  <c r="G30" i="150"/>
  <c r="H29" i="150"/>
  <c r="G29" i="150"/>
  <c r="H28" i="150"/>
  <c r="G28" i="150"/>
  <c r="F27" i="150"/>
  <c r="E27" i="150"/>
  <c r="D27" i="150"/>
  <c r="C27" i="150"/>
  <c r="H25" i="150"/>
  <c r="G25" i="150"/>
  <c r="H24" i="150"/>
  <c r="G24" i="150"/>
  <c r="H23" i="150"/>
  <c r="G23" i="150"/>
  <c r="H22" i="150"/>
  <c r="G22" i="150"/>
  <c r="H21" i="150"/>
  <c r="G21" i="150"/>
  <c r="H20" i="150"/>
  <c r="G20" i="150"/>
  <c r="F19" i="150"/>
  <c r="E19" i="150"/>
  <c r="D19" i="150"/>
  <c r="C19" i="150"/>
  <c r="H18" i="150"/>
  <c r="H17" i="150"/>
  <c r="H16" i="150"/>
  <c r="H15" i="150"/>
  <c r="H14" i="150"/>
  <c r="H13" i="150"/>
  <c r="H12" i="150"/>
  <c r="H11" i="150"/>
  <c r="H10" i="150"/>
  <c r="H9" i="150"/>
  <c r="H8" i="150"/>
  <c r="H7" i="150"/>
  <c r="A7" i="150"/>
  <c r="A8" i="150" s="1"/>
  <c r="A9" i="150" s="1"/>
  <c r="A10" i="150" s="1"/>
  <c r="A11" i="150" s="1"/>
  <c r="A12" i="150" s="1"/>
  <c r="A13" i="150" s="1"/>
  <c r="A14" i="150" s="1"/>
  <c r="A15" i="150" s="1"/>
  <c r="A16" i="150" s="1"/>
  <c r="A17" i="150" s="1"/>
  <c r="A18" i="150" s="1"/>
  <c r="A19" i="150" s="1"/>
  <c r="A20" i="150" s="1"/>
  <c r="A21" i="150" s="1"/>
  <c r="A22" i="150" s="1"/>
  <c r="A23" i="150" s="1"/>
  <c r="A24" i="150" s="1"/>
  <c r="A25" i="150" s="1"/>
  <c r="A26" i="150" s="1"/>
  <c r="A27" i="150" s="1"/>
  <c r="A28" i="150" s="1"/>
  <c r="A29" i="150" s="1"/>
  <c r="A30" i="150" s="1"/>
  <c r="A31" i="150" s="1"/>
  <c r="A32" i="150" s="1"/>
  <c r="A33" i="150" s="1"/>
  <c r="A34" i="150" s="1"/>
  <c r="A35" i="150" s="1"/>
  <c r="A36" i="150" s="1"/>
  <c r="A37" i="150" s="1"/>
  <c r="A38" i="150" s="1"/>
  <c r="A39" i="150" s="1"/>
  <c r="A40" i="150" s="1"/>
  <c r="A41" i="150" s="1"/>
  <c r="A42" i="150" s="1"/>
  <c r="A43" i="150" s="1"/>
  <c r="A44" i="150" s="1"/>
  <c r="A45" i="150" s="1"/>
  <c r="A46" i="150" s="1"/>
  <c r="A47" i="150" s="1"/>
  <c r="A48" i="150" s="1"/>
  <c r="A49" i="150" s="1"/>
  <c r="A50" i="150" s="1"/>
  <c r="A51" i="150" s="1"/>
  <c r="A52" i="150" s="1"/>
  <c r="A53" i="150" s="1"/>
  <c r="A54" i="150" s="1"/>
  <c r="A55" i="150" s="1"/>
  <c r="A56" i="150" s="1"/>
  <c r="A57" i="150" s="1"/>
  <c r="A58" i="150" s="1"/>
  <c r="A59" i="150" s="1"/>
  <c r="A60" i="150" s="1"/>
  <c r="A61" i="150" s="1"/>
  <c r="A62" i="150" s="1"/>
  <c r="A63" i="150" s="1"/>
  <c r="A64" i="150" s="1"/>
  <c r="A65" i="150" s="1"/>
  <c r="A66" i="150" s="1"/>
  <c r="A67" i="150" s="1"/>
  <c r="A68" i="150" s="1"/>
  <c r="A69" i="150" s="1"/>
  <c r="A70" i="150" s="1"/>
  <c r="A71" i="150" s="1"/>
  <c r="A72" i="150" s="1"/>
  <c r="A73" i="150" s="1"/>
  <c r="A74" i="150" s="1"/>
  <c r="A75" i="150" s="1"/>
  <c r="A76" i="150" s="1"/>
  <c r="A77" i="150" s="1"/>
  <c r="A78" i="150" s="1"/>
  <c r="A79" i="150" s="1"/>
  <c r="A80" i="150" s="1"/>
  <c r="A81" i="150" s="1"/>
  <c r="A82" i="150" s="1"/>
  <c r="A83" i="150" s="1"/>
  <c r="A84" i="150" s="1"/>
  <c r="A85" i="150" s="1"/>
  <c r="A86" i="150" s="1"/>
  <c r="A88" i="150" s="1"/>
  <c r="A89" i="150" s="1"/>
  <c r="A90" i="150" s="1"/>
  <c r="A91" i="150" s="1"/>
  <c r="A92" i="150" s="1"/>
  <c r="A94" i="150" s="1"/>
  <c r="A95" i="150" s="1"/>
  <c r="A96" i="150" s="1"/>
  <c r="A97" i="150" s="1"/>
  <c r="A98" i="150" s="1"/>
  <c r="A99" i="150" s="1"/>
  <c r="A100" i="150" s="1"/>
  <c r="A101" i="150" s="1"/>
  <c r="A102" i="150" s="1"/>
  <c r="F6" i="150"/>
  <c r="E6" i="150"/>
  <c r="D6" i="150"/>
  <c r="C6" i="150"/>
  <c r="N15" i="145"/>
  <c r="M15" i="145"/>
  <c r="M18" i="145"/>
  <c r="N18" i="145"/>
  <c r="N16" i="145"/>
  <c r="M16" i="145"/>
  <c r="N12" i="145"/>
  <c r="M12" i="145"/>
  <c r="N11" i="145"/>
  <c r="M11" i="145"/>
  <c r="M8" i="145"/>
  <c r="N8" i="145"/>
  <c r="M6" i="145"/>
  <c r="H20" i="142"/>
  <c r="H7" i="145"/>
  <c r="G7" i="145"/>
  <c r="G17" i="145" s="1"/>
  <c r="H6" i="145" s="1"/>
  <c r="N14" i="145"/>
  <c r="M14" i="145"/>
  <c r="N13" i="145"/>
  <c r="M13" i="145"/>
  <c r="N10" i="145"/>
  <c r="M10" i="145"/>
  <c r="N9" i="145"/>
  <c r="M9" i="145"/>
  <c r="L7" i="145"/>
  <c r="K7" i="145"/>
  <c r="K17" i="145" s="1"/>
  <c r="L6" i="145" s="1"/>
  <c r="J7" i="145"/>
  <c r="I7" i="145"/>
  <c r="I17" i="145" s="1"/>
  <c r="J6" i="145" s="1"/>
  <c r="J17" i="145" s="1"/>
  <c r="F7" i="145"/>
  <c r="F17" i="145" s="1"/>
  <c r="E7" i="145"/>
  <c r="D7" i="145"/>
  <c r="C7" i="145"/>
  <c r="C17" i="145" s="1"/>
  <c r="D6" i="145" s="1"/>
  <c r="D17" i="145" s="1"/>
  <c r="C19" i="144"/>
  <c r="C16" i="144"/>
  <c r="C10" i="144"/>
  <c r="C7" i="144"/>
  <c r="C54" i="142"/>
  <c r="G54" i="142" s="1"/>
  <c r="C21" i="142"/>
  <c r="G21" i="142" s="1"/>
  <c r="C11" i="142"/>
  <c r="G11" i="142" s="1"/>
  <c r="A7" i="142"/>
  <c r="A8" i="142" s="1"/>
  <c r="A9" i="142" s="1"/>
  <c r="A10" i="142" s="1"/>
  <c r="A11" i="142" s="1"/>
  <c r="A12" i="142" s="1"/>
  <c r="A13" i="142" s="1"/>
  <c r="A14" i="142" s="1"/>
  <c r="A15" i="142" s="1"/>
  <c r="A16" i="142" s="1"/>
  <c r="A17" i="142" s="1"/>
  <c r="A18" i="142" s="1"/>
  <c r="A19" i="142" s="1"/>
  <c r="A20" i="142" s="1"/>
  <c r="A21" i="142" s="1"/>
  <c r="A22" i="142" s="1"/>
  <c r="A23" i="142" s="1"/>
  <c r="A24" i="142" s="1"/>
  <c r="C6" i="142"/>
  <c r="C6" i="61"/>
  <c r="E6" i="61" s="1"/>
  <c r="D6" i="61"/>
  <c r="A7" i="61"/>
  <c r="A8" i="61" s="1"/>
  <c r="A9" i="61" s="1"/>
  <c r="A10" i="61" s="1"/>
  <c r="E7" i="61"/>
  <c r="E8" i="61"/>
  <c r="E10" i="61"/>
  <c r="E12" i="61"/>
  <c r="E13" i="61"/>
  <c r="C15" i="61"/>
  <c r="E15" i="61" s="1"/>
  <c r="D15" i="61"/>
  <c r="E16" i="61"/>
  <c r="A7" i="109"/>
  <c r="A8" i="109" s="1"/>
  <c r="A9" i="109" s="1"/>
  <c r="A10" i="109" s="1"/>
  <c r="C11" i="109"/>
  <c r="E9" i="109" s="1"/>
  <c r="E11" i="109" s="1"/>
  <c r="C12" i="109"/>
  <c r="E12" i="109"/>
  <c r="D5" i="3"/>
  <c r="E5" i="3" s="1"/>
  <c r="E6" i="3"/>
  <c r="E7" i="3"/>
  <c r="E8" i="3"/>
  <c r="D11" i="3"/>
  <c r="E11" i="3" s="1"/>
  <c r="E12" i="3"/>
  <c r="E13" i="3"/>
  <c r="E14" i="3"/>
  <c r="E16" i="3"/>
  <c r="E17" i="3"/>
  <c r="E18" i="3"/>
  <c r="E19" i="3"/>
  <c r="E21" i="3"/>
  <c r="E22" i="3"/>
  <c r="E23" i="3"/>
  <c r="C5" i="23"/>
  <c r="D5" i="23"/>
  <c r="A6" i="23"/>
  <c r="A7" i="23" s="1"/>
  <c r="A8" i="23" s="1"/>
  <c r="A9" i="23" s="1"/>
  <c r="A10" i="23" s="1"/>
  <c r="A11" i="23" s="1"/>
  <c r="A12" i="23" s="1"/>
  <c r="A13" i="23" s="1"/>
  <c r="A14" i="23" s="1"/>
  <c r="A15" i="23" s="1"/>
  <c r="A16" i="23" s="1"/>
  <c r="A17" i="23" s="1"/>
  <c r="A18" i="23" s="1"/>
  <c r="A19" i="23" s="1"/>
  <c r="C13" i="23"/>
  <c r="D13" i="23"/>
  <c r="C15" i="23"/>
  <c r="D15" i="23"/>
  <c r="D19" i="23" s="1"/>
  <c r="H6" i="150"/>
  <c r="D31" i="3"/>
  <c r="H90" i="150"/>
  <c r="E5" i="23" l="1"/>
  <c r="H17" i="145"/>
  <c r="M7" i="145"/>
  <c r="E17" i="145"/>
  <c r="E102" i="150"/>
  <c r="G68" i="150"/>
  <c r="H79" i="150"/>
  <c r="G62" i="150"/>
  <c r="N7" i="145"/>
  <c r="L17" i="145"/>
  <c r="C102" i="150"/>
  <c r="G44" i="150"/>
  <c r="G32" i="150"/>
  <c r="C69" i="142"/>
  <c r="E20" i="3"/>
  <c r="N6" i="145"/>
  <c r="E18" i="61"/>
  <c r="M17" i="145"/>
  <c r="C18" i="61"/>
  <c r="D18" i="61"/>
  <c r="C31" i="3"/>
  <c r="E31" i="3" s="1"/>
  <c r="C6" i="144"/>
  <c r="D102" i="150"/>
  <c r="G19" i="150"/>
  <c r="H60" i="150"/>
  <c r="E15" i="23"/>
  <c r="E13" i="23"/>
  <c r="H62" i="150"/>
  <c r="G81" i="150"/>
  <c r="G90" i="150"/>
  <c r="G6" i="150"/>
  <c r="H19" i="150"/>
  <c r="H27" i="150"/>
  <c r="G27" i="150"/>
  <c r="F102" i="150"/>
  <c r="H68" i="150"/>
  <c r="H81" i="150"/>
  <c r="H40" i="150"/>
  <c r="G79" i="150"/>
  <c r="H32" i="150"/>
  <c r="C19" i="23"/>
  <c r="E19" i="23" s="1"/>
  <c r="G60" i="150"/>
  <c r="A25" i="142"/>
  <c r="A26" i="142" s="1"/>
  <c r="A27" i="142" s="1"/>
  <c r="A28" i="142" s="1"/>
  <c r="A29" i="142" s="1"/>
  <c r="A30" i="142" s="1"/>
  <c r="A31" i="142" s="1"/>
  <c r="A32" i="142" s="1"/>
  <c r="A33" i="142" s="1"/>
  <c r="A34" i="142" s="1"/>
  <c r="A35" i="142" s="1"/>
  <c r="A36" i="142" s="1"/>
  <c r="A42" i="142" s="1"/>
  <c r="A43" i="142" s="1"/>
  <c r="A44" i="142" s="1"/>
  <c r="A45" i="142" s="1"/>
  <c r="A46" i="142" s="1"/>
  <c r="A47" i="142" s="1"/>
  <c r="A48" i="142" s="1"/>
  <c r="A49" i="142" s="1"/>
  <c r="A50" i="142" s="1"/>
  <c r="A51" i="142" s="1"/>
  <c r="A52" i="142" s="1"/>
  <c r="A53" i="142" s="1"/>
  <c r="A54" i="142" s="1"/>
  <c r="A55" i="142" s="1"/>
  <c r="A56" i="142" s="1"/>
  <c r="A57" i="142" s="1"/>
  <c r="A58" i="142" s="1"/>
  <c r="A59" i="142" s="1"/>
  <c r="A60" i="142" s="1"/>
  <c r="A61" i="142" s="1"/>
  <c r="A62" i="142" s="1"/>
  <c r="A63" i="142" s="1"/>
  <c r="A64" i="142" s="1"/>
  <c r="A65" i="142" s="1"/>
  <c r="A66" i="142" s="1"/>
  <c r="A67" i="142" s="1"/>
  <c r="A68" i="142" s="1"/>
  <c r="A69" i="142" s="1"/>
  <c r="H6" i="142"/>
  <c r="G6" i="142"/>
  <c r="N17" i="145" l="1"/>
  <c r="H102" i="150"/>
  <c r="G69" i="142"/>
  <c r="G102" i="150"/>
</calcChain>
</file>

<file path=xl/comments1.xml><?xml version="1.0" encoding="utf-8"?>
<comments xmlns="http://schemas.openxmlformats.org/spreadsheetml/2006/main">
  <authors>
    <author>anna.horvathova</author>
  </authors>
  <commentList>
    <comment ref="B23" authorId="0" shapeId="0">
      <text>
        <r>
          <rPr>
            <b/>
            <sz val="9"/>
            <color indexed="81"/>
            <rFont val="Segoe UI"/>
            <family val="2"/>
            <charset val="238"/>
          </rPr>
          <t>anna.horvathova:</t>
        </r>
        <r>
          <rPr>
            <sz val="9"/>
            <color indexed="81"/>
            <rFont val="Segoe UI"/>
            <family val="2"/>
            <charset val="238"/>
          </rPr>
          <t xml:space="preserve">
SPS = Science for Peace and Security</t>
        </r>
      </text>
    </comment>
  </commentList>
</comments>
</file>

<file path=xl/sharedStrings.xml><?xml version="1.0" encoding="utf-8"?>
<sst xmlns="http://schemas.openxmlformats.org/spreadsheetml/2006/main" count="1313" uniqueCount="880">
  <si>
    <t xml:space="preserve">pozn.1): rozdiel medzi údajom, vykazovaným v stĺpci T6_R18_SH a údajom v T5_R56_(SC+SD) uviesť v komentári  </t>
  </si>
  <si>
    <t xml:space="preserve">  - tvorba fondu z predaja alebo likvidácie majetku</t>
  </si>
  <si>
    <t xml:space="preserve">      - dohody o vykonaní práce - externí účitelia (účet 521 009)</t>
  </si>
  <si>
    <t xml:space="preserve">      - dohody o vykonaní práce, dohody o pracovnej činnosti
        (účet 521 010)</t>
  </si>
  <si>
    <t>- Iné ostatné  náklady (účet 549) [SUM(R77:R83)]</t>
  </si>
  <si>
    <t xml:space="preserve"> - Prvok 021 02 03  </t>
  </si>
  <si>
    <t xml:space="preserve"> - Podprogram 05T 08 </t>
  </si>
  <si>
    <t>2) ostatná tvorba fondu reprodukcie v zmysle § 16a ods. 8 zákona č. 131/2002 Z. z.o vysokých školách v znení neskorších predpisov (kreditné úroky a kurzové zisky)</t>
  </si>
  <si>
    <t xml:space="preserve">- tvorba fondu z výnosov zo školného </t>
  </si>
  <si>
    <r>
      <t>Stav fondu k 31.12. kalendárneho roku</t>
    </r>
    <r>
      <rPr>
        <sz val="12"/>
        <rFont val="Times New Roman"/>
        <family val="1"/>
      </rPr>
      <t xml:space="preserve"> [R1+R2-R11]</t>
    </r>
  </si>
  <si>
    <t>Účty v Štátnej pokladnici spolu [SUM(R2:R15)]</t>
  </si>
  <si>
    <t>Tržby za predaný tovar (účet 604)</t>
  </si>
  <si>
    <t xml:space="preserve">Ostatné sociálne poistenia (účet 525) </t>
  </si>
  <si>
    <t>C=A+B</t>
  </si>
  <si>
    <t>E=C-A</t>
  </si>
  <si>
    <t>F=D-B</t>
  </si>
  <si>
    <t>E=A+C</t>
  </si>
  <si>
    <t>F=B+D</t>
  </si>
  <si>
    <t>Náklady na štipendiá</t>
  </si>
  <si>
    <t xml:space="preserve">Ostatné sociálne náklady (účet 528)  </t>
  </si>
  <si>
    <t>Stav bankových účtov spolu [R1+R16+R17]</t>
  </si>
  <si>
    <t xml:space="preserve">  - poskytnuté jednorázovo</t>
  </si>
  <si>
    <r>
      <t>Zdroje na obstaranie a technické zhodnotenie majetku  z fondu reprodukcie</t>
    </r>
    <r>
      <rPr>
        <sz val="12"/>
        <rFont val="Times New Roman"/>
        <family val="1"/>
      </rPr>
      <t xml:space="preserve"> [R1+R2]</t>
    </r>
  </si>
  <si>
    <t>- nákup softvéru</t>
  </si>
  <si>
    <t>Výdavky na obstaranie a technické zhodnotenie dlhobého majetku spolu [R1+SUM(R3:R4)+SUM(R10:R14)]</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</si>
  <si>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</si>
  <si>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</si>
  <si>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</si>
  <si>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</si>
  <si>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</si>
  <si>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</si>
  <si>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</si>
  <si>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</si>
  <si>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</si>
  <si>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 xml:space="preserve">Výdavky na sociálne štipendiá (§ 96 zákona) za kalendárny rok </t>
  </si>
  <si>
    <t>z EÚ</t>
  </si>
  <si>
    <r>
      <t>Dotácie z rozpočtov obcí a z rozpočtov vyšších územných celkov</t>
    </r>
    <r>
      <rPr>
        <sz val="12"/>
        <rFont val="Times New Roman"/>
        <family val="1"/>
      </rPr>
      <t xml:space="preserve"> [SUM(R2a:R2...)]</t>
    </r>
  </si>
  <si>
    <t>Prostriedky zo zahraničných projektov na budúce aktivity</t>
  </si>
  <si>
    <t>Ostatné</t>
  </si>
  <si>
    <t xml:space="preserve">1) V stĺpcoch B a D sa uvádza prepočítaný počet študentov určený ako počet osobomesiacov, počas ktorých bolo poskytované sociálne štipendium </t>
  </si>
  <si>
    <t>2) uvádzajte počet denných študentov I. a II. stupňa štúdia počas výučbového obdobia, najviac však 10 mesiacov  a denných študentov III. stupňa štúdia (doktorandov)  vrátane hlavných prázdnin maximálne 12 mesiacov</t>
  </si>
  <si>
    <t xml:space="preserve"> - tvorba sociálneho fondu  (účet 527 001)</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</si>
  <si>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</si>
  <si>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</si>
  <si>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</si>
  <si>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</si>
  <si>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1) vrátane tvorby z nerozdeleného zisku z minulých rokov</t>
  </si>
  <si>
    <t>2) len ak umožňuje zákon</t>
  </si>
  <si>
    <t>3) uvádza sa v prípade, ak si vysoká škola vytvorila osobitný bankový účet na krytie fondu - napríklad  fondu reprodukcie</t>
  </si>
  <si>
    <t>- z ubytovania študentov (účet 602 001)</t>
  </si>
  <si>
    <t>- zo stravných lístkov študentov a doktorandov (účet 602 009)</t>
  </si>
  <si>
    <t>- z ubytovania a stravovania iných fyzických osôb (účet 602 008 a 602 010)</t>
  </si>
  <si>
    <t>- drobný nehmotný majetok  (účet 518 014)</t>
  </si>
  <si>
    <t>- používanie plavárne (účet 518 019)</t>
  </si>
  <si>
    <t>- z dotačného účtu  (účet 644 001)</t>
  </si>
  <si>
    <t>- z ostatných účtov  (účet 644 002)</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</si>
  <si>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</si>
  <si>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</si>
  <si>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</si>
  <si>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</si>
  <si>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</si>
  <si>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</si>
  <si>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</si>
  <si>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</si>
  <si>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</si>
  <si>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</si>
  <si>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</si>
  <si>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</si>
  <si>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strojov, prístrojov, zariadení a inventára  (účet 511 002)</t>
  </si>
  <si>
    <t>- opravy a udržiavanie dopravných prostriedkov  (účet 511 003)</t>
  </si>
  <si>
    <t>- opravy a udržiavanie prostriedkov IT  (účet 511 004)</t>
  </si>
  <si>
    <r>
      <t xml:space="preserve">- prospechové </t>
    </r>
    <r>
      <rPr>
        <sz val="12"/>
        <rFont val="Times New Roman"/>
        <family val="1"/>
        <charset val="238"/>
      </rPr>
      <t xml:space="preserve">[R3+R4] </t>
    </r>
  </si>
  <si>
    <t>- údržba a opravy meracej techniky, telovýchovných  zariadení ...(účet 511 005)</t>
  </si>
  <si>
    <t>- ostatná údržba a opravy (účet 511 099)</t>
  </si>
  <si>
    <t>- prenájom zariadení (účet 518 002)</t>
  </si>
  <si>
    <t>- prenájom priestorov  (účet 518 001)</t>
  </si>
  <si>
    <t>- vložné na konferencie  (účet 518 004)</t>
  </si>
  <si>
    <t>- ďalšie vzdelávanie zamestnancov  (účet 518 005)</t>
  </si>
  <si>
    <t>- počítačové siete a prenosy údajov  (účet 518 007)</t>
  </si>
  <si>
    <t>- revízie zariadení (účet 518 010)</t>
  </si>
  <si>
    <t>- čistenie verejných priestranstiev (účet 518 011)</t>
  </si>
  <si>
    <t xml:space="preserve"> - zákonné odstupné, odchodné  (účet 527 003)</t>
  </si>
  <si>
    <t xml:space="preserve"> - náhrada príjmu pri PN (účet 527 004)</t>
  </si>
  <si>
    <t xml:space="preserve"> - ochranné pracovné pomôcky podľa Zákonníka práce (účet 527 005) </t>
  </si>
  <si>
    <t xml:space="preserve"> - ostatné zákonné sociálne náklady (účet 527 099)</t>
  </si>
  <si>
    <t xml:space="preserve"> - bankové poplatky (účet 549 002)</t>
  </si>
  <si>
    <t xml:space="preserve"> - úhrada výnosov z úrokov na dotačnom účte (účet 549 003)</t>
  </si>
  <si>
    <t xml:space="preserve"> - Podprogram 06K 11</t>
  </si>
  <si>
    <t>Tržby z predaja cenných papierov a podielov (účet 653)</t>
  </si>
  <si>
    <t>Výnosy z nájmu majetku  (účet 658)</t>
  </si>
  <si>
    <r>
      <t xml:space="preserve">  - poskytované mesačne </t>
    </r>
    <r>
      <rPr>
        <vertAlign val="superscript"/>
        <sz val="12"/>
        <rFont val="Times New Roman"/>
        <family val="1"/>
        <charset val="238"/>
      </rPr>
      <t>1)</t>
    </r>
  </si>
  <si>
    <t>Výnosy z dlhodobého finančného majetku (účet 652)</t>
  </si>
  <si>
    <t>Prijaté príspevky od iných organizácií (účet 662)</t>
  </si>
  <si>
    <t>Prevádzkové dotácie (účet 691)</t>
  </si>
  <si>
    <t xml:space="preserve">   - Prvok 077 12 05</t>
  </si>
  <si>
    <t>- Podprogram 077 13</t>
  </si>
  <si>
    <t xml:space="preserve">   - Prvok 077 15 01</t>
  </si>
  <si>
    <t xml:space="preserve">   - Prvok 077 15 02</t>
  </si>
  <si>
    <t xml:space="preserve">   - Prvok 077 15 03</t>
  </si>
  <si>
    <t xml:space="preserve"> </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</si>
  <si>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</si>
  <si>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</si>
  <si>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</si>
  <si>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</si>
  <si>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</si>
  <si>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 bežný účet okrem účtov uvedených v 
  R6:R8</t>
  </si>
  <si>
    <t>- devízové účty</t>
  </si>
  <si>
    <t>- účet štipendijného fondu</t>
  </si>
  <si>
    <t>- účet podnikateľskej činnosti</t>
  </si>
  <si>
    <t>- účet sociálneho fondu</t>
  </si>
  <si>
    <t>- účet fondu reprodukcie</t>
  </si>
  <si>
    <t>- bežný účet - zábezpeka</t>
  </si>
  <si>
    <t>- ostatné bankové účty v Štátnej pokladnici 
  mimo účtov uvedených v R2:R14</t>
  </si>
  <si>
    <t xml:space="preserve">Čerpanie ostatných zdrojov prostredníctvom fondu reprodukcie </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</si>
  <si>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</si>
  <si>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</si>
  <si>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</si>
  <si>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</si>
  <si>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</si>
  <si>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</si>
  <si>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</si>
  <si>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</si>
  <si>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</si>
  <si>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Počet študentov poberajúcich sociálne štipendium</t>
  </si>
  <si>
    <t>- dotačný účet</t>
  </si>
  <si>
    <t>- zostatkový účet</t>
  </si>
  <si>
    <t>- distribučný účet</t>
  </si>
  <si>
    <t>spolufinanco-
vanie zo ŠR</t>
  </si>
  <si>
    <t xml:space="preserve">Počet študentov  poberajúcich štipendium </t>
  </si>
  <si>
    <t>Počet študentov  poberajúcich štipendium</t>
  </si>
  <si>
    <r>
      <t xml:space="preserve">Stav fondu k 1.1. kalendárneho roku </t>
    </r>
    <r>
      <rPr>
        <sz val="12"/>
        <rFont val="Times New Roman"/>
        <family val="1"/>
        <charset val="238"/>
      </rPr>
      <t>[R1_SB = R12_SA ...]</t>
    </r>
  </si>
  <si>
    <t>Čerpanie fondu k 31. 12. kalendárneho roku</t>
  </si>
  <si>
    <t>Spolu</t>
  </si>
  <si>
    <t>Dotácia / program</t>
  </si>
  <si>
    <t>Číslo riadku</t>
  </si>
  <si>
    <t>Dotácia spolu</t>
  </si>
  <si>
    <t>Stav fondu reprodukcie k 1.1.</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</si>
  <si>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</si>
  <si>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</si>
  <si>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</si>
  <si>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</si>
  <si>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</si>
  <si>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</si>
  <si>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</si>
  <si>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</si>
  <si>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</si>
  <si>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</si>
  <si>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</si>
  <si>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</si>
  <si>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</si>
  <si>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2)   Výnosy z Fondu reprodukcie možno účtovať len v súvislosti s krytím nákladov na vedenie príslušného bankového účtu a nákladov vyplývajúcich z kurzových strát
      v zmysle  16a ods. 8 zákona. </t>
  </si>
  <si>
    <t xml:space="preserve">    - dohody o brigádnickej práci študentov (účet 521 011)</t>
  </si>
  <si>
    <t>4a</t>
  </si>
  <si>
    <t xml:space="preserve">Základ pre prídel do štipendijného fondu </t>
  </si>
  <si>
    <t>Nákup strojov, prístrojov, zariadení, techniky a náradia [SUM(R5:R9)]</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</si>
  <si>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</si>
  <si>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</si>
  <si>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Tržby za vlastné výrobky (účet 601) </t>
    </r>
    <r>
      <rPr>
        <sz val="12"/>
        <rFont val="Times New Roman"/>
        <family val="1"/>
      </rPr>
      <t>[SUM(R2:R5)]</t>
    </r>
  </si>
  <si>
    <t>Výnosy z krátkodobého finančného majetku  (účet 655)</t>
  </si>
  <si>
    <t>Zdroje na obstaranie a technické zhodnotenie dlhodobého majetku z úverov</t>
  </si>
  <si>
    <t xml:space="preserve">Dotácia na kapitálové výdavky zo štátneho rozpočtu </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</si>
  <si>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</si>
  <si>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</si>
  <si>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</si>
  <si>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</si>
  <si>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</si>
  <si>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</si>
  <si>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</si>
  <si>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</si>
  <si>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Počet študentov poberajúcich sociálne štipendium </t>
  </si>
  <si>
    <t xml:space="preserve">    - bežný účet pre študentské domovy</t>
  </si>
  <si>
    <t xml:space="preserve">    - bežný účet pre študentské jedálne</t>
  </si>
  <si>
    <t>- vysokoškolské podniky</t>
  </si>
  <si>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</si>
  <si>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</si>
  <si>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</si>
  <si>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</si>
  <si>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Nákup budov a stavieb</t>
  </si>
  <si>
    <t>A</t>
  </si>
  <si>
    <t>B</t>
  </si>
  <si>
    <t>C</t>
  </si>
  <si>
    <t>E</t>
  </si>
  <si>
    <t>F</t>
  </si>
  <si>
    <t>G</t>
  </si>
  <si>
    <t>H</t>
  </si>
  <si>
    <t>I</t>
  </si>
  <si>
    <t>D</t>
  </si>
  <si>
    <t>Bankový účet</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</si>
  <si>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</si>
  <si>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</si>
  <si>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</si>
  <si>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</si>
  <si>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</si>
  <si>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</si>
  <si>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</si>
  <si>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</si>
  <si>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</si>
  <si>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</si>
  <si>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</si>
  <si>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Účty mimo Štátnej pokladnice spolu</t>
  </si>
  <si>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</si>
  <si>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</si>
  <si>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</si>
  <si>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</si>
  <si>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</si>
  <si>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</si>
  <si>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</si>
  <si>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</si>
  <si>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</si>
  <si>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</si>
  <si>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</si>
  <si>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</si>
  <si>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</si>
  <si>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Položka</t>
  </si>
  <si>
    <t>Hlavná činnosť</t>
  </si>
  <si>
    <t>Podnikateľská činnosť</t>
  </si>
  <si>
    <t>Rezervný fond</t>
  </si>
  <si>
    <t>Fond reprodukcie</t>
  </si>
  <si>
    <t>Štipendijný fond</t>
  </si>
  <si>
    <t>Návrh na prídel do štipendijného fondu</t>
  </si>
  <si>
    <t>Pokuty a penále (účet 641+642)</t>
  </si>
  <si>
    <t>Platby za odpísané pohľadávky  (účet 643)</t>
  </si>
  <si>
    <t>Kurzové zisky  (účet 645)</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</si>
  <si>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</si>
  <si>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</si>
  <si>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Tržby z predaja dlhodobého NM a HM (účet 651)</t>
  </si>
  <si>
    <t>Výnosy z precenenia cenných papierov (účet 657)</t>
  </si>
  <si>
    <t>- interiérové vybavenie  (713 001)</t>
  </si>
  <si>
    <t>-  výpočtová technika  (713 002)</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</si>
  <si>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</si>
  <si>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</si>
  <si>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</si>
  <si>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</si>
  <si>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1) výnosy a náklady z podnikateľskej činnosti sa neuvádzajú</t>
  </si>
  <si>
    <t>Výnosy z poplatkov za ubytovanie od študentov počas výučbového obdobia (10 mesiacov)</t>
  </si>
  <si>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</si>
  <si>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</si>
  <si>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</si>
  <si>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</si>
  <si>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</si>
  <si>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</si>
  <si>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</si>
  <si>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</si>
  <si>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</si>
  <si>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</si>
  <si>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</si>
  <si>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</si>
  <si>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</si>
  <si>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</si>
  <si>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</si>
  <si>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</si>
  <si>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r>
      <t xml:space="preserve">- tvorba fondu z hospodárskeho výsledku (účet 413  111)  </t>
    </r>
    <r>
      <rPr>
        <vertAlign val="superscript"/>
        <sz val="12"/>
        <rFont val="Times New Roman"/>
        <family val="1"/>
        <charset val="238"/>
      </rPr>
      <t xml:space="preserve">1) </t>
    </r>
  </si>
  <si>
    <t>- tvorba fondu prevodom z rezervného fondu (účet  413 114)</t>
  </si>
  <si>
    <t>- tvorba fondu z darov a z dedičstva (účet 413 112)</t>
  </si>
  <si>
    <t>- tvorba fondu z odpisov (účet 413 116)</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</si>
  <si>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</si>
  <si>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</si>
  <si>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</si>
  <si>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</si>
  <si>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</si>
  <si>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</si>
  <si>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</si>
  <si>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</si>
  <si>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</si>
  <si>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 xml:space="preserve">    - bežný účet na riešenie úloh vedy a
      výskumu  zo SR, resp.zahraničia </t>
  </si>
  <si>
    <t>Priemerný mesačný náklad na doktoranda</t>
  </si>
  <si>
    <t xml:space="preserve"> - Podprogram 06K 12            </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</si>
  <si>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</si>
  <si>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</si>
  <si>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</si>
  <si>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</si>
  <si>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</si>
  <si>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</si>
  <si>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</si>
  <si>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</si>
  <si>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</si>
  <si>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</si>
  <si>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</si>
  <si>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</si>
  <si>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</si>
  <si>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</si>
  <si>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</si>
  <si>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</si>
  <si>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</si>
  <si>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</si>
  <si>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</si>
  <si>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</si>
  <si>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</si>
  <si>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</si>
  <si>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</si>
  <si>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</si>
  <si>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</si>
  <si>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</si>
  <si>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</si>
  <si>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</si>
  <si>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</si>
  <si>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</si>
  <si>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</si>
  <si>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</si>
  <si>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</si>
  <si>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</si>
  <si>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</si>
  <si>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</si>
  <si>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</si>
  <si>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</si>
  <si>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</si>
  <si>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</si>
  <si>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</si>
  <si>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</si>
  <si>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</si>
  <si>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</si>
  <si>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</si>
  <si>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</si>
  <si>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</si>
  <si>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</si>
  <si>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</si>
  <si>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</si>
  <si>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</si>
  <si>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</si>
  <si>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</si>
  <si>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</si>
  <si>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</si>
  <si>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</si>
  <si>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</si>
  <si>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</si>
  <si>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</si>
  <si>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</si>
  <si>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</si>
  <si>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</si>
  <si>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</si>
  <si>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</si>
  <si>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</si>
  <si>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</si>
  <si>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</si>
  <si>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</si>
  <si>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</si>
  <si>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</si>
  <si>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</si>
  <si>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</si>
  <si>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</si>
  <si>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</si>
  <si>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</si>
  <si>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</si>
  <si>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</si>
  <si>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</si>
  <si>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</si>
  <si>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</si>
  <si>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</si>
  <si>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</si>
  <si>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</si>
  <si>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</si>
  <si>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</si>
  <si>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</si>
  <si>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</si>
  <si>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</si>
  <si>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</si>
  <si>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</si>
  <si>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</si>
  <si>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</si>
  <si>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</si>
  <si>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</si>
  <si>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</si>
  <si>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</si>
  <si>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</si>
  <si>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</si>
  <si>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</si>
  <si>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</si>
  <si>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</si>
  <si>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</si>
  <si>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</si>
  <si>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</si>
  <si>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</si>
  <si>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</si>
  <si>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</si>
  <si>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</si>
  <si>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</si>
  <si>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</si>
  <si>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</si>
  <si>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</si>
  <si>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</si>
  <si>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</si>
  <si>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</si>
  <si>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</si>
  <si>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</si>
  <si>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</si>
  <si>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</si>
  <si>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</si>
  <si>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</si>
  <si>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</si>
  <si>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</si>
  <si>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</si>
  <si>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</si>
  <si>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</si>
  <si>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</si>
  <si>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</si>
  <si>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</si>
  <si>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</si>
  <si>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</si>
  <si>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</si>
  <si>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</si>
  <si>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</si>
  <si>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</si>
  <si>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</si>
  <si>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</si>
  <si>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</si>
  <si>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</si>
  <si>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</si>
  <si>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</si>
  <si>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</si>
  <si>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</si>
  <si>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</si>
  <si>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</si>
  <si>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</si>
  <si>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</si>
  <si>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</si>
  <si>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</si>
  <si>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</si>
  <si>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</si>
  <si>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</si>
  <si>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</si>
  <si>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</si>
  <si>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</si>
  <si>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</si>
  <si>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</si>
  <si>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</si>
  <si>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</si>
  <si>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</si>
  <si>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</si>
  <si>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</si>
  <si>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</si>
  <si>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</si>
  <si>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</si>
  <si>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</si>
  <si>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</si>
  <si>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</si>
  <si>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</si>
  <si>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</si>
  <si>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</si>
  <si>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</si>
  <si>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</si>
  <si>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</si>
  <si>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</si>
  <si>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</si>
  <si>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</si>
  <si>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</si>
  <si>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</si>
  <si>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</si>
  <si>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</si>
  <si>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</si>
  <si>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</si>
  <si>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</si>
  <si>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</si>
  <si>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</si>
  <si>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</si>
  <si>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</si>
  <si>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</si>
  <si>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</si>
  <si>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</si>
  <si>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</si>
  <si>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</si>
  <si>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</si>
  <si>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</si>
  <si>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</si>
  <si>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</si>
  <si>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</si>
  <si>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</si>
  <si>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</si>
  <si>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</si>
  <si>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</si>
  <si>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</si>
  <si>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</si>
  <si>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</si>
  <si>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</si>
  <si>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</si>
  <si>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</si>
  <si>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</si>
  <si>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</si>
  <si>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</si>
  <si>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</si>
  <si>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</si>
  <si>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</si>
  <si>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</si>
  <si>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</si>
  <si>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</si>
  <si>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</si>
  <si>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</si>
  <si>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</si>
  <si>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</si>
  <si>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</si>
  <si>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</si>
  <si>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</si>
  <si>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</si>
  <si>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</si>
  <si>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</si>
  <si>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</si>
  <si>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</si>
  <si>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</si>
  <si>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</si>
  <si>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</si>
  <si>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</si>
  <si>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</si>
  <si>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</si>
  <si>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</si>
  <si>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Zákonné poplatky</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</si>
  <si>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</si>
  <si>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</si>
  <si>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</si>
  <si>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</si>
  <si>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</si>
  <si>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</si>
  <si>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</si>
  <si>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</si>
  <si>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</si>
  <si>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</si>
  <si>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</si>
  <si>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</si>
  <si>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</si>
  <si>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</si>
  <si>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</si>
  <si>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</si>
  <si>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</si>
  <si>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</si>
  <si>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</si>
  <si>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</si>
  <si>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</si>
  <si>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</si>
  <si>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</si>
  <si>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</si>
  <si>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</si>
  <si>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</si>
  <si>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</si>
  <si>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</si>
  <si>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</si>
  <si>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</si>
  <si>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</si>
  <si>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</si>
  <si>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</si>
  <si>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</si>
  <si>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</si>
  <si>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</si>
  <si>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</si>
  <si>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</si>
  <si>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</si>
  <si>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</si>
  <si>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</si>
  <si>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</si>
  <si>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</si>
  <si>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r>
      <t>Spolu</t>
    </r>
    <r>
      <rPr>
        <sz val="12"/>
        <rFont val="Times New Roman"/>
        <family val="1"/>
      </rPr>
      <t xml:space="preserve"> [R1+R6+R7+R8]</t>
    </r>
  </si>
  <si>
    <t>Zamestnanci platení z dotácie MŠVVaŠ SR</t>
  </si>
  <si>
    <t xml:space="preserve">Nevyčerpaná dotácia (+) / nedoplatok dotácie (-) k 31. 12. predchádzajúceho roka  
[R4_SC = R6_SA]                         </t>
  </si>
  <si>
    <t>86a</t>
  </si>
  <si>
    <t>Projektovaná lôžková kapacita študentského domova k 31. 12. kalendárneho roka (v počte miest)</t>
  </si>
  <si>
    <t xml:space="preserve">1) V stĺpcoch B a D sa uvádza prepočítaný počet študentov určený ako počet osobomesiacov, počas ktorých bolo poskytované štipendium </t>
  </si>
  <si>
    <t>2) V stĺpcoch B a D sa uvádza celkový (fyzický) počet študentov, ktorým bolo v príslušnom roku poskytované štipendium .</t>
  </si>
  <si>
    <t>F = A+B+C+D+E</t>
  </si>
  <si>
    <t>J</t>
  </si>
  <si>
    <t>K</t>
  </si>
  <si>
    <t>10a</t>
  </si>
  <si>
    <t>G=A+B+C+D+E+F</t>
  </si>
  <si>
    <t>Poskytnuté príspevky z podielu zaplatenej dane</t>
  </si>
  <si>
    <t>Zost. cena predaného DNM a DHM</t>
  </si>
  <si>
    <t xml:space="preserve">zabezpečenie mobilít v súlade s medzinárodnými zmluvami </t>
  </si>
  <si>
    <t>Peniaze na ceste (účet 261)</t>
  </si>
  <si>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</si>
  <si>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</si>
  <si>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</si>
  <si>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Čerpanie z iných zdrojov</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</si>
  <si>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</si>
  <si>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</si>
  <si>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</si>
  <si>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</si>
  <si>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</si>
  <si>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r>
      <t xml:space="preserve">Pre účely výpočtu počtu zamestnancov bola použitá metóda </t>
    </r>
    <r>
      <rPr>
        <sz val="12"/>
        <color indexed="8"/>
        <rFont val="Tahoma"/>
        <family val="2"/>
        <charset val="238"/>
      </rPr>
      <t xml:space="preserve">- </t>
    </r>
    <r>
      <rPr>
        <b/>
        <sz val="10"/>
        <color indexed="8"/>
        <rFont val="Tahoma"/>
        <family val="2"/>
        <charset val="238"/>
      </rPr>
      <t>Priemerný evidenčný počet zamestnancov - prepočítaný počet</t>
    </r>
    <r>
      <rPr>
        <sz val="10"/>
        <color indexed="8"/>
        <rFont val="Tahoma"/>
        <family val="2"/>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t>
    </r>
  </si>
  <si>
    <r>
      <t>Tvorba fondu v kalendárnom roku spolu</t>
    </r>
    <r>
      <rPr>
        <sz val="12"/>
        <color indexed="8"/>
        <rFont val="Times New Roman"/>
        <family val="1"/>
      </rPr>
      <t xml:space="preserve"> SUM(R3:R10) </t>
    </r>
  </si>
  <si>
    <t>Číslo účtu/Poznámka</t>
  </si>
  <si>
    <t xml:space="preserve"> - štipendiá doktorandov  (účet 549 001, 549 016, 549 017)</t>
  </si>
  <si>
    <r>
      <t xml:space="preserve">Dotácie z kapitol štátneho rozpočtu okrem kapitoly MŠVVaŠ SR </t>
    </r>
    <r>
      <rPr>
        <sz val="12"/>
        <rFont val="Times New Roman"/>
        <family val="1"/>
      </rPr>
      <t xml:space="preserve"> (na zdroji 111) [SUM(R1a:R1...)]</t>
    </r>
  </si>
  <si>
    <t>Príjem z dotácie poskytnutej na sociálne štipendiá v rámci dotačnej zmluvy z kapitoly     MŠVVaŠ k 31.12.</t>
  </si>
  <si>
    <t>Fond na podporu štúdia študentov so špecifickými potrebami</t>
  </si>
  <si>
    <t>Účtová trieda 5 spolu r.01 až r.37</t>
  </si>
  <si>
    <r>
      <t xml:space="preserve">Počet študentov poberajúcich sociálne štipendiá </t>
    </r>
    <r>
      <rPr>
        <b/>
        <sz val="12"/>
        <rFont val="Times New Roman"/>
        <family val="1"/>
        <charset val="238"/>
      </rPr>
      <t xml:space="preserve"> </t>
    </r>
    <r>
      <rPr>
        <b/>
        <vertAlign val="superscript"/>
        <sz val="14"/>
        <rFont val="Times New Roman"/>
        <family val="1"/>
        <charset val="238"/>
      </rPr>
      <t>2)</t>
    </r>
  </si>
  <si>
    <r>
      <t xml:space="preserve">Počet študentov poberajúcich  štipendiá z vlastných zdrojov </t>
    </r>
    <r>
      <rPr>
        <b/>
        <vertAlign val="superscript"/>
        <sz val="12"/>
        <rFont val="Times New Roman"/>
        <family val="1"/>
        <charset val="238"/>
      </rPr>
      <t>2</t>
    </r>
    <r>
      <rPr>
        <b/>
        <sz val="12"/>
        <rFont val="Times New Roman"/>
        <family val="1"/>
        <charset val="238"/>
      </rPr>
      <t>)</t>
    </r>
    <r>
      <rPr>
        <b/>
        <sz val="12"/>
        <color indexed="10"/>
        <rFont val="Times New Roman"/>
        <family val="1"/>
        <charset val="238"/>
      </rPr>
      <t xml:space="preserve"> </t>
    </r>
  </si>
  <si>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</si>
  <si>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</si>
  <si>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</si>
  <si>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</si>
  <si>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</si>
  <si>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x</t>
  </si>
  <si>
    <t>Náklady spolu</t>
  </si>
  <si>
    <r>
      <t xml:space="preserve">Dotácie z kapitoly MŠVVaŠ SR spolu </t>
    </r>
    <r>
      <rPr>
        <sz val="12"/>
        <rFont val="Times New Roman"/>
        <family val="1"/>
        <charset val="238"/>
      </rPr>
      <t>[R1+R4]</t>
    </r>
  </si>
  <si>
    <r>
      <t xml:space="preserve">Dotácie z iných kapitol spolu </t>
    </r>
    <r>
      <rPr>
        <sz val="12"/>
        <rFont val="Times New Roman"/>
        <family val="1"/>
        <charset val="238"/>
      </rPr>
      <t>[SUM(R9:Ra...)]</t>
    </r>
  </si>
  <si>
    <r>
      <t>Dotácie z prostriedkov EÚ spolu</t>
    </r>
    <r>
      <rPr>
        <sz val="12"/>
        <color indexed="8"/>
        <rFont val="Times New Roman"/>
        <family val="1"/>
      </rPr>
      <t xml:space="preserve"> [R7+R8]</t>
    </r>
  </si>
  <si>
    <r>
      <t>Dotácia na kapitálové výdavky z prostriedkov EÚ (štrukturálnych fondov</t>
    </r>
    <r>
      <rPr>
        <b/>
        <sz val="12"/>
        <rFont val="Times New Roman"/>
        <family val="1"/>
        <charset val="238"/>
      </rPr>
      <t xml:space="preserve"> vrátane spolufinancovania)</t>
    </r>
  </si>
  <si>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</si>
  <si>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</si>
  <si>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</si>
  <si>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</si>
  <si>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</si>
  <si>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</si>
  <si>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</si>
  <si>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</si>
  <si>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</si>
  <si>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</si>
  <si>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</si>
  <si>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</si>
  <si>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</si>
  <si>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</si>
  <si>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telefón, fax  (účet 518 006, 518 056)</t>
  </si>
  <si>
    <t>- poštovné  (účet 518 008, 518 058)</t>
  </si>
  <si>
    <t>- odvoz odpadu  (účet 518 009, 518 059)</t>
  </si>
  <si>
    <t xml:space="preserve"> - odpisy DN a HM nadobudnutého z kapitálových dotácií zo ŠR 
(účet 551 100, 551 121, 551 123, 551 001, 551 003)</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</si>
  <si>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</si>
  <si>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</si>
  <si>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r>
      <t>- fondu reprodukcie (účet 656 400)</t>
    </r>
    <r>
      <rPr>
        <vertAlign val="superscript"/>
        <sz val="12"/>
        <color indexed="8"/>
        <rFont val="Times New Roman"/>
        <family val="1"/>
      </rPr>
      <t xml:space="preserve"> 2)</t>
    </r>
  </si>
  <si>
    <t>(uviesť zoznam všetkých dotácií, každú na zvláštny riadok, napr. podprogram 026 05)</t>
  </si>
  <si>
    <t>uvádzajú sa štipendiá vyplatené zo štátneho rozpočtu, kód v CRŠ: 1</t>
  </si>
  <si>
    <t>- iné analyticky sledované náklady (účet 511 006-008, 511 056)</t>
  </si>
  <si>
    <t xml:space="preserve"> - poistné náklady (havarijné, majetok, na študentov) (účet 549 004, 549 014, 549 015, 549 054)</t>
  </si>
  <si>
    <r>
      <t>Výnosy z poplatkov spojených so štúdiom</t>
    </r>
    <r>
      <rPr>
        <sz val="12"/>
        <rFont val="Times New Roman"/>
        <family val="1"/>
      </rPr>
      <t xml:space="preserve"> [S</t>
    </r>
    <r>
      <rPr>
        <sz val="12"/>
        <color indexed="8"/>
        <rFont val="Times New Roman"/>
        <family val="1"/>
        <charset val="238"/>
      </rPr>
      <t>UM (R8:R13</t>
    </r>
    <r>
      <rPr>
        <sz val="12"/>
        <rFont val="Times New Roman"/>
        <family val="1"/>
      </rPr>
      <t>)]</t>
    </r>
  </si>
  <si>
    <t>Priemerné platy</t>
  </si>
  <si>
    <t>I=H/D/12</t>
  </si>
  <si>
    <t>- vysokoškolskí učitelia s funkčným zaradením "profesor"                 *)</t>
  </si>
  <si>
    <t>*) medzi profesorov sa započítava aj funkčné zaradenie "hosťujúci profesor"</t>
  </si>
  <si>
    <r>
      <t xml:space="preserve">Kategória zamestnancov - </t>
    </r>
    <r>
      <rPr>
        <b/>
        <sz val="12"/>
        <color indexed="10"/>
        <rFont val="Times New Roman"/>
        <family val="1"/>
        <charset val="238"/>
      </rPr>
      <t>žien</t>
    </r>
    <r>
      <rPr>
        <b/>
        <sz val="12"/>
        <rFont val="Times New Roman"/>
        <family val="1"/>
      </rPr>
      <t xml:space="preserve">
</t>
    </r>
  </si>
  <si>
    <t xml:space="preserve">- náklady na tvorbu ostatných fondov (účty  556 510, 556 520) </t>
  </si>
  <si>
    <t>- ostatných fondov (účet  656 510, 656 520)</t>
  </si>
  <si>
    <t>- náklady na tvorbu fondu na podporu štúdia študentov so špecifickými potrebami 
  (účet 556 300)</t>
  </si>
  <si>
    <t>- fondu na podporu štúdia študentov so špecifickými potrebami 
  (účet 656 300)</t>
  </si>
  <si>
    <r>
      <t xml:space="preserve">zdroj 11S  + </t>
    </r>
    <r>
      <rPr>
        <b/>
        <sz val="12"/>
        <color indexed="10"/>
        <rFont val="Times New Roman"/>
        <family val="1"/>
        <charset val="238"/>
      </rPr>
      <t xml:space="preserve">13S </t>
    </r>
    <r>
      <rPr>
        <b/>
        <sz val="12"/>
        <rFont val="Times New Roman"/>
        <family val="1"/>
        <charset val="238"/>
      </rPr>
      <t>spolu</t>
    </r>
  </si>
  <si>
    <r>
      <t xml:space="preserve">zdroj 11S1; </t>
    </r>
    <r>
      <rPr>
        <b/>
        <sz val="12"/>
        <color indexed="10"/>
        <rFont val="Times New Roman"/>
        <family val="1"/>
        <charset val="238"/>
      </rPr>
      <t>13S1</t>
    </r>
  </si>
  <si>
    <r>
      <t xml:space="preserve">zdroj 11S2; </t>
    </r>
    <r>
      <rPr>
        <b/>
        <sz val="12"/>
        <color indexed="10"/>
        <rFont val="Times New Roman"/>
        <family val="1"/>
        <charset val="238"/>
      </rPr>
      <t>13S2</t>
    </r>
  </si>
  <si>
    <r>
      <t>zdroj 11T  +</t>
    </r>
    <r>
      <rPr>
        <b/>
        <sz val="12"/>
        <color indexed="10"/>
        <rFont val="Times New Roman"/>
        <family val="1"/>
        <charset val="238"/>
      </rPr>
      <t xml:space="preserve"> 13T</t>
    </r>
    <r>
      <rPr>
        <b/>
        <sz val="12"/>
        <rFont val="Times New Roman"/>
        <family val="1"/>
        <charset val="238"/>
      </rPr>
      <t xml:space="preserve"> spolu</t>
    </r>
  </si>
  <si>
    <r>
      <t xml:space="preserve">zdroj 11T1; </t>
    </r>
    <r>
      <rPr>
        <b/>
        <sz val="12"/>
        <color indexed="10"/>
        <rFont val="Times New Roman"/>
        <family val="1"/>
        <charset val="238"/>
      </rPr>
      <t>13T1</t>
    </r>
  </si>
  <si>
    <r>
      <t xml:space="preserve">zdroj 11T2; </t>
    </r>
    <r>
      <rPr>
        <b/>
        <sz val="12"/>
        <color indexed="10"/>
        <rFont val="Times New Roman"/>
        <family val="1"/>
        <charset val="238"/>
      </rPr>
      <t>13T2</t>
    </r>
  </si>
  <si>
    <r>
      <rPr>
        <vertAlign val="superscript"/>
        <sz val="12"/>
        <rFont val="Times New Roman"/>
        <family val="1"/>
        <charset val="238"/>
      </rPr>
      <t>1)</t>
    </r>
    <r>
      <rPr>
        <sz val="12"/>
        <rFont val="Times New Roman"/>
        <family val="1"/>
        <charset val="238"/>
      </rPr>
      <t xml:space="preserve">  v riadku 6 sa uvádzajú len cudzinci, ktorým nevznikla povinnosť uhradiť školné z dôvodov uvedených v riadkoch 2 až 5</t>
    </r>
  </si>
  <si>
    <r>
      <t xml:space="preserve">Spolu </t>
    </r>
    <r>
      <rPr>
        <sz val="12"/>
        <rFont val="Times New Roman"/>
        <family val="1"/>
      </rPr>
      <t>[R1+R14+R21+R22+R27+R35+R38+R39+R55+SUM (R61:R63) +SUM (R70:R74)+R84+R93+R94]</t>
    </r>
  </si>
  <si>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</si>
  <si>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</si>
  <si>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uvádzajú sa len štipendiá vyplatené z vlastných zdrojov, v CRŠ kód 9</t>
  </si>
  <si>
    <t>z toho PČ (jednou sumou z R15,SG)</t>
  </si>
  <si>
    <t>Výpočet</t>
  </si>
  <si>
    <t>Priemerné platy mužov</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</si>
  <si>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</si>
  <si>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</si>
  <si>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</si>
  <si>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</si>
  <si>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</si>
  <si>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r>
      <t xml:space="preserve">Do tabuľky sa uvádzajú aj </t>
    </r>
    <r>
      <rPr>
        <b/>
        <sz val="10"/>
        <color indexed="10"/>
        <rFont val="Times New Roman"/>
        <family val="1"/>
        <charset val="238"/>
      </rPr>
      <t>motivačné štipendiá doktorandov</t>
    </r>
    <r>
      <rPr>
        <sz val="10"/>
        <color indexed="10"/>
        <rFont val="Times New Roman"/>
        <family val="1"/>
      </rPr>
      <t>, nie však "normálne" štipendiá doktorandov podľa platovej tabuľky!!</t>
    </r>
  </si>
  <si>
    <t>L= G+H+I+J+K</t>
  </si>
  <si>
    <t>-za dosiahnutie vynikajúceho výsledku v oblasti štúdia [R6+R7]</t>
  </si>
  <si>
    <t>-za dosiahnutie vynikajúceho výsledku vo výskume a vývoji [R9+R10]</t>
  </si>
  <si>
    <r>
      <t xml:space="preserve">- za umeleckú alebo športovú činnosť </t>
    </r>
    <r>
      <rPr>
        <sz val="12"/>
        <rFont val="Times New Roman"/>
        <family val="1"/>
        <charset val="238"/>
      </rPr>
      <t xml:space="preserve">[R11+R12]  </t>
    </r>
    <r>
      <rPr>
        <b/>
        <sz val="12"/>
        <rFont val="Times New Roman"/>
        <family val="1"/>
        <charset val="238"/>
      </rPr>
      <t xml:space="preserve">                                                     </t>
    </r>
  </si>
  <si>
    <r>
      <t xml:space="preserve">- na sociálnu podporu </t>
    </r>
    <r>
      <rPr>
        <sz val="12"/>
        <rFont val="Times New Roman"/>
        <family val="1"/>
        <charset val="238"/>
      </rPr>
      <t>[R15+R16]</t>
    </r>
  </si>
  <si>
    <r>
      <t xml:space="preserve">Štipendiá z vlastných zdrojov vysokej školy (§ 97 zákona) spolu </t>
    </r>
    <r>
      <rPr>
        <sz val="12"/>
        <rFont val="Times New Roman"/>
        <family val="1"/>
        <charset val="238"/>
      </rPr>
      <t xml:space="preserve">[R2+R5+R8+R11+R14] </t>
    </r>
  </si>
  <si>
    <r>
      <t xml:space="preserve">Priemerný evidenčný prepočítaný počet </t>
    </r>
    <r>
      <rPr>
        <b/>
        <sz val="12"/>
        <rFont val="Times New Roman"/>
        <family val="1"/>
        <charset val="238"/>
      </rPr>
      <t>žien</t>
    </r>
    <r>
      <rPr>
        <b/>
        <sz val="12"/>
        <rFont val="Times New Roman"/>
        <family val="1"/>
      </rPr>
      <t xml:space="preserve"> za rok 2016</t>
    </r>
  </si>
  <si>
    <t>Stav k 31. 12. 2016</t>
  </si>
  <si>
    <t>Náklady
hlavnej činnosti
2016</t>
  </si>
  <si>
    <t>Zmeny stavu zásob vlastnej výroby (účtová skupina 611-614)</t>
  </si>
  <si>
    <t>Aktivácia (účet 621-624)</t>
  </si>
  <si>
    <t>Príspevky z podielu zaplatenej dane (účet 665)</t>
  </si>
  <si>
    <t>- ostatný materiál (účet 501 099, 501 030, 501 100, 501 599)</t>
  </si>
  <si>
    <t>- ostatné energie (502 099)</t>
  </si>
  <si>
    <t>- dopravné služby (účet 518 012, 518 512)</t>
  </si>
  <si>
    <t>- Náklady účtovnej skupiny 54  okrem nákladov účtu 549 (541 až 548)</t>
  </si>
  <si>
    <t>- ostatné náklady z účtovej skupiny 55 (účty 552, 553, 554, 557, 558, 559)</t>
  </si>
  <si>
    <t>- chemikálie a ostatný materiál pre zabezpečenie experimentálnej výučby  (účet 501 002, 501 052)</t>
  </si>
  <si>
    <t xml:space="preserve">    - Podpora štud. so špecifickými potrebami podľa §100  (549 018) </t>
  </si>
  <si>
    <t>81a</t>
  </si>
  <si>
    <t>- náklady na tvorbu fondu reprodukcie (účet 556 400) (z predaja a likvidácie majetku)</t>
  </si>
  <si>
    <t xml:space="preserve"> - štipendiá z vlastných zdrojov (549 007-010, 549 019, 549 020) </t>
  </si>
  <si>
    <t xml:space="preserve"> - ostatné iné náklady (účet 549 098, 549 099, 549 011, 549 013)</t>
  </si>
  <si>
    <t xml:space="preserve"> - iné analyticky sledované náklady (účet 549 005-006, 549 012)</t>
  </si>
  <si>
    <t>- tvorba fondu z výnosov z predaja (a likvidácie) majetku (účet 413 117)</t>
  </si>
  <si>
    <t>- iné analyticky sledované výnosy (účty 602 002-007, 602 011-019, 602 099, 602 199)</t>
  </si>
  <si>
    <r>
      <t xml:space="preserve">1) V </t>
    </r>
    <r>
      <rPr>
        <sz val="12"/>
        <color rgb="FF0000FF"/>
        <rFont val="Times New Roman"/>
        <family val="1"/>
        <charset val="238"/>
      </rPr>
      <t xml:space="preserve">R50-54 </t>
    </r>
    <r>
      <rPr>
        <sz val="12"/>
        <color rgb="FFFF0000"/>
        <rFont val="Times New Roman"/>
        <family val="1"/>
      </rPr>
      <t xml:space="preserve">sa uvedú výnosy účtované v súvislosti s použitím  príslušného fondu.  </t>
    </r>
  </si>
  <si>
    <t>- vložné na konferencie (649 018)</t>
  </si>
  <si>
    <t>Prijaté príspevky z verejných zbierok (667)</t>
  </si>
  <si>
    <r>
      <t xml:space="preserve"> - MZDY (účty 521 001-008, 521 012, 521 013, </t>
    </r>
    <r>
      <rPr>
        <sz val="12"/>
        <rFont val="Times New Roman"/>
        <family val="1"/>
        <charset val="238"/>
      </rPr>
      <t>581 003</t>
    </r>
    <r>
      <rPr>
        <sz val="12"/>
        <color theme="1"/>
        <rFont val="Times New Roman"/>
        <family val="1"/>
      </rPr>
      <t>)</t>
    </r>
  </si>
  <si>
    <r>
      <t>Spotreba materiálu (účet 501)</t>
    </r>
    <r>
      <rPr>
        <sz val="12"/>
        <color indexed="8"/>
        <rFont val="Times New Roman"/>
        <family val="1"/>
      </rPr>
      <t xml:space="preserve"> </t>
    </r>
    <r>
      <rPr>
        <sz val="12"/>
        <color rgb="FF0000FF"/>
        <rFont val="Times New Roman"/>
        <family val="1"/>
        <charset val="238"/>
      </rPr>
      <t>[SUM(R2:R13)]</t>
    </r>
  </si>
  <si>
    <r>
      <t>Spotreba energie (účet 502)</t>
    </r>
    <r>
      <rPr>
        <sz val="12"/>
        <color indexed="8"/>
        <rFont val="Times New Roman"/>
        <family val="1"/>
      </rPr>
      <t xml:space="preserve"> </t>
    </r>
    <r>
      <rPr>
        <sz val="12"/>
        <color rgb="FF0000FF"/>
        <rFont val="Times New Roman"/>
        <family val="1"/>
        <charset val="238"/>
      </rPr>
      <t>[SUM(R15:R20)]</t>
    </r>
  </si>
  <si>
    <r>
      <t>Predaný tovar (účet 504)</t>
    </r>
    <r>
      <rPr>
        <sz val="12"/>
        <color rgb="FF0000FF"/>
        <rFont val="Times New Roman"/>
        <family val="1"/>
        <charset val="238"/>
      </rPr>
      <t xml:space="preserve"> [SUM(R23:R26)]</t>
    </r>
  </si>
  <si>
    <r>
      <t>Opravy a udržiavanie (účet 511)</t>
    </r>
    <r>
      <rPr>
        <sz val="12"/>
        <color indexed="8"/>
        <rFont val="Times New Roman"/>
        <family val="1"/>
      </rPr>
      <t xml:space="preserve"> </t>
    </r>
    <r>
      <rPr>
        <sz val="12"/>
        <color rgb="FF0000FF"/>
        <rFont val="Times New Roman"/>
        <family val="1"/>
        <charset val="238"/>
      </rPr>
      <t>[SUM(R28:R34)]</t>
    </r>
  </si>
  <si>
    <r>
      <t>Cestovné (účet 512)</t>
    </r>
    <r>
      <rPr>
        <sz val="12"/>
        <color indexed="8"/>
        <rFont val="Times New Roman"/>
        <family val="1"/>
      </rPr>
      <t xml:space="preserve"> [</t>
    </r>
    <r>
      <rPr>
        <sz val="12"/>
        <color rgb="FF0000FF"/>
        <rFont val="Times New Roman"/>
        <family val="1"/>
        <charset val="238"/>
      </rPr>
      <t>SUM(R36:R37)]</t>
    </r>
  </si>
  <si>
    <r>
      <t>Mzdové náklady (účet 521)</t>
    </r>
    <r>
      <rPr>
        <sz val="12"/>
        <color indexed="8"/>
        <rFont val="Times New Roman"/>
        <family val="1"/>
      </rPr>
      <t xml:space="preserve">  </t>
    </r>
    <r>
      <rPr>
        <sz val="12"/>
        <color rgb="FF0000FF"/>
        <rFont val="Times New Roman"/>
        <family val="1"/>
        <charset val="238"/>
      </rPr>
      <t>[SUM(R56:R57)]</t>
    </r>
  </si>
  <si>
    <r>
      <t xml:space="preserve"> - OON </t>
    </r>
    <r>
      <rPr>
        <sz val="12"/>
        <color rgb="FF0000FF"/>
        <rFont val="Times New Roman"/>
        <family val="1"/>
        <charset val="238"/>
      </rPr>
      <t>[SUM(R58:R60)]</t>
    </r>
  </si>
  <si>
    <r>
      <t xml:space="preserve">Zákonné sociálne náklady (účet 527) </t>
    </r>
    <r>
      <rPr>
        <sz val="12"/>
        <color rgb="FF0000FF"/>
        <rFont val="Times New Roman"/>
        <family val="1"/>
        <charset val="238"/>
      </rPr>
      <t>[SUM(R64:R69)]</t>
    </r>
  </si>
  <si>
    <r>
      <t>Ostatné náklady (účtová skupina 54)</t>
    </r>
    <r>
      <rPr>
        <sz val="12"/>
        <color indexed="8"/>
        <rFont val="Times New Roman"/>
        <family val="1"/>
      </rPr>
      <t xml:space="preserve"> </t>
    </r>
    <r>
      <rPr>
        <sz val="12"/>
        <color rgb="FF0000FF"/>
        <rFont val="Times New Roman"/>
        <family val="1"/>
        <charset val="238"/>
      </rPr>
      <t>[R75+ R76]</t>
    </r>
  </si>
  <si>
    <r>
      <t xml:space="preserve">Odpisy, predaný majetok a opravné položky (účtová skupina 55: 551 až 558) </t>
    </r>
    <r>
      <rPr>
        <sz val="12"/>
        <color rgb="FF0000FF"/>
        <rFont val="Times New Roman"/>
        <family val="1"/>
        <charset val="238"/>
      </rPr>
      <t>[SUM(R85:R92)]</t>
    </r>
  </si>
  <si>
    <t>chýba 713006 - komunikačná infraštruktúra</t>
  </si>
  <si>
    <t>- telekomunikačná technika  (713 003), komunikačná infraštruktúra (713 006)</t>
  </si>
  <si>
    <r>
      <t xml:space="preserve">Príjem z dotácie na motivačné štipendiá z kapitoly MŠVVaŠ SR v kalendárnom roku </t>
    </r>
    <r>
      <rPr>
        <sz val="12"/>
        <rFont val="Times New Roman"/>
        <family val="1"/>
        <charset val="238"/>
      </rPr>
      <t xml:space="preserve"> </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</si>
  <si>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</si>
  <si>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</si>
  <si>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t xml:space="preserve">1) v riadku 5 sa uvedie celkový fyzický počet študentov (pričom 1 študent sa počíta za 1 fyzickú osobu), ktorým bolo vyplatené motivačné štipendium v kalendárnom roku </t>
  </si>
  <si>
    <t>2) uvádzajú sa len motivačné štipendiá vyplatené podľa § 96a, ods.1, písm. a) (kód CRŠ 19)</t>
  </si>
  <si>
    <t>3) uvádzajú sa len motivačné štipendiá vyplatené podľa § 96a, ods.1, písm. b) (kódy v  CRŠ: 4, 5, 6, 7, 8)</t>
  </si>
  <si>
    <r>
      <t xml:space="preserve">mot. štipendiá podľa 
§ 96a, ods.1, písm. a)
</t>
    </r>
    <r>
      <rPr>
        <b/>
        <sz val="12"/>
        <rFont val="Times New Roman"/>
        <family val="1"/>
        <charset val="238"/>
      </rPr>
      <t>(kód v CRŠ: 19)</t>
    </r>
    <r>
      <rPr>
        <vertAlign val="superscript"/>
        <sz val="12"/>
        <rFont val="Times New Roman"/>
        <family val="1"/>
        <charset val="238"/>
      </rPr>
      <t>2)</t>
    </r>
  </si>
  <si>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</si>
  <si>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t>- dary (účet 649 009) (646 001) (646 002)</t>
  </si>
  <si>
    <t>- iné analyticky sledované náklady (účty 501 005-006, 501 013-018, 501 077, 501 515)</t>
  </si>
  <si>
    <t>- zahraničné cestovné  (účet 512 002, 512 003,512 004, 512 052)</t>
  </si>
  <si>
    <t xml:space="preserve"> - odpisy ostatného DN a HM (účet 551 200, 551 221, 551 223, 551 400, 551 500, 551 900, 551 921, 551 923)</t>
  </si>
  <si>
    <t xml:space="preserve"> - odpisy DN a HM nadobudnutého z kapitálových dotácií z EÚ (zo štrukturálnych fondov) (účet 551 300, 551 321, 551 323 )</t>
  </si>
  <si>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2017</t>
    </r>
    <r>
      <rPr>
        <b/>
        <sz val="14"/>
        <color rgb="FFFF0000"/>
        <rFont val="Times New Roman"/>
        <family val="1"/>
        <charset val="238"/>
      </rPr>
      <t xml:space="preserve">  </t>
    </r>
    <r>
      <rPr>
        <b/>
        <sz val="14"/>
        <rFont val="Times New Roman"/>
        <family val="1"/>
      </rPr>
      <t xml:space="preserve">na programe 077 </t>
    </r>
  </si>
  <si>
    <r>
      <t>Tabuľka č. 2: Príjmy verejnej vysokej školy v roku 2017</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</si>
  <si>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3: Výnosy verejnej vysokej školy v rokoch 2016 a 2017</t>
  </si>
  <si>
    <t>Rozdiel 2017-2016</t>
  </si>
  <si>
    <r>
      <t>Tabuľka č. 4: Výnosy verejnej vysokej školy zo školného a z poplatkov spojených so štúdiom  
v rokoch 2016</t>
    </r>
    <r>
      <rPr>
        <b/>
        <sz val="14"/>
        <color rgb="FFFF0000"/>
        <rFont val="Times New Roman"/>
        <family val="1"/>
        <charset val="238"/>
      </rPr>
      <t xml:space="preserve"> </t>
    </r>
    <r>
      <rPr>
        <b/>
        <sz val="14"/>
        <rFont val="Times New Roman"/>
        <family val="1"/>
        <charset val="238"/>
      </rPr>
      <t>a 2017</t>
    </r>
    <r>
      <rPr>
        <b/>
        <sz val="14"/>
        <color rgb="FFFF0000"/>
        <rFont val="Times New Roman"/>
        <family val="1"/>
        <charset val="238"/>
      </rPr>
      <t xml:space="preserve"> </t>
    </r>
  </si>
  <si>
    <t>Tabuľka č. 5: Náklady verejnej vysokej školy v rokoch 2016 a 2017</t>
  </si>
  <si>
    <t>Tabuľka č. 6: Zamestnanci a náklady na mzdy verejnej vysokej školy v roku 2017</t>
  </si>
  <si>
    <t>Priemerný evidenčný prepočítaný počet zamestnancov za rok 2017</t>
  </si>
  <si>
    <t xml:space="preserve">Tabuľka č. 7: Náklady verejnej vysokej školy na štipendiá interných doktorandov v roku 2017 </t>
  </si>
  <si>
    <t>Tabuľka č. 8: Údaje o systéme sociálnej podpory - časť  sociálne štipendiá  (§ 96 zákona) 
za roky 2016 a 2017</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</si>
  <si>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2016 a 2017</t>
    </r>
  </si>
  <si>
    <t>Tabuľka č. 11: Zdroje verejnej vysokej školy na obstaranie a technické zhodnotenie dlhodobého  majetku v rokoch 2016 a 2017</t>
  </si>
  <si>
    <t>Tabuľka č. 12: Výdavky verejnej vysokej školy na obstaranie a technické zhodnotenie dlhodobého majetku v roku 2017</t>
  </si>
  <si>
    <t>Čerpanie kapitálovej dotácie v roku 2017
zo štátneho rozpočtu</t>
  </si>
  <si>
    <r>
      <t xml:space="preserve">Čerpanie kapitálovej dotácie v roku 2017
</t>
    </r>
    <r>
      <rPr>
        <b/>
        <sz val="11"/>
        <color indexed="8"/>
        <rFont val="Times New Roman"/>
        <family val="1"/>
      </rPr>
      <t>z prostriedkov EÚ (štrukturálnych fondov)</t>
    </r>
  </si>
  <si>
    <t xml:space="preserve">Čerpanie bežnej dotácie v roku 2017 prostredníctvom fondu reprodukcie </t>
  </si>
  <si>
    <t>Tabuľka č. 13: Stav a vývoj finančných fondov verejnej vysokej školy v rokoch 2016 a 2017</t>
  </si>
  <si>
    <t>Tabuľka č. 16: Štruktúra a stav finančných prostriedkov na bankových účtoch verejnej vysokej školy
   k 31. decembru 2017</t>
  </si>
  <si>
    <t>Stav účtu k 31.12.2017</t>
  </si>
  <si>
    <t>Tabuľka č. 17: Príjmy verejnej vysokej školy z prostriedkov EÚ a z prostriedkov na ich spolufinancovanie 
zo štátneho rozpočtu z kapitoly MŠVVaŠ SR a z iných kapitol štátneho rozpočtu v roku 2017</t>
  </si>
  <si>
    <r>
      <t>Tabuľka č. 18: Príjmy z dotácií verejnej vysokej škole zo štátneho rozpočtu z kapitoly MŠVVaŠ SR 
poskytnuté mimo programu 077 a mimo príjmov z prostriedkov EÚ (zo štrukturálnych fondov) v roku 2017</t>
    </r>
    <r>
      <rPr>
        <sz val="14"/>
        <color rgb="FFFF0000"/>
        <rFont val="Times New Roman"/>
        <family val="1"/>
        <charset val="238"/>
      </rPr>
      <t xml:space="preserve"> </t>
    </r>
    <r>
      <rPr>
        <sz val="14"/>
        <rFont val="Times New Roman"/>
        <family val="1"/>
      </rPr>
      <t xml:space="preserve">
</t>
    </r>
  </si>
  <si>
    <t xml:space="preserve">Tabuľka č. 19: Štipendiá z vlastných zdrojov podľa § 97 zákona v rokoch 2016 a 2017 </t>
  </si>
  <si>
    <r>
      <t xml:space="preserve">  - poskytované mesačne </t>
    </r>
    <r>
      <rPr>
        <vertAlign val="superscript"/>
        <sz val="12"/>
        <rFont val="Times New Roman"/>
        <family val="1"/>
      </rPr>
      <t>1)</t>
    </r>
  </si>
  <si>
    <t xml:space="preserve">Tabuľka č. 20: Motivačné štipendiá  v rokoch 2016 a 2017 (v zmysle § 96a zákona )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</si>
  <si>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v rokoch 2016 a 2017</t>
    </r>
    <r>
      <rPr>
        <b/>
        <sz val="14"/>
        <color rgb="FFFF0000"/>
        <rFont val="Times New Roman"/>
        <family val="1"/>
        <charset val="238"/>
      </rPr>
      <t xml:space="preserve"> </t>
    </r>
  </si>
  <si>
    <t>Stav k 31. 12. 2017</t>
  </si>
  <si>
    <t xml:space="preserve">Tabuľka č. 22: Výnosy verejnej vysokej školy v roku 2017 v oblasti sociálnej podpory študentov </t>
  </si>
  <si>
    <t>Výnosy
v hlavnej činnosti
2016</t>
  </si>
  <si>
    <r>
      <t>Výnosy
hlavnej činnosti
2017</t>
    </r>
    <r>
      <rPr>
        <sz val="12"/>
        <color indexed="10"/>
        <rFont val="Times New Roman"/>
        <family val="1"/>
        <charset val="238"/>
      </rPr>
      <t xml:space="preserve"> </t>
    </r>
  </si>
  <si>
    <t xml:space="preserve">Tabuľka č .23:  Náklady verejnej vysokej školy  v roku 2017 v oblasti sociálnej podpory študentov </t>
  </si>
  <si>
    <t>Náklady
hlavnej činnosti
2017</t>
  </si>
  <si>
    <r>
      <t>Rozdiel 2017-2016</t>
    </r>
    <r>
      <rPr>
        <sz val="12"/>
        <color indexed="10"/>
        <rFont val="Times New Roman"/>
        <family val="1"/>
        <charset val="238"/>
      </rPr>
      <t xml:space="preserve"> </t>
    </r>
  </si>
  <si>
    <t>K=A+C+E+G+I</t>
  </si>
  <si>
    <t>L=B+D+F+H+J</t>
  </si>
  <si>
    <t>Výnos z dotácie zo štátneho rozpočtu na študentské domovy (vrátane zmluvných zariadení a valorizácie miezd ŠJ)</t>
  </si>
  <si>
    <t>Tabuľka č. 6a: Zamestnanci a náklady na mzdy verejnej vysokej školy v roku 2017   -   len  ženy  a výpočet priemerného platu mužov</t>
  </si>
  <si>
    <t xml:space="preserve"> - príspevok zamestnancom na stravovanie  (účet 527 002, 527 052)</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</si>
  <si>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</si>
  <si>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</si>
  <si>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r>
      <t xml:space="preserve">Výnosy z použitia fondov (účet 656) [SUM(R50:R54)]  </t>
    </r>
    <r>
      <rPr>
        <b/>
        <vertAlign val="superscript"/>
        <sz val="12"/>
        <color theme="1"/>
        <rFont val="Times New Roman"/>
        <family val="1"/>
      </rPr>
      <t xml:space="preserve"> 1)</t>
    </r>
  </si>
  <si>
    <t>Prijaté príspevky od fyzických osôb 663</t>
  </si>
  <si>
    <t>V prípade, že ešte niektorá VVŠ vypláca doktorandské štipendiá pozadu (ako "mzdy zamestancom"), výška nákladov vykazovaná k 31.12.2017 zohľadňuje aj úhradu štipendií doktorandov, vyplatených v januári  2018 za december 2017</t>
  </si>
  <si>
    <r>
      <t xml:space="preserve">Počet osobomesiacov interných doktorandov </t>
    </r>
    <r>
      <rPr>
        <b/>
        <sz val="12"/>
        <color rgb="FF0000FF"/>
        <rFont val="Times New Roman"/>
        <family val="1"/>
        <charset val="238"/>
      </rPr>
      <t xml:space="preserve">spolu </t>
    </r>
    <r>
      <rPr>
        <b/>
        <sz val="12"/>
        <color theme="1"/>
        <rFont val="Times New Roman"/>
        <family val="1"/>
        <charset val="238"/>
      </rPr>
      <t>za 2017</t>
    </r>
  </si>
  <si>
    <r>
      <t xml:space="preserve">Náklady na štipendiá interných doktorandov </t>
    </r>
    <r>
      <rPr>
        <b/>
        <sz val="12"/>
        <color rgb="FF0000FF"/>
        <rFont val="Times New Roman"/>
        <family val="1"/>
        <charset val="238"/>
      </rPr>
      <t>spolu</t>
    </r>
  </si>
  <si>
    <t>C = A+B</t>
  </si>
  <si>
    <r>
      <t xml:space="preserve">z iných zdrojov
 </t>
    </r>
    <r>
      <rPr>
        <b/>
        <sz val="12"/>
        <color rgb="FFFF0000"/>
        <rFont val="Times New Roman"/>
        <family val="1"/>
        <charset val="238"/>
      </rPr>
      <t>kód 13</t>
    </r>
  </si>
  <si>
    <t>z  dotácií 
(ostatné kódy okrem kódu 13)</t>
  </si>
  <si>
    <t>- za súbežné štúdium v dennej forme  (§ 92 ods. 5, 648 026)</t>
  </si>
  <si>
    <t>- za prekročenie štandardnej dĺžky štúdia v dennej forme (§ 92 ods. 6) (648 001)</t>
  </si>
  <si>
    <t xml:space="preserve"> - za cudzojazyčné štúdium dennou formou (§ 92 ods. 8 a 9) (648 002, 648 023)</t>
  </si>
  <si>
    <t>- za externú formu štúdia (§ 92 ods. 4) (648 020)</t>
  </si>
  <si>
    <t xml:space="preserve">- za prijímacie konanie (§ 92 ods. 12 zákona) (účet 648 003) </t>
  </si>
  <si>
    <t xml:space="preserve">- za rigorózne konanie (§ 92 ods. 13 zákona) (účet 648 004) </t>
  </si>
  <si>
    <t xml:space="preserve">- za vydanie diplomu za rigorózne konanie (§ 92 ods. 14 zákona)  (účet 648 005) </t>
  </si>
  <si>
    <t>- za vydanie dokladov o štúdiu a ich kópií (§ 92 ods. 15 zákona) (účet 648 006)</t>
  </si>
  <si>
    <t>- za vydanie dokladov o absolvovaní štúdia v štátnom jazyku a v jazyku požadovanom študentom a ich kópií  (§ 92 ods. 15 zákona) (účet 648 024)</t>
  </si>
  <si>
    <r>
      <t xml:space="preserve"> - za uznávanie rovnocennosti dokladov o štúdiu (§ 92 ods. 15 zákona) (účet 648 025) </t>
    </r>
    <r>
      <rPr>
        <vertAlign val="superscript"/>
        <sz val="12"/>
        <rFont val="Times New Roman"/>
        <family val="1"/>
        <charset val="238"/>
      </rPr>
      <t/>
    </r>
  </si>
  <si>
    <t>Výnosy zo školného (účet 648) [SUM(R21:R24)]</t>
  </si>
  <si>
    <t>- poplatky za vydanie dokladov o absolvovaní štúdia (§92, ods. 15, účet 648 024)</t>
  </si>
  <si>
    <t>- poplatky za uznávanie rovnocennosti dokladov o štúdiu (§92, ods. 15, účet 648 025)</t>
  </si>
  <si>
    <t>za rok 2016 sa údaje tabuľky  plnia z účtu 649* a za rok 2017   sa plnia z účtu 648*</t>
  </si>
  <si>
    <t>- školné za prekročenie štandardnej dĺžky štúdia účet 648 001</t>
  </si>
  <si>
    <t>- školné od cudzincov (§ 92 ods. 9 zákona) účty  648 002, 648  023</t>
  </si>
  <si>
    <t>- školné od externých študentov (§ 92 ods. 4  zákona)  účet 648 020</t>
  </si>
  <si>
    <t>- poplatky za súbežné štúdium (§ 92, ods. 5) účet  648 026</t>
  </si>
  <si>
    <t>- poplatky za prijímacie konanie (§ 92, ods. 10)  účet 648 003</t>
  </si>
  <si>
    <t>- poplatky za rigorózne konanie (§ 92, ods. 11) účet 648 004</t>
  </si>
  <si>
    <t>- poplatky za rigorózne konanie - vydanie diplómu účet 648 005</t>
  </si>
  <si>
    <t>- poplatky za vydanie dokladov o štúdiu, účet  648 006,</t>
  </si>
  <si>
    <t xml:space="preserve">- iné analyticky sledované náklady (účty 518 003, 518 013, 518 015-018, 518 020-030, 518 031-035, 518 040, 518 041, 518 529, 518 530, 518 599, 518 099, ) </t>
  </si>
  <si>
    <r>
      <t>Výnosy z poplatkov spojených so štúdiom (účet 648) [SUM(R26:R</t>
    </r>
    <r>
      <rPr>
        <b/>
        <sz val="12"/>
        <color rgb="FF0000FF"/>
        <rFont val="Times New Roman"/>
        <family val="1"/>
        <charset val="238"/>
      </rPr>
      <t>31</t>
    </r>
    <r>
      <rPr>
        <b/>
        <sz val="12"/>
        <color rgb="FFFF0000"/>
        <rFont val="Times New Roman"/>
        <family val="1"/>
        <charset val="238"/>
      </rPr>
      <t xml:space="preserve">)] </t>
    </r>
  </si>
  <si>
    <r>
      <t xml:space="preserve">Spolu </t>
    </r>
    <r>
      <rPr>
        <sz val="11"/>
        <color theme="1"/>
        <rFont val="Times New Roman"/>
        <family val="1"/>
        <charset val="238"/>
      </rPr>
      <t>[R1+R6+SUM(R11:R16)+R19+R20+R25</t>
    </r>
    <r>
      <rPr>
        <sz val="11"/>
        <color rgb="FF0000FF"/>
        <rFont val="Times New Roman"/>
        <family val="1"/>
        <charset val="238"/>
      </rPr>
      <t>+R32</t>
    </r>
    <r>
      <rPr>
        <sz val="11"/>
        <color theme="1"/>
        <rFont val="Times New Roman"/>
        <family val="1"/>
        <charset val="238"/>
      </rPr>
      <t>+R33+SUM(R44:R49)+SUM(R55:R61)]</t>
    </r>
  </si>
  <si>
    <r>
      <t xml:space="preserve"> - cudzinci podľa prechodných ustanovení </t>
    </r>
    <r>
      <rPr>
        <vertAlign val="superscript"/>
        <sz val="12"/>
        <color rgb="FF0000FF"/>
        <rFont val="Times New Roman"/>
        <family val="1"/>
      </rPr>
      <t>1)</t>
    </r>
  </si>
  <si>
    <r>
      <t>Ostatné služby (účet 518)</t>
    </r>
    <r>
      <rPr>
        <sz val="12"/>
        <color indexed="8"/>
        <rFont val="Times New Roman"/>
        <family val="1"/>
      </rPr>
      <t xml:space="preserve"> </t>
    </r>
    <r>
      <rPr>
        <sz val="12"/>
        <color rgb="FF0000FF"/>
        <rFont val="Times New Roman"/>
        <family val="1"/>
        <charset val="238"/>
      </rPr>
      <t xml:space="preserve">[SUM(R40:R54)]   </t>
    </r>
  </si>
  <si>
    <r>
      <t>Iné ostatné výnosy (účet 646, 649)</t>
    </r>
    <r>
      <rPr>
        <sz val="14"/>
        <color rgb="FFFF0000"/>
        <rFont val="Times New Roman"/>
        <family val="1"/>
        <charset val="238"/>
      </rPr>
      <t xml:space="preserve"> [SUM(</t>
    </r>
    <r>
      <rPr>
        <sz val="14"/>
        <color rgb="FF0000FF"/>
        <rFont val="Times New Roman"/>
        <family val="1"/>
        <charset val="238"/>
      </rPr>
      <t>R34</t>
    </r>
    <r>
      <rPr>
        <sz val="14"/>
        <color rgb="FFFF0000"/>
        <rFont val="Times New Roman"/>
        <family val="1"/>
        <charset val="238"/>
      </rPr>
      <t>:R43)]</t>
    </r>
  </si>
  <si>
    <t>- ostatné výnosy (účty 649 012, 649 021, 649 098)</t>
  </si>
  <si>
    <t xml:space="preserve">Pod pojmom "interný doktorand" sa rozumie doktorand , ktorému vysoká škola vypláca štipendium </t>
  </si>
  <si>
    <t>v zmysle § 54 zák. č. 131/2002 Z.z.o vysokých školách a o zmene a doplnení niektorých zákonov</t>
  </si>
  <si>
    <t>- ostatné služby (účet  518 035)</t>
  </si>
  <si>
    <t>kvartil q1 25%</t>
  </si>
  <si>
    <t>kvartil q3 75%</t>
  </si>
  <si>
    <r>
      <t xml:space="preserve">kvartil q2 50%
</t>
    </r>
    <r>
      <rPr>
        <sz val="12"/>
        <color theme="9" tint="-0.249977111117893"/>
        <rFont val="Times New Roman"/>
        <family val="1"/>
        <charset val="238"/>
      </rPr>
      <t>medián *)</t>
    </r>
  </si>
  <si>
    <t>medián *) = stredná hodnota</t>
  </si>
  <si>
    <r>
      <t>Výnosy zo školného</t>
    </r>
    <r>
      <rPr>
        <sz val="12"/>
        <color indexed="8"/>
        <rFont val="Times New Roman"/>
        <family val="1"/>
      </rPr>
      <t xml:space="preserve">  [SUM (R2:R5)]</t>
    </r>
  </si>
  <si>
    <t>- výnosy  účtu 648 (648 007-8, 648 016, 648 019, 648 022, 648 099)</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</si>
  <si>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</si>
  <si>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</si>
  <si>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</si>
  <si>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</si>
  <si>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 xml:space="preserve">Názov verejnej vysokej školy:  UPJŠ v Košiciach, Šrobárova 2
Názov fakulty:  </t>
  </si>
  <si>
    <t>Názov verejnej vysokej školy:  UPJŠ v Košiciach, Šrobárova 2</t>
  </si>
  <si>
    <t xml:space="preserve">Názov verejnej vysokej školy: UPJŠ v Košiciach, Šrobárova 2
Názov fakulty: </t>
  </si>
  <si>
    <t>MZ SR projekt Rezident</t>
  </si>
  <si>
    <t>APVV pre spoluriešiteľov</t>
  </si>
  <si>
    <t>1c</t>
  </si>
  <si>
    <t>MK fond na podporu umenia pre UK</t>
  </si>
  <si>
    <t>príspevok od mesta Košice na Univerzitu bez hraníc</t>
  </si>
  <si>
    <t>Visehradský fond</t>
  </si>
  <si>
    <t>príspevok od mesta Košice  FF kolokvium</t>
  </si>
  <si>
    <t>2c</t>
  </si>
  <si>
    <t>Botanická záhrada - príspevok od Slov.bot.sp. na botanikiádu</t>
  </si>
  <si>
    <t>Asociácia univerzít- príspevok na Univerzitu tretieho veku</t>
  </si>
  <si>
    <t>1d</t>
  </si>
  <si>
    <t>MK fond na podporu umenia pre zbor</t>
  </si>
  <si>
    <t>Univ.Medisch centrum Groningen</t>
  </si>
  <si>
    <t>Erasmus + Croesus LF</t>
  </si>
  <si>
    <t>NATO Emerging Security Challenges Division, SPS Programme Brussels, Belgium</t>
  </si>
  <si>
    <t>4c</t>
  </si>
  <si>
    <t>4d</t>
  </si>
  <si>
    <t>4e</t>
  </si>
  <si>
    <t xml:space="preserve">Red Hat Czech </t>
  </si>
  <si>
    <t>ICGEB program Panigaj PF</t>
  </si>
  <si>
    <t>H02020 projekt UrbanHist</t>
  </si>
  <si>
    <t>Dcore Systems SA Switzeland-PF</t>
  </si>
  <si>
    <t>4f</t>
  </si>
  <si>
    <t>4g</t>
  </si>
  <si>
    <t>European X-Ray XFEL</t>
  </si>
  <si>
    <t>4h</t>
  </si>
  <si>
    <t>Socrates</t>
  </si>
  <si>
    <t>Erasmus</t>
  </si>
  <si>
    <t xml:space="preserve">0,00 </t>
  </si>
  <si>
    <t>SK6581800000007000241949 Dotačný účet LF, SK7481800000007000241690 Dotačný účet PF, SK7081800000007000241762 Dotačný účet Práv.F, SK9581800000007000241797 Dotačný účet FVS, SK4881800000007000241770 Dotačný účet R</t>
  </si>
  <si>
    <t>SK7981800000007000137519 Zostatkový účet LF, SK5781800000007000137527 Zostatkový účet PF,  SK1081800000007000137500 Zost.dot.Práv.F, SK1381800000007000137543 Zost.dot.FVS, SK3581800000007000137535 Zost.dot.R</t>
  </si>
  <si>
    <t>SK6881800000007000152655 Distribučný účet, R</t>
  </si>
  <si>
    <t xml:space="preserve">SK7381800000007000078360 BUN LF,
SK2881800000007000078491BUN PF KE, 
SK6981800000007000078432 BUN Práv.F KE, 
SK5881800000007000086002 BUN FVS KE, 
SK6481800000007000074351BUN R UPJŠ
</t>
  </si>
  <si>
    <t>SK3681800000007000436471 BU Cardpay HČ ŠJ</t>
  </si>
  <si>
    <t>SK1481800000007000535904 Erasmus + acr.SciVis,
SK44 81800000007000540893 Commenius SciCamp,
SK3881800000007000440315 7RP SAILS,
SK9881800000007000464261 CELIM, 
SK1281800000007000371719 MonInterFluoProt , 
SK3081800000007000373335 Establish
SK68 8180 0000 0070 0054 7833 BU H2020-ALT, PF UPJŠ
SK43 8180 0000 0070 0055 9535 DeCaSuB</t>
  </si>
  <si>
    <t xml:space="preserve">SK918100000007000078424 Devízový -USD LF,
</t>
  </si>
  <si>
    <t xml:space="preserve">SK4581800000007000078379 ŠF LF, 
SK6581800000007000078504 ŠF PF KE, 
SK4781800000007000078440 ŠF Právn.F KE, 
SK8381800000007000086037 ŠF FVS KE, 
SK8081800000007000252349 ŠF Rekt.UPJŠ KE
</t>
  </si>
  <si>
    <t xml:space="preserve">SK1681800000007000078416 PČ LF, 
SK6881800000007000078547 PČ PF, 
SK5081800000007000078483 PČ Práv.F, 
SK3981800000007000086053 PČ FVS, 
SK1181800000007000074335 PČ R UPJŠ
</t>
  </si>
  <si>
    <t xml:space="preserve">SK9881800000007000078395 SF LF KE, 
SK2181800000007000078520 SF PF KE, 
SK9481800000007000078467 SF PrávF KE,
SK0881800000007000086029 SFFVS KE, 
SK8681800000007000074343 SF UPJŠ KE
</t>
  </si>
  <si>
    <t>SK3681800000007000252365 BU F.Repr.Rekt. UPJŠ</t>
  </si>
  <si>
    <t>SK1581800000007000467307 Zábezpeka,R</t>
  </si>
  <si>
    <t xml:space="preserve">SK2381800000007000078387 Dary a granty LF,
SK4381800000007000078512 Dary a granty PF,
SK1981800000007000078459 Dary a granty PrávF,
SK3681800000007000086010 Dary a granty FVS, 
SK5481800000007000099751 Dary a granty R, 
SK4181800000007000570435 NP IT Akademia,
SK1981800000007000406125 ESF CEX Biomed LF,
SK7981800000007000358776 BÚ-MVP CCV, PF, 
SK8281800000007000368034 ESF Doktorand, pf, 
SK0781800000007000368026 ESF MoVeS,FVS,
SK3681800000007000386419 AŠF EU MŠ SR Probio, 
SK6281800000007000455015 AŠF  KVARK, PF, 
SK8681800000007000454389 AŠF IRES, PF, 
SK2681800000007000464296 ESF SOFOS, PF, 
SK2981800000007000476270 RIFIV, PF, 
SK9581800000007000467710 BU Technikom, UPJŠ KE,
SK7781800000007000470362 Medipark, 
SK34818000000070000214959 Devízový -EUR FVS
SK0581800000007000497848 AŠF EU MŠ SR Platon,
SK3281800000007000388916 BU Mikromatel, 
SK8981800000007000074386 Socrates, R
SK4181800000007000565003 Dotačný NFP MF SR
</t>
  </si>
  <si>
    <t>Botanická záhrada</t>
  </si>
  <si>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2016 a 2017 </t>
    </r>
  </si>
  <si>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</si>
  <si>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r>
      <t>Tržby jedální súvisiace so stravovaním študentov v kalendárnom roku spolu</t>
    </r>
    <r>
      <rPr>
        <sz val="12"/>
        <rFont val="Times New Roman"/>
        <family val="1"/>
      </rPr>
      <t xml:space="preserve"> [R3+R4]</t>
    </r>
  </si>
  <si>
    <t>- tržby za stravné lístky študentov</t>
  </si>
  <si>
    <t>- ostatné tržby súvisiace so stravovaním študentov</t>
  </si>
  <si>
    <r>
      <t xml:space="preserve">Výnos z dotácie zo štátneho rozpočtu na študentské jedálne spolu </t>
    </r>
    <r>
      <rPr>
        <sz val="12"/>
        <rFont val="Times New Roman"/>
        <family val="1"/>
      </rPr>
      <t>[R6+R7-R8]</t>
    </r>
  </si>
  <si>
    <t>- zostatok nevyčerpanej dotácie (+)/ nedoplatok dotácie (-) z predchádzajúcich rokov [R6_SB=R8_SA]</t>
  </si>
  <si>
    <t xml:space="preserve">- účelová dotácia v danom kalendárnom roku </t>
  </si>
  <si>
    <t>- prenos zostatku dotácie do nasledujúceho kalendárneho roku [R6+R7-R15]</t>
  </si>
  <si>
    <t>Náklady na činnosť študentských jedální súvisiace so stravovaním študentov za kalendárny rok</t>
  </si>
  <si>
    <r>
      <t xml:space="preserve"> - náklady na jedlá študentov</t>
    </r>
    <r>
      <rPr>
        <vertAlign val="superscript"/>
        <sz val="12"/>
        <rFont val="Times New Roman"/>
        <family val="1"/>
        <charset val="238"/>
      </rPr>
      <t>3)</t>
    </r>
  </si>
  <si>
    <r>
      <t xml:space="preserve">Rozdiel výnosov a nákladov študentských jedální súvisiacich so stravovaním študentov  </t>
    </r>
    <r>
      <rPr>
        <sz val="12"/>
        <rFont val="Times New Roman"/>
        <family val="1"/>
        <charset val="238"/>
      </rPr>
      <t>[R1-R9]</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</si>
  <si>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</si>
  <si>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t>- počet vydaných jedál študentom vo vlastných stravovacích zariadeniach3)</t>
  </si>
  <si>
    <r>
      <t>- počet vydaných jedál študentom v zmluvných zariadeniach</t>
    </r>
    <r>
      <rPr>
        <vertAlign val="superscript"/>
        <sz val="12"/>
        <rFont val="Times New Roman"/>
        <family val="1"/>
        <charset val="238"/>
      </rPr>
      <t xml:space="preserve"> 4)</t>
    </r>
  </si>
  <si>
    <r>
      <t xml:space="preserve">Nárok na príspevok zo štátneho rozpočtu na jedlá podľa metodiky </t>
    </r>
    <r>
      <rPr>
        <sz val="12"/>
        <rFont val="Times New Roman"/>
        <family val="1"/>
      </rPr>
      <t xml:space="preserve">                                     </t>
    </r>
  </si>
  <si>
    <r>
      <t>Priemerné náklady  na jedlo študenta v Eur [</t>
    </r>
    <r>
      <rPr>
        <sz val="12"/>
        <rFont val="Times New Roman"/>
        <family val="1"/>
        <charset val="238"/>
      </rPr>
      <t>R10</t>
    </r>
    <r>
      <rPr>
        <sz val="12"/>
        <rFont val="Times New Roman"/>
        <family val="1"/>
      </rPr>
      <t>/R13]</t>
    </r>
  </si>
  <si>
    <t>1) výnosy a náklady z podnikateľskej činnosti sa neuvádzajú, neuvádzajú sa ani výnosy a náklady súvisiace so stravovaním zamestnancov</t>
  </si>
  <si>
    <r>
      <t xml:space="preserve">2) všetky údaje o výnosoch a nákladoch  sa uvádzajú </t>
    </r>
    <r>
      <rPr>
        <sz val="11"/>
        <rFont val="Times New Roman"/>
        <family val="1"/>
        <charset val="238"/>
      </rPr>
      <t>v Eur</t>
    </r>
  </si>
  <si>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</si>
  <si>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</si>
  <si>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t>Rozdiel medzi T12_R15_SG a výkaznictvom 2017 je vo výške 1 250 573,43 Eur, z toho sú transféry SAV a UVLF Košice vo výške 1 221 024,22 Eur a vratky kap. dácie vo výške 29 849,21 Eur.</t>
  </si>
  <si>
    <t>zdroj 1AA + 3AA spolu</t>
  </si>
  <si>
    <r>
      <t>zdroj 1AA1; 3</t>
    </r>
    <r>
      <rPr>
        <b/>
        <sz val="12"/>
        <color theme="1"/>
        <rFont val="Times New Roman"/>
        <family val="1"/>
        <charset val="238"/>
      </rPr>
      <t>AA1</t>
    </r>
  </si>
  <si>
    <r>
      <t>zdroj 1AA2; 3</t>
    </r>
    <r>
      <rPr>
        <b/>
        <sz val="12"/>
        <color theme="1"/>
        <rFont val="Times New Roman"/>
        <family val="1"/>
        <charset val="238"/>
      </rPr>
      <t>AA2</t>
    </r>
  </si>
  <si>
    <t>zdroj 1AC + 3AC spolu</t>
  </si>
  <si>
    <t>zdroj 1AC1+3AC1</t>
  </si>
  <si>
    <t>zdroj 1AC2+3AC2</t>
  </si>
  <si>
    <t xml:space="preserve">Názov verejnej vysokej školy:  UPJŠ v Košiciach
Názov fakulty:  </t>
  </si>
  <si>
    <t>Názov verejnej vysokej školy: UPJŠ v Košiciach
Názov fakulty:</t>
  </si>
  <si>
    <t>Názov verejnej vysokej školy: UPJŠ v Košiciach</t>
  </si>
  <si>
    <t>Názov verejnej vysokej školy:  UPJŠ v Košiciach</t>
  </si>
  <si>
    <t>v crš 271 210 €_R3_SD_Na LF v 5-tich prípadoch suma 1200,00 € boli motivačné štipendiá v AIS 2 len zadané a neboli zadané ako vyplatené, z toho dôvodu ich „neťahalo“ do CRŠ
Zaevidovanie vyplatenia môže byť v do CRŠ poslané až 2.5.2018 – CRŠ je uzamknuté.</t>
  </si>
  <si>
    <t>1129,,979</t>
  </si>
  <si>
    <r>
      <t>-</t>
    </r>
    <r>
      <rPr>
        <sz val="7"/>
        <color rgb="FF1F497D"/>
        <rFont val="Times New Roman"/>
        <family val="1"/>
        <charset val="238"/>
      </rPr>
      <t xml:space="preserve">          </t>
    </r>
    <r>
      <rPr>
        <sz val="11"/>
        <color rgb="FF1F497D"/>
        <rFont val="Calibri"/>
        <family val="2"/>
        <charset val="238"/>
      </rPr>
      <t xml:space="preserve">kvartily chýbajú v riadkoch 11 – zamestnanci zaradení na dekanátoch a 15 – špecifiká. </t>
    </r>
  </si>
  <si>
    <t xml:space="preserve">Do týchto riadkov údaje v tabuľkách do výročnej správy boli dopĺňané ručne tak, že sa spustila zostava osobitne podľa fakúlt, resp. nákladových stredísk. </t>
  </si>
  <si>
    <t>Riadok 11 v budúcom roku by mal byť doplnený správne, nakoľko sa bude spätne od 01.01.2018 nastavovať kategória zamestnancov  dekanátov v HR na príslušnú hodnotu. Kategórie boli pre zamestnancov doposiaľ zadávane v súlade s usmernením pri nasadzovaní SOFIE. Pre riadok 15 – špecifiká je potrebné , aby nás tvorcovia  tabuliek včas informovali, aké hodnoty vstupných údajov alebo parametrov je potrebné nastaviť v SOFII tak, aby sme označili špecifiká pre ich zohľadnenie v tabuľkách.</t>
  </si>
  <si>
    <t>Doposiaľ nám k týmto tabuľkám nebola poskytnutá žiadna informácia ani manuál. Z našej strany tak nie je možné správne nastaviť hodnoty pre kritériá automatizovaného výberu údajov do jednotlivých riadkov tabuliek, čo považujeme za zásadný nedostatok na strane tvorcov tabuliek resp. riadiaceho útvaru.</t>
  </si>
  <si>
    <t xml:space="preserve">Zistil sa nesúlad v T6, T6 a s tabuľkami vygenerovanými v module BW : </t>
  </si>
  <si>
    <t>Komentár k časti kvartil:</t>
  </si>
  <si>
    <t>pozn.1): rozdiel medzi údajom v stĺpci T6_R18_SH a údajom v T5_R56_(SC+SD) tvorí rozdiel výšky tvorby krátkodobej rezervy na mzdy na nevyčerpanú dovolenku za rok 2017 a čerpanou rezervou z roku 2016 v celkovej                                                                                                                                                                                     čiastke 11 235,81 €.</t>
  </si>
  <si>
    <r>
      <t xml:space="preserve">V R1_SG je zohľadnená zostatková cena predaného majetku v hodnote </t>
    </r>
    <r>
      <rPr>
        <sz val="12"/>
        <color rgb="FFFF0000"/>
        <rFont val="Times New Roman"/>
        <family val="1"/>
        <charset val="238"/>
      </rPr>
      <t>498 692,71</t>
    </r>
    <r>
      <rPr>
        <sz val="12"/>
        <rFont val="Times New Roman"/>
        <family val="1"/>
        <charset val="238"/>
      </rPr>
      <t xml:space="preserve"> € z T5_R87_SC (vzorec doplnený). V R1_SH je zohľadnená vratka KD v sume 29 849,21 € a transfér partnerom SAV a UVLF KE                                                                                                                                        v sume 1 221 024,22 €.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</si>
</sst>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S_k_-;\-* #,##0.00\ _S_k_-;_-* &quot;-&quot;??\ _S_k_-;_-@_-"/>
    <numFmt numFmtId="165" formatCode="#,##0_ ;[Red]\-#,##0\ "/>
    <numFmt numFmtId="166" formatCode="#,##0.00_ ;[Red]\-#,##0.00\ "/>
  </numFmts>
  <fonts count="119" x14ac:knownFonts="1">
    <font>
      <sz val="10"/>
      <name val="Arial"/>
      <charset val="238"/>
    </font>
    <font>
      <sz val="11"/>
      <color theme="1"/>
      <name val="Calibri"/>
      <family val="2"/>
      <charset val="238"/>
      <scheme val="minor"/>
    </font>
    <font>
      <sz val="10"/>
      <name val="Arial"/>
      <family val="2"/>
      <charset val="238"/>
    </font>
    <font>
      <b/>
      <sz val="12"/>
      <name val="Times New Roman"/>
      <family val="1"/>
    </font>
    <font>
      <sz val="12"/>
      <name val="Times New Roman"/>
      <family val="1"/>
    </font>
    <font>
      <b/>
      <sz val="14"/>
      <name val="Times New Roman"/>
      <family val="1"/>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sz val="14"/>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sz val="10"/>
      <color indexed="10"/>
      <name val="Arial"/>
      <family val="2"/>
      <charset val="238"/>
    </font>
    <font>
      <vertAlign val="superscript"/>
      <sz val="12"/>
      <name val="Times New Roman"/>
      <family val="1"/>
    </font>
    <font>
      <b/>
      <sz val="9"/>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b/>
      <sz val="12"/>
      <color indexed="10"/>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strike/>
      <sz val="12"/>
      <name val="Times New Roman"/>
      <family val="1"/>
      <charset val="238"/>
    </font>
    <font>
      <strike/>
      <sz val="12"/>
      <name val="Times New Roman"/>
      <family val="1"/>
    </font>
    <font>
      <sz val="11"/>
      <name val="Times New Roman"/>
      <family val="1"/>
    </font>
    <font>
      <sz val="10"/>
      <color indexed="8"/>
      <name val="Tahoma"/>
      <family val="2"/>
      <charset val="238"/>
    </font>
    <font>
      <sz val="12"/>
      <color indexed="8"/>
      <name val="Tahoma"/>
      <family val="2"/>
      <charset val="238"/>
    </font>
    <font>
      <b/>
      <sz val="10"/>
      <color indexed="8"/>
      <name val="Tahoma"/>
      <family val="2"/>
      <charset val="238"/>
    </font>
    <font>
      <b/>
      <sz val="10"/>
      <name val="Arial"/>
      <family val="2"/>
      <charset val="238"/>
    </font>
    <font>
      <sz val="14"/>
      <name val="Times New Roman"/>
      <family val="1"/>
    </font>
    <font>
      <sz val="12"/>
      <color indexed="8"/>
      <name val="Times New Roman"/>
      <family val="1"/>
    </font>
    <font>
      <b/>
      <sz val="11"/>
      <name val="Times New Roman"/>
      <family val="1"/>
    </font>
    <font>
      <b/>
      <sz val="10"/>
      <color indexed="8"/>
      <name val="Times New Roman"/>
      <family val="1"/>
      <charset val="238"/>
    </font>
    <font>
      <b/>
      <sz val="11"/>
      <color indexed="8"/>
      <name val="Times New Roman"/>
      <family val="1"/>
    </font>
    <font>
      <vertAlign val="superscript"/>
      <sz val="12"/>
      <color indexed="8"/>
      <name val="Times New Roman"/>
      <family val="1"/>
    </font>
    <font>
      <sz val="10"/>
      <color indexed="10"/>
      <name val="Times New Roman"/>
      <family val="1"/>
    </font>
    <font>
      <b/>
      <sz val="10"/>
      <color indexed="10"/>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sz val="10"/>
      <color rgb="FF000000"/>
      <name val="Tahoma"/>
      <family val="2"/>
      <charset val="238"/>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sz val="10"/>
      <color rgb="FFFF0000"/>
      <name val="Times New Roman"/>
      <family val="1"/>
    </font>
    <font>
      <b/>
      <sz val="14"/>
      <color rgb="FFFF0000"/>
      <name val="Times New Roman"/>
      <family val="1"/>
      <charset val="238"/>
    </font>
    <font>
      <sz val="14"/>
      <color rgb="FFFF0000"/>
      <name val="Times New Roman"/>
      <family val="1"/>
      <charset val="238"/>
    </font>
    <font>
      <i/>
      <sz val="12"/>
      <color rgb="FF0000FF"/>
      <name val="Times New Roman"/>
      <family val="1"/>
      <charset val="238"/>
    </font>
    <font>
      <vertAlign val="superscript"/>
      <sz val="11"/>
      <name val="Times New Roman"/>
      <family val="1"/>
      <charset val="238"/>
    </font>
    <font>
      <sz val="12"/>
      <color rgb="FF0070C0"/>
      <name val="Times New Roman"/>
      <family val="1"/>
    </font>
    <font>
      <sz val="14"/>
      <name val="Times New Roman"/>
      <family val="1"/>
      <charset val="238"/>
    </font>
    <font>
      <sz val="12"/>
      <color rgb="FF0000FF"/>
      <name val="Times New Roman"/>
      <family val="1"/>
    </font>
    <font>
      <sz val="12"/>
      <color rgb="FF0000FF"/>
      <name val="Times New Roman"/>
      <family val="1"/>
      <charset val="238"/>
    </font>
    <font>
      <b/>
      <sz val="14"/>
      <color theme="1"/>
      <name val="Times New Roman"/>
      <family val="1"/>
      <charset val="238"/>
    </font>
    <font>
      <i/>
      <sz val="12"/>
      <color theme="1"/>
      <name val="Times New Roman"/>
      <family val="1"/>
      <charset val="238"/>
    </font>
    <font>
      <b/>
      <sz val="11"/>
      <color theme="1"/>
      <name val="Times New Roman"/>
      <family val="1"/>
      <charset val="238"/>
    </font>
    <font>
      <sz val="11"/>
      <color theme="1"/>
      <name val="Times New Roman"/>
      <family val="1"/>
      <charset val="238"/>
    </font>
    <font>
      <b/>
      <vertAlign val="superscript"/>
      <sz val="12"/>
      <color theme="1"/>
      <name val="Times New Roman"/>
      <family val="1"/>
    </font>
    <font>
      <b/>
      <sz val="12"/>
      <color rgb="FF0000FF"/>
      <name val="Times New Roman"/>
      <family val="1"/>
      <charset val="238"/>
    </font>
    <font>
      <sz val="11"/>
      <color rgb="FF0000FF"/>
      <name val="Times New Roman"/>
      <family val="1"/>
      <charset val="238"/>
    </font>
    <font>
      <vertAlign val="superscript"/>
      <sz val="12"/>
      <color rgb="FF0000FF"/>
      <name val="Times New Roman"/>
      <family val="1"/>
    </font>
    <font>
      <sz val="14"/>
      <color rgb="FF0000FF"/>
      <name val="Times New Roman"/>
      <family val="1"/>
      <charset val="238"/>
    </font>
    <font>
      <sz val="12"/>
      <color theme="9" tint="-0.249977111117893"/>
      <name val="Times New Roman"/>
      <family val="1"/>
      <charset val="238"/>
    </font>
    <font>
      <b/>
      <sz val="12"/>
      <color theme="9" tint="-0.249977111117893"/>
      <name val="Times New Roman"/>
      <family val="1"/>
      <charset val="238"/>
    </font>
    <font>
      <b/>
      <sz val="12"/>
      <color rgb="FFFF0000"/>
      <name val="Times New Roman"/>
      <family val="1"/>
    </font>
    <font>
      <b/>
      <sz val="9"/>
      <color indexed="81"/>
      <name val="Segoe UI"/>
      <family val="2"/>
      <charset val="238"/>
    </font>
    <font>
      <sz val="9"/>
      <color indexed="81"/>
      <name val="Segoe UI"/>
      <family val="2"/>
      <charset val="238"/>
    </font>
    <font>
      <b/>
      <vertAlign val="superscript"/>
      <sz val="14"/>
      <name val="Times New Roman"/>
      <family val="1"/>
    </font>
    <font>
      <sz val="10"/>
      <name val="Times New Roman"/>
      <family val="1"/>
    </font>
    <font>
      <b/>
      <vertAlign val="superscript"/>
      <sz val="12"/>
      <name val="Times New Roman"/>
      <family val="1"/>
    </font>
    <font>
      <sz val="10"/>
      <color rgb="FF000000"/>
      <name val="Arial"/>
      <family val="2"/>
      <charset val="238"/>
    </font>
    <font>
      <sz val="9"/>
      <color rgb="FF000000"/>
      <name val="Arial"/>
      <family val="2"/>
      <charset val="238"/>
    </font>
    <font>
      <sz val="8"/>
      <name val="Times New Roman"/>
      <family val="1"/>
    </font>
    <font>
      <sz val="11"/>
      <color rgb="FFFF0000"/>
      <name val="Times New Roman"/>
      <family val="1"/>
      <charset val="238"/>
    </font>
    <font>
      <sz val="9"/>
      <color indexed="8"/>
      <name val="Arial"/>
      <family val="2"/>
      <charset val="238"/>
    </font>
    <font>
      <b/>
      <sz val="9"/>
      <color indexed="8"/>
      <name val="Arial"/>
      <family val="2"/>
      <charset val="238"/>
    </font>
    <font>
      <sz val="11"/>
      <color rgb="FF1F497D"/>
      <name val="Calibri"/>
      <family val="2"/>
      <charset val="238"/>
    </font>
    <font>
      <sz val="7"/>
      <color rgb="FF1F497D"/>
      <name val="Times New Roman"/>
      <family val="1"/>
      <charset val="23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theme="0"/>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s>
  <cellStyleXfs count="107">
    <xf numFmtId="0" fontId="0" fillId="0" borderId="0"/>
    <xf numFmtId="0" fontId="32" fillId="2" borderId="0" applyNumberFormat="0" applyBorder="0" applyAlignment="0" applyProtection="0"/>
    <xf numFmtId="0" fontId="32" fillId="3" borderId="0" applyNumberFormat="0" applyBorder="0" applyAlignment="0" applyProtection="0"/>
    <xf numFmtId="0" fontId="32" fillId="4" borderId="0" applyNumberFormat="0" applyBorder="0" applyAlignment="0" applyProtection="0"/>
    <xf numFmtId="0" fontId="32" fillId="5" borderId="0" applyNumberFormat="0" applyBorder="0" applyAlignment="0" applyProtection="0"/>
    <xf numFmtId="0" fontId="32" fillId="6" borderId="0" applyNumberFormat="0" applyBorder="0" applyAlignment="0" applyProtection="0"/>
    <xf numFmtId="0" fontId="32" fillId="7" borderId="0" applyNumberFormat="0" applyBorder="0" applyAlignment="0" applyProtection="0"/>
    <xf numFmtId="0" fontId="32" fillId="8" borderId="0" applyNumberFormat="0" applyBorder="0" applyAlignment="0" applyProtection="0"/>
    <xf numFmtId="0" fontId="32" fillId="9" borderId="0" applyNumberFormat="0" applyBorder="0" applyAlignment="0" applyProtection="0"/>
    <xf numFmtId="0" fontId="32" fillId="10" borderId="0" applyNumberFormat="0" applyBorder="0" applyAlignment="0" applyProtection="0"/>
    <xf numFmtId="0" fontId="32" fillId="5" borderId="0" applyNumberFormat="0" applyBorder="0" applyAlignment="0" applyProtection="0"/>
    <xf numFmtId="0" fontId="32" fillId="8" borderId="0" applyNumberFormat="0" applyBorder="0" applyAlignment="0" applyProtection="0"/>
    <xf numFmtId="0" fontId="32" fillId="11" borderId="0" applyNumberFormat="0" applyBorder="0" applyAlignment="0" applyProtection="0"/>
    <xf numFmtId="0" fontId="33" fillId="12"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33" fillId="19" borderId="0" applyNumberFormat="0" applyBorder="0" applyAlignment="0" applyProtection="0"/>
    <xf numFmtId="0" fontId="34" fillId="3" borderId="0" applyNumberFormat="0" applyBorder="0" applyAlignment="0" applyProtection="0"/>
    <xf numFmtId="0" fontId="35" fillId="20" borderId="1" applyNumberFormat="0" applyAlignment="0" applyProtection="0"/>
    <xf numFmtId="164" fontId="2" fillId="0" borderId="0" applyFont="0" applyFill="0" applyBorder="0" applyAlignment="0" applyProtection="0"/>
    <xf numFmtId="164" fontId="17" fillId="0" borderId="0" applyFont="0" applyFill="0" applyBorder="0" applyAlignment="0" applyProtection="0"/>
    <xf numFmtId="0" fontId="37" fillId="0" borderId="0" applyNumberFormat="0" applyFill="0" applyBorder="0" applyAlignment="0" applyProtection="0"/>
    <xf numFmtId="0" fontId="38" fillId="4" borderId="0" applyNumberFormat="0" applyBorder="0" applyAlignment="0" applyProtection="0"/>
    <xf numFmtId="0" fontId="39" fillId="0" borderId="2" applyNumberFormat="0" applyFill="0" applyAlignment="0" applyProtection="0"/>
    <xf numFmtId="0" fontId="40" fillId="0" borderId="3" applyNumberFormat="0" applyFill="0" applyAlignment="0" applyProtection="0"/>
    <xf numFmtId="0" fontId="41" fillId="0" borderId="4" applyNumberFormat="0" applyFill="0" applyAlignment="0" applyProtection="0"/>
    <xf numFmtId="0" fontId="41" fillId="0" borderId="0" applyNumberFormat="0" applyFill="0" applyBorder="0" applyAlignment="0" applyProtection="0"/>
    <xf numFmtId="0" fontId="42" fillId="21" borderId="5" applyNumberFormat="0" applyAlignment="0" applyProtection="0"/>
    <xf numFmtId="0" fontId="43" fillId="7" borderId="1" applyNumberFormat="0" applyAlignment="0" applyProtection="0"/>
    <xf numFmtId="0" fontId="44" fillId="0" borderId="6" applyNumberFormat="0" applyFill="0" applyAlignment="0" applyProtection="0"/>
    <xf numFmtId="0" fontId="45" fillId="22" borderId="0" applyNumberFormat="0" applyBorder="0" applyAlignment="0" applyProtection="0"/>
    <xf numFmtId="0" fontId="17" fillId="0" borderId="0"/>
    <xf numFmtId="0" fontId="73" fillId="0" borderId="0"/>
    <xf numFmtId="0" fontId="17" fillId="0" borderId="0"/>
    <xf numFmtId="0" fontId="17" fillId="0" borderId="0"/>
    <xf numFmtId="0" fontId="55" fillId="0" borderId="0"/>
    <xf numFmtId="0" fontId="21" fillId="0" borderId="0"/>
    <xf numFmtId="0" fontId="46" fillId="0" borderId="0"/>
    <xf numFmtId="0" fontId="36" fillId="23" borderId="7" applyNumberFormat="0" applyFont="0" applyAlignment="0" applyProtection="0"/>
    <xf numFmtId="0" fontId="47" fillId="20" borderId="8" applyNumberFormat="0" applyAlignment="0" applyProtection="0"/>
    <xf numFmtId="4" fontId="12" fillId="22" borderId="9" applyNumberFormat="0" applyProtection="0">
      <alignment vertical="center"/>
    </xf>
    <xf numFmtId="4" fontId="13" fillId="24" borderId="9" applyNumberFormat="0" applyProtection="0">
      <alignment vertical="center"/>
    </xf>
    <xf numFmtId="4" fontId="12" fillId="24" borderId="9" applyNumberFormat="0" applyProtection="0">
      <alignment horizontal="left" vertical="center" indent="1"/>
    </xf>
    <xf numFmtId="0" fontId="12" fillId="24" borderId="9" applyNumberFormat="0" applyProtection="0">
      <alignment horizontal="left" vertical="top" indent="1"/>
    </xf>
    <xf numFmtId="4" fontId="14" fillId="3" borderId="9" applyNumberFormat="0" applyProtection="0">
      <alignment horizontal="right" vertical="center"/>
    </xf>
    <xf numFmtId="4" fontId="14" fillId="9" borderId="9" applyNumberFormat="0" applyProtection="0">
      <alignment horizontal="right" vertical="center"/>
    </xf>
    <xf numFmtId="4" fontId="14" fillId="17" borderId="9" applyNumberFormat="0" applyProtection="0">
      <alignment horizontal="right" vertical="center"/>
    </xf>
    <xf numFmtId="4" fontId="14" fillId="11" borderId="9" applyNumberFormat="0" applyProtection="0">
      <alignment horizontal="right" vertical="center"/>
    </xf>
    <xf numFmtId="4" fontId="14" fillId="15" borderId="9" applyNumberFormat="0" applyProtection="0">
      <alignment horizontal="right" vertical="center"/>
    </xf>
    <xf numFmtId="4" fontId="14" fillId="19" borderId="9" applyNumberFormat="0" applyProtection="0">
      <alignment horizontal="right" vertical="center"/>
    </xf>
    <xf numFmtId="4" fontId="14" fillId="18" borderId="9" applyNumberFormat="0" applyProtection="0">
      <alignment horizontal="right" vertical="center"/>
    </xf>
    <xf numFmtId="4" fontId="14" fillId="25" borderId="9" applyNumberFormat="0" applyProtection="0">
      <alignment horizontal="right" vertical="center"/>
    </xf>
    <xf numFmtId="4" fontId="14" fillId="10" borderId="9" applyNumberFormat="0" applyProtection="0">
      <alignment horizontal="right" vertical="center"/>
    </xf>
    <xf numFmtId="4" fontId="12" fillId="26" borderId="10" applyNumberFormat="0" applyProtection="0">
      <alignment horizontal="left" vertical="center" indent="1"/>
    </xf>
    <xf numFmtId="4" fontId="14" fillId="27" borderId="0" applyNumberFormat="0" applyProtection="0">
      <alignment horizontal="left" vertical="center" indent="1"/>
    </xf>
    <xf numFmtId="4" fontId="15" fillId="28" borderId="0" applyNumberFormat="0" applyProtection="0">
      <alignment horizontal="left" vertical="center" indent="1"/>
    </xf>
    <xf numFmtId="4" fontId="14" fillId="29" borderId="9" applyNumberFormat="0" applyProtection="0">
      <alignment horizontal="right" vertical="center"/>
    </xf>
    <xf numFmtId="4" fontId="16" fillId="27" borderId="0" applyNumberFormat="0" applyProtection="0">
      <alignment horizontal="left" vertical="center" indent="1"/>
    </xf>
    <xf numFmtId="4" fontId="16" fillId="30" borderId="0" applyNumberFormat="0" applyProtection="0">
      <alignment horizontal="left" vertical="center" indent="1"/>
    </xf>
    <xf numFmtId="0" fontId="17" fillId="28" borderId="9" applyNumberFormat="0" applyProtection="0">
      <alignment horizontal="left" vertical="center" indent="1"/>
    </xf>
    <xf numFmtId="0" fontId="17" fillId="28" borderId="9" applyNumberFormat="0" applyProtection="0">
      <alignment horizontal="left" vertical="top" indent="1"/>
    </xf>
    <xf numFmtId="0" fontId="17" fillId="30" borderId="9" applyNumberFormat="0" applyProtection="0">
      <alignment horizontal="left" vertical="center" indent="1"/>
    </xf>
    <xf numFmtId="0" fontId="17" fillId="30" borderId="9" applyNumberFormat="0" applyProtection="0">
      <alignment horizontal="left" vertical="top" indent="1"/>
    </xf>
    <xf numFmtId="0" fontId="17" fillId="31" borderId="9" applyNumberFormat="0" applyProtection="0">
      <alignment horizontal="left" vertical="center" indent="1"/>
    </xf>
    <xf numFmtId="0" fontId="17" fillId="31" borderId="9" applyNumberFormat="0" applyProtection="0">
      <alignment horizontal="left" vertical="top" indent="1"/>
    </xf>
    <xf numFmtId="0" fontId="17" fillId="32" borderId="9" applyNumberFormat="0" applyProtection="0">
      <alignment horizontal="left" vertical="center" indent="1"/>
    </xf>
    <xf numFmtId="0" fontId="17" fillId="32" borderId="9" applyNumberFormat="0" applyProtection="0">
      <alignment horizontal="left" vertical="top" indent="1"/>
    </xf>
    <xf numFmtId="4" fontId="12" fillId="30" borderId="0" applyNumberFormat="0" applyProtection="0">
      <alignment horizontal="left" vertical="center" indent="1"/>
    </xf>
    <xf numFmtId="4" fontId="14" fillId="33" borderId="9" applyNumberFormat="0" applyProtection="0">
      <alignment vertical="center"/>
    </xf>
    <xf numFmtId="4" fontId="18" fillId="33" borderId="9" applyNumberFormat="0" applyProtection="0">
      <alignment vertical="center"/>
    </xf>
    <xf numFmtId="4" fontId="14" fillId="33" borderId="9" applyNumberFormat="0" applyProtection="0">
      <alignment horizontal="left" vertical="center" indent="1"/>
    </xf>
    <xf numFmtId="0" fontId="14" fillId="33" borderId="9" applyNumberFormat="0" applyProtection="0">
      <alignment horizontal="left" vertical="top" indent="1"/>
    </xf>
    <xf numFmtId="4" fontId="14" fillId="27" borderId="9" applyNumberFormat="0" applyProtection="0">
      <alignment horizontal="right" vertical="center"/>
    </xf>
    <xf numFmtId="4" fontId="18" fillId="27" borderId="9" applyNumberFormat="0" applyProtection="0">
      <alignment horizontal="right" vertical="center"/>
    </xf>
    <xf numFmtId="4" fontId="14" fillId="29" borderId="9" applyNumberFormat="0" applyProtection="0">
      <alignment horizontal="left" vertical="center" indent="1"/>
    </xf>
    <xf numFmtId="0" fontId="14" fillId="30" borderId="9" applyNumberFormat="0" applyProtection="0">
      <alignment horizontal="left" vertical="top" indent="1"/>
    </xf>
    <xf numFmtId="4" fontId="19" fillId="34" borderId="0" applyNumberFormat="0" applyProtection="0">
      <alignment horizontal="left" vertical="center" indent="1"/>
    </xf>
    <xf numFmtId="4" fontId="20" fillId="27" borderId="9" applyNumberFormat="0" applyProtection="0">
      <alignment horizontal="right" vertical="center"/>
    </xf>
    <xf numFmtId="0" fontId="48" fillId="0" borderId="0" applyNumberFormat="0" applyFill="0" applyBorder="0" applyAlignment="0" applyProtection="0"/>
    <xf numFmtId="0" fontId="49" fillId="0" borderId="11" applyNumberFormat="0" applyFill="0" applyAlignment="0" applyProtection="0"/>
    <xf numFmtId="0" fontId="50" fillId="0" borderId="0" applyNumberFormat="0" applyFill="0" applyBorder="0" applyAlignment="0" applyProtection="0"/>
    <xf numFmtId="0" fontId="2" fillId="0" borderId="0"/>
    <xf numFmtId="0" fontId="1" fillId="0" borderId="0"/>
    <xf numFmtId="0" fontId="2" fillId="0" borderId="0"/>
    <xf numFmtId="0" fontId="2" fillId="0" borderId="0"/>
    <xf numFmtId="164" fontId="2" fillId="0" borderId="0" applyFont="0" applyFill="0" applyBorder="0" applyAlignment="0" applyProtection="0"/>
    <xf numFmtId="0" fontId="2" fillId="0" borderId="0"/>
    <xf numFmtId="0" fontId="2" fillId="0" borderId="0"/>
    <xf numFmtId="0" fontId="8" fillId="23" borderId="7" applyNumberFormat="0" applyFont="0" applyAlignment="0" applyProtection="0"/>
    <xf numFmtId="0" fontId="2" fillId="28" borderId="9" applyNumberFormat="0" applyProtection="0">
      <alignment horizontal="left" vertical="center" indent="1"/>
    </xf>
    <xf numFmtId="0" fontId="2" fillId="28" borderId="9" applyNumberFormat="0" applyProtection="0">
      <alignment horizontal="left" vertical="top" indent="1"/>
    </xf>
    <xf numFmtId="0" fontId="2" fillId="30" borderId="9" applyNumberFormat="0" applyProtection="0">
      <alignment horizontal="left" vertical="center" indent="1"/>
    </xf>
    <xf numFmtId="0" fontId="2" fillId="30" borderId="9" applyNumberFormat="0" applyProtection="0">
      <alignment horizontal="left" vertical="top" indent="1"/>
    </xf>
    <xf numFmtId="0" fontId="2" fillId="31" borderId="9" applyNumberFormat="0" applyProtection="0">
      <alignment horizontal="left" vertical="center" indent="1"/>
    </xf>
    <xf numFmtId="0" fontId="2" fillId="31" borderId="9" applyNumberFormat="0" applyProtection="0">
      <alignment horizontal="left" vertical="top" indent="1"/>
    </xf>
    <xf numFmtId="0" fontId="2" fillId="32" borderId="9" applyNumberFormat="0" applyProtection="0">
      <alignment horizontal="left" vertical="center" indent="1"/>
    </xf>
    <xf numFmtId="0" fontId="2" fillId="32" borderId="9" applyNumberFormat="0" applyProtection="0">
      <alignment horizontal="left" vertical="top" indent="1"/>
    </xf>
    <xf numFmtId="0" fontId="111" fillId="0" borderId="0"/>
    <xf numFmtId="0" fontId="111" fillId="0" borderId="0"/>
  </cellStyleXfs>
  <cellXfs count="678">
    <xf numFmtId="0" fontId="0" fillId="0" borderId="0" xfId="0"/>
    <xf numFmtId="0" fontId="4" fillId="0" borderId="13"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7" fillId="0" borderId="13" xfId="0" applyNumberFormat="1"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0" xfId="0" applyFont="1" applyFill="1"/>
    <xf numFmtId="49" fontId="4" fillId="0" borderId="13" xfId="0" applyNumberFormat="1" applyFont="1" applyFill="1" applyBorder="1" applyAlignment="1">
      <alignment horizontal="left" vertical="center" wrapText="1" indent="1"/>
    </xf>
    <xf numFmtId="49" fontId="3" fillId="0" borderId="13" xfId="0" applyNumberFormat="1" applyFont="1" applyFill="1" applyBorder="1" applyAlignment="1">
      <alignment horizontal="left" vertical="center" wrapText="1" indent="1"/>
    </xf>
    <xf numFmtId="49" fontId="3" fillId="0" borderId="17" xfId="0" applyNumberFormat="1" applyFont="1" applyFill="1" applyBorder="1" applyAlignment="1">
      <alignment horizontal="left" vertical="center" wrapText="1" indent="1"/>
    </xf>
    <xf numFmtId="3" fontId="4" fillId="0" borderId="13" xfId="0" applyNumberFormat="1" applyFont="1" applyFill="1" applyBorder="1" applyAlignment="1">
      <alignment horizontal="right" vertical="center" wrapText="1" indent="1"/>
    </xf>
    <xf numFmtId="3" fontId="7" fillId="0" borderId="14" xfId="0" applyNumberFormat="1" applyFont="1" applyFill="1" applyBorder="1" applyAlignment="1">
      <alignment horizontal="center" vertical="center" wrapText="1"/>
    </xf>
    <xf numFmtId="49" fontId="7" fillId="0" borderId="13" xfId="0" applyNumberFormat="1" applyFont="1" applyFill="1" applyBorder="1" applyAlignment="1">
      <alignment horizontal="left" vertical="center" wrapText="1" inden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0" borderId="13" xfId="0" applyFont="1" applyFill="1" applyBorder="1" applyAlignment="1">
      <alignment horizontal="left" vertical="center" wrapText="1" indent="1"/>
    </xf>
    <xf numFmtId="0" fontId="8" fillId="0" borderId="0" xfId="0" applyFont="1"/>
    <xf numFmtId="1" fontId="4" fillId="0" borderId="13" xfId="0" applyNumberFormat="1" applyFont="1" applyFill="1" applyBorder="1" applyAlignment="1">
      <alignment horizontal="center" vertical="center" wrapText="1"/>
    </xf>
    <xf numFmtId="49" fontId="7" fillId="0" borderId="17" xfId="0" applyNumberFormat="1" applyFont="1" applyFill="1" applyBorder="1" applyAlignment="1">
      <alignment horizontal="left" vertical="center" wrapText="1" indent="1"/>
    </xf>
    <xf numFmtId="0" fontId="7" fillId="0" borderId="17" xfId="0" applyFont="1" applyFill="1" applyBorder="1" applyAlignment="1">
      <alignment horizontal="left" vertical="center" wrapText="1" indent="1"/>
    </xf>
    <xf numFmtId="0" fontId="4" fillId="0" borderId="0" xfId="0" applyFont="1" applyFill="1" applyAlignment="1">
      <alignment vertical="center" wrapText="1"/>
    </xf>
    <xf numFmtId="49" fontId="8" fillId="0" borderId="13" xfId="0" applyNumberFormat="1" applyFont="1" applyFill="1" applyBorder="1" applyAlignment="1">
      <alignment horizontal="left" vertical="center" wrapText="1" indent="1"/>
    </xf>
    <xf numFmtId="0" fontId="8" fillId="0" borderId="15" xfId="0" applyFont="1" applyFill="1" applyBorder="1" applyAlignment="1">
      <alignment horizontal="center" vertical="center" wrapText="1"/>
    </xf>
    <xf numFmtId="3" fontId="3" fillId="0" borderId="14" xfId="0" applyNumberFormat="1" applyFont="1" applyFill="1" applyBorder="1" applyAlignment="1">
      <alignment horizontal="right" vertical="center" wrapText="1" indent="1"/>
    </xf>
    <xf numFmtId="0" fontId="4" fillId="0" borderId="16" xfId="0" applyFont="1" applyFill="1" applyBorder="1" applyAlignment="1">
      <alignment horizontal="center" vertical="center"/>
    </xf>
    <xf numFmtId="0" fontId="3" fillId="0" borderId="17" xfId="0" applyFont="1" applyFill="1" applyBorder="1" applyAlignment="1">
      <alignment horizontal="left" wrapText="1" indent="1"/>
    </xf>
    <xf numFmtId="0" fontId="3" fillId="0" borderId="15" xfId="0" applyFont="1" applyFill="1" applyBorder="1" applyAlignment="1">
      <alignment horizontal="center" vertical="center" wrapText="1"/>
    </xf>
    <xf numFmtId="1" fontId="7" fillId="0" borderId="17" xfId="0" applyNumberFormat="1" applyFont="1" applyFill="1" applyBorder="1" applyAlignment="1">
      <alignment horizontal="right" vertical="center" wrapText="1" indent="1"/>
    </xf>
    <xf numFmtId="0" fontId="10" fillId="0" borderId="13" xfId="0" applyFont="1" applyFill="1" applyBorder="1" applyAlignment="1">
      <alignment horizontal="left" vertical="center" wrapText="1" indent="1"/>
    </xf>
    <xf numFmtId="166" fontId="54" fillId="35" borderId="13" xfId="75" quotePrefix="1" applyNumberFormat="1" applyFont="1" applyFill="1" applyBorder="1" applyAlignment="1" applyProtection="1">
      <alignment horizontal="left" vertical="center" wrapText="1" indent="1"/>
      <protection locked="0"/>
    </xf>
    <xf numFmtId="166" fontId="53" fillId="35" borderId="13" xfId="83" quotePrefix="1" applyNumberFormat="1" applyFont="1" applyFill="1" applyBorder="1" applyAlignment="1" applyProtection="1">
      <alignment horizontal="left" vertical="center" wrapText="1" indent="1"/>
      <protection locked="0"/>
    </xf>
    <xf numFmtId="166" fontId="53" fillId="35" borderId="13" xfId="82" quotePrefix="1" applyNumberFormat="1" applyFont="1" applyFill="1" applyBorder="1" applyProtection="1">
      <alignment horizontal="left" vertical="center" indent="1"/>
      <protection locked="0"/>
    </xf>
    <xf numFmtId="0" fontId="8" fillId="0" borderId="13" xfId="0" applyFont="1" applyBorder="1"/>
    <xf numFmtId="166" fontId="54" fillId="35" borderId="13" xfId="50" quotePrefix="1" applyNumberFormat="1" applyFont="1" applyFill="1" applyBorder="1">
      <alignment horizontal="left" vertical="center" indent="1"/>
    </xf>
    <xf numFmtId="166" fontId="54" fillId="35" borderId="13" xfId="50" applyNumberFormat="1" applyFont="1" applyFill="1" applyBorder="1">
      <alignment horizontal="left" vertical="center" indent="1"/>
    </xf>
    <xf numFmtId="166" fontId="53" fillId="35" borderId="13" xfId="82" applyNumberFormat="1" applyFont="1" applyFill="1" applyBorder="1" applyAlignment="1" applyProtection="1">
      <alignment vertical="center"/>
      <protection locked="0"/>
    </xf>
    <xf numFmtId="166" fontId="54" fillId="35" borderId="13" xfId="82" quotePrefix="1" applyNumberFormat="1" applyFont="1" applyFill="1" applyBorder="1" applyProtection="1">
      <alignment horizontal="left" vertical="center" indent="1"/>
      <protection locked="0"/>
    </xf>
    <xf numFmtId="166" fontId="53" fillId="35" borderId="13" xfId="83" applyNumberFormat="1" applyFont="1" applyFill="1" applyBorder="1" applyAlignment="1" applyProtection="1">
      <alignment horizontal="left" vertical="center" wrapText="1" indent="1"/>
      <protection locked="0"/>
    </xf>
    <xf numFmtId="0" fontId="59" fillId="0" borderId="0" xfId="0" applyFont="1" applyFill="1" applyAlignment="1">
      <alignment horizontal="left" vertical="center" indent="1"/>
    </xf>
    <xf numFmtId="0" fontId="60" fillId="0" borderId="14" xfId="0" applyFont="1" applyFill="1" applyBorder="1" applyAlignment="1">
      <alignment horizontal="center" vertical="center" wrapText="1"/>
    </xf>
    <xf numFmtId="0" fontId="4" fillId="0" borderId="15" xfId="0" applyFont="1" applyFill="1" applyBorder="1" applyAlignment="1">
      <alignment horizontal="center" vertical="center"/>
    </xf>
    <xf numFmtId="0" fontId="4" fillId="0" borderId="0" xfId="0" applyFont="1" applyFill="1" applyBorder="1"/>
    <xf numFmtId="0" fontId="3" fillId="0" borderId="0" xfId="0" applyFont="1" applyFill="1" applyBorder="1" applyAlignment="1">
      <alignment horizontal="center" vertical="center"/>
    </xf>
    <xf numFmtId="49" fontId="3" fillId="0" borderId="13" xfId="0" applyNumberFormat="1" applyFont="1" applyFill="1" applyBorder="1" applyAlignment="1">
      <alignment horizontal="left" vertical="center" wrapText="1"/>
    </xf>
    <xf numFmtId="0" fontId="4" fillId="0" borderId="0" xfId="0" applyFont="1" applyFill="1" applyBorder="1" applyAlignment="1">
      <alignment vertical="center"/>
    </xf>
    <xf numFmtId="0" fontId="4" fillId="0" borderId="16" xfId="0" applyFont="1" applyFill="1" applyBorder="1" applyAlignment="1">
      <alignment horizontal="center" vertical="center" wrapText="1"/>
    </xf>
    <xf numFmtId="49" fontId="4" fillId="0" borderId="0" xfId="0" applyNumberFormat="1" applyFont="1" applyFill="1" applyBorder="1" applyAlignment="1">
      <alignment horizontal="left" indent="1"/>
    </xf>
    <xf numFmtId="0" fontId="23" fillId="0" borderId="0" xfId="0" applyFont="1" applyFill="1" applyBorder="1" applyAlignment="1">
      <alignment vertical="center"/>
    </xf>
    <xf numFmtId="0" fontId="4" fillId="0" borderId="20" xfId="0" applyFont="1" applyFill="1" applyBorder="1" applyAlignment="1">
      <alignment horizontal="center" vertical="center" wrapText="1"/>
    </xf>
    <xf numFmtId="49" fontId="80" fillId="0" borderId="13" xfId="0" applyNumberFormat="1" applyFont="1" applyFill="1" applyBorder="1" applyAlignment="1">
      <alignment horizontal="left" vertical="top" wrapText="1" indent="1"/>
    </xf>
    <xf numFmtId="49" fontId="79" fillId="0" borderId="13" xfId="0" applyNumberFormat="1" applyFont="1" applyFill="1" applyBorder="1" applyAlignment="1">
      <alignment horizontal="left" vertical="top" wrapText="1" indent="1"/>
    </xf>
    <xf numFmtId="49" fontId="80" fillId="0" borderId="13" xfId="0" applyNumberFormat="1" applyFont="1" applyFill="1" applyBorder="1" applyAlignment="1">
      <alignment horizontal="left" wrapText="1" indent="1"/>
    </xf>
    <xf numFmtId="49" fontId="79" fillId="0" borderId="13" xfId="0" applyNumberFormat="1" applyFont="1" applyFill="1" applyBorder="1" applyAlignment="1">
      <alignment horizontal="left" vertical="top" wrapText="1"/>
    </xf>
    <xf numFmtId="49" fontId="80" fillId="0" borderId="13" xfId="0" applyNumberFormat="1" applyFont="1" applyFill="1" applyBorder="1" applyAlignment="1">
      <alignment horizontal="left" vertical="center" wrapText="1" indent="1"/>
    </xf>
    <xf numFmtId="49" fontId="80" fillId="0" borderId="13" xfId="0" applyNumberFormat="1" applyFont="1" applyFill="1" applyBorder="1" applyAlignment="1">
      <alignment horizontal="left" vertical="center" wrapText="1"/>
    </xf>
    <xf numFmtId="49" fontId="76" fillId="0" borderId="13" xfId="0" applyNumberFormat="1" applyFont="1" applyFill="1" applyBorder="1" applyAlignment="1">
      <alignment horizontal="left" vertical="center" wrapText="1" indent="1"/>
    </xf>
    <xf numFmtId="49" fontId="79" fillId="0" borderId="13" xfId="0" applyNumberFormat="1" applyFont="1" applyFill="1" applyBorder="1" applyAlignment="1">
      <alignment horizontal="left" vertical="center" wrapText="1" indent="1"/>
    </xf>
    <xf numFmtId="0" fontId="80" fillId="0" borderId="0" xfId="0" applyFont="1" applyFill="1" applyBorder="1" applyAlignment="1">
      <alignment horizontal="left" vertical="center" wrapText="1" indent="1"/>
    </xf>
    <xf numFmtId="49" fontId="79" fillId="0" borderId="13" xfId="0" applyNumberFormat="1" applyFont="1" applyFill="1" applyBorder="1" applyAlignment="1">
      <alignment horizontal="left" vertical="center" indent="1"/>
    </xf>
    <xf numFmtId="49" fontId="4" fillId="0" borderId="19" xfId="0" applyNumberFormat="1" applyFont="1" applyFill="1" applyBorder="1" applyAlignment="1">
      <alignment horizontal="left" vertical="center" wrapText="1" indent="1"/>
    </xf>
    <xf numFmtId="49" fontId="4" fillId="0" borderId="13" xfId="0" applyNumberFormat="1" applyFont="1" applyFill="1" applyBorder="1" applyAlignment="1">
      <alignment horizontal="left" vertical="top" wrapText="1" indent="1"/>
    </xf>
    <xf numFmtId="49" fontId="3" fillId="0" borderId="13" xfId="0" applyNumberFormat="1" applyFont="1" applyFill="1" applyBorder="1" applyAlignment="1">
      <alignment horizontal="left" vertical="top" wrapText="1" indent="1"/>
    </xf>
    <xf numFmtId="49" fontId="3" fillId="0" borderId="17" xfId="0" applyNumberFormat="1" applyFont="1" applyFill="1" applyBorder="1" applyAlignment="1">
      <alignment horizontal="left" vertical="top" wrapText="1" indent="1"/>
    </xf>
    <xf numFmtId="49" fontId="3" fillId="0" borderId="13" xfId="0" applyNumberFormat="1" applyFont="1" applyFill="1" applyBorder="1" applyAlignment="1">
      <alignment vertical="center" wrapText="1"/>
    </xf>
    <xf numFmtId="49" fontId="81" fillId="0" borderId="13"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8" fillId="0" borderId="13" xfId="0" applyNumberFormat="1" applyFont="1" applyFill="1" applyBorder="1" applyAlignment="1">
      <alignment vertical="center" wrapText="1"/>
    </xf>
    <xf numFmtId="49" fontId="7" fillId="0" borderId="17" xfId="0" applyNumberFormat="1" applyFont="1" applyFill="1" applyBorder="1" applyAlignment="1">
      <alignment vertical="center" wrapText="1"/>
    </xf>
    <xf numFmtId="0" fontId="4" fillId="0" borderId="70"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4" fillId="0" borderId="70" xfId="0" applyFont="1" applyFill="1" applyBorder="1" applyAlignment="1">
      <alignment horizontal="right" vertical="center" wrapText="1" indent="1"/>
    </xf>
    <xf numFmtId="4" fontId="4" fillId="0" borderId="0" xfId="0" applyNumberFormat="1" applyFont="1" applyFill="1" applyAlignment="1">
      <alignment horizontal="right" vertical="center" indent="1"/>
    </xf>
    <xf numFmtId="3" fontId="7" fillId="0" borderId="67" xfId="43" applyNumberFormat="1" applyFont="1" applyFill="1" applyBorder="1" applyAlignment="1">
      <alignment horizontal="center" vertical="center" wrapText="1"/>
    </xf>
    <xf numFmtId="3" fontId="7" fillId="0" borderId="13" xfId="43" applyNumberFormat="1" applyFont="1" applyFill="1" applyBorder="1" applyAlignment="1">
      <alignment horizontal="center" vertical="center" wrapText="1"/>
    </xf>
    <xf numFmtId="3" fontId="7" fillId="0" borderId="15" xfId="43" applyNumberFormat="1" applyFont="1" applyFill="1" applyBorder="1" applyAlignment="1">
      <alignment horizontal="center" vertical="center" wrapText="1"/>
    </xf>
    <xf numFmtId="0" fontId="7" fillId="0" borderId="67" xfId="43" applyNumberFormat="1" applyFont="1" applyFill="1" applyBorder="1" applyAlignment="1">
      <alignment horizontal="center" vertical="center" wrapText="1"/>
    </xf>
    <xf numFmtId="0" fontId="7" fillId="0" borderId="77" xfId="43" applyNumberFormat="1" applyFont="1" applyFill="1" applyBorder="1" applyAlignment="1">
      <alignment horizontal="center" vertical="center" wrapText="1"/>
    </xf>
    <xf numFmtId="0" fontId="7" fillId="0" borderId="13" xfId="43" applyNumberFormat="1" applyFont="1" applyFill="1" applyBorder="1" applyAlignment="1">
      <alignment horizontal="center" vertical="center" wrapText="1"/>
    </xf>
    <xf numFmtId="0" fontId="77" fillId="0" borderId="0" xfId="0" applyFont="1" applyFill="1"/>
    <xf numFmtId="0" fontId="75" fillId="0" borderId="0" xfId="0" applyFont="1" applyFill="1"/>
    <xf numFmtId="49" fontId="80" fillId="0" borderId="13" xfId="0" applyNumberFormat="1" applyFont="1" applyFill="1" applyBorder="1" applyAlignment="1" applyProtection="1">
      <alignment horizontal="left" vertical="top" wrapText="1" indent="1"/>
      <protection locked="0"/>
    </xf>
    <xf numFmtId="49" fontId="96" fillId="0" borderId="17" xfId="0" applyNumberFormat="1" applyFont="1" applyFill="1" applyBorder="1" applyAlignment="1">
      <alignment horizontal="left" vertical="center" wrapText="1" indent="1"/>
    </xf>
    <xf numFmtId="0" fontId="97" fillId="0" borderId="13" xfId="0" applyFont="1" applyFill="1" applyBorder="1" applyAlignment="1">
      <alignment horizontal="center" vertical="center" wrapText="1"/>
    </xf>
    <xf numFmtId="0" fontId="97" fillId="0" borderId="14" xfId="0" applyFont="1" applyFill="1" applyBorder="1" applyAlignment="1">
      <alignment horizontal="center" vertical="center" wrapText="1"/>
    </xf>
    <xf numFmtId="49" fontId="77" fillId="0" borderId="13" xfId="0" applyNumberFormat="1" applyFont="1" applyFill="1" applyBorder="1" applyAlignment="1">
      <alignment horizontal="left" vertical="center" wrapText="1" indent="1"/>
    </xf>
    <xf numFmtId="49" fontId="84" fillId="0" borderId="13" xfId="0" applyNumberFormat="1" applyFont="1" applyFill="1" applyBorder="1" applyAlignment="1">
      <alignment horizontal="left" vertical="center" wrapText="1" indent="1"/>
    </xf>
    <xf numFmtId="49" fontId="75" fillId="0" borderId="13" xfId="0" applyNumberFormat="1" applyFont="1" applyFill="1" applyBorder="1" applyAlignment="1">
      <alignment horizontal="left" vertical="center" wrapText="1" indent="1"/>
    </xf>
    <xf numFmtId="49" fontId="77" fillId="0" borderId="13" xfId="0" applyNumberFormat="1" applyFont="1" applyFill="1" applyBorder="1" applyAlignment="1">
      <alignment horizontal="left" vertical="top" wrapText="1" indent="1"/>
    </xf>
    <xf numFmtId="0" fontId="73" fillId="0" borderId="0" xfId="40" applyFill="1"/>
    <xf numFmtId="0" fontId="4" fillId="0" borderId="13" xfId="0" applyFont="1" applyFill="1" applyBorder="1" applyAlignment="1">
      <alignment horizontal="left" vertical="top" wrapText="1" indent="1"/>
    </xf>
    <xf numFmtId="0" fontId="4" fillId="0" borderId="19" xfId="0" applyFont="1" applyFill="1" applyBorder="1" applyAlignment="1">
      <alignment horizontal="left" vertical="top" wrapText="1" indent="1"/>
    </xf>
    <xf numFmtId="4" fontId="8" fillId="0" borderId="13" xfId="0" applyNumberFormat="1" applyFont="1" applyFill="1" applyBorder="1" applyAlignment="1">
      <alignment vertical="center" wrapText="1"/>
    </xf>
    <xf numFmtId="0" fontId="28" fillId="0" borderId="83" xfId="0" applyFont="1" applyFill="1" applyBorder="1" applyAlignment="1">
      <alignment horizontal="left" vertical="center" wrapText="1"/>
    </xf>
    <xf numFmtId="4" fontId="4" fillId="0" borderId="19" xfId="0" applyNumberFormat="1" applyFont="1" applyFill="1" applyBorder="1" applyAlignment="1">
      <alignment vertical="center" wrapText="1"/>
    </xf>
    <xf numFmtId="4" fontId="3" fillId="0" borderId="13" xfId="0" applyNumberFormat="1" applyFont="1" applyFill="1" applyBorder="1" applyAlignment="1">
      <alignment horizontal="center" vertical="center" wrapText="1"/>
    </xf>
    <xf numFmtId="4" fontId="4" fillId="0" borderId="13" xfId="0" applyNumberFormat="1" applyFont="1" applyFill="1" applyBorder="1" applyAlignment="1">
      <alignment horizontal="right" vertical="center" wrapText="1" indent="1"/>
    </xf>
    <xf numFmtId="4" fontId="4" fillId="0" borderId="14" xfId="0" applyNumberFormat="1" applyFont="1" applyFill="1" applyBorder="1" applyAlignment="1">
      <alignment horizontal="right" vertical="center" wrapText="1" indent="1"/>
    </xf>
    <xf numFmtId="166" fontId="67" fillId="0" borderId="13" xfId="0" applyNumberFormat="1" applyFont="1" applyFill="1" applyBorder="1" applyAlignment="1">
      <alignment horizontal="center" vertical="center" wrapText="1"/>
    </xf>
    <xf numFmtId="166" fontId="82" fillId="0" borderId="13" xfId="0" applyNumberFormat="1" applyFont="1" applyFill="1" applyBorder="1" applyAlignment="1">
      <alignment horizontal="center" vertical="center" wrapText="1"/>
    </xf>
    <xf numFmtId="4" fontId="3" fillId="0" borderId="14" xfId="0" applyNumberFormat="1" applyFont="1" applyFill="1" applyBorder="1" applyAlignment="1">
      <alignment horizontal="right" vertical="center" wrapText="1" indent="1"/>
    </xf>
    <xf numFmtId="4" fontId="4" fillId="0" borderId="19" xfId="0" applyNumberFormat="1" applyFont="1" applyFill="1" applyBorder="1" applyAlignment="1">
      <alignment horizontal="right" vertical="center" wrapText="1" indent="1"/>
    </xf>
    <xf numFmtId="3" fontId="4" fillId="0" borderId="13" xfId="39" applyNumberFormat="1" applyFont="1" applyFill="1" applyBorder="1" applyAlignment="1">
      <alignment horizontal="center" wrapText="1"/>
    </xf>
    <xf numFmtId="3" fontId="4" fillId="0" borderId="38" xfId="39" applyNumberFormat="1" applyFont="1" applyFill="1" applyBorder="1" applyAlignment="1">
      <alignment horizontal="center" wrapText="1"/>
    </xf>
    <xf numFmtId="4" fontId="4" fillId="0" borderId="13" xfId="39" applyNumberFormat="1" applyFont="1" applyFill="1" applyBorder="1" applyAlignment="1">
      <alignment horizontal="right" vertical="center" wrapText="1" indent="1"/>
    </xf>
    <xf numFmtId="4" fontId="4" fillId="0" borderId="38" xfId="39" applyNumberFormat="1" applyFont="1" applyFill="1" applyBorder="1" applyAlignment="1">
      <alignment horizontal="right" vertical="center" wrapText="1" indent="1"/>
    </xf>
    <xf numFmtId="0" fontId="4" fillId="0" borderId="0" xfId="39" applyFont="1" applyFill="1" applyAlignment="1">
      <alignment horizontal="center"/>
    </xf>
    <xf numFmtId="0" fontId="4" fillId="0" borderId="0" xfId="39" applyFont="1" applyFill="1"/>
    <xf numFmtId="49" fontId="4" fillId="0" borderId="13" xfId="39" applyNumberFormat="1" applyFont="1" applyFill="1" applyBorder="1" applyAlignment="1">
      <alignment horizontal="left" vertical="center" wrapText="1" indent="1"/>
    </xf>
    <xf numFmtId="0" fontId="4" fillId="0" borderId="15" xfId="39" applyFont="1" applyFill="1" applyBorder="1" applyAlignment="1">
      <alignment horizontal="center" vertical="center" wrapText="1"/>
    </xf>
    <xf numFmtId="0" fontId="4" fillId="0" borderId="16" xfId="39" applyFont="1" applyFill="1" applyBorder="1" applyAlignment="1">
      <alignment horizontal="center" vertical="center" wrapText="1"/>
    </xf>
    <xf numFmtId="0" fontId="4" fillId="0" borderId="0" xfId="39" applyFont="1" applyFill="1" applyBorder="1" applyAlignment="1">
      <alignment horizontal="center" vertical="center" wrapText="1"/>
    </xf>
    <xf numFmtId="49" fontId="3" fillId="0" borderId="0" xfId="39" applyNumberFormat="1" applyFont="1" applyFill="1" applyBorder="1" applyAlignment="1">
      <alignment horizontal="left" vertical="top" wrapText="1" indent="1"/>
    </xf>
    <xf numFmtId="3" fontId="7" fillId="0" borderId="0" xfId="39" applyNumberFormat="1" applyFont="1" applyFill="1" applyBorder="1" applyAlignment="1">
      <alignment horizontal="right" vertical="center" wrapText="1" indent="1"/>
    </xf>
    <xf numFmtId="0" fontId="8" fillId="0" borderId="21" xfId="95" applyFont="1" applyFill="1" applyBorder="1" applyAlignment="1">
      <alignment horizontal="left" indent="1"/>
    </xf>
    <xf numFmtId="0" fontId="8" fillId="0" borderId="15" xfId="95" applyFont="1" applyFill="1" applyBorder="1" applyAlignment="1">
      <alignment horizontal="left" indent="1"/>
    </xf>
    <xf numFmtId="0" fontId="23" fillId="0" borderId="15" xfId="95" applyFont="1" applyFill="1" applyBorder="1" applyAlignment="1">
      <alignment horizontal="left" indent="1"/>
    </xf>
    <xf numFmtId="3" fontId="4" fillId="0" borderId="13" xfId="92" applyNumberFormat="1" applyFont="1" applyFill="1" applyBorder="1" applyAlignment="1">
      <alignment horizontal="center" vertical="center" wrapText="1"/>
    </xf>
    <xf numFmtId="3" fontId="4" fillId="0" borderId="14" xfId="92" applyNumberFormat="1" applyFont="1" applyFill="1" applyBorder="1" applyAlignment="1">
      <alignment horizontal="center" vertical="center" wrapText="1"/>
    </xf>
    <xf numFmtId="4" fontId="4" fillId="0" borderId="0" xfId="0" applyNumberFormat="1" applyFont="1" applyFill="1" applyBorder="1"/>
    <xf numFmtId="4" fontId="23" fillId="0" borderId="0" xfId="0" applyNumberFormat="1" applyFont="1" applyFill="1" applyBorder="1" applyAlignment="1">
      <alignment vertical="center"/>
    </xf>
    <xf numFmtId="0" fontId="75" fillId="0" borderId="0" xfId="0" applyFont="1" applyFill="1" applyBorder="1" applyAlignment="1">
      <alignment horizontal="center" vertical="center" wrapText="1"/>
    </xf>
    <xf numFmtId="4" fontId="115" fillId="0" borderId="85" xfId="0" applyNumberFormat="1" applyFont="1" applyFill="1" applyBorder="1" applyAlignment="1">
      <alignment horizontal="center"/>
    </xf>
    <xf numFmtId="4" fontId="7" fillId="0" borderId="60" xfId="0" applyNumberFormat="1" applyFont="1" applyFill="1" applyBorder="1" applyAlignment="1">
      <alignment horizontal="right" vertical="center" wrapText="1" indent="1"/>
    </xf>
    <xf numFmtId="0" fontId="2" fillId="0" borderId="0" xfId="0" applyFont="1" applyFill="1" applyAlignment="1">
      <alignment wrapText="1"/>
    </xf>
    <xf numFmtId="49" fontId="3" fillId="0" borderId="13"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7" fillId="0" borderId="70" xfId="0" applyFont="1" applyFill="1" applyBorder="1" applyAlignment="1">
      <alignment horizontal="left" vertical="center" wrapText="1" indent="1"/>
    </xf>
    <xf numFmtId="0" fontId="4" fillId="0" borderId="0" xfId="0" applyFont="1" applyFill="1" applyAlignment="1">
      <alignment horizontal="center" vertical="center"/>
    </xf>
    <xf numFmtId="166" fontId="4" fillId="0" borderId="0" xfId="0" applyNumberFormat="1" applyFont="1" applyFill="1" applyAlignment="1">
      <alignment horizontal="right" vertical="center" indent="1"/>
    </xf>
    <xf numFmtId="0" fontId="4" fillId="0" borderId="0" xfId="0" applyFont="1" applyFill="1" applyAlignment="1">
      <alignment horizontal="left" vertical="center" wrapText="1"/>
    </xf>
    <xf numFmtId="4" fontId="3" fillId="0" borderId="13" xfId="0" applyNumberFormat="1" applyFont="1" applyFill="1" applyBorder="1" applyAlignment="1">
      <alignment horizontal="right" vertical="center" wrapText="1" indent="1"/>
    </xf>
    <xf numFmtId="4" fontId="4" fillId="0" borderId="13" xfId="0" applyNumberFormat="1" applyFont="1" applyFill="1" applyBorder="1" applyAlignment="1">
      <alignment horizontal="center" vertical="center" wrapText="1"/>
    </xf>
    <xf numFmtId="4" fontId="3" fillId="0" borderId="17" xfId="0" applyNumberFormat="1" applyFont="1" applyFill="1" applyBorder="1" applyAlignment="1" applyProtection="1">
      <alignment horizontal="right" vertical="center" wrapText="1" indent="1"/>
    </xf>
    <xf numFmtId="4" fontId="3" fillId="0" borderId="18" xfId="0" applyNumberFormat="1" applyFont="1" applyFill="1" applyBorder="1" applyAlignment="1">
      <alignment horizontal="right" vertical="center" wrapText="1" indent="1"/>
    </xf>
    <xf numFmtId="0" fontId="4" fillId="0" borderId="0" xfId="0" applyFont="1" applyFill="1" applyBorder="1" applyAlignment="1">
      <alignment horizontal="center" vertical="center" wrapText="1"/>
    </xf>
    <xf numFmtId="49" fontId="4" fillId="0" borderId="0" xfId="0" applyNumberFormat="1" applyFont="1" applyFill="1" applyBorder="1" applyAlignment="1">
      <alignment horizontal="left" vertical="center" wrapText="1" indent="1"/>
    </xf>
    <xf numFmtId="0" fontId="4" fillId="0" borderId="0" xfId="0" applyFont="1" applyFill="1" applyBorder="1" applyAlignment="1">
      <alignment vertical="center" wrapText="1"/>
    </xf>
    <xf numFmtId="0" fontId="4" fillId="0" borderId="0" xfId="0" applyFont="1" applyFill="1" applyAlignment="1">
      <alignment horizontal="right" vertical="center" wrapText="1"/>
    </xf>
    <xf numFmtId="49" fontId="9" fillId="0" borderId="0" xfId="0" applyNumberFormat="1" applyFont="1" applyFill="1" applyAlignment="1">
      <alignment horizontal="left" vertical="center" wrapText="1" indent="1"/>
    </xf>
    <xf numFmtId="0" fontId="4" fillId="0" borderId="0" xfId="0" applyFont="1" applyFill="1" applyAlignment="1">
      <alignment horizontal="center" vertical="center" wrapText="1"/>
    </xf>
    <xf numFmtId="49" fontId="4" fillId="0" borderId="0" xfId="0" applyNumberFormat="1" applyFont="1" applyFill="1" applyAlignment="1">
      <alignment horizontal="left" vertical="center" wrapText="1" indent="1"/>
    </xf>
    <xf numFmtId="0" fontId="5" fillId="0" borderId="0" xfId="0" applyFont="1" applyFill="1" applyAlignment="1">
      <alignment horizontal="center" vertical="center" wrapText="1"/>
    </xf>
    <xf numFmtId="0" fontId="3" fillId="0" borderId="0" xfId="0" applyFont="1" applyFill="1"/>
    <xf numFmtId="0" fontId="3" fillId="0" borderId="13" xfId="0" applyFont="1" applyFill="1" applyBorder="1" applyAlignment="1">
      <alignment horizontal="left" vertical="top" wrapText="1" indent="1"/>
    </xf>
    <xf numFmtId="3" fontId="7" fillId="0" borderId="13" xfId="0" applyNumberFormat="1" applyFont="1" applyFill="1" applyBorder="1" applyAlignment="1">
      <alignment horizontal="right" vertical="center" wrapText="1" indent="1"/>
    </xf>
    <xf numFmtId="3" fontId="7" fillId="0" borderId="14" xfId="0" applyNumberFormat="1" applyFont="1" applyFill="1" applyBorder="1" applyAlignment="1">
      <alignment horizontal="right" vertical="center" wrapText="1" indent="1"/>
    </xf>
    <xf numFmtId="4" fontId="7" fillId="0" borderId="14" xfId="0" applyNumberFormat="1" applyFont="1" applyFill="1" applyBorder="1" applyAlignment="1">
      <alignment horizontal="right" vertical="center" wrapText="1" indent="1"/>
    </xf>
    <xf numFmtId="4" fontId="7" fillId="0" borderId="13" xfId="0" applyNumberFormat="1" applyFont="1" applyFill="1" applyBorder="1" applyAlignment="1">
      <alignment horizontal="right" vertical="center" wrapText="1" indent="1"/>
    </xf>
    <xf numFmtId="0" fontId="8" fillId="0" borderId="13" xfId="0" applyFont="1" applyFill="1" applyBorder="1" applyAlignment="1">
      <alignment horizontal="left" vertical="top" wrapText="1" indent="1"/>
    </xf>
    <xf numFmtId="4" fontId="8" fillId="0" borderId="13" xfId="0" applyNumberFormat="1" applyFont="1" applyFill="1" applyBorder="1" applyAlignment="1">
      <alignment horizontal="right" vertical="center" wrapText="1" indent="1"/>
    </xf>
    <xf numFmtId="0" fontId="4" fillId="0" borderId="21" xfId="0" applyFont="1" applyFill="1" applyBorder="1" applyAlignment="1">
      <alignment horizontal="center" vertical="center"/>
    </xf>
    <xf numFmtId="0" fontId="4" fillId="0" borderId="0" xfId="0" applyFont="1" applyFill="1" applyBorder="1" applyAlignment="1">
      <alignment horizontal="left" indent="1"/>
    </xf>
    <xf numFmtId="0" fontId="10" fillId="0" borderId="0" xfId="0" applyFont="1" applyFill="1"/>
    <xf numFmtId="0" fontId="4" fillId="0" borderId="22" xfId="0" applyFont="1" applyFill="1" applyBorder="1" applyAlignment="1">
      <alignment horizontal="center" vertical="center"/>
    </xf>
    <xf numFmtId="4" fontId="3" fillId="0" borderId="17" xfId="0" applyNumberFormat="1" applyFont="1" applyFill="1" applyBorder="1" applyAlignment="1">
      <alignment horizontal="right" vertical="center" wrapText="1" indent="1"/>
    </xf>
    <xf numFmtId="4" fontId="7" fillId="0" borderId="18" xfId="0" applyNumberFormat="1" applyFont="1" applyFill="1" applyBorder="1" applyAlignment="1">
      <alignment horizontal="right" vertical="center" wrapText="1" indent="1"/>
    </xf>
    <xf numFmtId="0" fontId="10" fillId="0" borderId="0" xfId="0" applyFont="1" applyFill="1" applyAlignment="1">
      <alignment horizontal="center" vertical="center"/>
    </xf>
    <xf numFmtId="0" fontId="10" fillId="0" borderId="0" xfId="0" applyFont="1" applyFill="1" applyAlignment="1">
      <alignment horizontal="left" indent="1"/>
    </xf>
    <xf numFmtId="0" fontId="4" fillId="0" borderId="0" xfId="0" applyFont="1" applyFill="1" applyAlignment="1">
      <alignment horizontal="left" indent="1"/>
    </xf>
    <xf numFmtId="4" fontId="7" fillId="0" borderId="13" xfId="0" applyNumberFormat="1" applyFont="1" applyFill="1" applyBorder="1" applyAlignment="1">
      <alignment horizontal="right" vertical="center" indent="1"/>
    </xf>
    <xf numFmtId="4" fontId="7" fillId="0" borderId="14" xfId="0" applyNumberFormat="1" applyFont="1" applyFill="1" applyBorder="1" applyAlignment="1">
      <alignment horizontal="right" vertical="center" indent="1"/>
    </xf>
    <xf numFmtId="3" fontId="4" fillId="0" borderId="13" xfId="0" applyNumberFormat="1" applyFont="1" applyFill="1" applyBorder="1" applyAlignment="1">
      <alignment vertical="center" wrapText="1"/>
    </xf>
    <xf numFmtId="4" fontId="4" fillId="0" borderId="13" xfId="0" applyNumberFormat="1" applyFont="1" applyFill="1" applyBorder="1" applyAlignment="1">
      <alignment vertical="center" wrapText="1"/>
    </xf>
    <xf numFmtId="0" fontId="92" fillId="0" borderId="0" xfId="0" applyFont="1" applyFill="1"/>
    <xf numFmtId="0" fontId="4" fillId="0" borderId="15" xfId="0" applyFont="1" applyFill="1" applyBorder="1" applyAlignment="1">
      <alignment horizontal="center" vertical="top"/>
    </xf>
    <xf numFmtId="4" fontId="4" fillId="0" borderId="13" xfId="0" applyNumberFormat="1" applyFont="1" applyFill="1" applyBorder="1" applyAlignment="1">
      <alignment vertical="center"/>
    </xf>
    <xf numFmtId="4" fontId="91" fillId="0" borderId="13" xfId="0" applyNumberFormat="1" applyFont="1" applyFill="1" applyBorder="1" applyAlignment="1">
      <alignment horizontal="right" vertical="center" wrapText="1" indent="1"/>
    </xf>
    <xf numFmtId="0" fontId="65" fillId="0" borderId="0" xfId="0" applyFont="1" applyFill="1"/>
    <xf numFmtId="4" fontId="7" fillId="0" borderId="13" xfId="0" applyNumberFormat="1" applyFont="1" applyFill="1" applyBorder="1" applyAlignment="1">
      <alignment vertical="center" wrapText="1"/>
    </xf>
    <xf numFmtId="4" fontId="77" fillId="0" borderId="13" xfId="0" applyNumberFormat="1" applyFont="1" applyFill="1" applyBorder="1" applyAlignment="1">
      <alignment horizontal="center" vertical="center" wrapText="1"/>
    </xf>
    <xf numFmtId="4" fontId="7" fillId="0" borderId="17" xfId="0" applyNumberFormat="1" applyFont="1" applyFill="1" applyBorder="1" applyAlignment="1">
      <alignment horizontal="right" vertical="center" wrapText="1" indent="1"/>
    </xf>
    <xf numFmtId="4" fontId="7" fillId="0" borderId="17" xfId="0" applyNumberFormat="1" applyFont="1" applyFill="1" applyBorder="1" applyAlignment="1">
      <alignment horizontal="right" vertical="center" indent="1"/>
    </xf>
    <xf numFmtId="4" fontId="7" fillId="0" borderId="18" xfId="0" applyNumberFormat="1" applyFont="1" applyFill="1" applyBorder="1" applyAlignment="1">
      <alignment horizontal="right" vertical="center" indent="1"/>
    </xf>
    <xf numFmtId="0" fontId="77" fillId="0" borderId="0" xfId="0" applyFont="1" applyFill="1" applyAlignment="1">
      <alignment vertical="center"/>
    </xf>
    <xf numFmtId="0" fontId="4" fillId="0" borderId="0" xfId="0" applyFont="1" applyFill="1" applyAlignment="1">
      <alignment horizontal="justify"/>
    </xf>
    <xf numFmtId="49" fontId="4" fillId="0" borderId="0" xfId="0" applyNumberFormat="1" applyFont="1" applyFill="1" applyAlignment="1">
      <alignment horizontal="left" wrapText="1" indent="1"/>
    </xf>
    <xf numFmtId="3" fontId="4" fillId="0" borderId="0" xfId="0" applyNumberFormat="1" applyFont="1" applyFill="1" applyAlignment="1">
      <alignment vertical="center"/>
    </xf>
    <xf numFmtId="0" fontId="4" fillId="0" borderId="0" xfId="0" applyFont="1" applyFill="1" applyAlignment="1">
      <alignment vertical="center"/>
    </xf>
    <xf numFmtId="0" fontId="8" fillId="0" borderId="0" xfId="0" applyFont="1" applyFill="1"/>
    <xf numFmtId="4" fontId="105" fillId="0" borderId="13" xfId="0" applyNumberFormat="1" applyFont="1" applyFill="1" applyBorder="1" applyAlignment="1">
      <alignment horizontal="right" vertical="center" wrapText="1" indent="1"/>
    </xf>
    <xf numFmtId="3" fontId="58" fillId="0" borderId="0" xfId="0" applyNumberFormat="1" applyFont="1" applyFill="1"/>
    <xf numFmtId="0" fontId="75" fillId="0" borderId="0" xfId="0" applyFont="1" applyFill="1" applyAlignment="1">
      <alignment wrapText="1"/>
    </xf>
    <xf numFmtId="4" fontId="4" fillId="0" borderId="38" xfId="0" applyNumberFormat="1" applyFont="1" applyFill="1" applyBorder="1" applyAlignment="1">
      <alignment horizontal="right" vertical="center" wrapText="1" indent="1"/>
    </xf>
    <xf numFmtId="4" fontId="8" fillId="0" borderId="38" xfId="0" applyNumberFormat="1" applyFont="1" applyFill="1" applyBorder="1" applyAlignment="1">
      <alignment horizontal="right" vertical="center" wrapText="1" indent="1"/>
    </xf>
    <xf numFmtId="4" fontId="7" fillId="0" borderId="38" xfId="0" applyNumberFormat="1" applyFont="1" applyFill="1" applyBorder="1" applyAlignment="1">
      <alignment horizontal="right" vertical="center" wrapText="1" indent="1"/>
    </xf>
    <xf numFmtId="4" fontId="3" fillId="0" borderId="39" xfId="0" applyNumberFormat="1" applyFont="1" applyFill="1" applyBorder="1" applyAlignment="1">
      <alignment horizontal="right" vertical="center" wrapText="1" indent="1"/>
    </xf>
    <xf numFmtId="49" fontId="4" fillId="0" borderId="0" xfId="0" applyNumberFormat="1" applyFont="1" applyFill="1" applyAlignment="1">
      <alignment horizontal="left" vertical="center"/>
    </xf>
    <xf numFmtId="0" fontId="4" fillId="0" borderId="0" xfId="0" applyFont="1" applyFill="1" applyAlignment="1">
      <alignment horizontal="left" vertical="center"/>
    </xf>
    <xf numFmtId="49" fontId="8" fillId="0" borderId="0" xfId="0" applyNumberFormat="1" applyFont="1" applyFill="1" applyAlignment="1">
      <alignment horizontal="left" vertical="center"/>
    </xf>
    <xf numFmtId="49" fontId="75" fillId="0" borderId="0" xfId="0" applyNumberFormat="1" applyFont="1" applyFill="1" applyAlignment="1">
      <alignment horizontal="left" vertical="center"/>
    </xf>
    <xf numFmtId="49" fontId="4" fillId="0" borderId="0" xfId="0" applyNumberFormat="1" applyFont="1" applyFill="1"/>
    <xf numFmtId="4" fontId="8" fillId="0" borderId="14" xfId="0" applyNumberFormat="1" applyFont="1" applyFill="1" applyBorder="1" applyAlignment="1">
      <alignment horizontal="right" vertical="center" wrapText="1" indent="1"/>
    </xf>
    <xf numFmtId="4" fontId="4" fillId="0" borderId="20" xfId="0" applyNumberFormat="1" applyFont="1" applyFill="1" applyBorder="1" applyAlignment="1">
      <alignment vertical="center" wrapText="1"/>
    </xf>
    <xf numFmtId="3" fontId="92" fillId="0" borderId="0" xfId="0" applyNumberFormat="1" applyFont="1" applyFill="1" applyAlignment="1">
      <alignment horizontal="left"/>
    </xf>
    <xf numFmtId="4" fontId="4" fillId="0" borderId="13" xfId="0" applyNumberFormat="1" applyFont="1" applyFill="1" applyBorder="1" applyAlignment="1">
      <alignment horizontal="right" vertical="center" wrapText="1"/>
    </xf>
    <xf numFmtId="0" fontId="93" fillId="0" borderId="0" xfId="0" applyFont="1" applyFill="1" applyAlignment="1">
      <alignment wrapText="1"/>
    </xf>
    <xf numFmtId="0" fontId="113" fillId="0" borderId="0" xfId="0" applyFont="1" applyFill="1" applyAlignment="1">
      <alignment wrapText="1"/>
    </xf>
    <xf numFmtId="0" fontId="93" fillId="0" borderId="0" xfId="0" applyFont="1" applyFill="1"/>
    <xf numFmtId="0" fontId="4" fillId="0" borderId="12" xfId="0" applyFont="1" applyFill="1" applyBorder="1" applyAlignment="1">
      <alignment horizontal="center" vertical="center"/>
    </xf>
    <xf numFmtId="49" fontId="4" fillId="0" borderId="0" xfId="0" applyNumberFormat="1" applyFont="1" applyFill="1" applyAlignment="1">
      <alignment horizontal="left" wrapText="1"/>
    </xf>
    <xf numFmtId="166" fontId="4" fillId="0" borderId="0" xfId="0" applyNumberFormat="1" applyFont="1" applyFill="1"/>
    <xf numFmtId="0" fontId="3" fillId="0" borderId="0" xfId="0" applyFont="1" applyFill="1" applyAlignment="1">
      <alignment vertical="center" wrapText="1"/>
    </xf>
    <xf numFmtId="0" fontId="3" fillId="0" borderId="56" xfId="0" applyFont="1" applyFill="1" applyBorder="1" applyAlignment="1">
      <alignment horizontal="center" vertical="center" wrapText="1"/>
    </xf>
    <xf numFmtId="0" fontId="3" fillId="0" borderId="0" xfId="0" applyFont="1" applyFill="1" applyBorder="1" applyAlignment="1">
      <alignment vertical="center" wrapText="1"/>
    </xf>
    <xf numFmtId="4" fontId="7" fillId="0" borderId="20" xfId="0" applyNumberFormat="1" applyFont="1" applyFill="1" applyBorder="1" applyAlignment="1">
      <alignment horizontal="right" vertical="center" wrapText="1" indent="1"/>
    </xf>
    <xf numFmtId="4" fontId="4" fillId="0" borderId="13" xfId="27" applyNumberFormat="1" applyFont="1" applyFill="1" applyBorder="1" applyAlignment="1">
      <alignment horizontal="right" vertical="center" wrapText="1" indent="1"/>
    </xf>
    <xf numFmtId="0" fontId="4" fillId="0" borderId="15" xfId="0"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4" fillId="0" borderId="14" xfId="0" applyFont="1" applyFill="1" applyBorder="1" applyAlignment="1">
      <alignment horizontal="center" vertical="center" wrapText="1"/>
    </xf>
    <xf numFmtId="4" fontId="115" fillId="0" borderId="86" xfId="0" applyNumberFormat="1" applyFont="1" applyFill="1" applyBorder="1" applyAlignment="1">
      <alignment horizontal="center" vertical="center"/>
    </xf>
    <xf numFmtId="4" fontId="115" fillId="0" borderId="86" xfId="0" applyNumberFormat="1" applyFont="1" applyFill="1" applyBorder="1" applyAlignment="1">
      <alignment horizontal="center"/>
    </xf>
    <xf numFmtId="4" fontId="7" fillId="0" borderId="28" xfId="0" applyNumberFormat="1" applyFont="1" applyFill="1" applyBorder="1" applyAlignment="1">
      <alignment horizontal="right" vertical="center" wrapText="1" indent="1"/>
    </xf>
    <xf numFmtId="4" fontId="7" fillId="0" borderId="76" xfId="0" applyNumberFormat="1" applyFont="1" applyFill="1" applyBorder="1" applyAlignment="1">
      <alignment horizontal="right" vertical="center" wrapText="1" indent="1"/>
    </xf>
    <xf numFmtId="4" fontId="116" fillId="0" borderId="85" xfId="0" applyNumberFormat="1" applyFont="1" applyFill="1" applyBorder="1" applyAlignment="1">
      <alignment horizontal="center" vertical="center"/>
    </xf>
    <xf numFmtId="0" fontId="109" fillId="0" borderId="0" xfId="0" applyFont="1" applyFill="1" applyAlignment="1">
      <alignment vertical="center" wrapText="1"/>
    </xf>
    <xf numFmtId="49" fontId="4" fillId="0" borderId="0" xfId="0" applyNumberFormat="1" applyFont="1" applyFill="1" applyBorder="1" applyAlignment="1">
      <alignment vertical="center" wrapText="1"/>
    </xf>
    <xf numFmtId="0" fontId="7" fillId="0" borderId="61" xfId="0" applyFont="1" applyFill="1" applyBorder="1" applyAlignment="1">
      <alignment vertical="center" wrapText="1"/>
    </xf>
    <xf numFmtId="0" fontId="104" fillId="0" borderId="57" xfId="0" applyFont="1" applyFill="1" applyBorder="1" applyAlignment="1">
      <alignment horizontal="center" vertical="center"/>
    </xf>
    <xf numFmtId="0" fontId="4" fillId="0" borderId="57" xfId="0" applyFont="1" applyFill="1" applyBorder="1" applyAlignment="1">
      <alignment vertical="center" wrapText="1"/>
    </xf>
    <xf numFmtId="0" fontId="4" fillId="0" borderId="58" xfId="0" applyFont="1" applyFill="1" applyBorder="1" applyAlignment="1">
      <alignment vertical="center" wrapText="1"/>
    </xf>
    <xf numFmtId="0" fontId="78" fillId="0" borderId="0" xfId="0" applyFont="1" applyFill="1" applyAlignment="1">
      <alignment vertical="center"/>
    </xf>
    <xf numFmtId="0" fontId="117" fillId="0" borderId="0" xfId="0" applyFont="1" applyFill="1" applyAlignment="1">
      <alignment vertical="center"/>
    </xf>
    <xf numFmtId="0" fontId="117" fillId="0" borderId="0" xfId="0" applyFont="1" applyFill="1" applyAlignment="1">
      <alignment horizontal="left" vertical="center" indent="4"/>
    </xf>
    <xf numFmtId="0" fontId="90" fillId="0" borderId="75" xfId="0" applyFont="1" applyFill="1" applyBorder="1" applyAlignment="1">
      <alignment horizontal="center" vertical="center" wrapText="1"/>
    </xf>
    <xf numFmtId="0" fontId="3" fillId="0" borderId="12" xfId="0" applyFont="1" applyFill="1" applyBorder="1" applyAlignment="1">
      <alignment horizontal="center" vertical="center" wrapText="1"/>
    </xf>
    <xf numFmtId="4" fontId="7" fillId="0" borderId="42" xfId="0" applyNumberFormat="1" applyFont="1" applyFill="1" applyBorder="1" applyAlignment="1">
      <alignment horizontal="right" vertical="center" wrapText="1" indent="1"/>
    </xf>
    <xf numFmtId="0" fontId="115" fillId="0" borderId="86" xfId="0" applyFont="1" applyFill="1" applyBorder="1" applyAlignment="1">
      <alignment horizontal="center" vertical="center"/>
    </xf>
    <xf numFmtId="0" fontId="115" fillId="0" borderId="83" xfId="0" applyFont="1" applyFill="1" applyBorder="1" applyAlignment="1">
      <alignment horizontal="center" vertical="center"/>
    </xf>
    <xf numFmtId="0" fontId="112" fillId="0" borderId="84" xfId="105" applyFont="1" applyFill="1" applyBorder="1" applyAlignment="1">
      <alignment horizontal="center" vertical="center"/>
    </xf>
    <xf numFmtId="4" fontId="7" fillId="0" borderId="55" xfId="0" applyNumberFormat="1" applyFont="1" applyFill="1" applyBorder="1" applyAlignment="1">
      <alignment horizontal="right" vertical="center" wrapText="1" indent="1"/>
    </xf>
    <xf numFmtId="0" fontId="115" fillId="0" borderId="85" xfId="0" applyFont="1" applyFill="1" applyBorder="1" applyAlignment="1">
      <alignment horizontal="center" vertical="center"/>
    </xf>
    <xf numFmtId="0" fontId="104" fillId="0" borderId="0" xfId="0" applyFont="1" applyFill="1" applyAlignment="1">
      <alignment horizontal="center" vertical="center"/>
    </xf>
    <xf numFmtId="0" fontId="74" fillId="0" borderId="23" xfId="40" applyFont="1" applyFill="1" applyBorder="1" applyAlignment="1">
      <alignment horizontal="center" vertical="center" wrapText="1"/>
    </xf>
    <xf numFmtId="0" fontId="74" fillId="0" borderId="25" xfId="40" applyFont="1" applyFill="1" applyBorder="1" applyAlignment="1">
      <alignment horizontal="center" vertical="center"/>
    </xf>
    <xf numFmtId="0" fontId="74" fillId="0" borderId="25" xfId="40" applyFont="1" applyFill="1" applyBorder="1" applyAlignment="1">
      <alignment horizontal="center" vertical="center" wrapText="1"/>
    </xf>
    <xf numFmtId="0" fontId="74" fillId="0" borderId="24" xfId="40" applyFont="1" applyFill="1" applyBorder="1" applyAlignment="1">
      <alignment horizontal="center" vertical="center" wrapText="1"/>
    </xf>
    <xf numFmtId="0" fontId="74" fillId="0" borderId="15" xfId="40" applyFont="1" applyFill="1" applyBorder="1" applyAlignment="1">
      <alignment vertical="center"/>
    </xf>
    <xf numFmtId="0" fontId="74" fillId="0" borderId="13" xfId="40" applyFont="1" applyFill="1" applyBorder="1" applyAlignment="1">
      <alignment vertical="center"/>
    </xf>
    <xf numFmtId="0" fontId="74" fillId="0" borderId="13" xfId="40" applyFont="1" applyFill="1" applyBorder="1" applyAlignment="1">
      <alignment horizontal="center" vertical="center"/>
    </xf>
    <xf numFmtId="0" fontId="74" fillId="0" borderId="14" xfId="40" applyFont="1" applyFill="1" applyBorder="1" applyAlignment="1">
      <alignment horizontal="center" vertical="center"/>
    </xf>
    <xf numFmtId="0" fontId="73" fillId="0" borderId="0" xfId="40" applyFill="1" applyAlignment="1">
      <alignment horizontal="center"/>
    </xf>
    <xf numFmtId="0" fontId="76" fillId="0" borderId="78" xfId="40" applyFont="1" applyFill="1" applyBorder="1" applyAlignment="1">
      <alignment horizontal="center" vertical="center"/>
    </xf>
    <xf numFmtId="0" fontId="74" fillId="0" borderId="79" xfId="40" applyFont="1" applyFill="1" applyBorder="1" applyAlignment="1">
      <alignment horizontal="left" vertical="center" indent="1"/>
    </xf>
    <xf numFmtId="4" fontId="7" fillId="0" borderId="79" xfId="0" applyNumberFormat="1" applyFont="1" applyFill="1" applyBorder="1" applyAlignment="1">
      <alignment horizontal="right" vertical="center" wrapText="1" indent="1"/>
    </xf>
    <xf numFmtId="166" fontId="7" fillId="0" borderId="80" xfId="0" applyNumberFormat="1" applyFont="1" applyFill="1" applyBorder="1" applyAlignment="1">
      <alignment horizontal="right" vertical="center" wrapText="1" indent="1"/>
    </xf>
    <xf numFmtId="4" fontId="73" fillId="0" borderId="0" xfId="40" applyNumberFormat="1" applyFill="1" applyAlignment="1">
      <alignment wrapText="1"/>
    </xf>
    <xf numFmtId="0" fontId="73" fillId="0" borderId="0" xfId="40" applyFill="1" applyAlignment="1">
      <alignment horizontal="center" vertical="center"/>
    </xf>
    <xf numFmtId="0" fontId="76" fillId="0" borderId="22" xfId="40" applyFont="1" applyFill="1" applyBorder="1" applyAlignment="1">
      <alignment horizontal="center" vertical="center"/>
    </xf>
    <xf numFmtId="0" fontId="74" fillId="0" borderId="29" xfId="40" applyFont="1" applyFill="1" applyBorder="1" applyAlignment="1">
      <alignment horizontal="left" vertical="center" indent="1"/>
    </xf>
    <xf numFmtId="3" fontId="7" fillId="0" borderId="82" xfId="0" applyNumberFormat="1" applyFont="1" applyFill="1" applyBorder="1" applyAlignment="1">
      <alignment horizontal="right" vertical="center" wrapText="1" indent="1"/>
    </xf>
    <xf numFmtId="165" fontId="7" fillId="0" borderId="81" xfId="0" applyNumberFormat="1" applyFont="1" applyFill="1" applyBorder="1" applyAlignment="1">
      <alignment horizontal="right" vertical="center" wrapText="1" indent="1"/>
    </xf>
    <xf numFmtId="4" fontId="73" fillId="0" borderId="0" xfId="40" applyNumberFormat="1" applyFill="1" applyBorder="1" applyAlignment="1">
      <alignment horizontal="center" vertical="center" wrapText="1"/>
    </xf>
    <xf numFmtId="0" fontId="76" fillId="0" borderId="16" xfId="40" applyFont="1" applyFill="1" applyBorder="1" applyAlignment="1">
      <alignment horizontal="center" vertical="center"/>
    </xf>
    <xf numFmtId="0" fontId="74" fillId="0" borderId="17" xfId="40" applyFont="1" applyFill="1" applyBorder="1" applyAlignment="1">
      <alignment horizontal="left" vertical="center" indent="1"/>
    </xf>
    <xf numFmtId="166" fontId="7" fillId="0" borderId="71" xfId="0" applyNumberFormat="1" applyFont="1" applyFill="1" applyBorder="1" applyAlignment="1">
      <alignment horizontal="right" vertical="center" wrapText="1" indent="1"/>
    </xf>
    <xf numFmtId="166" fontId="7" fillId="0" borderId="50" xfId="0" applyNumberFormat="1" applyFont="1" applyFill="1" applyBorder="1" applyAlignment="1">
      <alignment horizontal="right" vertical="center" wrapText="1" indent="1"/>
    </xf>
    <xf numFmtId="0" fontId="5"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3" fillId="0" borderId="22" xfId="0" applyFont="1" applyFill="1" applyBorder="1" applyAlignment="1">
      <alignment vertical="center" wrapText="1"/>
    </xf>
    <xf numFmtId="0" fontId="7" fillId="0" borderId="13" xfId="0" applyFont="1" applyFill="1" applyBorder="1" applyAlignment="1">
      <alignment horizontal="left" vertical="center" wrapText="1"/>
    </xf>
    <xf numFmtId="3" fontId="7" fillId="0" borderId="20" xfId="0" applyNumberFormat="1" applyFont="1" applyFill="1" applyBorder="1" applyAlignment="1">
      <alignment horizontal="right" vertical="center" wrapText="1" indent="1"/>
    </xf>
    <xf numFmtId="3" fontId="8" fillId="0" borderId="13" xfId="0" applyNumberFormat="1" applyFont="1" applyFill="1" applyBorder="1" applyAlignment="1">
      <alignment horizontal="center" vertical="center" wrapText="1"/>
    </xf>
    <xf numFmtId="3" fontId="8" fillId="0" borderId="14" xfId="0" applyNumberFormat="1" applyFont="1" applyFill="1" applyBorder="1" applyAlignment="1">
      <alignment horizontal="center" vertical="center" wrapText="1"/>
    </xf>
    <xf numFmtId="3" fontId="7" fillId="0" borderId="27" xfId="0" applyNumberFormat="1" applyFont="1" applyFill="1" applyBorder="1" applyAlignment="1">
      <alignment horizontal="right" vertical="center" wrapText="1" indent="1"/>
    </xf>
    <xf numFmtId="3" fontId="7" fillId="0" borderId="28" xfId="0" applyNumberFormat="1" applyFont="1" applyFill="1" applyBorder="1" applyAlignment="1">
      <alignment horizontal="right" vertical="center" wrapText="1" indent="1"/>
    </xf>
    <xf numFmtId="3" fontId="8" fillId="0" borderId="17" xfId="0" applyNumberFormat="1" applyFont="1" applyFill="1" applyBorder="1" applyAlignment="1">
      <alignment horizontal="center" vertical="center" wrapText="1"/>
    </xf>
    <xf numFmtId="3" fontId="8" fillId="0" borderId="18" xfId="0" applyNumberFormat="1" applyFont="1" applyFill="1" applyBorder="1" applyAlignment="1">
      <alignment horizontal="center" vertical="center" wrapText="1"/>
    </xf>
    <xf numFmtId="49" fontId="4" fillId="0" borderId="0" xfId="0" applyNumberFormat="1" applyFont="1" applyFill="1" applyAlignment="1">
      <alignment vertical="center" wrapText="1"/>
    </xf>
    <xf numFmtId="0" fontId="0" fillId="0" borderId="0" xfId="0" applyFill="1" applyBorder="1"/>
    <xf numFmtId="0" fontId="29" fillId="0" borderId="0" xfId="0" applyFont="1" applyFill="1" applyBorder="1"/>
    <xf numFmtId="3" fontId="4" fillId="0" borderId="13" xfId="0" applyNumberFormat="1" applyFont="1" applyFill="1" applyBorder="1" applyAlignment="1">
      <alignment horizontal="center" vertical="center" wrapText="1"/>
    </xf>
    <xf numFmtId="3" fontId="8" fillId="0" borderId="13" xfId="0" applyNumberFormat="1" applyFont="1" applyFill="1" applyBorder="1" applyAlignment="1">
      <alignment horizontal="right" vertical="center" wrapText="1" indent="1"/>
    </xf>
    <xf numFmtId="3" fontId="8" fillId="0" borderId="14" xfId="0" applyNumberFormat="1" applyFont="1" applyFill="1" applyBorder="1" applyAlignment="1">
      <alignment horizontal="right" vertical="center" wrapText="1" indent="1"/>
    </xf>
    <xf numFmtId="3" fontId="4" fillId="0" borderId="14" xfId="0" applyNumberFormat="1" applyFont="1" applyFill="1" applyBorder="1" applyAlignment="1">
      <alignment horizontal="center" vertical="center" wrapText="1"/>
    </xf>
    <xf numFmtId="3" fontId="4" fillId="0" borderId="14" xfId="0" applyNumberFormat="1" applyFont="1" applyFill="1" applyBorder="1" applyAlignment="1">
      <alignment horizontal="right" vertical="center" wrapText="1" indent="1"/>
    </xf>
    <xf numFmtId="3" fontId="4" fillId="0" borderId="17"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0" fontId="109" fillId="0" borderId="0" xfId="39" applyFont="1" applyFill="1" applyAlignment="1">
      <alignment horizontal="center" vertical="center" wrapText="1"/>
    </xf>
    <xf numFmtId="0" fontId="3" fillId="0" borderId="15" xfId="39" applyFont="1" applyFill="1" applyBorder="1" applyAlignment="1">
      <alignment horizontal="center" vertical="center" wrapText="1"/>
    </xf>
    <xf numFmtId="49" fontId="3" fillId="0" borderId="13" xfId="39" applyNumberFormat="1" applyFont="1" applyFill="1" applyBorder="1" applyAlignment="1">
      <alignment horizontal="center" vertical="center" wrapText="1"/>
    </xf>
    <xf numFmtId="0" fontId="3" fillId="0" borderId="13" xfId="39" applyFont="1" applyFill="1" applyBorder="1" applyAlignment="1">
      <alignment horizontal="center" vertical="center" wrapText="1"/>
    </xf>
    <xf numFmtId="0" fontId="3" fillId="0" borderId="14" xfId="39" applyFont="1" applyFill="1" applyBorder="1" applyAlignment="1">
      <alignment horizontal="center" vertical="center" wrapText="1"/>
    </xf>
    <xf numFmtId="0" fontId="4" fillId="0" borderId="15" xfId="39" applyFont="1" applyFill="1" applyBorder="1" applyAlignment="1">
      <alignment horizontal="center" wrapText="1"/>
    </xf>
    <xf numFmtId="49" fontId="3" fillId="0" borderId="13" xfId="39" applyNumberFormat="1" applyFont="1" applyFill="1" applyBorder="1" applyAlignment="1">
      <alignment vertical="top" wrapText="1"/>
    </xf>
    <xf numFmtId="49" fontId="3" fillId="0" borderId="13" xfId="39" applyNumberFormat="1" applyFont="1" applyFill="1" applyBorder="1" applyAlignment="1">
      <alignment horizontal="left" vertical="center" wrapText="1" indent="1"/>
    </xf>
    <xf numFmtId="4" fontId="7" fillId="0" borderId="13" xfId="39" applyNumberFormat="1" applyFont="1" applyFill="1" applyBorder="1" applyAlignment="1">
      <alignment horizontal="right" vertical="center" wrapText="1" indent="1"/>
    </xf>
    <xf numFmtId="4" fontId="7" fillId="0" borderId="38" xfId="39" applyNumberFormat="1" applyFont="1" applyFill="1" applyBorder="1" applyAlignment="1">
      <alignment horizontal="right" vertical="center" wrapText="1" indent="1"/>
    </xf>
    <xf numFmtId="49" fontId="8" fillId="0" borderId="13" xfId="39" applyNumberFormat="1" applyFont="1" applyFill="1" applyBorder="1" applyAlignment="1">
      <alignment horizontal="left" vertical="center" wrapText="1" indent="1"/>
    </xf>
    <xf numFmtId="3" fontId="7" fillId="0" borderId="13" xfId="39" applyNumberFormat="1" applyFont="1" applyFill="1" applyBorder="1" applyAlignment="1">
      <alignment horizontal="right" vertical="center" wrapText="1" indent="1"/>
    </xf>
    <xf numFmtId="3" fontId="8" fillId="0" borderId="38" xfId="39" applyNumberFormat="1" applyFont="1" applyFill="1" applyBorder="1" applyAlignment="1">
      <alignment horizontal="right" vertical="center" wrapText="1" indent="1"/>
    </xf>
    <xf numFmtId="4" fontId="8" fillId="0" borderId="38" xfId="39" applyNumberFormat="1" applyFont="1" applyFill="1" applyBorder="1" applyAlignment="1">
      <alignment horizontal="right" vertical="center" wrapText="1" indent="1"/>
    </xf>
    <xf numFmtId="49" fontId="3" fillId="0" borderId="17" xfId="39" applyNumberFormat="1" applyFont="1" applyFill="1" applyBorder="1" applyAlignment="1">
      <alignment horizontal="left" vertical="center" wrapText="1" indent="1"/>
    </xf>
    <xf numFmtId="4" fontId="7" fillId="0" borderId="17" xfId="39" applyNumberFormat="1" applyFont="1" applyFill="1" applyBorder="1" applyAlignment="1">
      <alignment horizontal="right" vertical="center" wrapText="1" indent="1"/>
    </xf>
    <xf numFmtId="4" fontId="7" fillId="0" borderId="39" xfId="39" applyNumberFormat="1" applyFont="1" applyFill="1" applyBorder="1" applyAlignment="1">
      <alignment horizontal="right" vertical="center" wrapText="1" indent="1"/>
    </xf>
    <xf numFmtId="0" fontId="8" fillId="0" borderId="0" xfId="39" applyFont="1" applyFill="1" applyAlignment="1">
      <alignment horizontal="center"/>
    </xf>
    <xf numFmtId="0" fontId="8" fillId="0" borderId="0" xfId="39" applyFont="1" applyFill="1"/>
    <xf numFmtId="49" fontId="8" fillId="0" borderId="0" xfId="39" applyNumberFormat="1" applyFont="1" applyFill="1"/>
    <xf numFmtId="49" fontId="4" fillId="0" borderId="0" xfId="39" applyNumberFormat="1" applyFont="1" applyFill="1"/>
    <xf numFmtId="0" fontId="28" fillId="0" borderId="0" xfId="0" applyFont="1" applyFill="1" applyBorder="1" applyAlignment="1">
      <alignment horizontal="left"/>
    </xf>
    <xf numFmtId="0" fontId="28" fillId="0" borderId="0" xfId="0" applyFont="1" applyFill="1" applyBorder="1" applyAlignment="1">
      <alignment horizontal="left" vertical="center"/>
    </xf>
    <xf numFmtId="49" fontId="3" fillId="0" borderId="13" xfId="0" applyNumberFormat="1" applyFont="1" applyFill="1" applyBorder="1" applyAlignment="1">
      <alignment vertical="top" wrapText="1"/>
    </xf>
    <xf numFmtId="3" fontId="3" fillId="0" borderId="13" xfId="0" applyNumberFormat="1" applyFont="1" applyFill="1" applyBorder="1" applyAlignment="1">
      <alignment horizontal="right" vertical="center" wrapText="1" indent="1"/>
    </xf>
    <xf numFmtId="4" fontId="28" fillId="0" borderId="0" xfId="0" applyNumberFormat="1" applyFont="1" applyFill="1" applyBorder="1" applyAlignment="1">
      <alignment horizontal="left" vertical="center"/>
    </xf>
    <xf numFmtId="0" fontId="8" fillId="0" borderId="16" xfId="0" applyFont="1" applyFill="1" applyBorder="1" applyAlignment="1">
      <alignment horizontal="center" vertical="center" wrapText="1"/>
    </xf>
    <xf numFmtId="49" fontId="4" fillId="0" borderId="0" xfId="0" applyNumberFormat="1" applyFont="1" applyFill="1" applyBorder="1"/>
    <xf numFmtId="0" fontId="8" fillId="0" borderId="13" xfId="0" applyFont="1" applyFill="1" applyBorder="1" applyAlignment="1">
      <alignment horizontal="left" vertical="center" wrapText="1" indent="1"/>
    </xf>
    <xf numFmtId="0" fontId="7" fillId="0" borderId="74" xfId="0" applyFont="1" applyFill="1" applyBorder="1" applyAlignment="1">
      <alignment horizontal="left" vertical="center" wrapText="1" indent="1"/>
    </xf>
    <xf numFmtId="4" fontId="7" fillId="0" borderId="71" xfId="0" applyNumberFormat="1" applyFont="1" applyFill="1" applyBorder="1" applyAlignment="1">
      <alignment horizontal="right" vertical="center" wrapText="1" indent="1"/>
    </xf>
    <xf numFmtId="4" fontId="7" fillId="0" borderId="50" xfId="0" applyNumberFormat="1" applyFont="1" applyFill="1" applyBorder="1" applyAlignment="1">
      <alignment horizontal="right" vertical="center" wrapText="1" indent="1"/>
    </xf>
    <xf numFmtId="0" fontId="10" fillId="0" borderId="0" xfId="0" applyFont="1" applyFill="1" applyBorder="1"/>
    <xf numFmtId="49" fontId="88" fillId="0" borderId="29" xfId="0" applyNumberFormat="1" applyFont="1" applyFill="1" applyBorder="1" applyAlignment="1">
      <alignment horizontal="left" indent="1"/>
    </xf>
    <xf numFmtId="166" fontId="88" fillId="0" borderId="29" xfId="0" applyNumberFormat="1" applyFont="1" applyFill="1" applyBorder="1" applyAlignment="1">
      <alignment horizontal="center"/>
    </xf>
    <xf numFmtId="4" fontId="88" fillId="0" borderId="29" xfId="0" applyNumberFormat="1" applyFont="1" applyFill="1" applyBorder="1" applyAlignment="1">
      <alignment horizontal="right" vertical="center" wrapText="1" indent="1"/>
    </xf>
    <xf numFmtId="4" fontId="10" fillId="0" borderId="0" xfId="0" applyNumberFormat="1" applyFont="1" applyFill="1" applyBorder="1"/>
    <xf numFmtId="166" fontId="4" fillId="0" borderId="0" xfId="0" applyNumberFormat="1" applyFont="1" applyFill="1" applyBorder="1"/>
    <xf numFmtId="166" fontId="67" fillId="0" borderId="13" xfId="0" applyNumberFormat="1" applyFont="1" applyFill="1" applyBorder="1" applyAlignment="1">
      <alignment vertical="center" wrapText="1"/>
    </xf>
    <xf numFmtId="166" fontId="67" fillId="0" borderId="14" xfId="0" applyNumberFormat="1" applyFont="1" applyFill="1" applyBorder="1" applyAlignment="1">
      <alignment vertical="center" wrapText="1"/>
    </xf>
    <xf numFmtId="166" fontId="60" fillId="0" borderId="13" xfId="0" applyNumberFormat="1" applyFont="1" applyFill="1" applyBorder="1" applyAlignment="1">
      <alignment vertical="center" wrapText="1"/>
    </xf>
    <xf numFmtId="166" fontId="83" fillId="0" borderId="13" xfId="0" applyNumberFormat="1" applyFont="1" applyFill="1" applyBorder="1" applyAlignment="1">
      <alignment vertical="center" wrapText="1"/>
    </xf>
    <xf numFmtId="166" fontId="60" fillId="0" borderId="17" xfId="0" applyNumberFormat="1" applyFont="1" applyFill="1" applyBorder="1" applyAlignment="1">
      <alignment vertical="center"/>
    </xf>
    <xf numFmtId="166" fontId="67" fillId="0" borderId="17" xfId="0" applyNumberFormat="1" applyFont="1" applyFill="1" applyBorder="1" applyAlignment="1">
      <alignment vertical="center" wrapText="1"/>
    </xf>
    <xf numFmtId="166" fontId="67" fillId="0" borderId="18" xfId="0" applyNumberFormat="1" applyFont="1" applyFill="1" applyBorder="1" applyAlignment="1">
      <alignment vertical="center" wrapText="1"/>
    </xf>
    <xf numFmtId="4" fontId="114" fillId="0" borderId="0" xfId="0" applyNumberFormat="1" applyFont="1" applyFill="1" applyBorder="1" applyAlignment="1">
      <alignment vertical="center"/>
    </xf>
    <xf numFmtId="0" fontId="8" fillId="0" borderId="0" xfId="0" applyFont="1" applyFill="1" applyAlignment="1">
      <alignment vertical="center" wrapText="1"/>
    </xf>
    <xf numFmtId="0" fontId="7" fillId="0" borderId="15" xfId="0" applyFont="1" applyFill="1" applyBorder="1" applyAlignment="1">
      <alignment horizontal="left" vertical="center" wrapText="1" indent="1"/>
    </xf>
    <xf numFmtId="0" fontId="7" fillId="0" borderId="0" xfId="0" applyFont="1" applyFill="1" applyAlignment="1">
      <alignment vertical="center" wrapText="1"/>
    </xf>
    <xf numFmtId="0" fontId="7" fillId="0" borderId="14" xfId="0" applyFont="1" applyFill="1" applyBorder="1" applyAlignment="1">
      <alignment horizontal="right" vertical="center" wrapText="1" indent="1"/>
    </xf>
    <xf numFmtId="0" fontId="8" fillId="0" borderId="14" xfId="0" applyFont="1" applyFill="1" applyBorder="1" applyAlignment="1">
      <alignment horizontal="left" vertical="center" wrapText="1" indent="1"/>
    </xf>
    <xf numFmtId="0" fontId="7" fillId="0" borderId="19" xfId="0" applyFont="1" applyFill="1" applyBorder="1" applyAlignment="1">
      <alignment horizontal="left" vertical="center" wrapText="1" indent="1"/>
    </xf>
    <xf numFmtId="4" fontId="8" fillId="0" borderId="19" xfId="0" applyNumberFormat="1" applyFont="1" applyFill="1" applyBorder="1" applyAlignment="1">
      <alignment horizontal="right" vertical="center" wrapText="1" indent="1"/>
    </xf>
    <xf numFmtId="0" fontId="8" fillId="0" borderId="26" xfId="0" applyFont="1" applyFill="1" applyBorder="1" applyAlignment="1">
      <alignment horizontal="left" vertical="center" wrapText="1" indent="1"/>
    </xf>
    <xf numFmtId="0" fontId="8" fillId="0" borderId="18" xfId="0" applyFont="1" applyFill="1" applyBorder="1" applyAlignment="1">
      <alignment horizontal="right" vertical="center" wrapText="1" indent="1"/>
    </xf>
    <xf numFmtId="0" fontId="8" fillId="0" borderId="0" xfId="0" applyFont="1" applyFill="1" applyAlignment="1">
      <alignment horizontal="center" vertical="center" wrapText="1"/>
    </xf>
    <xf numFmtId="0" fontId="8" fillId="0" borderId="0" xfId="0" applyFont="1" applyFill="1" applyAlignment="1">
      <alignment horizontal="left" vertical="center" wrapText="1" indent="1"/>
    </xf>
    <xf numFmtId="0" fontId="77" fillId="0" borderId="0" xfId="92"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0" xfId="92" applyFont="1" applyFill="1" applyBorder="1" applyAlignment="1">
      <alignment horizontal="left" vertical="center" wrapText="1"/>
    </xf>
    <xf numFmtId="0" fontId="1" fillId="0" borderId="0" xfId="90" applyFill="1"/>
    <xf numFmtId="0" fontId="3" fillId="0" borderId="13" xfId="92" applyFont="1" applyFill="1" applyBorder="1" applyAlignment="1">
      <alignment horizontal="center" vertical="center" wrapText="1"/>
    </xf>
    <xf numFmtId="0" fontId="3" fillId="0" borderId="14" xfId="92" applyFont="1" applyFill="1" applyBorder="1" applyAlignment="1">
      <alignment horizontal="center" vertical="center" wrapText="1"/>
    </xf>
    <xf numFmtId="0" fontId="3" fillId="0" borderId="15" xfId="92" applyFont="1" applyFill="1" applyBorder="1" applyAlignment="1">
      <alignment horizontal="center" vertical="center" wrapText="1"/>
    </xf>
    <xf numFmtId="49" fontId="3" fillId="0" borderId="13" xfId="92" applyNumberFormat="1" applyFont="1" applyFill="1" applyBorder="1" applyAlignment="1">
      <alignment horizontal="center" vertical="center" wrapText="1"/>
    </xf>
    <xf numFmtId="0" fontId="4" fillId="0" borderId="15" xfId="91" applyFont="1" applyFill="1" applyBorder="1" applyAlignment="1">
      <alignment horizontal="center" vertical="center" wrapText="1"/>
    </xf>
    <xf numFmtId="49" fontId="7" fillId="0" borderId="13" xfId="91" applyNumberFormat="1" applyFont="1" applyFill="1" applyBorder="1" applyAlignment="1">
      <alignment horizontal="left" vertical="center" wrapText="1" indent="1"/>
    </xf>
    <xf numFmtId="3" fontId="7" fillId="0" borderId="13" xfId="91" applyNumberFormat="1" applyFont="1" applyFill="1" applyBorder="1" applyAlignment="1">
      <alignment horizontal="right" vertical="center" wrapText="1" indent="1"/>
    </xf>
    <xf numFmtId="3" fontId="7" fillId="0" borderId="14" xfId="91" applyNumberFormat="1" applyFont="1" applyFill="1" applyBorder="1" applyAlignment="1">
      <alignment horizontal="right" vertical="center" wrapText="1" indent="1"/>
    </xf>
    <xf numFmtId="49" fontId="8" fillId="0" borderId="13" xfId="91" applyNumberFormat="1" applyFont="1" applyFill="1" applyBorder="1" applyAlignment="1">
      <alignment horizontal="left" vertical="center" wrapText="1" indent="1"/>
    </xf>
    <xf numFmtId="3" fontId="4" fillId="0" borderId="13" xfId="91" applyNumberFormat="1" applyFont="1" applyFill="1" applyBorder="1" applyAlignment="1">
      <alignment horizontal="right" vertical="center" wrapText="1" indent="1"/>
    </xf>
    <xf numFmtId="3" fontId="4" fillId="0" borderId="13" xfId="91" applyNumberFormat="1" applyFont="1" applyFill="1" applyBorder="1" applyAlignment="1">
      <alignment horizontal="center" vertical="center" wrapText="1"/>
    </xf>
    <xf numFmtId="3" fontId="7" fillId="0" borderId="14" xfId="91" applyNumberFormat="1" applyFont="1" applyFill="1" applyBorder="1" applyAlignment="1">
      <alignment horizontal="center" vertical="center" wrapText="1"/>
    </xf>
    <xf numFmtId="3" fontId="7" fillId="0" borderId="13" xfId="91" applyNumberFormat="1" applyFont="1" applyFill="1" applyBorder="1" applyAlignment="1">
      <alignment horizontal="center" vertical="center" wrapText="1"/>
    </xf>
    <xf numFmtId="49" fontId="76" fillId="0" borderId="13" xfId="91" applyNumberFormat="1" applyFont="1" applyFill="1" applyBorder="1" applyAlignment="1">
      <alignment horizontal="left" vertical="center" wrapText="1" indent="1"/>
    </xf>
    <xf numFmtId="0" fontId="4" fillId="0" borderId="0" xfId="92" applyFont="1" applyFill="1" applyBorder="1" applyAlignment="1">
      <alignment vertical="center"/>
    </xf>
    <xf numFmtId="0" fontId="4" fillId="0" borderId="19" xfId="91" applyFont="1" applyFill="1" applyBorder="1" applyAlignment="1">
      <alignment horizontal="left" vertical="top" wrapText="1" indent="1"/>
    </xf>
    <xf numFmtId="3" fontId="4" fillId="0" borderId="19" xfId="91" applyNumberFormat="1" applyFont="1" applyFill="1" applyBorder="1" applyAlignment="1">
      <alignment horizontal="right" vertical="center" wrapText="1" indent="1"/>
    </xf>
    <xf numFmtId="0" fontId="4" fillId="0" borderId="21" xfId="91" applyFont="1" applyFill="1" applyBorder="1" applyAlignment="1">
      <alignment horizontal="center" vertical="center" wrapText="1"/>
    </xf>
    <xf numFmtId="3" fontId="7" fillId="0" borderId="19" xfId="91" applyNumberFormat="1" applyFont="1" applyFill="1" applyBorder="1" applyAlignment="1">
      <alignment horizontal="right" vertical="center" wrapText="1" indent="1"/>
    </xf>
    <xf numFmtId="3" fontId="7" fillId="0" borderId="26" xfId="91" applyNumberFormat="1" applyFont="1" applyFill="1" applyBorder="1" applyAlignment="1">
      <alignment horizontal="right" vertical="center" wrapText="1" indent="1"/>
    </xf>
    <xf numFmtId="0" fontId="4" fillId="0" borderId="16" xfId="91" applyFont="1" applyFill="1" applyBorder="1" applyAlignment="1">
      <alignment horizontal="center" vertical="center" wrapText="1"/>
    </xf>
    <xf numFmtId="49" fontId="79" fillId="0" borderId="17" xfId="91" applyNumberFormat="1" applyFont="1" applyFill="1" applyBorder="1" applyAlignment="1">
      <alignment horizontal="left" vertical="center" wrapText="1" indent="1"/>
    </xf>
    <xf numFmtId="3" fontId="3" fillId="0" borderId="17" xfId="91" applyNumberFormat="1" applyFont="1" applyFill="1" applyBorder="1" applyAlignment="1">
      <alignment horizontal="right" vertical="center" wrapText="1" indent="1"/>
    </xf>
    <xf numFmtId="3" fontId="7" fillId="0" borderId="17" xfId="91" applyNumberFormat="1" applyFont="1" applyFill="1" applyBorder="1" applyAlignment="1">
      <alignment horizontal="right" vertical="center" wrapText="1" indent="1"/>
    </xf>
    <xf numFmtId="3" fontId="7" fillId="0" borderId="18" xfId="91" applyNumberFormat="1" applyFont="1" applyFill="1" applyBorder="1" applyAlignment="1">
      <alignment horizontal="right" vertical="center" wrapText="1" indent="1"/>
    </xf>
    <xf numFmtId="0" fontId="3" fillId="0" borderId="13" xfId="0" applyFont="1" applyFill="1" applyBorder="1" applyAlignment="1">
      <alignment horizontal="left" vertical="center" wrapText="1" indent="1"/>
    </xf>
    <xf numFmtId="0" fontId="4" fillId="0" borderId="0" xfId="0" applyFont="1" applyFill="1" applyAlignment="1">
      <alignment vertical="top" wrapText="1"/>
    </xf>
    <xf numFmtId="4" fontId="7" fillId="0" borderId="19" xfId="0" applyNumberFormat="1" applyFont="1" applyFill="1" applyBorder="1" applyAlignment="1">
      <alignment horizontal="right" vertical="center" wrapText="1" indent="1"/>
    </xf>
    <xf numFmtId="0" fontId="4" fillId="0" borderId="0" xfId="0" applyFont="1" applyFill="1" applyAlignment="1"/>
    <xf numFmtId="49" fontId="7" fillId="0" borderId="13" xfId="0" applyNumberFormat="1" applyFont="1" applyFill="1" applyBorder="1" applyAlignment="1">
      <alignment vertical="center" wrapText="1"/>
    </xf>
    <xf numFmtId="164" fontId="7" fillId="0" borderId="13" xfId="27" applyFont="1" applyFill="1" applyBorder="1" applyAlignment="1">
      <alignment horizontal="right" vertical="center" wrapText="1" indent="1"/>
    </xf>
    <xf numFmtId="1" fontId="7" fillId="0" borderId="13" xfId="0" applyNumberFormat="1" applyFont="1" applyFill="1" applyBorder="1" applyAlignment="1">
      <alignment horizontal="right" vertical="center" wrapText="1" indent="1"/>
    </xf>
    <xf numFmtId="49" fontId="77" fillId="0" borderId="0" xfId="0" applyNumberFormat="1" applyFont="1" applyFill="1" applyBorder="1" applyAlignment="1">
      <alignment horizontal="left" vertical="center" wrapText="1" indent="1"/>
    </xf>
    <xf numFmtId="164" fontId="4" fillId="0" borderId="13" xfId="27" applyFont="1" applyFill="1" applyBorder="1" applyAlignment="1">
      <alignment horizontal="right" vertical="center" wrapText="1" indent="1"/>
    </xf>
    <xf numFmtId="1" fontId="4" fillId="0" borderId="13" xfId="0" applyNumberFormat="1" applyFont="1" applyFill="1" applyBorder="1" applyAlignment="1">
      <alignment horizontal="right" vertical="center" wrapText="1" indent="1"/>
    </xf>
    <xf numFmtId="1" fontId="4" fillId="0" borderId="14" xfId="0" applyNumberFormat="1" applyFont="1" applyFill="1" applyBorder="1" applyAlignment="1">
      <alignment horizontal="right" vertical="center" wrapText="1" indent="1"/>
    </xf>
    <xf numFmtId="4" fontId="77" fillId="0" borderId="0" xfId="0" applyNumberFormat="1" applyFont="1" applyFill="1" applyBorder="1" applyAlignment="1">
      <alignment horizontal="left" vertical="center" wrapText="1" indent="1"/>
    </xf>
    <xf numFmtId="164" fontId="4" fillId="0" borderId="19" xfId="27" applyFont="1" applyFill="1" applyBorder="1" applyAlignment="1">
      <alignment horizontal="right" vertical="center" wrapText="1" indent="1"/>
    </xf>
    <xf numFmtId="1" fontId="4" fillId="0" borderId="19" xfId="0" applyNumberFormat="1" applyFont="1" applyFill="1" applyBorder="1" applyAlignment="1">
      <alignment horizontal="right" vertical="center" wrapText="1" indent="1"/>
    </xf>
    <xf numFmtId="1" fontId="4" fillId="0" borderId="26" xfId="0" applyNumberFormat="1" applyFont="1" applyFill="1" applyBorder="1" applyAlignment="1">
      <alignment horizontal="right" vertical="center" wrapText="1" indent="1"/>
    </xf>
    <xf numFmtId="1" fontId="4" fillId="0" borderId="17" xfId="0" applyNumberFormat="1" applyFont="1" applyFill="1" applyBorder="1" applyAlignment="1">
      <alignment horizontal="right" vertical="center" wrapText="1" indent="1"/>
    </xf>
    <xf numFmtId="1" fontId="4" fillId="0" borderId="18" xfId="0" applyNumberFormat="1" applyFont="1" applyFill="1" applyBorder="1" applyAlignment="1">
      <alignment horizontal="right" vertical="center" wrapText="1" indent="1"/>
    </xf>
    <xf numFmtId="0" fontId="8" fillId="0" borderId="13" xfId="39" applyFont="1" applyFill="1" applyBorder="1" applyAlignment="1">
      <alignment horizontal="center" vertical="center" wrapText="1"/>
    </xf>
    <xf numFmtId="0" fontId="8" fillId="0" borderId="14" xfId="39" applyFont="1" applyFill="1" applyBorder="1" applyAlignment="1">
      <alignment horizontal="center" vertical="center" wrapText="1"/>
    </xf>
    <xf numFmtId="0" fontId="7" fillId="0" borderId="13" xfId="39" applyFont="1" applyFill="1" applyBorder="1" applyAlignment="1">
      <alignment horizontal="center" vertical="center" wrapText="1"/>
    </xf>
    <xf numFmtId="0" fontId="7" fillId="0" borderId="14" xfId="39" applyFont="1" applyFill="1" applyBorder="1" applyAlignment="1">
      <alignment horizontal="center" vertical="center" wrapText="1"/>
    </xf>
    <xf numFmtId="0" fontId="7" fillId="0" borderId="13" xfId="39" applyFont="1" applyFill="1" applyBorder="1" applyAlignment="1">
      <alignment horizontal="left" vertical="center" wrapText="1" indent="1"/>
    </xf>
    <xf numFmtId="4" fontId="7" fillId="0" borderId="14" xfId="39" applyNumberFormat="1" applyFont="1" applyFill="1" applyBorder="1" applyAlignment="1">
      <alignment horizontal="right" vertical="center" wrapText="1" indent="1"/>
    </xf>
    <xf numFmtId="14" fontId="77" fillId="0" borderId="0" xfId="39" applyNumberFormat="1" applyFont="1" applyFill="1" applyAlignment="1">
      <alignment vertical="center" wrapText="1"/>
    </xf>
    <xf numFmtId="0" fontId="77" fillId="0" borderId="0" xfId="39" applyFont="1" applyFill="1" applyAlignment="1">
      <alignment vertical="center" wrapText="1"/>
    </xf>
    <xf numFmtId="0" fontId="4" fillId="0" borderId="0" xfId="39" applyFont="1" applyFill="1" applyAlignment="1">
      <alignment vertical="center" wrapText="1"/>
    </xf>
    <xf numFmtId="4" fontId="4" fillId="0" borderId="14" xfId="39" applyNumberFormat="1" applyFont="1" applyFill="1" applyBorder="1" applyAlignment="1">
      <alignment horizontal="right" vertical="center" wrapText="1" indent="1"/>
    </xf>
    <xf numFmtId="0" fontId="4" fillId="0" borderId="0" xfId="39" applyFont="1" applyFill="1" applyAlignment="1">
      <alignment wrapText="1"/>
    </xf>
    <xf numFmtId="0" fontId="7" fillId="0" borderId="17" xfId="39" applyFont="1" applyFill="1" applyBorder="1" applyAlignment="1">
      <alignment horizontal="left" vertical="center" wrapText="1" indent="1"/>
    </xf>
    <xf numFmtId="3" fontId="4" fillId="0" borderId="17" xfId="39" applyNumberFormat="1" applyFont="1" applyFill="1" applyBorder="1" applyAlignment="1">
      <alignment horizontal="right" vertical="center" wrapText="1" indent="1"/>
    </xf>
    <xf numFmtId="3" fontId="4" fillId="0" borderId="18" xfId="39" applyNumberFormat="1" applyFont="1" applyFill="1" applyBorder="1" applyAlignment="1">
      <alignment horizontal="right" vertical="center" wrapText="1" indent="1"/>
    </xf>
    <xf numFmtId="0" fontId="23" fillId="0" borderId="20" xfId="39" applyFont="1" applyFill="1" applyBorder="1" applyAlignment="1">
      <alignment vertical="center"/>
    </xf>
    <xf numFmtId="0" fontId="23" fillId="0" borderId="51" xfId="39" applyFont="1" applyFill="1" applyBorder="1" applyAlignment="1">
      <alignment vertical="center"/>
    </xf>
    <xf numFmtId="49" fontId="89" fillId="0" borderId="51" xfId="39" applyNumberFormat="1" applyFont="1" applyFill="1" applyBorder="1"/>
    <xf numFmtId="0" fontId="23" fillId="0" borderId="27" xfId="39" applyFont="1" applyFill="1" applyBorder="1"/>
    <xf numFmtId="49" fontId="30" fillId="0" borderId="0" xfId="39" applyNumberFormat="1" applyFont="1" applyFill="1"/>
    <xf numFmtId="3" fontId="7" fillId="0" borderId="0" xfId="44" applyNumberFormat="1" applyFont="1" applyFill="1" applyBorder="1" applyAlignment="1">
      <alignment vertical="center" wrapText="1"/>
    </xf>
    <xf numFmtId="0" fontId="74" fillId="0" borderId="13" xfId="44" applyFont="1" applyFill="1" applyBorder="1" applyAlignment="1">
      <alignment horizontal="center" vertical="center" wrapText="1"/>
    </xf>
    <xf numFmtId="0" fontId="7" fillId="0" borderId="13" xfId="44" applyFont="1" applyFill="1" applyBorder="1" applyAlignment="1">
      <alignment horizontal="center" vertical="center" wrapText="1"/>
    </xf>
    <xf numFmtId="0" fontId="7" fillId="0" borderId="14" xfId="44" applyFont="1" applyFill="1" applyBorder="1" applyAlignment="1">
      <alignment horizontal="center" vertical="center" wrapText="1"/>
    </xf>
    <xf numFmtId="3" fontId="7" fillId="0" borderId="0" xfId="44" applyNumberFormat="1" applyFont="1" applyFill="1" applyBorder="1" applyAlignment="1">
      <alignment horizontal="center" vertical="center" wrapText="1"/>
    </xf>
    <xf numFmtId="3" fontId="8" fillId="0" borderId="15" xfId="44" applyNumberFormat="1" applyFont="1" applyFill="1" applyBorder="1" applyAlignment="1">
      <alignment vertical="center" wrapText="1"/>
    </xf>
    <xf numFmtId="3" fontId="8" fillId="0" borderId="13" xfId="44" applyNumberFormat="1" applyFont="1" applyFill="1" applyBorder="1" applyAlignment="1">
      <alignment horizontal="center" vertical="center" wrapText="1"/>
    </xf>
    <xf numFmtId="3" fontId="8" fillId="0" borderId="0" xfId="44" applyNumberFormat="1" applyFont="1" applyFill="1" applyBorder="1" applyAlignment="1">
      <alignment horizontal="center" vertical="center" wrapText="1"/>
    </xf>
    <xf numFmtId="3" fontId="8" fillId="0" borderId="14" xfId="44" applyNumberFormat="1" applyFont="1" applyFill="1" applyBorder="1" applyAlignment="1">
      <alignment horizontal="center" vertical="center" wrapText="1"/>
    </xf>
    <xf numFmtId="3" fontId="8" fillId="0" borderId="0" xfId="44" applyNumberFormat="1" applyFont="1" applyFill="1" applyBorder="1" applyAlignment="1">
      <alignment vertical="center" wrapText="1"/>
    </xf>
    <xf numFmtId="3" fontId="8" fillId="0" borderId="16" xfId="44" applyNumberFormat="1" applyFont="1" applyFill="1" applyBorder="1" applyAlignment="1">
      <alignment horizontal="center" vertical="center" wrapText="1"/>
    </xf>
    <xf numFmtId="4" fontId="4" fillId="0" borderId="17" xfId="0" applyNumberFormat="1" applyFont="1" applyFill="1" applyBorder="1" applyAlignment="1">
      <alignment horizontal="right" vertical="center" wrapText="1" indent="1"/>
    </xf>
    <xf numFmtId="4" fontId="7" fillId="0" borderId="17" xfId="44" applyNumberFormat="1" applyFont="1" applyFill="1" applyBorder="1" applyAlignment="1">
      <alignment horizontal="right" vertical="center" wrapText="1" indent="1"/>
    </xf>
    <xf numFmtId="4" fontId="7" fillId="0" borderId="18" xfId="44" applyNumberFormat="1" applyFont="1" applyFill="1" applyBorder="1" applyAlignment="1">
      <alignment horizontal="right" vertical="center" wrapText="1" indent="1"/>
    </xf>
    <xf numFmtId="4" fontId="8" fillId="0" borderId="0" xfId="44" applyNumberFormat="1" applyFont="1" applyFill="1" applyBorder="1" applyAlignment="1">
      <alignment vertical="center" wrapText="1"/>
    </xf>
    <xf numFmtId="3" fontId="23" fillId="0" borderId="0" xfId="44" applyNumberFormat="1" applyFont="1" applyFill="1" applyBorder="1" applyAlignment="1">
      <alignment vertical="center"/>
    </xf>
    <xf numFmtId="3" fontId="75" fillId="0" borderId="0" xfId="44" applyNumberFormat="1" applyFont="1" applyFill="1" applyBorder="1" applyAlignment="1">
      <alignment vertical="center" wrapText="1"/>
    </xf>
    <xf numFmtId="0" fontId="8" fillId="0" borderId="0" xfId="43" applyFont="1" applyFill="1" applyAlignment="1">
      <alignment vertical="center" wrapText="1"/>
    </xf>
    <xf numFmtId="0" fontId="7" fillId="0" borderId="68" xfId="43" applyFont="1" applyFill="1" applyBorder="1" applyAlignment="1">
      <alignment horizontal="center" vertical="center" wrapText="1"/>
    </xf>
    <xf numFmtId="0" fontId="7" fillId="0" borderId="72" xfId="43" applyFont="1" applyFill="1" applyBorder="1" applyAlignment="1">
      <alignment horizontal="center" vertical="center" wrapText="1"/>
    </xf>
    <xf numFmtId="0" fontId="7" fillId="0" borderId="75" xfId="43" applyFont="1" applyFill="1" applyBorder="1" applyAlignment="1">
      <alignment horizontal="center" vertical="center" wrapText="1"/>
    </xf>
    <xf numFmtId="0" fontId="7" fillId="0" borderId="0" xfId="43" applyFont="1" applyFill="1" applyAlignment="1">
      <alignment horizontal="center" vertical="center" wrapText="1"/>
    </xf>
    <xf numFmtId="0" fontId="7" fillId="0" borderId="13" xfId="43" applyFont="1" applyFill="1" applyBorder="1" applyAlignment="1">
      <alignment horizontal="center" vertical="center" wrapText="1"/>
    </xf>
    <xf numFmtId="0" fontId="7" fillId="0" borderId="14" xfId="43" applyFont="1" applyFill="1" applyBorder="1" applyAlignment="1">
      <alignment horizontal="center" vertical="center" wrapText="1"/>
    </xf>
    <xf numFmtId="0" fontId="23" fillId="0" borderId="22" xfId="95" applyFont="1" applyFill="1" applyBorder="1" applyAlignment="1">
      <alignment horizontal="left" indent="1"/>
    </xf>
    <xf numFmtId="0" fontId="23" fillId="0" borderId="29" xfId="95" applyFont="1" applyFill="1" applyBorder="1"/>
    <xf numFmtId="49" fontId="23" fillId="0" borderId="37" xfId="95" applyNumberFormat="1" applyFont="1" applyFill="1" applyBorder="1" applyAlignment="1">
      <alignment horizontal="center"/>
    </xf>
    <xf numFmtId="4" fontId="8" fillId="0" borderId="37" xfId="43" applyNumberFormat="1" applyFont="1" applyFill="1" applyBorder="1" applyAlignment="1">
      <alignment horizontal="right" vertical="center" wrapText="1" indent="1"/>
    </xf>
    <xf numFmtId="4" fontId="3" fillId="0" borderId="44" xfId="0" applyNumberFormat="1" applyFont="1" applyFill="1" applyBorder="1" applyAlignment="1">
      <alignment horizontal="right" vertical="center" wrapText="1" indent="1"/>
    </xf>
    <xf numFmtId="0" fontId="0" fillId="0" borderId="0" xfId="0" applyFill="1"/>
    <xf numFmtId="0" fontId="23" fillId="0" borderId="13" xfId="95" applyFont="1" applyFill="1" applyBorder="1"/>
    <xf numFmtId="49" fontId="23" fillId="0" borderId="20" xfId="95" applyNumberFormat="1" applyFont="1" applyFill="1" applyBorder="1" applyAlignment="1">
      <alignment horizontal="center"/>
    </xf>
    <xf numFmtId="4" fontId="8" fillId="0" borderId="20" xfId="43" applyNumberFormat="1" applyFont="1" applyFill="1" applyBorder="1" applyAlignment="1">
      <alignment horizontal="right" vertical="center" wrapText="1" indent="1"/>
    </xf>
    <xf numFmtId="0" fontId="23" fillId="0" borderId="13" xfId="95" applyFont="1" applyFill="1" applyBorder="1" applyAlignment="1">
      <alignment vertical="center"/>
    </xf>
    <xf numFmtId="4" fontId="8" fillId="0" borderId="13" xfId="43" applyNumberFormat="1" applyFont="1" applyFill="1" applyBorder="1" applyAlignment="1">
      <alignment horizontal="right" vertical="center" wrapText="1" indent="1"/>
    </xf>
    <xf numFmtId="4" fontId="8" fillId="0" borderId="35" xfId="43" applyNumberFormat="1" applyFont="1" applyFill="1" applyBorder="1" applyAlignment="1">
      <alignment horizontal="right" vertical="center" wrapText="1" indent="1"/>
    </xf>
    <xf numFmtId="49" fontId="51" fillId="0" borderId="20" xfId="95" applyNumberFormat="1" applyFont="1" applyFill="1" applyBorder="1" applyAlignment="1">
      <alignment horizontal="center"/>
    </xf>
    <xf numFmtId="4" fontId="3" fillId="0" borderId="37" xfId="0" applyNumberFormat="1" applyFont="1" applyFill="1" applyBorder="1" applyAlignment="1">
      <alignment horizontal="right" vertical="center" wrapText="1" indent="1"/>
    </xf>
    <xf numFmtId="4" fontId="3" fillId="0" borderId="20" xfId="0" applyNumberFormat="1" applyFont="1" applyFill="1" applyBorder="1" applyAlignment="1">
      <alignment horizontal="right" vertical="center" wrapText="1" indent="1"/>
    </xf>
    <xf numFmtId="4" fontId="3" fillId="0" borderId="49" xfId="0" applyNumberFormat="1" applyFont="1" applyFill="1" applyBorder="1" applyAlignment="1">
      <alignment horizontal="right" vertical="center" wrapText="1" indent="1"/>
    </xf>
    <xf numFmtId="49" fontId="51" fillId="0" borderId="28" xfId="95" applyNumberFormat="1" applyFont="1" applyFill="1" applyBorder="1" applyAlignment="1">
      <alignment horizontal="center"/>
    </xf>
    <xf numFmtId="4" fontId="3" fillId="0" borderId="54" xfId="0" applyNumberFormat="1" applyFont="1" applyFill="1" applyBorder="1" applyAlignment="1">
      <alignment horizontal="right" vertical="center" wrapText="1" indent="1"/>
    </xf>
    <xf numFmtId="4" fontId="3" fillId="0" borderId="63" xfId="0" applyNumberFormat="1" applyFont="1" applyFill="1" applyBorder="1" applyAlignment="1">
      <alignment horizontal="right" vertical="center" wrapText="1" indent="1"/>
    </xf>
    <xf numFmtId="0" fontId="8" fillId="0" borderId="22" xfId="95" applyFont="1" applyFill="1" applyBorder="1" applyAlignment="1">
      <alignment horizontal="left" indent="1"/>
    </xf>
    <xf numFmtId="0" fontId="8" fillId="0" borderId="29" xfId="95" applyFont="1" applyFill="1" applyBorder="1"/>
    <xf numFmtId="49" fontId="8" fillId="0" borderId="37" xfId="95" applyNumberFormat="1" applyFont="1" applyFill="1" applyBorder="1" applyAlignment="1">
      <alignment horizontal="center"/>
    </xf>
    <xf numFmtId="0" fontId="8" fillId="0" borderId="13" xfId="95" applyFont="1" applyFill="1" applyBorder="1"/>
    <xf numFmtId="49" fontId="8" fillId="0" borderId="20" xfId="95" applyNumberFormat="1" applyFont="1" applyFill="1" applyBorder="1" applyAlignment="1">
      <alignment horizontal="center"/>
    </xf>
    <xf numFmtId="4" fontId="3" fillId="0" borderId="42" xfId="0" applyNumberFormat="1" applyFont="1" applyFill="1" applyBorder="1" applyAlignment="1">
      <alignment horizontal="right" vertical="center" wrapText="1" indent="1"/>
    </xf>
    <xf numFmtId="0" fontId="76" fillId="0" borderId="19" xfId="95" applyFont="1" applyFill="1" applyBorder="1"/>
    <xf numFmtId="4" fontId="8" fillId="0" borderId="19" xfId="43" applyNumberFormat="1" applyFont="1" applyFill="1" applyBorder="1" applyAlignment="1">
      <alignment horizontal="right" vertical="center" wrapText="1" indent="1"/>
    </xf>
    <xf numFmtId="0" fontId="8" fillId="0" borderId="19" xfId="95" applyFont="1" applyFill="1" applyBorder="1"/>
    <xf numFmtId="49" fontId="8" fillId="0" borderId="35" xfId="95" applyNumberFormat="1" applyFont="1" applyFill="1" applyBorder="1" applyAlignment="1">
      <alignment horizontal="center"/>
    </xf>
    <xf numFmtId="4" fontId="3" fillId="0" borderId="43" xfId="0" applyNumberFormat="1" applyFont="1" applyFill="1" applyBorder="1" applyAlignment="1">
      <alignment horizontal="right" vertical="center" wrapText="1" indent="1"/>
    </xf>
    <xf numFmtId="49" fontId="51" fillId="0" borderId="52" xfId="95" applyNumberFormat="1" applyFont="1" applyFill="1" applyBorder="1" applyAlignment="1">
      <alignment horizontal="center" vertical="center"/>
    </xf>
    <xf numFmtId="4" fontId="3" fillId="0" borderId="31" xfId="0" applyNumberFormat="1" applyFont="1" applyFill="1" applyBorder="1" applyAlignment="1">
      <alignment horizontal="right" vertical="center" wrapText="1" indent="1"/>
    </xf>
    <xf numFmtId="4" fontId="3" fillId="0" borderId="52" xfId="0" applyNumberFormat="1" applyFont="1" applyFill="1" applyBorder="1" applyAlignment="1">
      <alignment horizontal="right" vertical="center" wrapText="1" indent="1"/>
    </xf>
    <xf numFmtId="4" fontId="3" fillId="0" borderId="62" xfId="0" applyNumberFormat="1" applyFont="1" applyFill="1" applyBorder="1" applyAlignment="1">
      <alignment horizontal="right" vertical="center" wrapText="1" indent="1"/>
    </xf>
    <xf numFmtId="0" fontId="0" fillId="0" borderId="0" xfId="0" applyNumberFormat="1" applyFill="1" applyAlignment="1">
      <alignment vertical="center" wrapText="1"/>
    </xf>
    <xf numFmtId="0" fontId="5" fillId="0" borderId="30" xfId="0" applyFont="1" applyFill="1" applyBorder="1" applyAlignment="1">
      <alignment horizontal="center" vertical="center" wrapText="1"/>
    </xf>
    <xf numFmtId="0" fontId="64" fillId="0" borderId="31" xfId="0" applyFont="1" applyFill="1" applyBorder="1"/>
    <xf numFmtId="0" fontId="64" fillId="0" borderId="36" xfId="0" applyFont="1" applyFill="1" applyBorder="1"/>
    <xf numFmtId="0" fontId="7" fillId="0" borderId="59" xfId="0" applyFont="1" applyFill="1" applyBorder="1" applyAlignment="1">
      <alignment horizontal="left" vertical="center" wrapText="1" indent="1"/>
    </xf>
    <xf numFmtId="0" fontId="7" fillId="0" borderId="70" xfId="0" applyFont="1" applyFill="1" applyBorder="1" applyAlignment="1">
      <alignment horizontal="left" vertical="center" wrapText="1" indent="1"/>
    </xf>
    <xf numFmtId="0" fontId="7" fillId="0" borderId="41" xfId="0" applyFont="1" applyFill="1" applyBorder="1" applyAlignment="1">
      <alignment horizontal="left" vertical="center" wrapText="1" indent="1"/>
    </xf>
    <xf numFmtId="0" fontId="11" fillId="0" borderId="30"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7" fillId="0" borderId="23" xfId="0" applyFont="1" applyFill="1" applyBorder="1" applyAlignment="1">
      <alignment horizontal="left" vertical="center" wrapText="1" indent="1"/>
    </xf>
    <xf numFmtId="0" fontId="7" fillId="0" borderId="25" xfId="0" applyFont="1" applyFill="1" applyBorder="1" applyAlignment="1">
      <alignment horizontal="left" vertical="center" wrapText="1" indent="1"/>
    </xf>
    <xf numFmtId="0" fontId="7" fillId="0" borderId="24" xfId="0" applyFont="1" applyFill="1" applyBorder="1" applyAlignment="1">
      <alignment horizontal="left" vertical="center" wrapText="1" indent="1"/>
    </xf>
    <xf numFmtId="49" fontId="77" fillId="0" borderId="35" xfId="0" applyNumberFormat="1" applyFont="1" applyFill="1" applyBorder="1" applyAlignment="1">
      <alignment horizontal="left" wrapText="1"/>
    </xf>
    <xf numFmtId="49" fontId="77" fillId="0" borderId="45" xfId="0" applyNumberFormat="1" applyFont="1" applyFill="1" applyBorder="1" applyAlignment="1">
      <alignment horizontal="left" wrapText="1"/>
    </xf>
    <xf numFmtId="49" fontId="77" fillId="0" borderId="46" xfId="0" applyNumberFormat="1" applyFont="1" applyFill="1" applyBorder="1" applyAlignment="1">
      <alignment horizontal="left" wrapText="1"/>
    </xf>
    <xf numFmtId="49" fontId="4" fillId="0" borderId="37" xfId="0" applyNumberFormat="1" applyFont="1" applyFill="1" applyBorder="1" applyAlignment="1">
      <alignment horizontal="left" wrapText="1"/>
    </xf>
    <xf numFmtId="49" fontId="4" fillId="0" borderId="49" xfId="0" applyNumberFormat="1" applyFont="1" applyFill="1" applyBorder="1" applyAlignment="1">
      <alignment horizontal="left" wrapText="1"/>
    </xf>
    <xf numFmtId="49" fontId="4" fillId="0" borderId="32" xfId="0" applyNumberFormat="1" applyFont="1" applyFill="1" applyBorder="1" applyAlignment="1">
      <alignment horizontal="left" wrapText="1"/>
    </xf>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36" xfId="0" applyFont="1" applyFill="1" applyBorder="1" applyAlignment="1">
      <alignment horizontal="center" vertical="center"/>
    </xf>
    <xf numFmtId="0" fontId="7" fillId="0" borderId="73" xfId="0" applyFont="1" applyFill="1" applyBorder="1" applyAlignment="1">
      <alignment horizontal="left" vertical="center" wrapText="1" indent="1"/>
    </xf>
    <xf numFmtId="0" fontId="7" fillId="0" borderId="49" xfId="0" applyFont="1" applyFill="1" applyBorder="1" applyAlignment="1">
      <alignment horizontal="left" vertical="center" wrapText="1" indent="1"/>
    </xf>
    <xf numFmtId="0" fontId="7" fillId="0" borderId="53" xfId="0" applyFont="1" applyFill="1" applyBorder="1" applyAlignment="1">
      <alignment horizontal="left" vertical="center" wrapText="1" indent="1"/>
    </xf>
    <xf numFmtId="0" fontId="3" fillId="0" borderId="15" xfId="0"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0" fontId="5" fillId="0" borderId="2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8"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69" xfId="0" applyFont="1" applyFill="1" applyBorder="1" applyAlignment="1">
      <alignment horizontal="center" vertical="center"/>
    </xf>
    <xf numFmtId="0" fontId="5" fillId="0" borderId="13" xfId="0" applyFont="1" applyFill="1" applyBorder="1" applyAlignment="1">
      <alignment horizontal="center" vertical="center"/>
    </xf>
    <xf numFmtId="0" fontId="117" fillId="0" borderId="0" xfId="0" applyFont="1" applyFill="1" applyAlignment="1">
      <alignment horizontal="left" vertical="center" wrapText="1"/>
    </xf>
    <xf numFmtId="0" fontId="92" fillId="0" borderId="23" xfId="0" applyFont="1" applyFill="1" applyBorder="1" applyAlignment="1">
      <alignment horizontal="center" vertical="center" wrapText="1"/>
    </xf>
    <xf numFmtId="0" fontId="92" fillId="0" borderId="15" xfId="0" applyFont="1" applyFill="1" applyBorder="1" applyAlignment="1">
      <alignment horizontal="center" vertical="center" wrapText="1"/>
    </xf>
    <xf numFmtId="0" fontId="92" fillId="0" borderId="16" xfId="0" applyFont="1" applyFill="1" applyBorder="1" applyAlignment="1">
      <alignment horizontal="center" vertical="center" wrapText="1"/>
    </xf>
    <xf numFmtId="0" fontId="92" fillId="0" borderId="25" xfId="0" applyFont="1" applyFill="1" applyBorder="1" applyAlignment="1">
      <alignment horizontal="center" vertical="center" wrapText="1"/>
    </xf>
    <xf numFmtId="0" fontId="92" fillId="0" borderId="13" xfId="0" applyFont="1" applyFill="1" applyBorder="1" applyAlignment="1">
      <alignment horizontal="center" vertical="center" wrapText="1"/>
    </xf>
    <xf numFmtId="0" fontId="92" fillId="0" borderId="17" xfId="0" applyFont="1" applyFill="1" applyBorder="1" applyAlignment="1">
      <alignment horizontal="center" vertical="center" wrapText="1"/>
    </xf>
    <xf numFmtId="0" fontId="92" fillId="0" borderId="24" xfId="0" applyFont="1" applyFill="1" applyBorder="1" applyAlignment="1">
      <alignment horizontal="center" vertical="center" wrapText="1"/>
    </xf>
    <xf numFmtId="0" fontId="92" fillId="0" borderId="14" xfId="0" applyFont="1" applyFill="1" applyBorder="1" applyAlignment="1">
      <alignment horizontal="center" vertical="center" wrapText="1"/>
    </xf>
    <xf numFmtId="0" fontId="92" fillId="0" borderId="18" xfId="0" applyFont="1" applyFill="1" applyBorder="1" applyAlignment="1">
      <alignment horizontal="center" vertical="center" wrapText="1"/>
    </xf>
    <xf numFmtId="0" fontId="78" fillId="0" borderId="0" xfId="0" applyFont="1" applyFill="1" applyAlignment="1">
      <alignment horizontal="left" vertical="center" wrapText="1"/>
    </xf>
    <xf numFmtId="49" fontId="8" fillId="0" borderId="20" xfId="0" applyNumberFormat="1" applyFont="1" applyFill="1" applyBorder="1" applyAlignment="1">
      <alignment horizontal="left"/>
    </xf>
    <xf numFmtId="49" fontId="8" fillId="0" borderId="51" xfId="0" applyNumberFormat="1" applyFont="1" applyFill="1" applyBorder="1" applyAlignment="1">
      <alignment horizontal="left"/>
    </xf>
    <xf numFmtId="49" fontId="8" fillId="0" borderId="27" xfId="0" applyNumberFormat="1" applyFont="1" applyFill="1" applyBorder="1" applyAlignment="1">
      <alignment horizontal="left"/>
    </xf>
    <xf numFmtId="0" fontId="77" fillId="0" borderId="0" xfId="0" applyFont="1" applyFill="1" applyBorder="1" applyAlignment="1">
      <alignment horizontal="center" vertical="center" wrapText="1"/>
    </xf>
    <xf numFmtId="0" fontId="4" fillId="0" borderId="0" xfId="0" applyFont="1" applyFill="1" applyAlignment="1">
      <alignment horizontal="left" vertical="center" wrapText="1"/>
    </xf>
    <xf numFmtId="0" fontId="11" fillId="0" borderId="1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20" xfId="0" applyFont="1" applyFill="1" applyBorder="1" applyAlignment="1">
      <alignment horizontal="center" vertical="center" wrapText="1"/>
    </xf>
    <xf numFmtId="49" fontId="4" fillId="0" borderId="20" xfId="0" applyNumberFormat="1" applyFont="1" applyFill="1" applyBorder="1" applyAlignment="1">
      <alignment horizontal="left"/>
    </xf>
    <xf numFmtId="49" fontId="4" fillId="0" borderId="51" xfId="0" applyNumberFormat="1" applyFont="1" applyFill="1" applyBorder="1" applyAlignment="1">
      <alignment horizontal="left"/>
    </xf>
    <xf numFmtId="0" fontId="3" fillId="0" borderId="29"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73" xfId="0"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22" xfId="0" applyFont="1" applyFill="1" applyBorder="1" applyAlignment="1">
      <alignment horizontal="center" vertical="center" textRotation="90" wrapText="1"/>
    </xf>
    <xf numFmtId="0" fontId="3" fillId="0" borderId="15" xfId="0" applyFont="1" applyFill="1" applyBorder="1" applyAlignment="1">
      <alignment horizontal="center" vertical="center" textRotation="90" wrapText="1"/>
    </xf>
    <xf numFmtId="49" fontId="4" fillId="0" borderId="27" xfId="0" applyNumberFormat="1" applyFont="1" applyFill="1" applyBorder="1" applyAlignment="1">
      <alignment horizontal="left"/>
    </xf>
    <xf numFmtId="0" fontId="74" fillId="0" borderId="56" xfId="39" applyFont="1" applyFill="1" applyBorder="1" applyAlignment="1">
      <alignment horizontal="center" vertical="center" wrapText="1"/>
    </xf>
    <xf numFmtId="0" fontId="74" fillId="0" borderId="44" xfId="39" applyFont="1" applyFill="1" applyBorder="1" applyAlignment="1">
      <alignment horizontal="center" vertical="center" wrapText="1"/>
    </xf>
    <xf numFmtId="0" fontId="94" fillId="0" borderId="12" xfId="0" applyFont="1" applyFill="1" applyBorder="1" applyAlignment="1">
      <alignment horizontal="center" vertical="center" wrapText="1"/>
    </xf>
    <xf numFmtId="0" fontId="94" fillId="0" borderId="0" xfId="0" applyFont="1" applyFill="1" applyBorder="1" applyAlignment="1">
      <alignment horizontal="center" vertical="center" wrapText="1"/>
    </xf>
    <xf numFmtId="0" fontId="74" fillId="0" borderId="12" xfId="39" applyFont="1" applyFill="1" applyBorder="1" applyAlignment="1">
      <alignment horizontal="center" vertical="center" wrapText="1"/>
    </xf>
    <xf numFmtId="0" fontId="74" fillId="0" borderId="73" xfId="39" applyFont="1" applyFill="1" applyBorder="1" applyAlignment="1">
      <alignment horizontal="center" vertical="center" wrapText="1"/>
    </xf>
    <xf numFmtId="0" fontId="7" fillId="0" borderId="61" xfId="40" applyFont="1" applyFill="1" applyBorder="1" applyAlignment="1">
      <alignment horizontal="center" vertical="center"/>
    </xf>
    <xf numFmtId="0" fontId="7" fillId="0" borderId="57" xfId="40" applyFont="1" applyFill="1" applyBorder="1" applyAlignment="1">
      <alignment horizontal="center" vertical="center"/>
    </xf>
    <xf numFmtId="0" fontId="7" fillId="0" borderId="58" xfId="40" applyFont="1" applyFill="1" applyBorder="1" applyAlignment="1">
      <alignment horizontal="center" vertical="center"/>
    </xf>
    <xf numFmtId="0" fontId="74" fillId="0" borderId="64" xfId="40" applyFont="1" applyFill="1" applyBorder="1" applyAlignment="1">
      <alignment horizontal="left" vertical="center" wrapText="1" indent="1"/>
    </xf>
    <xf numFmtId="0" fontId="74" fillId="0" borderId="65" xfId="40" applyFont="1" applyFill="1" applyBorder="1" applyAlignment="1">
      <alignment horizontal="left" vertical="center" wrapText="1" indent="1"/>
    </xf>
    <xf numFmtId="0" fontId="74" fillId="0" borderId="66" xfId="40" applyFont="1" applyFill="1" applyBorder="1" applyAlignment="1">
      <alignment horizontal="left" vertical="center" wrapText="1" indent="1"/>
    </xf>
    <xf numFmtId="0" fontId="95" fillId="0" borderId="0" xfId="40" applyFont="1" applyFill="1" applyBorder="1" applyAlignment="1">
      <alignment horizontal="left" wrapText="1"/>
    </xf>
    <xf numFmtId="0" fontId="23" fillId="0" borderId="35" xfId="0" applyFont="1" applyFill="1" applyBorder="1" applyAlignment="1">
      <alignment horizontal="left" vertical="center"/>
    </xf>
    <xf numFmtId="0" fontId="23" fillId="0" borderId="45" xfId="0" applyFont="1" applyFill="1" applyBorder="1" applyAlignment="1">
      <alignment horizontal="left" vertical="center"/>
    </xf>
    <xf numFmtId="0" fontId="23" fillId="0" borderId="46" xfId="0" applyFont="1" applyFill="1" applyBorder="1" applyAlignment="1">
      <alignment horizontal="left" vertical="center"/>
    </xf>
    <xf numFmtId="0" fontId="23" fillId="0" borderId="37" xfId="0" applyFont="1" applyFill="1" applyBorder="1" applyAlignment="1">
      <alignment horizontal="left" vertical="center"/>
    </xf>
    <xf numFmtId="0" fontId="23" fillId="0" borderId="49" xfId="0" applyFont="1" applyFill="1" applyBorder="1" applyAlignment="1">
      <alignment horizontal="left" vertical="center"/>
    </xf>
    <xf numFmtId="0" fontId="23" fillId="0" borderId="32" xfId="0" applyFont="1" applyFill="1" applyBorder="1" applyAlignment="1">
      <alignment horizontal="left" vertical="center"/>
    </xf>
    <xf numFmtId="0" fontId="11" fillId="0" borderId="67"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0" borderId="6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7" fillId="0" borderId="38" xfId="0" applyFont="1" applyFill="1" applyBorder="1" applyAlignment="1">
      <alignment horizontal="center" vertical="center" wrapText="1"/>
    </xf>
    <xf numFmtId="49" fontId="3" fillId="0" borderId="46" xfId="0" applyNumberFormat="1" applyFont="1" applyFill="1" applyBorder="1" applyAlignment="1">
      <alignment horizontal="center" vertical="center" wrapText="1"/>
    </xf>
    <xf numFmtId="49" fontId="3" fillId="0" borderId="32"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7" fillId="0" borderId="40" xfId="0" applyFont="1" applyFill="1" applyBorder="1" applyAlignment="1">
      <alignment horizontal="left" vertical="center" wrapText="1" indent="1"/>
    </xf>
    <xf numFmtId="0" fontId="7" fillId="0" borderId="7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23" fillId="0" borderId="37" xfId="0" applyFont="1" applyFill="1" applyBorder="1" applyAlignment="1">
      <alignment horizontal="left" vertical="center" wrapText="1"/>
    </xf>
    <xf numFmtId="0" fontId="23" fillId="0" borderId="49" xfId="0" applyFont="1" applyFill="1" applyBorder="1" applyAlignment="1">
      <alignment horizontal="left" vertical="center" wrapText="1"/>
    </xf>
    <xf numFmtId="0" fontId="23" fillId="0" borderId="32" xfId="0" applyFont="1" applyFill="1" applyBorder="1" applyAlignment="1">
      <alignment horizontal="left" vertical="center" wrapText="1"/>
    </xf>
    <xf numFmtId="0" fontId="5" fillId="0" borderId="23"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7" fillId="0" borderId="60" xfId="0" applyFont="1" applyFill="1" applyBorder="1" applyAlignment="1">
      <alignment horizontal="left" vertical="center" wrapText="1" indent="1"/>
    </xf>
    <xf numFmtId="0" fontId="7" fillId="0" borderId="51" xfId="0" applyFont="1" applyFill="1" applyBorder="1" applyAlignment="1">
      <alignment horizontal="left" vertical="center" wrapText="1" indent="1"/>
    </xf>
    <xf numFmtId="0" fontId="7" fillId="0" borderId="38" xfId="0" applyFont="1" applyFill="1" applyBorder="1" applyAlignment="1">
      <alignment horizontal="left" vertical="center" wrapText="1" indent="1"/>
    </xf>
    <xf numFmtId="0" fontId="4" fillId="0" borderId="12" xfId="39" applyFont="1" applyFill="1" applyBorder="1" applyAlignment="1">
      <alignment horizontal="center"/>
    </xf>
    <xf numFmtId="0" fontId="4" fillId="0" borderId="0" xfId="39" applyFont="1" applyFill="1" applyAlignment="1">
      <alignment horizontal="center"/>
    </xf>
    <xf numFmtId="0" fontId="23" fillId="0" borderId="47" xfId="39" applyFont="1" applyFill="1" applyBorder="1" applyAlignment="1">
      <alignment horizontal="left" vertical="center"/>
    </xf>
    <xf numFmtId="0" fontId="23" fillId="0" borderId="0" xfId="39" applyFont="1" applyFill="1" applyBorder="1" applyAlignment="1">
      <alignment horizontal="left" vertical="center"/>
    </xf>
    <xf numFmtId="0" fontId="23" fillId="0" borderId="48" xfId="39" applyFont="1" applyFill="1" applyBorder="1" applyAlignment="1">
      <alignment horizontal="left" vertical="center"/>
    </xf>
    <xf numFmtId="0" fontId="23" fillId="0" borderId="37" xfId="39" applyFont="1" applyFill="1" applyBorder="1" applyAlignment="1">
      <alignment horizontal="left" vertical="center"/>
    </xf>
    <xf numFmtId="0" fontId="23" fillId="0" borderId="49" xfId="39" applyFont="1" applyFill="1" applyBorder="1" applyAlignment="1">
      <alignment horizontal="left" vertical="center"/>
    </xf>
    <xf numFmtId="0" fontId="23" fillId="0" borderId="32" xfId="39" applyFont="1" applyFill="1" applyBorder="1" applyAlignment="1">
      <alignment horizontal="left" vertical="center"/>
    </xf>
    <xf numFmtId="0" fontId="5" fillId="0" borderId="67" xfId="39" applyFont="1" applyFill="1" applyBorder="1" applyAlignment="1">
      <alignment horizontal="center" vertical="center" wrapText="1"/>
    </xf>
    <xf numFmtId="0" fontId="5" fillId="0" borderId="68" xfId="39" applyFont="1" applyFill="1" applyBorder="1" applyAlignment="1">
      <alignment horizontal="center" vertical="center"/>
    </xf>
    <xf numFmtId="0" fontId="5" fillId="0" borderId="69" xfId="39" applyFont="1" applyFill="1" applyBorder="1" applyAlignment="1">
      <alignment horizontal="center" vertical="center"/>
    </xf>
    <xf numFmtId="0" fontId="7" fillId="0" borderId="23" xfId="39" applyFont="1" applyFill="1" applyBorder="1" applyAlignment="1">
      <alignment horizontal="left" vertical="center" wrapText="1" indent="1"/>
    </xf>
    <xf numFmtId="0" fontId="7" fillId="0" borderId="25" xfId="39" applyFont="1" applyFill="1" applyBorder="1" applyAlignment="1">
      <alignment horizontal="left" vertical="center" wrapText="1" indent="1"/>
    </xf>
    <xf numFmtId="0" fontId="7" fillId="0" borderId="24" xfId="39" applyFont="1" applyFill="1" applyBorder="1" applyAlignment="1">
      <alignment horizontal="left" vertical="center" wrapText="1" indent="1"/>
    </xf>
    <xf numFmtId="0" fontId="23" fillId="0" borderId="35" xfId="39" applyFont="1" applyFill="1" applyBorder="1" applyAlignment="1">
      <alignment horizontal="left" vertical="center"/>
    </xf>
    <xf numFmtId="0" fontId="23" fillId="0" borderId="45" xfId="39" applyFont="1" applyFill="1" applyBorder="1" applyAlignment="1">
      <alignment horizontal="left" vertical="center"/>
    </xf>
    <xf numFmtId="0" fontId="23" fillId="0" borderId="46" xfId="39" applyFont="1" applyFill="1" applyBorder="1" applyAlignment="1">
      <alignment horizontal="left" vertical="center"/>
    </xf>
    <xf numFmtId="0" fontId="5" fillId="0" borderId="31"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3" fillId="0" borderId="38" xfId="0" applyFont="1" applyFill="1" applyBorder="1" applyAlignment="1">
      <alignment horizontal="center" vertical="center" wrapText="1"/>
    </xf>
    <xf numFmtId="49" fontId="4" fillId="0" borderId="45" xfId="0" applyNumberFormat="1" applyFont="1" applyFill="1" applyBorder="1" applyAlignment="1">
      <alignment horizontal="left"/>
    </xf>
    <xf numFmtId="49" fontId="3" fillId="0" borderId="34" xfId="0" applyNumberFormat="1" applyFont="1" applyFill="1" applyBorder="1" applyAlignment="1">
      <alignment horizontal="center" vertical="center" wrapText="1"/>
    </xf>
    <xf numFmtId="49" fontId="3" fillId="0" borderId="14" xfId="0" applyNumberFormat="1" applyFont="1" applyFill="1" applyBorder="1" applyAlignment="1">
      <alignment horizontal="center" vertical="center" wrapText="1"/>
    </xf>
    <xf numFmtId="0" fontId="5" fillId="0" borderId="61"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49" fontId="79" fillId="0" borderId="29" xfId="0" applyNumberFormat="1" applyFont="1" applyFill="1" applyBorder="1" applyAlignment="1">
      <alignment horizontal="center" vertical="center" wrapText="1"/>
    </xf>
    <xf numFmtId="49" fontId="79" fillId="0" borderId="13" xfId="0" applyNumberFormat="1" applyFont="1" applyFill="1" applyBorder="1" applyAlignment="1">
      <alignment horizontal="center" vertical="center" wrapText="1"/>
    </xf>
    <xf numFmtId="0" fontId="113" fillId="0" borderId="0" xfId="0" applyFont="1" applyFill="1" applyAlignment="1">
      <alignment horizontal="left" wrapText="1"/>
    </xf>
    <xf numFmtId="0" fontId="23" fillId="0" borderId="0" xfId="0" applyFont="1" applyFill="1" applyBorder="1" applyAlignment="1">
      <alignment horizontal="left" wrapText="1"/>
    </xf>
    <xf numFmtId="0" fontId="5" fillId="0" borderId="61"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7" fillId="0" borderId="65" xfId="0" applyFont="1" applyFill="1" applyBorder="1" applyAlignment="1">
      <alignment horizontal="left" vertical="center" wrapText="1" indent="1"/>
    </xf>
    <xf numFmtId="0" fontId="67" fillId="0" borderId="15" xfId="0" applyFont="1" applyFill="1" applyBorder="1" applyAlignment="1">
      <alignment horizontal="center" vertical="center" wrapText="1"/>
    </xf>
    <xf numFmtId="0" fontId="79" fillId="0" borderId="1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5" fillId="0" borderId="30" xfId="91" applyFont="1" applyFill="1" applyBorder="1" applyAlignment="1">
      <alignment horizontal="center" vertical="center" wrapText="1"/>
    </xf>
    <xf numFmtId="0" fontId="5" fillId="0" borderId="31" xfId="91" applyFont="1" applyFill="1" applyBorder="1" applyAlignment="1">
      <alignment horizontal="center" vertical="center" wrapText="1"/>
    </xf>
    <xf numFmtId="0" fontId="5" fillId="0" borderId="36" xfId="91" applyFont="1" applyFill="1" applyBorder="1" applyAlignment="1">
      <alignment horizontal="center" vertical="center" wrapText="1"/>
    </xf>
    <xf numFmtId="0" fontId="7" fillId="0" borderId="59" xfId="92" applyFont="1" applyFill="1" applyBorder="1" applyAlignment="1">
      <alignment horizontal="left" vertical="center" wrapText="1" indent="1"/>
    </xf>
    <xf numFmtId="0" fontId="7" fillId="0" borderId="70" xfId="92" applyFont="1" applyFill="1" applyBorder="1" applyAlignment="1">
      <alignment horizontal="left" vertical="center" wrapText="1" indent="1"/>
    </xf>
    <xf numFmtId="0" fontId="7" fillId="0" borderId="41" xfId="92" applyFont="1" applyFill="1" applyBorder="1" applyAlignment="1">
      <alignment horizontal="left" vertical="center" wrapText="1" indent="1"/>
    </xf>
    <xf numFmtId="0" fontId="3" fillId="0" borderId="22" xfId="92" applyFont="1" applyFill="1" applyBorder="1" applyAlignment="1">
      <alignment horizontal="center" vertical="center" wrapText="1"/>
    </xf>
    <xf numFmtId="0" fontId="3" fillId="0" borderId="15" xfId="92" applyFont="1" applyFill="1" applyBorder="1" applyAlignment="1">
      <alignment horizontal="center" vertical="center" wrapText="1"/>
    </xf>
    <xf numFmtId="49" fontId="3" fillId="0" borderId="29" xfId="92" applyNumberFormat="1" applyFont="1" applyFill="1" applyBorder="1" applyAlignment="1">
      <alignment horizontal="center" vertical="center" wrapText="1"/>
    </xf>
    <xf numFmtId="49" fontId="3" fillId="0" borderId="13" xfId="92" applyNumberFormat="1" applyFont="1" applyFill="1" applyBorder="1" applyAlignment="1">
      <alignment horizontal="center" vertical="center" wrapText="1"/>
    </xf>
    <xf numFmtId="0" fontId="3" fillId="0" borderId="29" xfId="92" applyFont="1" applyFill="1" applyBorder="1" applyAlignment="1">
      <alignment horizontal="center" vertical="center" wrapText="1"/>
    </xf>
    <xf numFmtId="0" fontId="7" fillId="0" borderId="29" xfId="92" applyFont="1" applyFill="1" applyBorder="1" applyAlignment="1">
      <alignment horizontal="center" vertical="center" wrapText="1"/>
    </xf>
    <xf numFmtId="0" fontId="7" fillId="0" borderId="34" xfId="92" applyFont="1" applyFill="1" applyBorder="1" applyAlignment="1">
      <alignment horizontal="center" vertical="center" wrapText="1"/>
    </xf>
    <xf numFmtId="0" fontId="11" fillId="0" borderId="61" xfId="0" applyFont="1" applyFill="1" applyBorder="1" applyAlignment="1">
      <alignment horizontal="center" vertical="center" wrapText="1"/>
    </xf>
    <xf numFmtId="0" fontId="11" fillId="0" borderId="57" xfId="0" applyFont="1" applyFill="1" applyBorder="1" applyAlignment="1">
      <alignment horizontal="center" vertical="center" wrapText="1"/>
    </xf>
    <xf numFmtId="0" fontId="11" fillId="0" borderId="58" xfId="0" applyFont="1" applyFill="1" applyBorder="1" applyAlignment="1">
      <alignment horizontal="center" vertical="center" wrapText="1"/>
    </xf>
    <xf numFmtId="0" fontId="85" fillId="0" borderId="45" xfId="0" applyFont="1" applyFill="1" applyBorder="1" applyAlignment="1">
      <alignment horizontal="left" vertical="center" wrapText="1"/>
    </xf>
    <xf numFmtId="0" fontId="28" fillId="0" borderId="35" xfId="0" applyFont="1" applyFill="1" applyBorder="1" applyAlignment="1">
      <alignment horizontal="left" vertical="center"/>
    </xf>
    <xf numFmtId="0" fontId="28" fillId="0" borderId="45" xfId="0" applyFont="1" applyFill="1" applyBorder="1" applyAlignment="1">
      <alignment horizontal="left" vertical="center"/>
    </xf>
    <xf numFmtId="0" fontId="28" fillId="0" borderId="46" xfId="0" applyFont="1" applyFill="1" applyBorder="1" applyAlignment="1">
      <alignment horizontal="left" vertical="center"/>
    </xf>
    <xf numFmtId="0" fontId="28" fillId="0" borderId="37" xfId="0" applyFont="1" applyFill="1" applyBorder="1" applyAlignment="1">
      <alignment horizontal="left" vertical="center"/>
    </xf>
    <xf numFmtId="0" fontId="28" fillId="0" borderId="49" xfId="0" applyFont="1" applyFill="1" applyBorder="1" applyAlignment="1">
      <alignment horizontal="left" vertical="center"/>
    </xf>
    <xf numFmtId="0" fontId="28" fillId="0" borderId="32" xfId="0" applyFont="1" applyFill="1" applyBorder="1" applyAlignment="1">
      <alignment horizontal="left" vertical="center"/>
    </xf>
    <xf numFmtId="0" fontId="5" fillId="0" borderId="68" xfId="39" applyFont="1" applyFill="1" applyBorder="1" applyAlignment="1">
      <alignment horizontal="center" vertical="center" wrapText="1"/>
    </xf>
    <xf numFmtId="0" fontId="5" fillId="0" borderId="72" xfId="39" applyFont="1" applyFill="1" applyBorder="1" applyAlignment="1">
      <alignment horizontal="center" vertical="center" wrapText="1"/>
    </xf>
    <xf numFmtId="0" fontId="5" fillId="0" borderId="69" xfId="39" applyFont="1" applyFill="1" applyBorder="1" applyAlignment="1">
      <alignment horizontal="center" vertical="center" wrapText="1"/>
    </xf>
    <xf numFmtId="0" fontId="7" fillId="0" borderId="67" xfId="39" applyFont="1" applyFill="1" applyBorder="1" applyAlignment="1">
      <alignment horizontal="left" vertical="center" wrapText="1" indent="1"/>
    </xf>
    <xf numFmtId="0" fontId="7" fillId="0" borderId="68" xfId="39" applyFont="1" applyFill="1" applyBorder="1" applyAlignment="1">
      <alignment horizontal="left" vertical="center" wrapText="1" indent="1"/>
    </xf>
    <xf numFmtId="0" fontId="7" fillId="0" borderId="72" xfId="39" applyFont="1" applyFill="1" applyBorder="1" applyAlignment="1">
      <alignment horizontal="left" vertical="center" wrapText="1" indent="1"/>
    </xf>
    <xf numFmtId="0" fontId="7" fillId="0" borderId="69" xfId="39" applyFont="1" applyFill="1" applyBorder="1" applyAlignment="1">
      <alignment horizontal="left" vertical="center" wrapText="1" indent="1"/>
    </xf>
    <xf numFmtId="0" fontId="7" fillId="0" borderId="25" xfId="39" applyFont="1" applyFill="1" applyBorder="1" applyAlignment="1">
      <alignment horizontal="center" vertical="center" wrapText="1"/>
    </xf>
    <xf numFmtId="0" fontId="7" fillId="0" borderId="24" xfId="39" applyFont="1" applyFill="1" applyBorder="1" applyAlignment="1">
      <alignment horizontal="center" vertical="center" wrapText="1"/>
    </xf>
    <xf numFmtId="0" fontId="23" fillId="0" borderId="13" xfId="39" applyFont="1" applyFill="1" applyBorder="1" applyAlignment="1">
      <alignment horizontal="left" vertical="center" wrapText="1"/>
    </xf>
    <xf numFmtId="49" fontId="3" fillId="0" borderId="25" xfId="39" applyNumberFormat="1" applyFont="1" applyFill="1" applyBorder="1" applyAlignment="1">
      <alignment horizontal="center" vertical="center" wrapText="1"/>
    </xf>
    <xf numFmtId="49" fontId="3" fillId="0" borderId="13" xfId="39" applyNumberFormat="1" applyFont="1" applyFill="1" applyBorder="1" applyAlignment="1">
      <alignment horizontal="center" vertical="center" wrapText="1"/>
    </xf>
    <xf numFmtId="0" fontId="4" fillId="0" borderId="70" xfId="39" applyFont="1" applyFill="1" applyBorder="1" applyAlignment="1">
      <alignment horizontal="left" wrapText="1"/>
    </xf>
    <xf numFmtId="3" fontId="8" fillId="0" borderId="0" xfId="44" applyNumberFormat="1" applyFont="1" applyFill="1" applyBorder="1" applyAlignment="1">
      <alignment horizontal="left" vertical="center" wrapText="1"/>
    </xf>
    <xf numFmtId="3" fontId="8" fillId="0" borderId="65" xfId="44" applyNumberFormat="1" applyFont="1" applyFill="1" applyBorder="1" applyAlignment="1">
      <alignment horizontal="left" vertical="center" wrapText="1"/>
    </xf>
    <xf numFmtId="3" fontId="11" fillId="0" borderId="61" xfId="44" applyNumberFormat="1" applyFont="1" applyFill="1" applyBorder="1" applyAlignment="1">
      <alignment horizontal="center" vertical="center" wrapText="1"/>
    </xf>
    <xf numFmtId="3" fontId="11" fillId="0" borderId="57" xfId="44" applyNumberFormat="1" applyFont="1" applyFill="1" applyBorder="1" applyAlignment="1">
      <alignment horizontal="center" vertical="center" wrapText="1"/>
    </xf>
    <xf numFmtId="3" fontId="11" fillId="0" borderId="58" xfId="44" applyNumberFormat="1" applyFont="1" applyFill="1" applyBorder="1" applyAlignment="1">
      <alignment horizontal="center" vertical="center" wrapText="1"/>
    </xf>
    <xf numFmtId="3" fontId="7" fillId="0" borderId="22" xfId="44" applyNumberFormat="1" applyFont="1" applyFill="1" applyBorder="1" applyAlignment="1">
      <alignment horizontal="center" vertical="center" wrapText="1"/>
    </xf>
    <xf numFmtId="3" fontId="7" fillId="0" borderId="15" xfId="44" applyNumberFormat="1"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1" fillId="0" borderId="15" xfId="95" applyFont="1" applyFill="1" applyBorder="1" applyAlignment="1"/>
    <xf numFmtId="0" fontId="51" fillId="0" borderId="13" xfId="95" applyFont="1" applyFill="1" applyBorder="1" applyAlignment="1"/>
    <xf numFmtId="0" fontId="51" fillId="0" borderId="16" xfId="95" applyFont="1" applyFill="1" applyBorder="1" applyAlignment="1"/>
    <xf numFmtId="0" fontId="51" fillId="0" borderId="17" xfId="95" applyFont="1" applyFill="1" applyBorder="1" applyAlignment="1"/>
    <xf numFmtId="3" fontId="11" fillId="0" borderId="61" xfId="43" applyNumberFormat="1" applyFont="1" applyFill="1" applyBorder="1" applyAlignment="1">
      <alignment horizontal="center" vertical="center" wrapText="1"/>
    </xf>
    <xf numFmtId="3" fontId="11" fillId="0" borderId="57" xfId="43" applyNumberFormat="1" applyFont="1" applyFill="1" applyBorder="1" applyAlignment="1">
      <alignment horizontal="center" vertical="center" wrapText="1"/>
    </xf>
    <xf numFmtId="3" fontId="11" fillId="0" borderId="58" xfId="43" applyNumberFormat="1" applyFont="1" applyFill="1" applyBorder="1" applyAlignment="1">
      <alignment horizontal="center" vertical="center" wrapText="1"/>
    </xf>
    <xf numFmtId="3" fontId="7" fillId="0" borderId="61" xfId="43" applyNumberFormat="1" applyFont="1" applyFill="1" applyBorder="1" applyAlignment="1">
      <alignment horizontal="left" vertical="center" wrapText="1" indent="1"/>
    </xf>
    <xf numFmtId="3" fontId="7" fillId="0" borderId="57" xfId="43" applyNumberFormat="1" applyFont="1" applyFill="1" applyBorder="1" applyAlignment="1">
      <alignment horizontal="left" vertical="center" wrapText="1" indent="1"/>
    </xf>
    <xf numFmtId="3" fontId="7" fillId="0" borderId="58" xfId="43" applyNumberFormat="1" applyFont="1" applyFill="1" applyBorder="1" applyAlignment="1">
      <alignment horizontal="left" vertical="center" wrapText="1" indent="1"/>
    </xf>
    <xf numFmtId="0" fontId="7" fillId="0" borderId="61" xfId="0" applyFont="1" applyFill="1" applyBorder="1" applyAlignment="1">
      <alignment horizontal="left" vertical="center" wrapText="1"/>
    </xf>
    <xf numFmtId="0" fontId="7" fillId="0" borderId="57"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11" fillId="0" borderId="64" xfId="0" applyNumberFormat="1" applyFont="1" applyFill="1" applyBorder="1" applyAlignment="1">
      <alignment horizontal="center" vertical="center" wrapText="1"/>
    </xf>
    <xf numFmtId="0" fontId="11" fillId="0" borderId="65" xfId="0" applyNumberFormat="1" applyFont="1" applyFill="1" applyBorder="1" applyAlignment="1">
      <alignment horizontal="center" vertical="center" wrapText="1"/>
    </xf>
    <xf numFmtId="0" fontId="11" fillId="0" borderId="66" xfId="0" applyNumberFormat="1" applyFont="1" applyFill="1" applyBorder="1" applyAlignment="1">
      <alignment horizontal="center" vertical="center" wrapText="1"/>
    </xf>
    <xf numFmtId="0" fontId="51" fillId="0" borderId="30" xfId="95" applyFont="1" applyFill="1" applyBorder="1" applyAlignment="1">
      <alignment horizontal="left" vertical="center" indent="1"/>
    </xf>
    <xf numFmtId="0" fontId="51" fillId="0" borderId="31" xfId="95" applyFont="1" applyFill="1" applyBorder="1" applyAlignment="1">
      <alignment horizontal="left" vertical="center" indent="1"/>
    </xf>
    <xf numFmtId="0" fontId="8" fillId="0" borderId="49" xfId="0" applyFont="1" applyBorder="1" applyAlignment="1">
      <alignment horizontal="left"/>
    </xf>
    <xf numFmtId="0" fontId="5" fillId="0" borderId="5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40" xfId="0" applyFont="1" applyBorder="1" applyAlignment="1">
      <alignment horizontal="center" vertical="center" wrapText="1"/>
    </xf>
    <xf numFmtId="0" fontId="10" fillId="0" borderId="0" xfId="0" applyFont="1" applyFill="1" applyBorder="1" applyAlignment="1">
      <alignment horizontal="center" vertical="center"/>
    </xf>
    <xf numFmtId="49" fontId="95" fillId="0" borderId="0" xfId="0" applyNumberFormat="1" applyFont="1" applyFill="1" applyBorder="1" applyAlignment="1">
      <alignment horizontal="left" vertical="top" wrapText="1" indent="1"/>
    </xf>
  </cellXfs>
  <cellStyles count="10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Čiarka" xfId="27" builtinId="3"/>
    <cellStyle name="čiarky 2" xfId="28"/>
    <cellStyle name="čiarky 2 2" xfId="93"/>
    <cellStyle name="Explanatory Text" xfId="29"/>
    <cellStyle name="Good" xfId="30"/>
    <cellStyle name="Heading 1" xfId="31"/>
    <cellStyle name="Heading 2" xfId="32"/>
    <cellStyle name="Heading 3" xfId="33"/>
    <cellStyle name="Heading 4" xfId="34"/>
    <cellStyle name="Check Cell" xfId="35"/>
    <cellStyle name="Input" xfId="36"/>
    <cellStyle name="Linked Cell" xfId="37"/>
    <cellStyle name="Neutral" xfId="38"/>
    <cellStyle name="Normálna" xfId="0" builtinId="0"/>
    <cellStyle name="Normálna 2" xfId="39"/>
    <cellStyle name="Normálna 2 2" xfId="94"/>
    <cellStyle name="Normálna 2 3" xfId="92"/>
    <cellStyle name="Normálna 3" xfId="89"/>
    <cellStyle name="normálne 2" xfId="40"/>
    <cellStyle name="normálne 3" xfId="41"/>
    <cellStyle name="normálne 3 2" xfId="95"/>
    <cellStyle name="normálne 4" xfId="42"/>
    <cellStyle name="normálne 4 2" xfId="91"/>
    <cellStyle name="Normálne 5" xfId="90"/>
    <cellStyle name="Normálne 6" xfId="105"/>
    <cellStyle name="Normálne 7" xfId="106"/>
    <cellStyle name="normálne_Databazy_VVŠ_2007_ severská" xfId="43"/>
    <cellStyle name="normálne_sprava_VVŠ_2004_tabuľky_vláda" xfId="44"/>
    <cellStyle name="normální_List1" xfId="45"/>
    <cellStyle name="Note" xfId="46"/>
    <cellStyle name="Note 2" xfId="96"/>
    <cellStyle name="Output" xfId="47"/>
    <cellStyle name="SAPBEXaggData" xfId="48"/>
    <cellStyle name="SAPBEXaggDataEmph" xfId="49"/>
    <cellStyle name="SAPBEXaggItem" xfId="50"/>
    <cellStyle name="SAPBEXaggItemX" xfId="51"/>
    <cellStyle name="SAPBEXexcBad7" xfId="52"/>
    <cellStyle name="SAPBEXexcBad8" xfId="53"/>
    <cellStyle name="SAPBEXexcBad9" xfId="54"/>
    <cellStyle name="SAPBEXexcCritical4" xfId="55"/>
    <cellStyle name="SAPBEXexcCritical5" xfId="56"/>
    <cellStyle name="SAPBEXexcCritical6" xfId="57"/>
    <cellStyle name="SAPBEXexcGood1" xfId="58"/>
    <cellStyle name="SAPBEXexcGood2" xfId="59"/>
    <cellStyle name="SAPBEXexcGood3" xfId="60"/>
    <cellStyle name="SAPBEXfilterDrill" xfId="61"/>
    <cellStyle name="SAPBEXfilterItem" xfId="62"/>
    <cellStyle name="SAPBEXfilterText" xfId="63"/>
    <cellStyle name="SAPBEXformats" xfId="64"/>
    <cellStyle name="SAPBEXheaderItem" xfId="65"/>
    <cellStyle name="SAPBEXheaderText" xfId="66"/>
    <cellStyle name="SAPBEXHLevel0" xfId="67"/>
    <cellStyle name="SAPBEXHLevel0 2" xfId="97"/>
    <cellStyle name="SAPBEXHLevel0X" xfId="68"/>
    <cellStyle name="SAPBEXHLevel0X 2" xfId="98"/>
    <cellStyle name="SAPBEXHLevel1" xfId="69"/>
    <cellStyle name="SAPBEXHLevel1 2" xfId="99"/>
    <cellStyle name="SAPBEXHLevel1X" xfId="70"/>
    <cellStyle name="SAPBEXHLevel1X 2" xfId="100"/>
    <cellStyle name="SAPBEXHLevel2" xfId="71"/>
    <cellStyle name="SAPBEXHLevel2 2" xfId="101"/>
    <cellStyle name="SAPBEXHLevel2X" xfId="72"/>
    <cellStyle name="SAPBEXHLevel2X 2" xfId="102"/>
    <cellStyle name="SAPBEXHLevel3" xfId="73"/>
    <cellStyle name="SAPBEXHLevel3 2" xfId="103"/>
    <cellStyle name="SAPBEXHLevel3X" xfId="74"/>
    <cellStyle name="SAPBEXHLevel3X 2" xfId="104"/>
    <cellStyle name="SAPBEXchaText" xfId="75"/>
    <cellStyle name="SAPBEXresData" xfId="76"/>
    <cellStyle name="SAPBEXresDataEmph" xfId="77"/>
    <cellStyle name="SAPBEXresItem" xfId="78"/>
    <cellStyle name="SAPBEXresItemX" xfId="79"/>
    <cellStyle name="SAPBEXstdData" xfId="80"/>
    <cellStyle name="SAPBEXstdDataEmph" xfId="81"/>
    <cellStyle name="SAPBEXstdItem" xfId="82"/>
    <cellStyle name="SAPBEXstdItemX" xfId="83"/>
    <cellStyle name="SAPBEXtitle" xfId="84"/>
    <cellStyle name="SAPBEXundefined" xfId="85"/>
    <cellStyle name="Title" xfId="86"/>
    <cellStyle name="Total" xfId="87"/>
    <cellStyle name="Warning Text" xfId="8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na.horvathova/AppData/Local/Microsoft/Windows/Temporary%20Internet%20Files/Content.Outlook/O3GXLZP9/Tab_VS_VV&#352;_za%202017-fin1_Ank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pjs/AppData/Local/Microsoft/Windows/INetCache/Content.Outlook/PUCIFWFU/Tab_VS_VV&#352;_za%202017-fin1_AnkaE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zmeny"/>
      <sheetName val="Vysvetlivky"/>
      <sheetName val="Súvzťažnosti"/>
      <sheetName val="Kódy z CRŠ"/>
      <sheetName val="T1-Dotácie podľa DZ"/>
      <sheetName val="T2-Ostatné dot mimo MŠ SR"/>
      <sheetName val="T3-Výnosy"/>
      <sheetName val="T4-Výnosy zo školného"/>
      <sheetName val="T5 - Analýza nákladov"/>
      <sheetName val="T6-Zamestnanci_a_mzdy"/>
      <sheetName val="T6a-Zamestnanci_a_mzdy (ženy)"/>
      <sheetName val="T7_Doktorandi "/>
      <sheetName val="T7_Doktorandi-pôv "/>
      <sheetName val="T8-Soc_štipendiá"/>
      <sheetName val="T9_ŠD "/>
      <sheetName val="T10-ŠJ "/>
      <sheetName val="T11-Zdroje KV"/>
      <sheetName val="T12-KV"/>
      <sheetName val="T13-Fondy"/>
      <sheetName val="T16 - Štruktúra hotovosti"/>
      <sheetName val="T17-Dotácie zo ŠF EU"/>
      <sheetName val="T18-Ostatné dotacie z kap MŠ SR"/>
      <sheetName val="T19-Štip_ z vlastných "/>
      <sheetName val="T20_motivačné štipendiá_nová"/>
      <sheetName val="T21-štruktúra_384"/>
      <sheetName val="T22_Výnosy_soc_oblasť"/>
      <sheetName val="T23_Náklady_soc_oblasť"/>
      <sheetName val="T24__Aktíva"/>
    </sheetNames>
    <sheetDataSet>
      <sheetData sheetId="0"/>
      <sheetData sheetId="1"/>
      <sheetData sheetId="2"/>
      <sheetData sheetId="3"/>
      <sheetData sheetId="4"/>
      <sheetData sheetId="5"/>
      <sheetData sheetId="6"/>
      <sheetData sheetId="7"/>
      <sheetData sheetId="8"/>
      <sheetData sheetId="9">
        <row r="91">
          <cell r="E91">
            <v>1270938.75</v>
          </cell>
        </row>
        <row r="93">
          <cell r="E93">
            <v>4329172.6899999995</v>
          </cell>
        </row>
      </sheetData>
      <sheetData sheetId="10"/>
      <sheetData sheetId="11"/>
      <sheetData sheetId="12"/>
      <sheetData sheetId="13"/>
      <sheetData sheetId="14"/>
      <sheetData sheetId="15"/>
      <sheetData sheetId="16"/>
      <sheetData sheetId="17">
        <row r="15">
          <cell r="D15">
            <v>319272</v>
          </cell>
        </row>
        <row r="16">
          <cell r="D16">
            <v>7401030.2400000002</v>
          </cell>
        </row>
      </sheetData>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zmeny"/>
      <sheetName val="Vysvetlivky"/>
      <sheetName val="Súvzťažnosti"/>
      <sheetName val="Kódy z CRŠ"/>
      <sheetName val="T1-Dotácie podľa DZ"/>
      <sheetName val="T2-Ostatné dot mimo MŠ SR"/>
      <sheetName val="T3-Výnosy"/>
      <sheetName val="T4-Výnosy zo školného"/>
      <sheetName val="T5 - Analýza nákladov"/>
      <sheetName val="T6-Zamestnanci_a_mzdy"/>
      <sheetName val="T6a-Zamestnanci_a_mzdy (ženy)"/>
      <sheetName val="T7_Doktorandi "/>
      <sheetName val="T7_Doktorandi-pôv "/>
      <sheetName val="T8-Soc_štipendiá"/>
      <sheetName val="T9_ŠD "/>
      <sheetName val="T10-ŠJ "/>
      <sheetName val="T11-Zdroje KV"/>
      <sheetName val="T12-KV"/>
      <sheetName val="T13-Fondy"/>
      <sheetName val="T16 - Štruktúra hotovosti"/>
      <sheetName val="T17-Dotácie zo ŠF EU"/>
      <sheetName val="T18-Ostatné dotacie z kap MŠ SR"/>
      <sheetName val="T19-Štip_ z vlastných "/>
      <sheetName val="T20_motivačné štipendiá_nová"/>
      <sheetName val="T21-štruktúra_384"/>
      <sheetName val="T22_Výnosy_soc_oblasť"/>
      <sheetName val="T23_Náklady_soc_oblasť"/>
      <sheetName val="T24__Aktív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42">
          <cell r="D42">
            <v>1730410.9599999997</v>
          </cell>
          <cell r="E42">
            <v>1899068.68</v>
          </cell>
          <cell r="F42">
            <v>168657.72000000006</v>
          </cell>
        </row>
      </sheetData>
      <sheetData sheetId="28"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tabColor indexed="42"/>
    <pageSetUpPr fitToPage="1"/>
  </sheetPr>
  <dimension ref="A1:E23"/>
  <sheetViews>
    <sheetView zoomScaleNormal="100" workbookViewId="0">
      <pane xSplit="2" ySplit="4" topLeftCell="C5" activePane="bottomRight" state="frozen"/>
      <selection pane="topRight" activeCell="C1" sqref="C1"/>
      <selection pane="bottomLeft" activeCell="A5" sqref="A5"/>
      <selection pane="bottomRight" activeCell="B5" sqref="B5"/>
    </sheetView>
  </sheetViews>
  <sheetFormatPr defaultRowHeight="15.75" x14ac:dyDescent="0.2"/>
  <cols>
    <col min="1" max="1" width="9.140625" style="144" customWidth="1"/>
    <col min="2" max="2" width="77.85546875" style="145" customWidth="1"/>
    <col min="3" max="5" width="17.42578125" style="22" customWidth="1"/>
    <col min="6" max="6" width="12.42578125" style="22" customWidth="1"/>
    <col min="7" max="16384" width="9.140625" style="22"/>
  </cols>
  <sheetData>
    <row r="1" spans="1:5" s="134" customFormat="1" ht="87" customHeight="1" thickBot="1" x14ac:dyDescent="0.25">
      <c r="A1" s="464" t="s">
        <v>703</v>
      </c>
      <c r="B1" s="465"/>
      <c r="C1" s="465"/>
      <c r="D1" s="465"/>
      <c r="E1" s="466"/>
    </row>
    <row r="2" spans="1:5" s="134" customFormat="1" ht="35.1" customHeight="1" x14ac:dyDescent="0.2">
      <c r="A2" s="467" t="s">
        <v>788</v>
      </c>
      <c r="B2" s="468"/>
      <c r="C2" s="468"/>
      <c r="D2" s="468"/>
      <c r="E2" s="469"/>
    </row>
    <row r="3" spans="1:5" ht="43.5" customHeight="1" x14ac:dyDescent="0.2">
      <c r="A3" s="28" t="s">
        <v>134</v>
      </c>
      <c r="B3" s="126" t="s">
        <v>133</v>
      </c>
      <c r="C3" s="129" t="s">
        <v>193</v>
      </c>
      <c r="D3" s="129" t="s">
        <v>194</v>
      </c>
      <c r="E3" s="6" t="s">
        <v>137</v>
      </c>
    </row>
    <row r="4" spans="1:5" ht="17.25" customHeight="1" x14ac:dyDescent="0.2">
      <c r="A4" s="7"/>
      <c r="B4" s="10"/>
      <c r="C4" s="2" t="s">
        <v>178</v>
      </c>
      <c r="D4" s="2" t="s">
        <v>179</v>
      </c>
      <c r="E4" s="3" t="s">
        <v>13</v>
      </c>
    </row>
    <row r="5" spans="1:5" x14ac:dyDescent="0.2">
      <c r="A5" s="7">
        <v>1</v>
      </c>
      <c r="B5" s="10" t="s">
        <v>235</v>
      </c>
      <c r="C5" s="135">
        <f>C6</f>
        <v>17335374</v>
      </c>
      <c r="D5" s="135">
        <f>D6</f>
        <v>150000</v>
      </c>
      <c r="E5" s="101">
        <f t="shared" ref="E5:E6" si="0">SUM(C5:D5)</f>
        <v>17485374</v>
      </c>
    </row>
    <row r="6" spans="1:5" x14ac:dyDescent="0.2">
      <c r="A6" s="7">
        <f>A5+1</f>
        <v>2</v>
      </c>
      <c r="B6" s="9" t="s">
        <v>163</v>
      </c>
      <c r="C6" s="97">
        <v>17335374</v>
      </c>
      <c r="D6" s="97">
        <v>150000</v>
      </c>
      <c r="E6" s="101">
        <f t="shared" si="0"/>
        <v>17485374</v>
      </c>
    </row>
    <row r="7" spans="1:5" ht="15.75" customHeight="1" x14ac:dyDescent="0.2">
      <c r="A7" s="7">
        <f>A6+1</f>
        <v>3</v>
      </c>
      <c r="B7" s="10" t="s">
        <v>236</v>
      </c>
      <c r="C7" s="135">
        <f>SUM(C8:C12)</f>
        <v>11545462</v>
      </c>
      <c r="D7" s="135">
        <f>SUM(D8:D12)</f>
        <v>0</v>
      </c>
      <c r="E7" s="101">
        <f>SUM(C7:D7)</f>
        <v>11545462</v>
      </c>
    </row>
    <row r="8" spans="1:5" x14ac:dyDescent="0.2">
      <c r="A8" s="7">
        <f t="shared" ref="A8:A19" si="1">A7+1</f>
        <v>4</v>
      </c>
      <c r="B8" s="9" t="s">
        <v>164</v>
      </c>
      <c r="C8" s="97">
        <v>10452964</v>
      </c>
      <c r="D8" s="136" t="s">
        <v>200</v>
      </c>
      <c r="E8" s="101">
        <f t="shared" ref="E8:E19" si="2">SUM(C8:D8)</f>
        <v>10452964</v>
      </c>
    </row>
    <row r="9" spans="1:5" x14ac:dyDescent="0.2">
      <c r="A9" s="7">
        <f t="shared" si="1"/>
        <v>5</v>
      </c>
      <c r="B9" s="9" t="s">
        <v>165</v>
      </c>
      <c r="C9" s="97">
        <v>904670</v>
      </c>
      <c r="D9" s="136" t="s">
        <v>200</v>
      </c>
      <c r="E9" s="101">
        <f t="shared" si="2"/>
        <v>904670</v>
      </c>
    </row>
    <row r="10" spans="1:5" x14ac:dyDescent="0.2">
      <c r="A10" s="7">
        <f t="shared" si="1"/>
        <v>6</v>
      </c>
      <c r="B10" s="9" t="s">
        <v>166</v>
      </c>
      <c r="C10" s="136" t="s">
        <v>200</v>
      </c>
      <c r="D10" s="136" t="s">
        <v>200</v>
      </c>
      <c r="E10" s="101">
        <f t="shared" si="2"/>
        <v>0</v>
      </c>
    </row>
    <row r="11" spans="1:5" x14ac:dyDescent="0.2">
      <c r="A11" s="7">
        <f t="shared" si="1"/>
        <v>7</v>
      </c>
      <c r="B11" s="9" t="s">
        <v>167</v>
      </c>
      <c r="C11" s="136" t="s">
        <v>200</v>
      </c>
      <c r="D11" s="136" t="s">
        <v>200</v>
      </c>
      <c r="E11" s="101">
        <f t="shared" si="2"/>
        <v>0</v>
      </c>
    </row>
    <row r="12" spans="1:5" x14ac:dyDescent="0.2">
      <c r="A12" s="7">
        <f t="shared" si="1"/>
        <v>8</v>
      </c>
      <c r="B12" s="9" t="s">
        <v>94</v>
      </c>
      <c r="C12" s="97">
        <v>187828</v>
      </c>
      <c r="D12" s="136" t="s">
        <v>200</v>
      </c>
      <c r="E12" s="101">
        <f t="shared" si="2"/>
        <v>187828</v>
      </c>
    </row>
    <row r="13" spans="1:5" ht="15.75" customHeight="1" x14ac:dyDescent="0.2">
      <c r="A13" s="7">
        <f t="shared" si="1"/>
        <v>9</v>
      </c>
      <c r="B13" s="10" t="s">
        <v>237</v>
      </c>
      <c r="C13" s="135">
        <f>C14</f>
        <v>267300</v>
      </c>
      <c r="D13" s="135">
        <f>D14</f>
        <v>169272</v>
      </c>
      <c r="E13" s="101">
        <f t="shared" si="2"/>
        <v>436572</v>
      </c>
    </row>
    <row r="14" spans="1:5" x14ac:dyDescent="0.2">
      <c r="A14" s="7">
        <f t="shared" si="1"/>
        <v>10</v>
      </c>
      <c r="B14" s="9" t="s">
        <v>95</v>
      </c>
      <c r="C14" s="97">
        <v>267300</v>
      </c>
      <c r="D14" s="97">
        <v>169272</v>
      </c>
      <c r="E14" s="101">
        <f t="shared" si="2"/>
        <v>436572</v>
      </c>
    </row>
    <row r="15" spans="1:5" x14ac:dyDescent="0.2">
      <c r="A15" s="7">
        <f t="shared" si="1"/>
        <v>11</v>
      </c>
      <c r="B15" s="10" t="s">
        <v>238</v>
      </c>
      <c r="C15" s="135">
        <f>SUM(C16:C18)</f>
        <v>2138978</v>
      </c>
      <c r="D15" s="135">
        <f>SUM(D16:D18)</f>
        <v>0</v>
      </c>
      <c r="E15" s="101">
        <f t="shared" si="2"/>
        <v>2138978</v>
      </c>
    </row>
    <row r="16" spans="1:5" x14ac:dyDescent="0.2">
      <c r="A16" s="7">
        <f t="shared" si="1"/>
        <v>12</v>
      </c>
      <c r="B16" s="9" t="s">
        <v>96</v>
      </c>
      <c r="C16" s="97">
        <v>791989</v>
      </c>
      <c r="D16" s="136" t="s">
        <v>200</v>
      </c>
      <c r="E16" s="101">
        <f t="shared" si="2"/>
        <v>791989</v>
      </c>
    </row>
    <row r="17" spans="1:5" x14ac:dyDescent="0.2">
      <c r="A17" s="7">
        <f t="shared" si="1"/>
        <v>13</v>
      </c>
      <c r="B17" s="9" t="s">
        <v>97</v>
      </c>
      <c r="C17" s="97">
        <v>338751</v>
      </c>
      <c r="D17" s="136" t="s">
        <v>200</v>
      </c>
      <c r="E17" s="101">
        <f t="shared" si="2"/>
        <v>338751</v>
      </c>
    </row>
    <row r="18" spans="1:5" x14ac:dyDescent="0.2">
      <c r="A18" s="7">
        <f t="shared" si="1"/>
        <v>14</v>
      </c>
      <c r="B18" s="9" t="s">
        <v>98</v>
      </c>
      <c r="C18" s="97">
        <v>1008238</v>
      </c>
      <c r="D18" s="136" t="s">
        <v>200</v>
      </c>
      <c r="E18" s="101">
        <f t="shared" si="2"/>
        <v>1008238</v>
      </c>
    </row>
    <row r="19" spans="1:5" ht="16.5" thickBot="1" x14ac:dyDescent="0.25">
      <c r="A19" s="47">
        <f t="shared" si="1"/>
        <v>15</v>
      </c>
      <c r="B19" s="11" t="s">
        <v>239</v>
      </c>
      <c r="C19" s="137">
        <f>C5+C7+C13+C15</f>
        <v>31287114</v>
      </c>
      <c r="D19" s="137">
        <f>D5+D7+D13+D15</f>
        <v>319272</v>
      </c>
      <c r="E19" s="138">
        <f t="shared" si="2"/>
        <v>31606386</v>
      </c>
    </row>
    <row r="20" spans="1:5" x14ac:dyDescent="0.2">
      <c r="A20" s="139"/>
      <c r="B20" s="140"/>
      <c r="C20" s="141"/>
      <c r="D20" s="141"/>
    </row>
    <row r="21" spans="1:5" x14ac:dyDescent="0.2">
      <c r="A21" s="142"/>
      <c r="B21" s="143"/>
    </row>
    <row r="23" spans="1:5" x14ac:dyDescent="0.2">
      <c r="B23" s="145" t="s">
        <v>99</v>
      </c>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tabColor indexed="42"/>
    <pageSetUpPr fitToPage="1"/>
  </sheetPr>
  <dimension ref="A1:H21"/>
  <sheetViews>
    <sheetView workbookViewId="0">
      <pane xSplit="2" ySplit="5" topLeftCell="C6" activePane="bottomRight" state="frozen"/>
      <selection pane="topRight" activeCell="C1" sqref="C1"/>
      <selection pane="bottomLeft" activeCell="A6" sqref="A6"/>
      <selection pane="bottomRight" activeCell="F8" sqref="F8"/>
    </sheetView>
  </sheetViews>
  <sheetFormatPr defaultRowHeight="12.75" x14ac:dyDescent="0.2"/>
  <cols>
    <col min="1" max="1" width="8.28515625" style="274" customWidth="1"/>
    <col min="2" max="2" width="77.7109375" style="274" customWidth="1"/>
    <col min="3" max="3" width="15.85546875" style="274" customWidth="1"/>
    <col min="4" max="6" width="14.7109375" style="274" customWidth="1"/>
    <col min="7" max="16384" width="9.140625" style="274"/>
  </cols>
  <sheetData>
    <row r="1" spans="1:8" ht="50.1" customHeight="1" x14ac:dyDescent="0.2">
      <c r="A1" s="564" t="s">
        <v>713</v>
      </c>
      <c r="B1" s="565"/>
      <c r="C1" s="565"/>
      <c r="D1" s="565"/>
      <c r="E1" s="565"/>
      <c r="F1" s="566"/>
      <c r="H1" s="275"/>
    </row>
    <row r="2" spans="1:8" ht="33" customHeight="1" x14ac:dyDescent="0.2">
      <c r="A2" s="569" t="s">
        <v>868</v>
      </c>
      <c r="B2" s="570"/>
      <c r="C2" s="570"/>
      <c r="D2" s="570"/>
      <c r="E2" s="570"/>
      <c r="F2" s="571"/>
    </row>
    <row r="3" spans="1:8" ht="18.75" customHeight="1" x14ac:dyDescent="0.2">
      <c r="A3" s="556" t="s">
        <v>134</v>
      </c>
      <c r="B3" s="524" t="s">
        <v>213</v>
      </c>
      <c r="C3" s="521" t="s">
        <v>584</v>
      </c>
      <c r="D3" s="521"/>
      <c r="E3" s="521" t="s">
        <v>231</v>
      </c>
      <c r="F3" s="568"/>
    </row>
    <row r="4" spans="1:8" ht="18.75" customHeight="1" x14ac:dyDescent="0.2">
      <c r="A4" s="567"/>
      <c r="B4" s="524"/>
      <c r="C4" s="5">
        <v>2016</v>
      </c>
      <c r="D4" s="5">
        <v>2017</v>
      </c>
      <c r="E4" s="129">
        <v>2016</v>
      </c>
      <c r="F4" s="130">
        <v>2017</v>
      </c>
    </row>
    <row r="5" spans="1:8" ht="15.75" x14ac:dyDescent="0.2">
      <c r="A5" s="7"/>
      <c r="B5" s="45"/>
      <c r="C5" s="1" t="s">
        <v>178</v>
      </c>
      <c r="D5" s="1" t="s">
        <v>179</v>
      </c>
      <c r="E5" s="1" t="s">
        <v>180</v>
      </c>
      <c r="F5" s="16" t="s">
        <v>186</v>
      </c>
    </row>
    <row r="6" spans="1:8" ht="31.5" x14ac:dyDescent="0.2">
      <c r="A6" s="7">
        <v>1</v>
      </c>
      <c r="B6" s="10" t="s">
        <v>551</v>
      </c>
      <c r="C6" s="276" t="s">
        <v>200</v>
      </c>
      <c r="D6" s="276" t="s">
        <v>200</v>
      </c>
      <c r="E6" s="277">
        <v>1951</v>
      </c>
      <c r="F6" s="278">
        <v>1951</v>
      </c>
    </row>
    <row r="7" spans="1:8" ht="37.5" x14ac:dyDescent="0.2">
      <c r="A7" s="7">
        <f>A6+1</f>
        <v>2</v>
      </c>
      <c r="B7" s="10" t="s">
        <v>224</v>
      </c>
      <c r="C7" s="276" t="s">
        <v>200</v>
      </c>
      <c r="D7" s="276" t="s">
        <v>200</v>
      </c>
      <c r="E7" s="277">
        <v>18666</v>
      </c>
      <c r="F7" s="278">
        <v>18400</v>
      </c>
    </row>
    <row r="8" spans="1:8" ht="15.75" x14ac:dyDescent="0.2">
      <c r="A8" s="7">
        <v>3</v>
      </c>
      <c r="B8" s="14" t="s">
        <v>168</v>
      </c>
      <c r="C8" s="276" t="s">
        <v>200</v>
      </c>
      <c r="D8" s="276" t="s">
        <v>200</v>
      </c>
      <c r="E8" s="149">
        <f>E7/12</f>
        <v>1555.5</v>
      </c>
      <c r="F8" s="150">
        <f>F7/12</f>
        <v>1533.3333333333333</v>
      </c>
    </row>
    <row r="9" spans="1:8" ht="31.5" x14ac:dyDescent="0.2">
      <c r="A9" s="7">
        <f t="shared" ref="A9:A18" si="0">A8+1</f>
        <v>4</v>
      </c>
      <c r="B9" s="10" t="s">
        <v>234</v>
      </c>
      <c r="C9" s="97">
        <v>809640.42</v>
      </c>
      <c r="D9" s="199">
        <f>863555.93-D10</f>
        <v>836967.93</v>
      </c>
      <c r="E9" s="276" t="s">
        <v>200</v>
      </c>
      <c r="F9" s="279" t="s">
        <v>200</v>
      </c>
    </row>
    <row r="10" spans="1:8" ht="31.5" x14ac:dyDescent="0.2">
      <c r="A10" s="7">
        <f t="shared" si="0"/>
        <v>5</v>
      </c>
      <c r="B10" s="10" t="s">
        <v>241</v>
      </c>
      <c r="C10" s="97">
        <v>33340</v>
      </c>
      <c r="D10" s="97">
        <v>26588</v>
      </c>
      <c r="E10" s="12">
        <v>478</v>
      </c>
      <c r="F10" s="280">
        <v>385</v>
      </c>
    </row>
    <row r="11" spans="1:8" ht="31.5" x14ac:dyDescent="0.2">
      <c r="A11" s="7">
        <f t="shared" si="0"/>
        <v>6</v>
      </c>
      <c r="B11" s="58" t="s">
        <v>737</v>
      </c>
      <c r="C11" s="154">
        <v>771373</v>
      </c>
      <c r="D11" s="154">
        <v>777976</v>
      </c>
      <c r="E11" s="276" t="s">
        <v>200</v>
      </c>
      <c r="F11" s="279" t="s">
        <v>200</v>
      </c>
    </row>
    <row r="12" spans="1:8" ht="15.75" x14ac:dyDescent="0.2">
      <c r="A12" s="7">
        <f t="shared" si="0"/>
        <v>7</v>
      </c>
      <c r="B12" s="10" t="s">
        <v>232</v>
      </c>
      <c r="C12" s="97">
        <v>14415.15</v>
      </c>
      <c r="D12" s="97">
        <v>43298.57</v>
      </c>
      <c r="E12" s="276" t="s">
        <v>200</v>
      </c>
      <c r="F12" s="279" t="s">
        <v>200</v>
      </c>
    </row>
    <row r="13" spans="1:8" ht="15.75" x14ac:dyDescent="0.2">
      <c r="A13" s="7">
        <f t="shared" si="0"/>
        <v>8</v>
      </c>
      <c r="B13" s="10" t="s">
        <v>242</v>
      </c>
      <c r="C13" s="152">
        <f>SUM(C9:C12)</f>
        <v>1628768.5699999998</v>
      </c>
      <c r="D13" s="152">
        <f>SUM(D9:D12)</f>
        <v>1684830.5000000002</v>
      </c>
      <c r="E13" s="276" t="s">
        <v>200</v>
      </c>
      <c r="F13" s="279" t="s">
        <v>200</v>
      </c>
    </row>
    <row r="14" spans="1:8" ht="15.75" x14ac:dyDescent="0.2">
      <c r="A14" s="7">
        <f t="shared" si="0"/>
        <v>9</v>
      </c>
      <c r="B14" s="10" t="s">
        <v>243</v>
      </c>
      <c r="C14" s="152">
        <f>C15+C16</f>
        <v>1254111.69</v>
      </c>
      <c r="D14" s="152">
        <f>D15+D16</f>
        <v>1343136.25</v>
      </c>
      <c r="E14" s="276" t="s">
        <v>200</v>
      </c>
      <c r="F14" s="279" t="s">
        <v>200</v>
      </c>
    </row>
    <row r="15" spans="1:8" ht="15.75" x14ac:dyDescent="0.2">
      <c r="A15" s="7">
        <f t="shared" si="0"/>
        <v>10</v>
      </c>
      <c r="B15" s="9" t="s">
        <v>25</v>
      </c>
      <c r="C15" s="97">
        <v>536895.73</v>
      </c>
      <c r="D15" s="97">
        <v>636213.81000000006</v>
      </c>
      <c r="E15" s="276" t="s">
        <v>200</v>
      </c>
      <c r="F15" s="279" t="s">
        <v>200</v>
      </c>
    </row>
    <row r="16" spans="1:8" ht="15.75" x14ac:dyDescent="0.2">
      <c r="A16" s="7">
        <f t="shared" si="0"/>
        <v>11</v>
      </c>
      <c r="B16" s="9" t="s">
        <v>26</v>
      </c>
      <c r="C16" s="97">
        <v>717215.96</v>
      </c>
      <c r="D16" s="97">
        <v>706922.44</v>
      </c>
      <c r="E16" s="276" t="s">
        <v>200</v>
      </c>
      <c r="F16" s="279" t="s">
        <v>200</v>
      </c>
    </row>
    <row r="17" spans="1:6" ht="31.5" x14ac:dyDescent="0.2">
      <c r="A17" s="7">
        <f t="shared" si="0"/>
        <v>12</v>
      </c>
      <c r="B17" s="10" t="s">
        <v>244</v>
      </c>
      <c r="C17" s="152">
        <f>+C13-C14</f>
        <v>374656.87999999989</v>
      </c>
      <c r="D17" s="152">
        <f>+D13-D14</f>
        <v>341694.25000000023</v>
      </c>
      <c r="E17" s="276" t="s">
        <v>200</v>
      </c>
      <c r="F17" s="279" t="s">
        <v>200</v>
      </c>
    </row>
    <row r="18" spans="1:6" ht="16.5" thickBot="1" x14ac:dyDescent="0.25">
      <c r="A18" s="47">
        <f t="shared" si="0"/>
        <v>13</v>
      </c>
      <c r="B18" s="20" t="s">
        <v>245</v>
      </c>
      <c r="C18" s="175">
        <f>IF(E8=0,0,C14/E8)</f>
        <v>806.2434522661523</v>
      </c>
      <c r="D18" s="175">
        <f>IF(F8=0,0,D14/F8)</f>
        <v>875.95842391304348</v>
      </c>
      <c r="E18" s="281" t="s">
        <v>200</v>
      </c>
      <c r="F18" s="282" t="s">
        <v>200</v>
      </c>
    </row>
    <row r="20" spans="1:6" ht="15" x14ac:dyDescent="0.2">
      <c r="A20" s="541" t="s">
        <v>233</v>
      </c>
      <c r="B20" s="542"/>
      <c r="C20" s="542"/>
      <c r="D20" s="542"/>
      <c r="E20" s="542"/>
      <c r="F20" s="543"/>
    </row>
    <row r="21" spans="1:6" ht="35.25" customHeight="1" x14ac:dyDescent="0.2">
      <c r="A21" s="561" t="s">
        <v>40</v>
      </c>
      <c r="B21" s="562"/>
      <c r="C21" s="562"/>
      <c r="D21" s="562"/>
      <c r="E21" s="562"/>
      <c r="F21" s="563"/>
    </row>
  </sheetData>
  <mergeCells count="8">
    <mergeCell ref="A21:F21"/>
    <mergeCell ref="A1:F1"/>
    <mergeCell ref="A3:A4"/>
    <mergeCell ref="B3:B4"/>
    <mergeCell ref="C3:D3"/>
    <mergeCell ref="E3:F3"/>
    <mergeCell ref="A2:F2"/>
    <mergeCell ref="A20:F20"/>
  </mergeCells>
  <phoneticPr fontId="6" type="noConversion"/>
  <pageMargins left="0.66" right="0.45" top="0.98425196850393704" bottom="0.77" header="0.51181102362204722" footer="0.51181102362204722"/>
  <pageSetup paperSize="9" scale="9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F29"/>
  <sheetViews>
    <sheetView zoomScaleNormal="100" workbookViewId="0">
      <pane xSplit="2" ySplit="4" topLeftCell="C5" activePane="bottomRight" state="frozen"/>
      <selection pane="topRight" activeCell="C1" sqref="C1"/>
      <selection pane="bottomLeft" activeCell="A5" sqref="A5"/>
      <selection pane="bottomRight" activeCell="H7" sqref="H7"/>
    </sheetView>
  </sheetViews>
  <sheetFormatPr defaultRowHeight="15.75" x14ac:dyDescent="0.25"/>
  <cols>
    <col min="1" max="1" width="8.140625" style="108" customWidth="1"/>
    <col min="2" max="2" width="88" style="303" customWidth="1"/>
    <col min="3" max="3" width="18.7109375" style="108" customWidth="1"/>
    <col min="4" max="4" width="18.5703125" style="108" customWidth="1"/>
    <col min="5" max="5" width="11.42578125" style="107" customWidth="1"/>
    <col min="6" max="16384" width="9.140625" style="108"/>
  </cols>
  <sheetData>
    <row r="1" spans="1:6" ht="50.1" customHeight="1" thickBot="1" x14ac:dyDescent="0.3">
      <c r="A1" s="580" t="s">
        <v>838</v>
      </c>
      <c r="B1" s="581"/>
      <c r="C1" s="581"/>
      <c r="D1" s="582"/>
      <c r="E1" s="283"/>
    </row>
    <row r="2" spans="1:6" ht="29.25" customHeight="1" x14ac:dyDescent="0.25">
      <c r="A2" s="583" t="s">
        <v>869</v>
      </c>
      <c r="B2" s="584"/>
      <c r="C2" s="584"/>
      <c r="D2" s="585"/>
    </row>
    <row r="3" spans="1:6" ht="33" customHeight="1" x14ac:dyDescent="0.25">
      <c r="A3" s="284" t="s">
        <v>134</v>
      </c>
      <c r="B3" s="285" t="s">
        <v>213</v>
      </c>
      <c r="C3" s="286">
        <v>2016</v>
      </c>
      <c r="D3" s="287">
        <v>2017</v>
      </c>
    </row>
    <row r="4" spans="1:6" x14ac:dyDescent="0.25">
      <c r="A4" s="288"/>
      <c r="B4" s="289"/>
      <c r="C4" s="103" t="s">
        <v>178</v>
      </c>
      <c r="D4" s="104" t="s">
        <v>179</v>
      </c>
    </row>
    <row r="5" spans="1:6" ht="18.75" x14ac:dyDescent="0.25">
      <c r="A5" s="110">
        <v>1</v>
      </c>
      <c r="B5" s="290" t="s">
        <v>839</v>
      </c>
      <c r="C5" s="291">
        <f>+C6+C9</f>
        <v>387300.72</v>
      </c>
      <c r="D5" s="292">
        <f>D6+D9</f>
        <v>436850.8</v>
      </c>
    </row>
    <row r="6" spans="1:6" ht="18.75" customHeight="1" x14ac:dyDescent="0.25">
      <c r="A6" s="110">
        <f t="shared" ref="A6:A13" si="0">A5+1</f>
        <v>2</v>
      </c>
      <c r="B6" s="290" t="s">
        <v>840</v>
      </c>
      <c r="C6" s="291">
        <f>+C7+C8</f>
        <v>233480.72</v>
      </c>
      <c r="D6" s="292">
        <f>+D7+D8</f>
        <v>259240.8</v>
      </c>
    </row>
    <row r="7" spans="1:6" x14ac:dyDescent="0.25">
      <c r="A7" s="110">
        <f t="shared" si="0"/>
        <v>3</v>
      </c>
      <c r="B7" s="109" t="s">
        <v>841</v>
      </c>
      <c r="C7" s="105">
        <v>233480.72</v>
      </c>
      <c r="D7" s="106">
        <v>255396.56</v>
      </c>
    </row>
    <row r="8" spans="1:6" x14ac:dyDescent="0.25">
      <c r="A8" s="110">
        <f t="shared" si="0"/>
        <v>4</v>
      </c>
      <c r="B8" s="109" t="s">
        <v>842</v>
      </c>
      <c r="C8" s="105"/>
      <c r="D8" s="106">
        <v>3844.24</v>
      </c>
    </row>
    <row r="9" spans="1:6" x14ac:dyDescent="0.25">
      <c r="A9" s="110">
        <f t="shared" si="0"/>
        <v>5</v>
      </c>
      <c r="B9" s="290" t="s">
        <v>843</v>
      </c>
      <c r="C9" s="105">
        <f>+C10+C11-C12</f>
        <v>153820</v>
      </c>
      <c r="D9" s="106">
        <f>+D10+D11-D12</f>
        <v>177610</v>
      </c>
    </row>
    <row r="10" spans="1:6" ht="19.5" customHeight="1" x14ac:dyDescent="0.25">
      <c r="A10" s="110">
        <f t="shared" si="0"/>
        <v>6</v>
      </c>
      <c r="B10" s="109" t="s">
        <v>844</v>
      </c>
      <c r="C10" s="105">
        <v>34979.21</v>
      </c>
      <c r="D10" s="106">
        <f>C12</f>
        <v>73292.209999999992</v>
      </c>
      <c r="E10" s="572"/>
      <c r="F10" s="573"/>
    </row>
    <row r="11" spans="1:6" x14ac:dyDescent="0.25">
      <c r="A11" s="110">
        <f t="shared" si="0"/>
        <v>7</v>
      </c>
      <c r="B11" s="109" t="s">
        <v>845</v>
      </c>
      <c r="C11" s="105">
        <v>192133</v>
      </c>
      <c r="D11" s="106">
        <v>200076</v>
      </c>
    </row>
    <row r="12" spans="1:6" x14ac:dyDescent="0.25">
      <c r="A12" s="110">
        <f t="shared" si="0"/>
        <v>8</v>
      </c>
      <c r="B12" s="109" t="s">
        <v>846</v>
      </c>
      <c r="C12" s="105">
        <f>C10+C11-C20</f>
        <v>73292.209999999992</v>
      </c>
      <c r="D12" s="106">
        <f>D10+D11-D20</f>
        <v>95758.209999999963</v>
      </c>
    </row>
    <row r="13" spans="1:6" ht="30" customHeight="1" x14ac:dyDescent="0.25">
      <c r="A13" s="110">
        <f t="shared" si="0"/>
        <v>9</v>
      </c>
      <c r="B13" s="290" t="s">
        <v>847</v>
      </c>
      <c r="C13" s="291">
        <v>396965.97</v>
      </c>
      <c r="D13" s="292">
        <v>457733.6</v>
      </c>
    </row>
    <row r="14" spans="1:6" x14ac:dyDescent="0.25">
      <c r="A14" s="110"/>
      <c r="B14" s="293" t="s">
        <v>192</v>
      </c>
      <c r="C14" s="105"/>
      <c r="D14" s="106"/>
    </row>
    <row r="15" spans="1:6" ht="18.75" x14ac:dyDescent="0.25">
      <c r="A15" s="110">
        <f>A13+1</f>
        <v>10</v>
      </c>
      <c r="B15" s="109" t="s">
        <v>848</v>
      </c>
      <c r="C15" s="105">
        <v>396965.97</v>
      </c>
      <c r="D15" s="106">
        <v>457733.6</v>
      </c>
    </row>
    <row r="16" spans="1:6" ht="30.75" customHeight="1" x14ac:dyDescent="0.25">
      <c r="A16" s="110">
        <f t="shared" ref="A16:A21" si="1">+A15+1</f>
        <v>11</v>
      </c>
      <c r="B16" s="290" t="s">
        <v>849</v>
      </c>
      <c r="C16" s="291">
        <f>C5-C13</f>
        <v>-9665.25</v>
      </c>
      <c r="D16" s="292">
        <f>D5-D13</f>
        <v>-20882.799999999988</v>
      </c>
    </row>
    <row r="17" spans="1:5" ht="18.75" x14ac:dyDescent="0.25">
      <c r="A17" s="110">
        <f t="shared" si="1"/>
        <v>12</v>
      </c>
      <c r="B17" s="290" t="s">
        <v>850</v>
      </c>
      <c r="C17" s="291">
        <f>C18+C19</f>
        <v>153820</v>
      </c>
      <c r="D17" s="292">
        <f>D18+D19</f>
        <v>177610</v>
      </c>
    </row>
    <row r="18" spans="1:5" x14ac:dyDescent="0.25">
      <c r="A18" s="110">
        <f t="shared" si="1"/>
        <v>13</v>
      </c>
      <c r="B18" s="293" t="s">
        <v>851</v>
      </c>
      <c r="C18" s="294">
        <v>153820</v>
      </c>
      <c r="D18" s="295">
        <v>177610</v>
      </c>
    </row>
    <row r="19" spans="1:5" ht="18.75" x14ac:dyDescent="0.25">
      <c r="A19" s="110">
        <f>+A18+1</f>
        <v>14</v>
      </c>
      <c r="B19" s="293" t="s">
        <v>852</v>
      </c>
      <c r="C19" s="291"/>
      <c r="D19" s="296"/>
    </row>
    <row r="20" spans="1:5" x14ac:dyDescent="0.25">
      <c r="A20" s="110">
        <f>+A19+1</f>
        <v>15</v>
      </c>
      <c r="B20" s="290" t="s">
        <v>853</v>
      </c>
      <c r="C20" s="291">
        <f>(C18*1+C19*1)</f>
        <v>153820</v>
      </c>
      <c r="D20" s="292">
        <f>(D18*1+D19*1)</f>
        <v>177610</v>
      </c>
    </row>
    <row r="21" spans="1:5" ht="15" customHeight="1" thickBot="1" x14ac:dyDescent="0.3">
      <c r="A21" s="111">
        <f t="shared" si="1"/>
        <v>16</v>
      </c>
      <c r="B21" s="297" t="s">
        <v>854</v>
      </c>
      <c r="C21" s="298">
        <f>IF(C18=0,0,C15/C18)</f>
        <v>2.5807175269795866</v>
      </c>
      <c r="D21" s="299">
        <f>IF(D18=0,0,D15/D18)</f>
        <v>2.5771837171330443</v>
      </c>
    </row>
    <row r="22" spans="1:5" x14ac:dyDescent="0.25">
      <c r="A22" s="112"/>
      <c r="B22" s="113"/>
      <c r="C22" s="114"/>
      <c r="D22" s="114"/>
    </row>
    <row r="23" spans="1:5" s="301" customFormat="1" x14ac:dyDescent="0.25">
      <c r="A23" s="586" t="s">
        <v>855</v>
      </c>
      <c r="B23" s="587"/>
      <c r="C23" s="587"/>
      <c r="D23" s="588"/>
      <c r="E23" s="300"/>
    </row>
    <row r="24" spans="1:5" s="301" customFormat="1" x14ac:dyDescent="0.25">
      <c r="A24" s="574" t="s">
        <v>856</v>
      </c>
      <c r="B24" s="575"/>
      <c r="C24" s="575"/>
      <c r="D24" s="576"/>
      <c r="E24" s="300"/>
    </row>
    <row r="25" spans="1:5" s="301" customFormat="1" x14ac:dyDescent="0.25">
      <c r="A25" s="574" t="s">
        <v>857</v>
      </c>
      <c r="B25" s="575"/>
      <c r="C25" s="575"/>
      <c r="D25" s="576"/>
      <c r="E25" s="300"/>
    </row>
    <row r="26" spans="1:5" s="301" customFormat="1" x14ac:dyDescent="0.25">
      <c r="A26" s="577" t="s">
        <v>858</v>
      </c>
      <c r="B26" s="578"/>
      <c r="C26" s="578"/>
      <c r="D26" s="579"/>
      <c r="E26" s="300"/>
    </row>
    <row r="27" spans="1:5" s="301" customFormat="1" x14ac:dyDescent="0.25">
      <c r="B27" s="302"/>
      <c r="E27" s="300"/>
    </row>
    <row r="28" spans="1:5" s="301" customFormat="1" x14ac:dyDescent="0.25">
      <c r="B28" s="302"/>
      <c r="E28" s="300"/>
    </row>
    <row r="29" spans="1:5" s="301" customFormat="1" x14ac:dyDescent="0.25">
      <c r="B29" s="302"/>
      <c r="E29" s="300"/>
    </row>
  </sheetData>
  <mergeCells count="7">
    <mergeCell ref="E10:F10"/>
    <mergeCell ref="A24:D24"/>
    <mergeCell ref="A25:D25"/>
    <mergeCell ref="A26:D26"/>
    <mergeCell ref="A1:D1"/>
    <mergeCell ref="A2:D2"/>
    <mergeCell ref="A23:D23"/>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tabColor indexed="42"/>
    <pageSetUpPr fitToPage="1"/>
  </sheetPr>
  <dimension ref="A1:I23"/>
  <sheetViews>
    <sheetView workbookViewId="0">
      <pane xSplit="2" ySplit="5" topLeftCell="C6" activePane="bottomRight" state="frozen"/>
      <selection pane="topRight" activeCell="C1" sqref="C1"/>
      <selection pane="bottomLeft" activeCell="A6" sqref="A6"/>
      <selection pane="bottomRight" activeCell="F12" sqref="F12"/>
    </sheetView>
  </sheetViews>
  <sheetFormatPr defaultRowHeight="15.75" x14ac:dyDescent="0.25"/>
  <cols>
    <col min="1" max="1" width="9.140625" style="43"/>
    <col min="2" max="2" width="88.7109375" style="310" customWidth="1"/>
    <col min="3" max="3" width="23.42578125" style="43" customWidth="1"/>
    <col min="4" max="4" width="24.42578125" style="43" customWidth="1"/>
    <col min="5" max="5" width="15.28515625" style="304" bestFit="1" customWidth="1"/>
    <col min="6" max="6" width="9.140625" style="304"/>
    <col min="7" max="16384" width="9.140625" style="43"/>
  </cols>
  <sheetData>
    <row r="1" spans="1:6" ht="50.1" customHeight="1" thickBot="1" x14ac:dyDescent="0.3">
      <c r="A1" s="464" t="s">
        <v>714</v>
      </c>
      <c r="B1" s="589"/>
      <c r="C1" s="589"/>
      <c r="D1" s="590"/>
    </row>
    <row r="2" spans="1:6" ht="27.75" customHeight="1" x14ac:dyDescent="0.25">
      <c r="A2" s="485" t="s">
        <v>869</v>
      </c>
      <c r="B2" s="486"/>
      <c r="C2" s="486"/>
      <c r="D2" s="487"/>
    </row>
    <row r="3" spans="1:6" ht="18.75" customHeight="1" x14ac:dyDescent="0.25">
      <c r="A3" s="488" t="s">
        <v>134</v>
      </c>
      <c r="B3" s="524" t="s">
        <v>213</v>
      </c>
      <c r="C3" s="517" t="s">
        <v>196</v>
      </c>
      <c r="D3" s="591"/>
    </row>
    <row r="4" spans="1:6" s="44" customFormat="1" ht="19.5" customHeight="1" x14ac:dyDescent="0.2">
      <c r="A4" s="488"/>
      <c r="B4" s="524"/>
      <c r="C4" s="129">
        <v>2016</v>
      </c>
      <c r="D4" s="130">
        <v>2017</v>
      </c>
      <c r="E4" s="305"/>
      <c r="F4" s="305"/>
    </row>
    <row r="5" spans="1:6" s="44" customFormat="1" x14ac:dyDescent="0.2">
      <c r="A5" s="7"/>
      <c r="B5" s="306"/>
      <c r="C5" s="129" t="s">
        <v>178</v>
      </c>
      <c r="D5" s="130" t="s">
        <v>179</v>
      </c>
      <c r="E5" s="305"/>
      <c r="F5" s="305"/>
    </row>
    <row r="6" spans="1:6" s="44" customFormat="1" x14ac:dyDescent="0.2">
      <c r="A6" s="24">
        <v>1</v>
      </c>
      <c r="B6" s="63" t="s">
        <v>136</v>
      </c>
      <c r="C6" s="135">
        <v>556078.66</v>
      </c>
      <c r="D6" s="101">
        <v>0</v>
      </c>
      <c r="E6" s="305"/>
      <c r="F6" s="305"/>
    </row>
    <row r="7" spans="1:6" s="44" customFormat="1" x14ac:dyDescent="0.2">
      <c r="A7" s="24">
        <f t="shared" ref="A7:A20" si="0">A6+1</f>
        <v>2</v>
      </c>
      <c r="B7" s="10" t="s">
        <v>103</v>
      </c>
      <c r="C7" s="135">
        <f>SUM(C8:C13)</f>
        <v>1152995.06</v>
      </c>
      <c r="D7" s="101">
        <f>SUM(D8:D13)</f>
        <v>1248313.0900000001</v>
      </c>
      <c r="E7" s="305"/>
      <c r="F7" s="305"/>
    </row>
    <row r="8" spans="1:6" s="44" customFormat="1" ht="18.75" x14ac:dyDescent="0.2">
      <c r="A8" s="24">
        <f t="shared" si="0"/>
        <v>3</v>
      </c>
      <c r="B8" s="62" t="s">
        <v>251</v>
      </c>
      <c r="C8" s="277"/>
      <c r="D8" s="196"/>
      <c r="E8" s="305"/>
      <c r="F8" s="305"/>
    </row>
    <row r="9" spans="1:6" s="44" customFormat="1" x14ac:dyDescent="0.2">
      <c r="A9" s="24">
        <f t="shared" si="0"/>
        <v>4</v>
      </c>
      <c r="B9" s="62" t="s">
        <v>254</v>
      </c>
      <c r="C9" s="154">
        <v>1131005.78</v>
      </c>
      <c r="D9" s="196">
        <v>1248313.0900000001</v>
      </c>
      <c r="E9" s="305"/>
      <c r="F9" s="305"/>
    </row>
    <row r="10" spans="1:6" s="44" customFormat="1" x14ac:dyDescent="0.2">
      <c r="A10" s="24">
        <f t="shared" si="0"/>
        <v>5</v>
      </c>
      <c r="B10" s="62" t="s">
        <v>672</v>
      </c>
      <c r="C10" s="277"/>
      <c r="D10" s="196"/>
      <c r="E10" s="305"/>
      <c r="F10" s="305"/>
    </row>
    <row r="11" spans="1:6" s="44" customFormat="1" x14ac:dyDescent="0.2">
      <c r="A11" s="24">
        <f t="shared" si="0"/>
        <v>6</v>
      </c>
      <c r="B11" s="62" t="s">
        <v>252</v>
      </c>
      <c r="C11" s="154">
        <v>21989.279999999999</v>
      </c>
      <c r="D11" s="196"/>
      <c r="E11" s="305"/>
      <c r="F11" s="305"/>
    </row>
    <row r="12" spans="1:6" s="44" customFormat="1" x14ac:dyDescent="0.2">
      <c r="A12" s="24">
        <f t="shared" si="0"/>
        <v>7</v>
      </c>
      <c r="B12" s="62" t="s">
        <v>253</v>
      </c>
      <c r="C12" s="277"/>
      <c r="D12" s="196"/>
      <c r="E12" s="305"/>
      <c r="F12" s="305"/>
    </row>
    <row r="13" spans="1:6" s="44" customFormat="1" ht="19.5" customHeight="1" x14ac:dyDescent="0.2">
      <c r="A13" s="24">
        <f t="shared" si="0"/>
        <v>8</v>
      </c>
      <c r="B13" s="62" t="s">
        <v>255</v>
      </c>
      <c r="C13" s="154"/>
      <c r="D13" s="196"/>
      <c r="E13" s="305"/>
      <c r="F13" s="305"/>
    </row>
    <row r="14" spans="1:6" s="44" customFormat="1" ht="21.75" customHeight="1" x14ac:dyDescent="0.2">
      <c r="A14" s="24">
        <f t="shared" si="0"/>
        <v>9</v>
      </c>
      <c r="B14" s="10" t="s">
        <v>22</v>
      </c>
      <c r="C14" s="135">
        <f>C6+C7</f>
        <v>1709073.7200000002</v>
      </c>
      <c r="D14" s="101">
        <f>D6+D7</f>
        <v>1248313.0900000001</v>
      </c>
      <c r="E14" s="305"/>
      <c r="F14" s="305"/>
    </row>
    <row r="15" spans="1:6" s="44" customFormat="1" ht="40.5" customHeight="1" x14ac:dyDescent="0.2">
      <c r="A15" s="24">
        <f t="shared" si="0"/>
        <v>10</v>
      </c>
      <c r="B15" s="10" t="s">
        <v>160</v>
      </c>
      <c r="C15" s="135">
        <v>499965</v>
      </c>
      <c r="D15" s="101">
        <v>319272</v>
      </c>
      <c r="E15" s="305"/>
      <c r="F15" s="305"/>
    </row>
    <row r="16" spans="1:6" s="44" customFormat="1" ht="31.5" x14ac:dyDescent="0.2">
      <c r="A16" s="24" t="s">
        <v>557</v>
      </c>
      <c r="B16" s="10" t="s">
        <v>592</v>
      </c>
      <c r="C16" s="135">
        <v>1738565.63</v>
      </c>
      <c r="D16" s="101">
        <v>7401030.2400000002</v>
      </c>
      <c r="E16" s="305"/>
      <c r="F16" s="305"/>
    </row>
    <row r="17" spans="1:9" s="44" customFormat="1" ht="28.5" customHeight="1" x14ac:dyDescent="0.2">
      <c r="A17" s="24">
        <f>A15+1</f>
        <v>11</v>
      </c>
      <c r="B17" s="10" t="s">
        <v>593</v>
      </c>
      <c r="C17" s="135">
        <v>453984.95</v>
      </c>
      <c r="D17" s="101">
        <f>299965+1086.72</f>
        <v>301051.71999999997</v>
      </c>
      <c r="E17" s="305"/>
      <c r="F17" s="305"/>
    </row>
    <row r="18" spans="1:9" s="44" customFormat="1" ht="23.25" customHeight="1" x14ac:dyDescent="0.2">
      <c r="A18" s="24">
        <f t="shared" si="0"/>
        <v>12</v>
      </c>
      <c r="B18" s="10" t="s">
        <v>159</v>
      </c>
      <c r="C18" s="307"/>
      <c r="D18" s="101"/>
      <c r="E18" s="305"/>
      <c r="F18" s="305"/>
    </row>
    <row r="19" spans="1:9" s="44" customFormat="1" ht="33" customHeight="1" x14ac:dyDescent="0.2">
      <c r="A19" s="24">
        <f t="shared" si="0"/>
        <v>13</v>
      </c>
      <c r="B19" s="10" t="s">
        <v>594</v>
      </c>
      <c r="C19" s="135">
        <v>4850436.75</v>
      </c>
      <c r="D19" s="101">
        <v>2274161.7400000002</v>
      </c>
      <c r="E19" s="305"/>
      <c r="F19" s="308"/>
    </row>
    <row r="20" spans="1:9" s="44" customFormat="1" ht="21" customHeight="1" thickBot="1" x14ac:dyDescent="0.25">
      <c r="A20" s="309">
        <f t="shared" si="0"/>
        <v>14</v>
      </c>
      <c r="B20" s="11" t="s">
        <v>42</v>
      </c>
      <c r="C20" s="159">
        <f>SUM(C14:C19)</f>
        <v>9252026.0500000007</v>
      </c>
      <c r="D20" s="138">
        <f>SUM(D14:D19)</f>
        <v>11543828.790000001</v>
      </c>
      <c r="E20" s="305"/>
      <c r="F20" s="305"/>
    </row>
    <row r="21" spans="1:9" ht="9" customHeight="1" x14ac:dyDescent="0.25"/>
    <row r="22" spans="1:9" ht="18" customHeight="1" x14ac:dyDescent="0.25">
      <c r="A22" s="541" t="s">
        <v>46</v>
      </c>
      <c r="B22" s="542"/>
      <c r="C22" s="542"/>
      <c r="D22" s="543"/>
    </row>
    <row r="23" spans="1:9" x14ac:dyDescent="0.25">
      <c r="A23" s="561" t="s">
        <v>7</v>
      </c>
      <c r="B23" s="562"/>
      <c r="C23" s="562"/>
      <c r="D23" s="563"/>
      <c r="E23" s="305"/>
      <c r="F23" s="305"/>
      <c r="G23" s="49"/>
      <c r="H23" s="49"/>
      <c r="I23" s="49"/>
    </row>
  </sheetData>
  <mergeCells count="7">
    <mergeCell ref="A23:D23"/>
    <mergeCell ref="A22:D22"/>
    <mergeCell ref="A1:D1"/>
    <mergeCell ref="A3:A4"/>
    <mergeCell ref="B3:B4"/>
    <mergeCell ref="C3:D3"/>
    <mergeCell ref="A2:D2"/>
  </mergeCells>
  <phoneticPr fontId="0" type="noConversion"/>
  <printOptions gridLines="1"/>
  <pageMargins left="0.74803149606299213" right="0.74803149606299213" top="0.98425196850393704" bottom="0.98425196850393704" header="0.51181102362204722" footer="0.51181102362204722"/>
  <pageSetup paperSize="9"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tabColor indexed="42"/>
    <pageSetUpPr fitToPage="1"/>
  </sheetPr>
  <dimension ref="A1:K82"/>
  <sheetViews>
    <sheetView zoomScaleNormal="100" workbookViewId="0">
      <pane xSplit="2" ySplit="5" topLeftCell="C9" activePane="bottomRight" state="frozen"/>
      <selection pane="topRight" activeCell="C1" sqref="C1"/>
      <selection pane="bottomLeft" activeCell="A6" sqref="A6"/>
      <selection pane="bottomRight" activeCell="H34" sqref="H34"/>
    </sheetView>
  </sheetViews>
  <sheetFormatPr defaultRowHeight="15.75" x14ac:dyDescent="0.25"/>
  <cols>
    <col min="1" max="1" width="7.42578125" style="43" customWidth="1"/>
    <col min="2" max="2" width="51.5703125" style="310" customWidth="1"/>
    <col min="3" max="3" width="17" style="310" customWidth="1"/>
    <col min="4" max="4" width="18.140625" style="43" customWidth="1"/>
    <col min="5" max="5" width="18.5703125" style="43" customWidth="1"/>
    <col min="6" max="6" width="16.28515625" style="43" customWidth="1"/>
    <col min="7" max="7" width="15.28515625" style="43" customWidth="1"/>
    <col min="8" max="8" width="15.7109375" style="43" customWidth="1"/>
    <col min="9" max="9" width="20.140625" style="43" customWidth="1"/>
    <col min="10" max="10" width="9.85546875" style="43" customWidth="1"/>
    <col min="11" max="11" width="14.7109375" style="43" bestFit="1" customWidth="1"/>
    <col min="12" max="16384" width="9.140625" style="43"/>
  </cols>
  <sheetData>
    <row r="1" spans="1:9" ht="35.1" customHeight="1" thickBot="1" x14ac:dyDescent="0.3">
      <c r="A1" s="595" t="s">
        <v>715</v>
      </c>
      <c r="B1" s="596"/>
      <c r="C1" s="596"/>
      <c r="D1" s="596"/>
      <c r="E1" s="596"/>
      <c r="F1" s="596"/>
      <c r="G1" s="596"/>
      <c r="H1" s="596"/>
      <c r="I1" s="597"/>
    </row>
    <row r="2" spans="1:9" ht="35.1" customHeight="1" x14ac:dyDescent="0.25">
      <c r="A2" s="467" t="s">
        <v>869</v>
      </c>
      <c r="B2" s="468"/>
      <c r="C2" s="468"/>
      <c r="D2" s="468"/>
      <c r="E2" s="468"/>
      <c r="F2" s="468"/>
      <c r="G2" s="468"/>
      <c r="H2" s="468"/>
      <c r="I2" s="469"/>
    </row>
    <row r="3" spans="1:9" s="44" customFormat="1" ht="35.25" customHeight="1" x14ac:dyDescent="0.2">
      <c r="A3" s="557" t="s">
        <v>134</v>
      </c>
      <c r="B3" s="490" t="s">
        <v>213</v>
      </c>
      <c r="C3" s="598" t="s">
        <v>716</v>
      </c>
      <c r="D3" s="598" t="s">
        <v>717</v>
      </c>
      <c r="E3" s="490" t="s">
        <v>718</v>
      </c>
      <c r="F3" s="490" t="s">
        <v>113</v>
      </c>
      <c r="G3" s="490" t="s">
        <v>139</v>
      </c>
      <c r="H3" s="490" t="s">
        <v>566</v>
      </c>
      <c r="I3" s="593" t="s">
        <v>140</v>
      </c>
    </row>
    <row r="4" spans="1:9" s="44" customFormat="1" ht="72" customHeight="1" x14ac:dyDescent="0.2">
      <c r="A4" s="488"/>
      <c r="B4" s="524"/>
      <c r="C4" s="599"/>
      <c r="D4" s="599"/>
      <c r="E4" s="524"/>
      <c r="F4" s="524"/>
      <c r="G4" s="524"/>
      <c r="H4" s="524"/>
      <c r="I4" s="594"/>
    </row>
    <row r="5" spans="1:9" s="44" customFormat="1" x14ac:dyDescent="0.2">
      <c r="A5" s="7"/>
      <c r="B5" s="265"/>
      <c r="C5" s="19" t="s">
        <v>178</v>
      </c>
      <c r="D5" s="19" t="s">
        <v>179</v>
      </c>
      <c r="E5" s="1" t="s">
        <v>180</v>
      </c>
      <c r="F5" s="1" t="s">
        <v>186</v>
      </c>
      <c r="G5" s="1" t="s">
        <v>181</v>
      </c>
      <c r="H5" s="1" t="s">
        <v>182</v>
      </c>
      <c r="I5" s="41" t="s">
        <v>558</v>
      </c>
    </row>
    <row r="6" spans="1:9" s="44" customFormat="1" x14ac:dyDescent="0.2">
      <c r="A6" s="7">
        <v>1</v>
      </c>
      <c r="B6" s="17" t="s">
        <v>247</v>
      </c>
      <c r="C6" s="97"/>
      <c r="D6" s="97">
        <v>3346712.25</v>
      </c>
      <c r="E6" s="97">
        <f>E8</f>
        <v>22090</v>
      </c>
      <c r="F6" s="97">
        <v>158137.4</v>
      </c>
      <c r="G6" s="97"/>
      <c r="H6" s="97"/>
      <c r="I6" s="151">
        <f t="shared" ref="I6:I16" si="0">SUM(C6:H6)</f>
        <v>3526939.65</v>
      </c>
    </row>
    <row r="7" spans="1:9" s="44" customFormat="1" x14ac:dyDescent="0.2">
      <c r="A7" s="7"/>
      <c r="B7" s="311" t="s">
        <v>192</v>
      </c>
      <c r="C7" s="97"/>
      <c r="D7" s="97"/>
      <c r="E7" s="97"/>
      <c r="F7" s="97"/>
      <c r="G7" s="97"/>
      <c r="H7" s="97"/>
      <c r="I7" s="151"/>
    </row>
    <row r="8" spans="1:9" s="44" customFormat="1" x14ac:dyDescent="0.2">
      <c r="A8" s="7">
        <v>2</v>
      </c>
      <c r="B8" s="23" t="s">
        <v>23</v>
      </c>
      <c r="C8" s="97"/>
      <c r="D8" s="97">
        <v>1891056.52</v>
      </c>
      <c r="E8" s="97">
        <v>22090</v>
      </c>
      <c r="F8" s="97">
        <v>101503.51</v>
      </c>
      <c r="G8" s="97"/>
      <c r="H8" s="97"/>
      <c r="I8" s="151">
        <f t="shared" si="0"/>
        <v>2014650.03</v>
      </c>
    </row>
    <row r="9" spans="1:9" x14ac:dyDescent="0.25">
      <c r="A9" s="7">
        <v>3</v>
      </c>
      <c r="B9" s="17" t="s">
        <v>177</v>
      </c>
      <c r="C9" s="97"/>
      <c r="D9" s="97"/>
      <c r="E9" s="97"/>
      <c r="F9" s="97"/>
      <c r="G9" s="97"/>
      <c r="H9" s="97"/>
      <c r="I9" s="151">
        <f t="shared" si="0"/>
        <v>0</v>
      </c>
    </row>
    <row r="10" spans="1:9" ht="31.5" x14ac:dyDescent="0.25">
      <c r="A10" s="7">
        <v>4</v>
      </c>
      <c r="B10" s="17" t="s">
        <v>154</v>
      </c>
      <c r="C10" s="152">
        <f t="shared" ref="C10:H10" si="1">SUM(C11:C15)</f>
        <v>166794</v>
      </c>
      <c r="D10" s="152">
        <f t="shared" si="1"/>
        <v>1382029.7</v>
      </c>
      <c r="E10" s="152">
        <f t="shared" si="1"/>
        <v>131899.26</v>
      </c>
      <c r="F10" s="152">
        <f t="shared" si="1"/>
        <v>1203137.72</v>
      </c>
      <c r="G10" s="152">
        <f t="shared" si="1"/>
        <v>0</v>
      </c>
      <c r="H10" s="152">
        <f t="shared" si="1"/>
        <v>19420.05</v>
      </c>
      <c r="I10" s="151">
        <f t="shared" si="0"/>
        <v>2903280.7299999995</v>
      </c>
    </row>
    <row r="11" spans="1:9" x14ac:dyDescent="0.25">
      <c r="A11" s="7">
        <v>5</v>
      </c>
      <c r="B11" s="23" t="s">
        <v>227</v>
      </c>
      <c r="C11" s="97"/>
      <c r="D11" s="97">
        <v>952052.37</v>
      </c>
      <c r="E11" s="97">
        <v>6697.2</v>
      </c>
      <c r="F11" s="97">
        <v>1002160.39</v>
      </c>
      <c r="G11" s="97"/>
      <c r="H11" s="97"/>
      <c r="I11" s="151">
        <f t="shared" si="0"/>
        <v>1960909.96</v>
      </c>
    </row>
    <row r="12" spans="1:9" ht="31.5" x14ac:dyDescent="0.25">
      <c r="A12" s="7">
        <v>6</v>
      </c>
      <c r="B12" s="23" t="s">
        <v>689</v>
      </c>
      <c r="C12" s="97"/>
      <c r="D12" s="97"/>
      <c r="E12" s="97"/>
      <c r="F12" s="97"/>
      <c r="G12" s="97"/>
      <c r="H12" s="97"/>
      <c r="I12" s="151">
        <f t="shared" si="0"/>
        <v>0</v>
      </c>
    </row>
    <row r="13" spans="1:9" x14ac:dyDescent="0.25">
      <c r="A13" s="7">
        <v>7</v>
      </c>
      <c r="B13" s="23" t="s">
        <v>228</v>
      </c>
      <c r="C13" s="97">
        <v>166794</v>
      </c>
      <c r="D13" s="97">
        <v>429977.33</v>
      </c>
      <c r="E13" s="97">
        <v>49185</v>
      </c>
      <c r="F13" s="97">
        <v>5196</v>
      </c>
      <c r="G13" s="97"/>
      <c r="H13" s="97">
        <v>13820.85</v>
      </c>
      <c r="I13" s="151">
        <f t="shared" si="0"/>
        <v>664973.18000000005</v>
      </c>
    </row>
    <row r="14" spans="1:9" ht="31.5" x14ac:dyDescent="0.25">
      <c r="A14" s="7">
        <v>8</v>
      </c>
      <c r="B14" s="23" t="s">
        <v>229</v>
      </c>
      <c r="C14" s="97"/>
      <c r="D14" s="97"/>
      <c r="E14" s="97">
        <v>76017.06</v>
      </c>
      <c r="F14" s="97">
        <v>195781.33</v>
      </c>
      <c r="G14" s="97"/>
      <c r="H14" s="97">
        <v>5599.2</v>
      </c>
      <c r="I14" s="151">
        <f t="shared" si="0"/>
        <v>277397.59000000003</v>
      </c>
    </row>
    <row r="15" spans="1:9" ht="31.5" x14ac:dyDescent="0.25">
      <c r="A15" s="7">
        <v>9</v>
      </c>
      <c r="B15" s="23" t="s">
        <v>230</v>
      </c>
      <c r="C15" s="97"/>
      <c r="D15" s="97"/>
      <c r="E15" s="97"/>
      <c r="F15" s="97"/>
      <c r="G15" s="97"/>
      <c r="H15" s="97"/>
      <c r="I15" s="151">
        <f t="shared" si="0"/>
        <v>0</v>
      </c>
    </row>
    <row r="16" spans="1:9" x14ac:dyDescent="0.25">
      <c r="A16" s="7">
        <v>10</v>
      </c>
      <c r="B16" s="14" t="s">
        <v>116</v>
      </c>
      <c r="C16" s="97"/>
      <c r="D16" s="97"/>
      <c r="E16" s="97"/>
      <c r="F16" s="97">
        <v>35940</v>
      </c>
      <c r="G16" s="97"/>
      <c r="H16" s="97"/>
      <c r="I16" s="151">
        <f t="shared" si="0"/>
        <v>35940</v>
      </c>
    </row>
    <row r="17" spans="1:11" x14ac:dyDescent="0.25">
      <c r="A17" s="7">
        <v>11</v>
      </c>
      <c r="B17" s="17" t="s">
        <v>117</v>
      </c>
      <c r="C17" s="97">
        <v>81600</v>
      </c>
      <c r="D17" s="97"/>
      <c r="E17" s="97">
        <v>11100</v>
      </c>
      <c r="F17" s="97">
        <v>88230</v>
      </c>
      <c r="G17" s="97"/>
      <c r="H17" s="97"/>
      <c r="I17" s="151">
        <f>SUM(C17:H17)</f>
        <v>180930</v>
      </c>
    </row>
    <row r="18" spans="1:11" x14ac:dyDescent="0.25">
      <c r="A18" s="7">
        <v>12</v>
      </c>
      <c r="B18" s="17" t="s">
        <v>189</v>
      </c>
      <c r="C18" s="97">
        <v>209965</v>
      </c>
      <c r="D18" s="97">
        <v>1451264.07</v>
      </c>
      <c r="E18" s="97">
        <f>10063.2+1398920.9</f>
        <v>1408984.0999999999</v>
      </c>
      <c r="F18" s="97">
        <v>782504.22</v>
      </c>
      <c r="G18" s="97"/>
      <c r="H18" s="97"/>
      <c r="I18" s="151">
        <f>SUM(C18:H18)</f>
        <v>3852717.3899999997</v>
      </c>
    </row>
    <row r="19" spans="1:11" x14ac:dyDescent="0.25">
      <c r="A19" s="7">
        <v>13</v>
      </c>
      <c r="B19" s="17" t="s">
        <v>118</v>
      </c>
      <c r="C19" s="97"/>
      <c r="D19" s="97"/>
      <c r="E19" s="97">
        <v>84630.04</v>
      </c>
      <c r="F19" s="97"/>
      <c r="G19" s="97"/>
      <c r="H19" s="97"/>
      <c r="I19" s="151">
        <f>SUM(C19:H19)</f>
        <v>84630.04</v>
      </c>
    </row>
    <row r="20" spans="1:11" x14ac:dyDescent="0.25">
      <c r="A20" s="7">
        <v>14</v>
      </c>
      <c r="B20" s="17" t="s">
        <v>197</v>
      </c>
      <c r="C20" s="97"/>
      <c r="D20" s="97"/>
      <c r="E20" s="97">
        <v>517.79999999999995</v>
      </c>
      <c r="F20" s="97">
        <v>6212.4</v>
      </c>
      <c r="G20" s="97"/>
      <c r="H20" s="97"/>
      <c r="I20" s="151">
        <f>SUM(C20:H20)</f>
        <v>6730.2</v>
      </c>
    </row>
    <row r="21" spans="1:11" ht="48" thickBot="1" x14ac:dyDescent="0.3">
      <c r="A21" s="47">
        <v>15</v>
      </c>
      <c r="B21" s="312" t="s">
        <v>24</v>
      </c>
      <c r="C21" s="313">
        <f t="shared" ref="C21:H21" si="2">+C6+C9+C10+C16+C17+C18+C19+C20</f>
        <v>458359</v>
      </c>
      <c r="D21" s="313">
        <f t="shared" si="2"/>
        <v>6180006.0200000005</v>
      </c>
      <c r="E21" s="313">
        <f t="shared" si="2"/>
        <v>1659221.2</v>
      </c>
      <c r="F21" s="313">
        <f t="shared" si="2"/>
        <v>2274161.7399999998</v>
      </c>
      <c r="G21" s="313">
        <f t="shared" si="2"/>
        <v>0</v>
      </c>
      <c r="H21" s="313">
        <f t="shared" si="2"/>
        <v>19420.05</v>
      </c>
      <c r="I21" s="314">
        <f>SUM(C21:H21)</f>
        <v>10591168.010000002</v>
      </c>
      <c r="K21" s="120"/>
    </row>
    <row r="22" spans="1:11" s="315" customFormat="1" x14ac:dyDescent="0.25">
      <c r="B22" s="316" t="s">
        <v>639</v>
      </c>
      <c r="C22" s="317" t="s">
        <v>200</v>
      </c>
      <c r="D22" s="317" t="s">
        <v>200</v>
      </c>
      <c r="E22" s="317" t="s">
        <v>200</v>
      </c>
      <c r="F22" s="317" t="s">
        <v>200</v>
      </c>
      <c r="G22" s="317" t="s">
        <v>200</v>
      </c>
      <c r="H22" s="317" t="s">
        <v>200</v>
      </c>
      <c r="I22" s="318">
        <v>13820.85</v>
      </c>
      <c r="K22" s="319"/>
    </row>
    <row r="23" spans="1:11" x14ac:dyDescent="0.25">
      <c r="B23" s="592"/>
      <c r="C23" s="592"/>
      <c r="D23" s="592"/>
      <c r="E23" s="592"/>
      <c r="F23" s="592"/>
      <c r="G23" s="592"/>
      <c r="H23" s="592"/>
      <c r="I23" s="592"/>
    </row>
    <row r="24" spans="1:11" x14ac:dyDescent="0.25">
      <c r="B24" s="592" t="s">
        <v>859</v>
      </c>
      <c r="C24" s="592"/>
      <c r="D24" s="592"/>
      <c r="E24" s="592"/>
      <c r="F24" s="592"/>
      <c r="G24" s="592"/>
      <c r="H24" s="592"/>
      <c r="I24" s="592"/>
    </row>
    <row r="25" spans="1:11" x14ac:dyDescent="0.25">
      <c r="B25" s="310" t="s">
        <v>688</v>
      </c>
      <c r="C25" s="320"/>
      <c r="D25" s="320"/>
      <c r="E25" s="320"/>
      <c r="F25" s="320"/>
      <c r="G25" s="320"/>
      <c r="H25" s="320"/>
    </row>
    <row r="26" spans="1:11" x14ac:dyDescent="0.25">
      <c r="C26" s="320"/>
      <c r="D26" s="320"/>
      <c r="E26" s="320"/>
      <c r="F26" s="320"/>
      <c r="G26" s="320"/>
      <c r="H26" s="320"/>
    </row>
    <row r="27" spans="1:11" x14ac:dyDescent="0.25">
      <c r="C27" s="320"/>
      <c r="D27" s="320"/>
      <c r="E27" s="320"/>
      <c r="F27" s="320"/>
      <c r="G27" s="320"/>
      <c r="H27" s="320"/>
    </row>
    <row r="28" spans="1:11" x14ac:dyDescent="0.25">
      <c r="C28" s="320"/>
      <c r="D28" s="320"/>
      <c r="E28" s="320"/>
      <c r="F28" s="320"/>
      <c r="G28" s="320"/>
      <c r="H28" s="320"/>
    </row>
    <row r="29" spans="1:11" x14ac:dyDescent="0.25">
      <c r="C29" s="320"/>
      <c r="D29" s="320"/>
      <c r="E29" s="320"/>
      <c r="F29" s="320"/>
      <c r="G29" s="320"/>
      <c r="H29" s="320"/>
    </row>
    <row r="30" spans="1:11" x14ac:dyDescent="0.25">
      <c r="C30" s="320"/>
      <c r="D30" s="320"/>
      <c r="E30" s="320"/>
      <c r="F30" s="320"/>
      <c r="G30" s="320"/>
      <c r="H30" s="320"/>
    </row>
    <row r="31" spans="1:11" x14ac:dyDescent="0.25">
      <c r="C31" s="320"/>
      <c r="D31" s="320"/>
      <c r="E31" s="320"/>
      <c r="F31" s="320"/>
      <c r="G31" s="320"/>
      <c r="H31" s="320"/>
    </row>
    <row r="32" spans="1:11" x14ac:dyDescent="0.25">
      <c r="C32" s="320"/>
      <c r="D32" s="320"/>
      <c r="E32" s="320"/>
      <c r="F32" s="320"/>
      <c r="G32" s="320"/>
      <c r="H32" s="320"/>
    </row>
    <row r="33" spans="3:8" x14ac:dyDescent="0.25">
      <c r="C33" s="320"/>
      <c r="D33" s="320"/>
      <c r="E33" s="320"/>
      <c r="F33" s="320"/>
      <c r="G33" s="320"/>
      <c r="H33" s="320"/>
    </row>
    <row r="34" spans="3:8" x14ac:dyDescent="0.25">
      <c r="C34" s="320"/>
      <c r="D34" s="320"/>
      <c r="E34" s="320"/>
      <c r="F34" s="320"/>
      <c r="G34" s="320"/>
      <c r="H34" s="320"/>
    </row>
    <row r="35" spans="3:8" x14ac:dyDescent="0.25">
      <c r="C35" s="320"/>
      <c r="D35" s="320"/>
      <c r="E35" s="320"/>
      <c r="F35" s="320"/>
      <c r="G35" s="320"/>
      <c r="H35" s="320"/>
    </row>
    <row r="36" spans="3:8" x14ac:dyDescent="0.25">
      <c r="C36" s="320"/>
      <c r="D36" s="320"/>
      <c r="E36" s="320"/>
      <c r="F36" s="320"/>
      <c r="G36" s="320"/>
      <c r="H36" s="320"/>
    </row>
    <row r="37" spans="3:8" x14ac:dyDescent="0.25">
      <c r="C37" s="320"/>
      <c r="D37" s="320"/>
      <c r="E37" s="320"/>
      <c r="F37" s="320"/>
      <c r="G37" s="320"/>
      <c r="H37" s="320"/>
    </row>
    <row r="38" spans="3:8" x14ac:dyDescent="0.25">
      <c r="C38" s="320"/>
      <c r="D38" s="320"/>
      <c r="E38" s="320"/>
      <c r="F38" s="320"/>
      <c r="G38" s="320"/>
      <c r="H38" s="320"/>
    </row>
    <row r="39" spans="3:8" x14ac:dyDescent="0.25">
      <c r="C39" s="320"/>
      <c r="D39" s="320"/>
      <c r="E39" s="320"/>
      <c r="F39" s="320"/>
      <c r="G39" s="320"/>
      <c r="H39" s="320"/>
    </row>
    <row r="40" spans="3:8" x14ac:dyDescent="0.25">
      <c r="C40" s="320"/>
      <c r="D40" s="320"/>
      <c r="E40" s="320"/>
      <c r="F40" s="320"/>
      <c r="G40" s="320"/>
      <c r="H40" s="320"/>
    </row>
    <row r="41" spans="3:8" x14ac:dyDescent="0.25">
      <c r="C41" s="320"/>
      <c r="D41" s="320"/>
      <c r="E41" s="320"/>
      <c r="F41" s="320"/>
      <c r="G41" s="320"/>
      <c r="H41" s="320"/>
    </row>
    <row r="42" spans="3:8" x14ac:dyDescent="0.25">
      <c r="C42" s="320"/>
      <c r="D42" s="320"/>
      <c r="E42" s="320"/>
      <c r="F42" s="320"/>
      <c r="G42" s="320"/>
      <c r="H42" s="320"/>
    </row>
    <row r="43" spans="3:8" x14ac:dyDescent="0.25">
      <c r="C43" s="320"/>
      <c r="D43" s="320"/>
      <c r="E43" s="320"/>
      <c r="F43" s="320"/>
      <c r="G43" s="320"/>
      <c r="H43" s="320"/>
    </row>
    <row r="44" spans="3:8" x14ac:dyDescent="0.25">
      <c r="C44" s="320"/>
      <c r="D44" s="320"/>
      <c r="E44" s="320"/>
      <c r="F44" s="320"/>
      <c r="G44" s="320"/>
      <c r="H44" s="320"/>
    </row>
    <row r="45" spans="3:8" x14ac:dyDescent="0.25">
      <c r="C45" s="320"/>
      <c r="D45" s="320"/>
      <c r="E45" s="320"/>
      <c r="F45" s="320"/>
      <c r="G45" s="320"/>
      <c r="H45" s="320"/>
    </row>
    <row r="46" spans="3:8" x14ac:dyDescent="0.25">
      <c r="C46" s="320"/>
      <c r="D46" s="320"/>
      <c r="E46" s="320"/>
      <c r="F46" s="320"/>
      <c r="G46" s="320"/>
      <c r="H46" s="320"/>
    </row>
    <row r="47" spans="3:8" x14ac:dyDescent="0.25">
      <c r="C47" s="320"/>
      <c r="D47" s="320"/>
      <c r="E47" s="320"/>
      <c r="F47" s="320"/>
      <c r="G47" s="320"/>
      <c r="H47" s="320"/>
    </row>
    <row r="48" spans="3:8" x14ac:dyDescent="0.25">
      <c r="C48" s="320"/>
      <c r="D48" s="320"/>
      <c r="E48" s="320"/>
      <c r="F48" s="320"/>
      <c r="G48" s="320"/>
      <c r="H48" s="320"/>
    </row>
    <row r="49" spans="3:8" x14ac:dyDescent="0.25">
      <c r="C49" s="320"/>
      <c r="D49" s="320"/>
      <c r="E49" s="320"/>
      <c r="F49" s="320"/>
      <c r="G49" s="320"/>
      <c r="H49" s="320"/>
    </row>
    <row r="50" spans="3:8" x14ac:dyDescent="0.25">
      <c r="C50" s="320"/>
      <c r="D50" s="320"/>
      <c r="E50" s="320"/>
      <c r="F50" s="320"/>
      <c r="G50" s="320"/>
      <c r="H50" s="320"/>
    </row>
    <row r="51" spans="3:8" x14ac:dyDescent="0.25">
      <c r="C51" s="320"/>
      <c r="D51" s="320"/>
      <c r="E51" s="320"/>
      <c r="F51" s="320"/>
      <c r="G51" s="320"/>
      <c r="H51" s="320"/>
    </row>
    <row r="52" spans="3:8" x14ac:dyDescent="0.25">
      <c r="C52" s="320"/>
      <c r="D52" s="320"/>
      <c r="E52" s="320"/>
      <c r="F52" s="320"/>
      <c r="G52" s="320"/>
      <c r="H52" s="320"/>
    </row>
    <row r="53" spans="3:8" x14ac:dyDescent="0.25">
      <c r="C53" s="320"/>
      <c r="D53" s="320"/>
      <c r="E53" s="320"/>
      <c r="F53" s="320"/>
      <c r="G53" s="320"/>
      <c r="H53" s="320"/>
    </row>
    <row r="54" spans="3:8" x14ac:dyDescent="0.25">
      <c r="C54" s="320"/>
      <c r="D54" s="320"/>
      <c r="E54" s="320"/>
      <c r="F54" s="320"/>
      <c r="G54" s="320"/>
      <c r="H54" s="320"/>
    </row>
    <row r="55" spans="3:8" x14ac:dyDescent="0.25">
      <c r="C55" s="320"/>
      <c r="D55" s="320"/>
      <c r="E55" s="320"/>
      <c r="F55" s="320"/>
      <c r="G55" s="320"/>
      <c r="H55" s="320"/>
    </row>
    <row r="56" spans="3:8" x14ac:dyDescent="0.25">
      <c r="C56" s="320"/>
      <c r="D56" s="320"/>
      <c r="E56" s="320"/>
      <c r="F56" s="320"/>
      <c r="G56" s="320"/>
      <c r="H56" s="320"/>
    </row>
    <row r="57" spans="3:8" x14ac:dyDescent="0.25">
      <c r="C57" s="320"/>
      <c r="D57" s="320"/>
      <c r="E57" s="320"/>
      <c r="F57" s="320"/>
      <c r="G57" s="320"/>
      <c r="H57" s="320"/>
    </row>
    <row r="58" spans="3:8" x14ac:dyDescent="0.25">
      <c r="C58" s="320"/>
      <c r="D58" s="320"/>
      <c r="E58" s="320"/>
      <c r="F58" s="320"/>
      <c r="G58" s="320"/>
      <c r="H58" s="320"/>
    </row>
    <row r="59" spans="3:8" x14ac:dyDescent="0.25">
      <c r="C59" s="320"/>
      <c r="D59" s="320"/>
      <c r="E59" s="320"/>
      <c r="F59" s="320"/>
      <c r="G59" s="320"/>
      <c r="H59" s="320"/>
    </row>
    <row r="60" spans="3:8" x14ac:dyDescent="0.25">
      <c r="C60" s="320"/>
      <c r="D60" s="320"/>
      <c r="E60" s="320"/>
      <c r="F60" s="320"/>
      <c r="G60" s="320"/>
      <c r="H60" s="320"/>
    </row>
    <row r="61" spans="3:8" x14ac:dyDescent="0.25">
      <c r="C61" s="320"/>
      <c r="D61" s="320"/>
      <c r="E61" s="320"/>
      <c r="F61" s="320"/>
      <c r="G61" s="320"/>
      <c r="H61" s="320"/>
    </row>
    <row r="62" spans="3:8" x14ac:dyDescent="0.25">
      <c r="C62" s="320"/>
      <c r="D62" s="320"/>
      <c r="E62" s="320"/>
      <c r="F62" s="320"/>
      <c r="G62" s="320"/>
      <c r="H62" s="320"/>
    </row>
    <row r="63" spans="3:8" x14ac:dyDescent="0.25">
      <c r="C63" s="320"/>
      <c r="D63" s="320"/>
      <c r="E63" s="320"/>
      <c r="F63" s="320"/>
      <c r="G63" s="320"/>
      <c r="H63" s="320"/>
    </row>
    <row r="64" spans="3:8" x14ac:dyDescent="0.25">
      <c r="C64" s="320"/>
      <c r="D64" s="320"/>
      <c r="E64" s="320"/>
      <c r="F64" s="320"/>
      <c r="G64" s="320"/>
      <c r="H64" s="320"/>
    </row>
    <row r="65" spans="3:8" x14ac:dyDescent="0.25">
      <c r="C65" s="320"/>
      <c r="D65" s="320"/>
      <c r="E65" s="320"/>
      <c r="F65" s="320"/>
      <c r="G65" s="320"/>
      <c r="H65" s="320"/>
    </row>
    <row r="66" spans="3:8" x14ac:dyDescent="0.25">
      <c r="C66" s="320"/>
      <c r="D66" s="320"/>
      <c r="E66" s="320"/>
      <c r="F66" s="320"/>
      <c r="G66" s="320"/>
      <c r="H66" s="320"/>
    </row>
    <row r="67" spans="3:8" x14ac:dyDescent="0.25">
      <c r="C67" s="320"/>
      <c r="D67" s="320"/>
      <c r="E67" s="320"/>
      <c r="F67" s="320"/>
      <c r="G67" s="320"/>
      <c r="H67" s="320"/>
    </row>
    <row r="68" spans="3:8" x14ac:dyDescent="0.25">
      <c r="C68" s="320"/>
      <c r="D68" s="320"/>
      <c r="E68" s="320"/>
      <c r="F68" s="320"/>
      <c r="G68" s="320"/>
      <c r="H68" s="320"/>
    </row>
    <row r="69" spans="3:8" x14ac:dyDescent="0.25">
      <c r="C69" s="320"/>
      <c r="D69" s="320"/>
      <c r="E69" s="320"/>
      <c r="F69" s="320"/>
      <c r="G69" s="320"/>
      <c r="H69" s="320"/>
    </row>
    <row r="70" spans="3:8" x14ac:dyDescent="0.25">
      <c r="C70" s="320"/>
      <c r="D70" s="320"/>
      <c r="E70" s="320"/>
      <c r="F70" s="320"/>
      <c r="G70" s="320"/>
      <c r="H70" s="320"/>
    </row>
    <row r="71" spans="3:8" x14ac:dyDescent="0.25">
      <c r="C71" s="320"/>
      <c r="D71" s="320"/>
      <c r="E71" s="320"/>
      <c r="F71" s="320"/>
      <c r="G71" s="320"/>
      <c r="H71" s="320"/>
    </row>
    <row r="72" spans="3:8" x14ac:dyDescent="0.25">
      <c r="C72" s="320"/>
      <c r="D72" s="320"/>
      <c r="E72" s="320"/>
      <c r="F72" s="320"/>
      <c r="G72" s="320"/>
      <c r="H72" s="320"/>
    </row>
    <row r="73" spans="3:8" x14ac:dyDescent="0.25">
      <c r="C73" s="320"/>
      <c r="D73" s="320"/>
      <c r="E73" s="320"/>
      <c r="F73" s="320"/>
      <c r="G73" s="320"/>
      <c r="H73" s="320"/>
    </row>
    <row r="74" spans="3:8" x14ac:dyDescent="0.25">
      <c r="C74" s="320"/>
      <c r="D74" s="320"/>
      <c r="E74" s="320"/>
      <c r="F74" s="320"/>
      <c r="G74" s="320"/>
      <c r="H74" s="320"/>
    </row>
    <row r="75" spans="3:8" x14ac:dyDescent="0.25">
      <c r="C75" s="320"/>
      <c r="D75" s="320"/>
      <c r="E75" s="320"/>
      <c r="F75" s="320"/>
      <c r="G75" s="320"/>
      <c r="H75" s="320"/>
    </row>
    <row r="76" spans="3:8" x14ac:dyDescent="0.25">
      <c r="C76" s="320"/>
      <c r="D76" s="320"/>
      <c r="E76" s="320"/>
      <c r="F76" s="320"/>
      <c r="G76" s="320"/>
      <c r="H76" s="320"/>
    </row>
    <row r="77" spans="3:8" x14ac:dyDescent="0.25">
      <c r="C77" s="320"/>
      <c r="D77" s="320"/>
      <c r="E77" s="320"/>
      <c r="F77" s="320"/>
      <c r="G77" s="320"/>
      <c r="H77" s="320"/>
    </row>
    <row r="78" spans="3:8" x14ac:dyDescent="0.25">
      <c r="C78" s="320"/>
      <c r="D78" s="320"/>
      <c r="E78" s="320"/>
      <c r="F78" s="320"/>
      <c r="G78" s="320"/>
      <c r="H78" s="320"/>
    </row>
    <row r="79" spans="3:8" x14ac:dyDescent="0.25">
      <c r="C79" s="320"/>
      <c r="D79" s="320"/>
      <c r="E79" s="320"/>
      <c r="F79" s="320"/>
      <c r="G79" s="320"/>
      <c r="H79" s="320"/>
    </row>
    <row r="80" spans="3:8" x14ac:dyDescent="0.25">
      <c r="C80" s="320"/>
      <c r="D80" s="320"/>
      <c r="E80" s="320"/>
      <c r="F80" s="320"/>
      <c r="G80" s="320"/>
      <c r="H80" s="320"/>
    </row>
    <row r="81" spans="3:8" x14ac:dyDescent="0.25">
      <c r="C81" s="320"/>
      <c r="D81" s="320"/>
      <c r="E81" s="320"/>
      <c r="F81" s="320"/>
      <c r="G81" s="320"/>
      <c r="H81" s="320"/>
    </row>
    <row r="82" spans="3:8" x14ac:dyDescent="0.25">
      <c r="C82" s="320"/>
      <c r="D82" s="320"/>
      <c r="E82" s="320"/>
      <c r="F82" s="320"/>
      <c r="G82" s="320"/>
      <c r="H82" s="320"/>
    </row>
  </sheetData>
  <mergeCells count="13">
    <mergeCell ref="B23:I23"/>
    <mergeCell ref="B24:I24"/>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48" right="0.44" top="0.98425196850393704" bottom="0.98425196850393704" header="0.51181102362204722" footer="0.51181102362204722"/>
  <pageSetup paperSize="9" scale="7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V23"/>
  <sheetViews>
    <sheetView workbookViewId="0">
      <pane xSplit="2" ySplit="5" topLeftCell="C6" activePane="bottomRight" state="frozen"/>
      <selection pane="topRight" activeCell="C1" sqref="C1"/>
      <selection pane="bottomLeft" activeCell="A6" sqref="A6"/>
      <selection pane="bottomRight" activeCell="K11" sqref="K11"/>
    </sheetView>
  </sheetViews>
  <sheetFormatPr defaultRowHeight="15.75" x14ac:dyDescent="0.25"/>
  <cols>
    <col min="1" max="1" width="7.28515625" style="43" customWidth="1"/>
    <col min="2" max="2" width="38.85546875" style="48" customWidth="1"/>
    <col min="3" max="4" width="13.85546875" style="43" customWidth="1"/>
    <col min="5" max="5" width="13.28515625" style="43" customWidth="1"/>
    <col min="6" max="6" width="14" style="43" customWidth="1"/>
    <col min="7" max="7" width="14.42578125" style="43" customWidth="1"/>
    <col min="8" max="8" width="13.5703125" style="43" customWidth="1"/>
    <col min="9" max="9" width="13.42578125" style="43" customWidth="1"/>
    <col min="10" max="10" width="12.42578125" style="43" customWidth="1"/>
    <col min="11" max="11" width="14.5703125" style="43" customWidth="1"/>
    <col min="12" max="12" width="14.42578125" style="43" customWidth="1"/>
    <col min="13" max="13" width="14.85546875" style="43" customWidth="1"/>
    <col min="14" max="14" width="14.7109375" style="43" customWidth="1"/>
    <col min="15" max="15" width="14.140625" style="43" customWidth="1"/>
    <col min="16" max="16" width="14.28515625" style="43" customWidth="1"/>
    <col min="17" max="16384" width="9.140625" style="43"/>
  </cols>
  <sheetData>
    <row r="1" spans="1:256" ht="27.75" customHeight="1" thickBot="1" x14ac:dyDescent="0.3">
      <c r="A1" s="602" t="s">
        <v>719</v>
      </c>
      <c r="B1" s="603"/>
      <c r="C1" s="603"/>
      <c r="D1" s="603"/>
      <c r="E1" s="603"/>
      <c r="F1" s="603"/>
      <c r="G1" s="603"/>
      <c r="H1" s="603"/>
      <c r="I1" s="603"/>
      <c r="J1" s="603"/>
      <c r="K1" s="603"/>
      <c r="L1" s="603"/>
      <c r="M1" s="603"/>
      <c r="N1" s="604"/>
    </row>
    <row r="2" spans="1:256" ht="28.5" customHeight="1" x14ac:dyDescent="0.25">
      <c r="A2" s="467" t="s">
        <v>793</v>
      </c>
      <c r="B2" s="468"/>
      <c r="C2" s="468"/>
      <c r="D2" s="468"/>
      <c r="E2" s="468"/>
      <c r="F2" s="468"/>
      <c r="G2" s="468"/>
      <c r="H2" s="468"/>
      <c r="I2" s="605"/>
      <c r="J2" s="605"/>
      <c r="K2" s="468"/>
      <c r="L2" s="468"/>
      <c r="M2" s="468"/>
      <c r="N2" s="469"/>
    </row>
    <row r="3" spans="1:256" ht="51.75" customHeight="1" x14ac:dyDescent="0.25">
      <c r="A3" s="606" t="s">
        <v>134</v>
      </c>
      <c r="B3" s="489" t="s">
        <v>637</v>
      </c>
      <c r="C3" s="521" t="s">
        <v>216</v>
      </c>
      <c r="D3" s="521"/>
      <c r="E3" s="521" t="s">
        <v>217</v>
      </c>
      <c r="F3" s="521"/>
      <c r="G3" s="521" t="s">
        <v>218</v>
      </c>
      <c r="H3" s="517"/>
      <c r="I3" s="607" t="s">
        <v>578</v>
      </c>
      <c r="J3" s="607"/>
      <c r="K3" s="608" t="s">
        <v>198</v>
      </c>
      <c r="L3" s="521"/>
      <c r="M3" s="521" t="s">
        <v>212</v>
      </c>
      <c r="N3" s="568"/>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row>
    <row r="4" spans="1:256" ht="17.25" customHeight="1" x14ac:dyDescent="0.25">
      <c r="A4" s="606"/>
      <c r="B4" s="490"/>
      <c r="C4" s="129">
        <v>2016</v>
      </c>
      <c r="D4" s="129">
        <v>2017</v>
      </c>
      <c r="E4" s="129">
        <v>2016</v>
      </c>
      <c r="F4" s="129">
        <v>2017</v>
      </c>
      <c r="G4" s="129">
        <v>2016</v>
      </c>
      <c r="H4" s="129">
        <v>2017</v>
      </c>
      <c r="I4" s="129">
        <v>2016</v>
      </c>
      <c r="J4" s="129">
        <v>2017</v>
      </c>
      <c r="K4" s="129">
        <v>2016</v>
      </c>
      <c r="L4" s="129">
        <v>2017</v>
      </c>
      <c r="M4" s="129">
        <v>2016</v>
      </c>
      <c r="N4" s="129">
        <v>2017</v>
      </c>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row>
    <row r="5" spans="1:256" x14ac:dyDescent="0.25">
      <c r="A5" s="7"/>
      <c r="B5" s="45"/>
      <c r="C5" s="1" t="s">
        <v>178</v>
      </c>
      <c r="D5" s="1" t="s">
        <v>179</v>
      </c>
      <c r="E5" s="1" t="s">
        <v>180</v>
      </c>
      <c r="F5" s="1" t="s">
        <v>186</v>
      </c>
      <c r="G5" s="1" t="s">
        <v>181</v>
      </c>
      <c r="H5" s="50" t="s">
        <v>182</v>
      </c>
      <c r="I5" s="1" t="s">
        <v>183</v>
      </c>
      <c r="J5" s="1" t="s">
        <v>184</v>
      </c>
      <c r="K5" s="1" t="s">
        <v>185</v>
      </c>
      <c r="L5" s="1" t="s">
        <v>555</v>
      </c>
      <c r="M5" s="84" t="s">
        <v>735</v>
      </c>
      <c r="N5" s="85" t="s">
        <v>736</v>
      </c>
      <c r="O5" s="44"/>
      <c r="P5" s="44"/>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ht="31.5" x14ac:dyDescent="0.25">
      <c r="A6" s="7">
        <v>1</v>
      </c>
      <c r="B6" s="65" t="s">
        <v>130</v>
      </c>
      <c r="C6" s="321">
        <v>3016377.92</v>
      </c>
      <c r="D6" s="321">
        <f>C17</f>
        <v>4734238.8</v>
      </c>
      <c r="E6" s="321">
        <v>556078.66</v>
      </c>
      <c r="F6" s="321">
        <v>0</v>
      </c>
      <c r="G6" s="321">
        <v>298207.56</v>
      </c>
      <c r="H6" s="321">
        <f>G17</f>
        <v>399181.5</v>
      </c>
      <c r="I6" s="321"/>
      <c r="J6" s="321">
        <f>SUM(I17)</f>
        <v>0</v>
      </c>
      <c r="K6" s="321"/>
      <c r="L6" s="321">
        <f>SUM(K17)</f>
        <v>0</v>
      </c>
      <c r="M6" s="321">
        <f t="shared" ref="M6:N8" si="0">C6+E6+G6+I6+K6</f>
        <v>3870664.14</v>
      </c>
      <c r="N6" s="322">
        <f t="shared" si="0"/>
        <v>5133420.3</v>
      </c>
      <c r="O6" s="44"/>
      <c r="P6" s="44"/>
    </row>
    <row r="7" spans="1:256" ht="31.5" x14ac:dyDescent="0.25">
      <c r="A7" s="7">
        <v>2</v>
      </c>
      <c r="B7" s="66" t="s">
        <v>573</v>
      </c>
      <c r="C7" s="321">
        <f t="shared" ref="C7:L7" si="1">SUM(C8:C15)</f>
        <v>1761708.2</v>
      </c>
      <c r="D7" s="321">
        <f t="shared" si="1"/>
        <v>1218112.17</v>
      </c>
      <c r="E7" s="321">
        <f t="shared" si="1"/>
        <v>1152995.06</v>
      </c>
      <c r="F7" s="321">
        <f t="shared" si="1"/>
        <v>1248313.0899999999</v>
      </c>
      <c r="G7" s="321">
        <f>SUM(G8:G15)</f>
        <v>1634002.9</v>
      </c>
      <c r="H7" s="321">
        <f>SUM(H8:H15)</f>
        <v>1195469.47</v>
      </c>
      <c r="I7" s="321">
        <f t="shared" si="1"/>
        <v>0</v>
      </c>
      <c r="J7" s="321">
        <f t="shared" si="1"/>
        <v>0</v>
      </c>
      <c r="K7" s="321">
        <f t="shared" si="1"/>
        <v>0</v>
      </c>
      <c r="L7" s="321">
        <f t="shared" si="1"/>
        <v>0</v>
      </c>
      <c r="M7" s="321">
        <f t="shared" si="0"/>
        <v>4548706.16</v>
      </c>
      <c r="N7" s="322">
        <f t="shared" si="0"/>
        <v>3661894.7299999995</v>
      </c>
      <c r="O7" s="44"/>
      <c r="P7" s="44"/>
    </row>
    <row r="8" spans="1:256" ht="22.5" customHeight="1" x14ac:dyDescent="0.25">
      <c r="A8" s="7">
        <v>3</v>
      </c>
      <c r="B8" s="67" t="s">
        <v>43</v>
      </c>
      <c r="C8" s="323">
        <v>1761708.2</v>
      </c>
      <c r="D8" s="323">
        <v>1218112.17</v>
      </c>
      <c r="E8" s="323"/>
      <c r="F8" s="323"/>
      <c r="G8" s="323"/>
      <c r="H8" s="323"/>
      <c r="I8" s="323"/>
      <c r="J8" s="323"/>
      <c r="K8" s="323"/>
      <c r="L8" s="323"/>
      <c r="M8" s="321">
        <f t="shared" si="0"/>
        <v>1761708.2</v>
      </c>
      <c r="N8" s="322">
        <f t="shared" si="0"/>
        <v>1218112.17</v>
      </c>
    </row>
    <row r="9" spans="1:256" ht="134.25" customHeight="1" x14ac:dyDescent="0.25">
      <c r="A9" s="7">
        <v>4</v>
      </c>
      <c r="B9" s="67" t="s">
        <v>201</v>
      </c>
      <c r="C9" s="99" t="s">
        <v>200</v>
      </c>
      <c r="D9" s="99" t="s">
        <v>200</v>
      </c>
      <c r="E9" s="323">
        <v>1131005.78</v>
      </c>
      <c r="F9" s="323">
        <f>1470806.14-265395.81+42902.76</f>
        <v>1248313.0899999999</v>
      </c>
      <c r="G9" s="99" t="s">
        <v>200</v>
      </c>
      <c r="H9" s="99" t="s">
        <v>200</v>
      </c>
      <c r="I9" s="100" t="s">
        <v>200</v>
      </c>
      <c r="J9" s="100" t="s">
        <v>200</v>
      </c>
      <c r="K9" s="99" t="s">
        <v>200</v>
      </c>
      <c r="L9" s="99" t="s">
        <v>200</v>
      </c>
      <c r="M9" s="321">
        <f>E9</f>
        <v>1131005.78</v>
      </c>
      <c r="N9" s="322">
        <f>F9</f>
        <v>1248313.0899999999</v>
      </c>
      <c r="O9" s="600"/>
      <c r="P9" s="600"/>
    </row>
    <row r="10" spans="1:256" ht="31.5" x14ac:dyDescent="0.25">
      <c r="A10" s="7">
        <v>5</v>
      </c>
      <c r="B10" s="67" t="s">
        <v>1</v>
      </c>
      <c r="C10" s="99" t="s">
        <v>200</v>
      </c>
      <c r="D10" s="99" t="s">
        <v>200</v>
      </c>
      <c r="E10" s="323"/>
      <c r="F10" s="323"/>
      <c r="G10" s="99" t="s">
        <v>200</v>
      </c>
      <c r="H10" s="99" t="s">
        <v>200</v>
      </c>
      <c r="I10" s="100" t="s">
        <v>200</v>
      </c>
      <c r="J10" s="100" t="s">
        <v>200</v>
      </c>
      <c r="K10" s="99" t="s">
        <v>200</v>
      </c>
      <c r="L10" s="99" t="s">
        <v>200</v>
      </c>
      <c r="M10" s="321">
        <f>E10</f>
        <v>0</v>
      </c>
      <c r="N10" s="322">
        <f>F10</f>
        <v>0</v>
      </c>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ht="31.5" x14ac:dyDescent="0.25">
      <c r="A11" s="7">
        <v>6</v>
      </c>
      <c r="B11" s="67" t="s">
        <v>202</v>
      </c>
      <c r="C11" s="99" t="s">
        <v>200</v>
      </c>
      <c r="D11" s="99" t="s">
        <v>200</v>
      </c>
      <c r="E11" s="323">
        <v>21989.279999999999</v>
      </c>
      <c r="F11" s="323"/>
      <c r="G11" s="323"/>
      <c r="H11" s="323"/>
      <c r="I11" s="324"/>
      <c r="J11" s="324"/>
      <c r="K11" s="321"/>
      <c r="L11" s="321"/>
      <c r="M11" s="321">
        <f>E11+G11+I11+K11</f>
        <v>21989.279999999999</v>
      </c>
      <c r="N11" s="322">
        <f>F11+H11+J11+L11</f>
        <v>0</v>
      </c>
    </row>
    <row r="12" spans="1:256" ht="17.25" customHeight="1" x14ac:dyDescent="0.25">
      <c r="A12" s="7">
        <v>7</v>
      </c>
      <c r="B12" s="67" t="s">
        <v>203</v>
      </c>
      <c r="C12" s="323"/>
      <c r="D12" s="323"/>
      <c r="E12" s="323"/>
      <c r="F12" s="323"/>
      <c r="G12" s="323"/>
      <c r="H12" s="323"/>
      <c r="I12" s="324"/>
      <c r="J12" s="324"/>
      <c r="K12" s="323"/>
      <c r="L12" s="323"/>
      <c r="M12" s="321">
        <f>C12+E12+G12+I12+K12</f>
        <v>0</v>
      </c>
      <c r="N12" s="322">
        <f>D12+F12+H12+J12+L12</f>
        <v>0</v>
      </c>
    </row>
    <row r="13" spans="1:256" ht="18.75" x14ac:dyDescent="0.25">
      <c r="A13" s="7">
        <v>8</v>
      </c>
      <c r="B13" s="68" t="s">
        <v>44</v>
      </c>
      <c r="C13" s="99" t="s">
        <v>200</v>
      </c>
      <c r="D13" s="99" t="s">
        <v>200</v>
      </c>
      <c r="E13" s="99" t="s">
        <v>200</v>
      </c>
      <c r="F13" s="99" t="s">
        <v>200</v>
      </c>
      <c r="G13" s="323">
        <v>1585035</v>
      </c>
      <c r="H13" s="323">
        <v>1130740</v>
      </c>
      <c r="I13" s="99" t="s">
        <v>200</v>
      </c>
      <c r="J13" s="99" t="s">
        <v>200</v>
      </c>
      <c r="K13" s="99" t="s">
        <v>200</v>
      </c>
      <c r="L13" s="99" t="s">
        <v>200</v>
      </c>
      <c r="M13" s="321">
        <f>G13</f>
        <v>1585035</v>
      </c>
      <c r="N13" s="322">
        <f>H13</f>
        <v>1130740</v>
      </c>
    </row>
    <row r="14" spans="1:256" ht="19.5" customHeight="1" x14ac:dyDescent="0.25">
      <c r="A14" s="7">
        <v>9</v>
      </c>
      <c r="B14" s="67" t="s">
        <v>8</v>
      </c>
      <c r="C14" s="99" t="s">
        <v>200</v>
      </c>
      <c r="D14" s="99" t="s">
        <v>200</v>
      </c>
      <c r="E14" s="99" t="s">
        <v>200</v>
      </c>
      <c r="F14" s="99" t="s">
        <v>200</v>
      </c>
      <c r="G14" s="323">
        <v>48967.9</v>
      </c>
      <c r="H14" s="323">
        <v>64729.47</v>
      </c>
      <c r="I14" s="100" t="s">
        <v>200</v>
      </c>
      <c r="J14" s="100" t="s">
        <v>200</v>
      </c>
      <c r="K14" s="99" t="s">
        <v>200</v>
      </c>
      <c r="L14" s="99" t="s">
        <v>200</v>
      </c>
      <c r="M14" s="321">
        <f>G14</f>
        <v>48967.9</v>
      </c>
      <c r="N14" s="322">
        <f>H14</f>
        <v>64729.47</v>
      </c>
    </row>
    <row r="15" spans="1:256" ht="18.75" x14ac:dyDescent="0.25">
      <c r="A15" s="7">
        <v>10</v>
      </c>
      <c r="B15" s="67" t="s">
        <v>45</v>
      </c>
      <c r="C15" s="323"/>
      <c r="D15" s="323"/>
      <c r="E15" s="323"/>
      <c r="F15" s="323"/>
      <c r="G15" s="323"/>
      <c r="H15" s="323"/>
      <c r="I15" s="324"/>
      <c r="J15" s="324"/>
      <c r="K15" s="323"/>
      <c r="L15" s="323"/>
      <c r="M15" s="321">
        <f>C15+E15+G15+I15+K15</f>
        <v>0</v>
      </c>
      <c r="N15" s="322">
        <f>D15+F15+H15+J15+L15</f>
        <v>0</v>
      </c>
    </row>
    <row r="16" spans="1:256" ht="31.5" x14ac:dyDescent="0.25">
      <c r="A16" s="7">
        <v>11</v>
      </c>
      <c r="B16" s="65" t="s">
        <v>131</v>
      </c>
      <c r="C16" s="321">
        <v>43847.32</v>
      </c>
      <c r="D16" s="321">
        <v>99778.36</v>
      </c>
      <c r="E16" s="321">
        <v>1709073.72</v>
      </c>
      <c r="F16" s="321">
        <v>1248313.0900000001</v>
      </c>
      <c r="G16" s="323">
        <v>1533028.96</v>
      </c>
      <c r="H16" s="323">
        <v>1252039.22</v>
      </c>
      <c r="I16" s="321"/>
      <c r="J16" s="321"/>
      <c r="K16" s="321"/>
      <c r="L16" s="321"/>
      <c r="M16" s="321">
        <f t="shared" ref="M16:N18" si="2">C16+E16+G16+I16+K16</f>
        <v>3285950</v>
      </c>
      <c r="N16" s="322">
        <f t="shared" si="2"/>
        <v>2600130.67</v>
      </c>
    </row>
    <row r="17" spans="1:14" ht="31.5" x14ac:dyDescent="0.25">
      <c r="A17" s="7">
        <v>12</v>
      </c>
      <c r="B17" s="65" t="s">
        <v>9</v>
      </c>
      <c r="C17" s="321">
        <f t="shared" ref="C17:L17" si="3">C6+C7-C16</f>
        <v>4734238.8</v>
      </c>
      <c r="D17" s="321">
        <f t="shared" si="3"/>
        <v>5852572.6099999994</v>
      </c>
      <c r="E17" s="321">
        <f t="shared" si="3"/>
        <v>0</v>
      </c>
      <c r="F17" s="321">
        <f t="shared" si="3"/>
        <v>0</v>
      </c>
      <c r="G17" s="321">
        <f t="shared" si="3"/>
        <v>399181.5</v>
      </c>
      <c r="H17" s="321">
        <f t="shared" si="3"/>
        <v>342611.75</v>
      </c>
      <c r="I17" s="321">
        <f t="shared" si="3"/>
        <v>0</v>
      </c>
      <c r="J17" s="321">
        <f t="shared" si="3"/>
        <v>0</v>
      </c>
      <c r="K17" s="321">
        <f t="shared" si="3"/>
        <v>0</v>
      </c>
      <c r="L17" s="321">
        <f t="shared" si="3"/>
        <v>0</v>
      </c>
      <c r="M17" s="321">
        <f t="shared" si="2"/>
        <v>5133420.3</v>
      </c>
      <c r="N17" s="322">
        <f t="shared" si="2"/>
        <v>6195184.3599999994</v>
      </c>
    </row>
    <row r="18" spans="1:14" ht="48.75" customHeight="1" thickBot="1" x14ac:dyDescent="0.3">
      <c r="A18" s="47">
        <v>13</v>
      </c>
      <c r="B18" s="69" t="s">
        <v>636</v>
      </c>
      <c r="C18" s="325">
        <v>0</v>
      </c>
      <c r="D18" s="325">
        <v>0</v>
      </c>
      <c r="E18" s="325">
        <v>0</v>
      </c>
      <c r="F18" s="325">
        <v>0</v>
      </c>
      <c r="G18" s="325">
        <v>0</v>
      </c>
      <c r="H18" s="325">
        <v>0</v>
      </c>
      <c r="I18" s="325">
        <v>0</v>
      </c>
      <c r="J18" s="325">
        <v>0</v>
      </c>
      <c r="K18" s="325">
        <v>0</v>
      </c>
      <c r="L18" s="325">
        <v>0</v>
      </c>
      <c r="M18" s="326">
        <f t="shared" si="2"/>
        <v>0</v>
      </c>
      <c r="N18" s="327">
        <f t="shared" si="2"/>
        <v>0</v>
      </c>
    </row>
    <row r="19" spans="1:14" x14ac:dyDescent="0.25">
      <c r="F19" s="120"/>
      <c r="H19" s="120"/>
      <c r="I19" s="49"/>
      <c r="J19" s="49"/>
    </row>
    <row r="20" spans="1:14" x14ac:dyDescent="0.25">
      <c r="A20" s="49" t="s">
        <v>46</v>
      </c>
      <c r="B20" s="49"/>
      <c r="C20" s="49"/>
      <c r="E20" s="49"/>
      <c r="F20" s="328"/>
      <c r="G20" s="49"/>
      <c r="H20" s="121"/>
      <c r="I20" s="49"/>
      <c r="J20" s="49"/>
      <c r="K20" s="49"/>
      <c r="L20" s="49"/>
      <c r="M20" s="49"/>
      <c r="N20" s="49"/>
    </row>
    <row r="21" spans="1:14" x14ac:dyDescent="0.25">
      <c r="A21" s="49" t="s">
        <v>47</v>
      </c>
      <c r="B21" s="49"/>
      <c r="C21" s="49"/>
      <c r="D21" s="49"/>
      <c r="E21" s="49"/>
      <c r="F21" s="49"/>
      <c r="G21" s="49"/>
      <c r="H21" s="121"/>
      <c r="I21" s="49"/>
      <c r="J21" s="49"/>
      <c r="K21" s="49"/>
      <c r="L21" s="49"/>
      <c r="M21" s="49"/>
      <c r="N21" s="49"/>
    </row>
    <row r="22" spans="1:14" ht="33" customHeight="1" x14ac:dyDescent="0.25">
      <c r="A22" s="601" t="s">
        <v>48</v>
      </c>
      <c r="B22" s="601"/>
      <c r="C22" s="601"/>
      <c r="D22" s="49"/>
      <c r="E22" s="49"/>
      <c r="F22" s="49"/>
      <c r="G22" s="49"/>
      <c r="H22" s="49"/>
      <c r="I22" s="49"/>
      <c r="J22" s="49"/>
      <c r="K22" s="49"/>
      <c r="L22" s="49"/>
      <c r="M22" s="49"/>
      <c r="N22" s="49"/>
    </row>
    <row r="23" spans="1:14" x14ac:dyDescent="0.25">
      <c r="L23" s="49"/>
    </row>
  </sheetData>
  <mergeCells count="12">
    <mergeCell ref="O9:P9"/>
    <mergeCell ref="M3:N3"/>
    <mergeCell ref="A22:C22"/>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5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tabColor indexed="42"/>
    <pageSetUpPr fitToPage="1"/>
  </sheetPr>
  <dimension ref="A1:D22"/>
  <sheetViews>
    <sheetView zoomScaleNormal="100" workbookViewId="0">
      <pane xSplit="2" ySplit="4" topLeftCell="C5" activePane="bottomRight" state="frozen"/>
      <selection pane="topRight" activeCell="C1" sqref="C1"/>
      <selection pane="bottomLeft" activeCell="A5" sqref="A5"/>
      <selection pane="bottomRight" activeCell="G7" sqref="G7"/>
    </sheetView>
  </sheetViews>
  <sheetFormatPr defaultRowHeight="15.75" x14ac:dyDescent="0.2"/>
  <cols>
    <col min="1" max="1" width="10.5703125" style="338" customWidth="1"/>
    <col min="2" max="2" width="43.140625" style="339" customWidth="1"/>
    <col min="3" max="3" width="28.42578125" style="329" customWidth="1"/>
    <col min="4" max="4" width="52.7109375" style="329" customWidth="1"/>
    <col min="5" max="16384" width="9.140625" style="329"/>
  </cols>
  <sheetData>
    <row r="1" spans="1:4" ht="50.1" customHeight="1" thickBot="1" x14ac:dyDescent="0.25">
      <c r="A1" s="470" t="s">
        <v>720</v>
      </c>
      <c r="B1" s="471"/>
      <c r="C1" s="471"/>
      <c r="D1" s="472"/>
    </row>
    <row r="2" spans="1:4" ht="35.1" customHeight="1" x14ac:dyDescent="0.2">
      <c r="A2" s="485" t="s">
        <v>794</v>
      </c>
      <c r="B2" s="486"/>
      <c r="C2" s="486"/>
      <c r="D2" s="487"/>
    </row>
    <row r="3" spans="1:4" ht="31.5" x14ac:dyDescent="0.2">
      <c r="A3" s="330" t="s">
        <v>134</v>
      </c>
      <c r="B3" s="5" t="s">
        <v>187</v>
      </c>
      <c r="C3" s="5" t="s">
        <v>721</v>
      </c>
      <c r="D3" s="6" t="s">
        <v>574</v>
      </c>
    </row>
    <row r="4" spans="1:4" s="331" customFormat="1" ht="18" customHeight="1" x14ac:dyDescent="0.2">
      <c r="A4" s="24"/>
      <c r="B4" s="15" t="s">
        <v>178</v>
      </c>
      <c r="C4" s="15" t="s">
        <v>179</v>
      </c>
      <c r="D4" s="16" t="s">
        <v>180</v>
      </c>
    </row>
    <row r="5" spans="1:4" s="331" customFormat="1" ht="31.5" x14ac:dyDescent="0.2">
      <c r="A5" s="24">
        <v>1</v>
      </c>
      <c r="B5" s="17" t="s">
        <v>10</v>
      </c>
      <c r="C5" s="149">
        <f>SUM(C6:C19)</f>
        <v>21430440.800000001</v>
      </c>
      <c r="D5" s="332"/>
    </row>
    <row r="6" spans="1:4" ht="63.75" x14ac:dyDescent="0.2">
      <c r="A6" s="24">
        <v>2</v>
      </c>
      <c r="B6" s="62" t="s">
        <v>124</v>
      </c>
      <c r="C6" s="154">
        <v>4.4656189857050776E-10</v>
      </c>
      <c r="D6" s="94" t="s">
        <v>824</v>
      </c>
    </row>
    <row r="7" spans="1:4" ht="63.75" x14ac:dyDescent="0.2">
      <c r="A7" s="24">
        <v>3</v>
      </c>
      <c r="B7" s="62" t="s">
        <v>125</v>
      </c>
      <c r="C7" s="154">
        <v>5767878.3499999987</v>
      </c>
      <c r="D7" s="94" t="s">
        <v>825</v>
      </c>
    </row>
    <row r="8" spans="1:4" x14ac:dyDescent="0.2">
      <c r="A8" s="24">
        <v>4</v>
      </c>
      <c r="B8" s="23" t="s">
        <v>126</v>
      </c>
      <c r="C8" s="154" t="s">
        <v>823</v>
      </c>
      <c r="D8" s="94" t="s">
        <v>826</v>
      </c>
    </row>
    <row r="9" spans="1:4" ht="76.5" x14ac:dyDescent="0.2">
      <c r="A9" s="24">
        <v>5</v>
      </c>
      <c r="B9" s="23" t="s">
        <v>105</v>
      </c>
      <c r="C9" s="154">
        <v>11815392.1</v>
      </c>
      <c r="D9" s="94" t="s">
        <v>827</v>
      </c>
    </row>
    <row r="10" spans="1:4" x14ac:dyDescent="0.2">
      <c r="A10" s="24">
        <v>6</v>
      </c>
      <c r="B10" s="23" t="s">
        <v>170</v>
      </c>
      <c r="C10" s="154" t="s">
        <v>823</v>
      </c>
      <c r="D10" s="333"/>
    </row>
    <row r="11" spans="1:4" x14ac:dyDescent="0.2">
      <c r="A11" s="24">
        <v>7</v>
      </c>
      <c r="B11" s="23" t="s">
        <v>171</v>
      </c>
      <c r="C11" s="154">
        <v>41864.540000000008</v>
      </c>
      <c r="D11" s="94" t="s">
        <v>828</v>
      </c>
    </row>
    <row r="12" spans="1:4" ht="102" x14ac:dyDescent="0.2">
      <c r="A12" s="24">
        <v>8</v>
      </c>
      <c r="B12" s="23" t="s">
        <v>264</v>
      </c>
      <c r="C12" s="154">
        <v>53235.8</v>
      </c>
      <c r="D12" s="94" t="s">
        <v>829</v>
      </c>
    </row>
    <row r="13" spans="1:4" ht="25.5" x14ac:dyDescent="0.2">
      <c r="A13" s="24">
        <v>9</v>
      </c>
      <c r="B13" s="23" t="s">
        <v>106</v>
      </c>
      <c r="C13" s="154">
        <v>36495.26</v>
      </c>
      <c r="D13" s="94" t="s">
        <v>830</v>
      </c>
    </row>
    <row r="14" spans="1:4" ht="76.5" x14ac:dyDescent="0.2">
      <c r="A14" s="24">
        <v>10</v>
      </c>
      <c r="B14" s="23" t="s">
        <v>107</v>
      </c>
      <c r="C14" s="154" t="s">
        <v>823</v>
      </c>
      <c r="D14" s="94" t="s">
        <v>831</v>
      </c>
    </row>
    <row r="15" spans="1:4" ht="76.5" x14ac:dyDescent="0.2">
      <c r="A15" s="24">
        <v>11</v>
      </c>
      <c r="B15" s="23" t="s">
        <v>108</v>
      </c>
      <c r="C15" s="154">
        <v>399198.36</v>
      </c>
      <c r="D15" s="94" t="s">
        <v>832</v>
      </c>
    </row>
    <row r="16" spans="1:4" ht="76.5" x14ac:dyDescent="0.2">
      <c r="A16" s="24">
        <v>12</v>
      </c>
      <c r="B16" s="23" t="s">
        <v>109</v>
      </c>
      <c r="C16" s="154">
        <v>95309.04</v>
      </c>
      <c r="D16" s="94" t="s">
        <v>833</v>
      </c>
    </row>
    <row r="17" spans="1:4" x14ac:dyDescent="0.2">
      <c r="A17" s="24">
        <v>13</v>
      </c>
      <c r="B17" s="23" t="s">
        <v>110</v>
      </c>
      <c r="C17" s="154" t="s">
        <v>823</v>
      </c>
      <c r="D17" s="94" t="s">
        <v>834</v>
      </c>
    </row>
    <row r="18" spans="1:4" x14ac:dyDescent="0.2">
      <c r="A18" s="24">
        <v>14</v>
      </c>
      <c r="B18" s="23" t="s">
        <v>111</v>
      </c>
      <c r="C18" s="154">
        <v>700785</v>
      </c>
      <c r="D18" s="94" t="s">
        <v>835</v>
      </c>
    </row>
    <row r="19" spans="1:4" ht="306" x14ac:dyDescent="0.2">
      <c r="A19" s="24">
        <v>15</v>
      </c>
      <c r="B19" s="23" t="s">
        <v>112</v>
      </c>
      <c r="C19" s="154">
        <f>2355331.58+164950.77</f>
        <v>2520282.35</v>
      </c>
      <c r="D19" s="94" t="s">
        <v>836</v>
      </c>
    </row>
    <row r="20" spans="1:4" x14ac:dyDescent="0.2">
      <c r="A20" s="24">
        <v>16</v>
      </c>
      <c r="B20" s="17" t="s">
        <v>199</v>
      </c>
      <c r="C20" s="154" t="s">
        <v>823</v>
      </c>
      <c r="D20" s="333"/>
    </row>
    <row r="21" spans="1:4" x14ac:dyDescent="0.2">
      <c r="A21" s="24">
        <v>17</v>
      </c>
      <c r="B21" s="334" t="s">
        <v>562</v>
      </c>
      <c r="C21" s="335" t="s">
        <v>823</v>
      </c>
      <c r="D21" s="336"/>
    </row>
    <row r="22" spans="1:4" ht="32.25" thickBot="1" x14ac:dyDescent="0.25">
      <c r="A22" s="309">
        <v>18</v>
      </c>
      <c r="B22" s="21" t="s">
        <v>20</v>
      </c>
      <c r="C22" s="175">
        <f>+C5+C20+C21</f>
        <v>21430440.800000001</v>
      </c>
      <c r="D22" s="337"/>
    </row>
  </sheetData>
  <mergeCells count="2">
    <mergeCell ref="A1:D1"/>
    <mergeCell ref="A2:D2"/>
  </mergeCells>
  <phoneticPr fontId="0" type="noConversion"/>
  <printOptions gridLines="1"/>
  <pageMargins left="0.74803149606299213" right="0.74803149606299213" top="0.98425196850393704" bottom="0.79" header="0.51181102362204722" footer="0.51181102362204722"/>
  <pageSetup paperSize="9" scale="6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0"/>
  <sheetViews>
    <sheetView workbookViewId="0">
      <pane xSplit="2" ySplit="5" topLeftCell="C6" activePane="bottomRight" state="frozen"/>
      <selection pane="topRight" activeCell="C1" sqref="C1"/>
      <selection pane="bottomLeft" activeCell="A6" sqref="A6"/>
      <selection pane="bottomRight" activeCell="I7" sqref="I7"/>
    </sheetView>
  </sheetViews>
  <sheetFormatPr defaultRowHeight="15.75" x14ac:dyDescent="0.2"/>
  <cols>
    <col min="1" max="1" width="7.7109375" style="139" customWidth="1"/>
    <col min="2" max="2" width="47.5703125" style="221" customWidth="1"/>
    <col min="3" max="3" width="17.85546875" style="141" customWidth="1"/>
    <col min="4" max="4" width="16.85546875" style="141" customWidth="1"/>
    <col min="5" max="5" width="17.140625" style="141" customWidth="1"/>
    <col min="6" max="6" width="18.140625" style="141" customWidth="1"/>
    <col min="7" max="7" width="17.42578125" style="141" customWidth="1"/>
    <col min="8" max="8" width="17" style="141" customWidth="1"/>
    <col min="9" max="16384" width="9.140625" style="141"/>
  </cols>
  <sheetData>
    <row r="1" spans="1:9" s="341" customFormat="1" ht="69" customHeight="1" thickBot="1" x14ac:dyDescent="0.25">
      <c r="A1" s="609" t="s">
        <v>722</v>
      </c>
      <c r="B1" s="610"/>
      <c r="C1" s="610"/>
      <c r="D1" s="610"/>
      <c r="E1" s="610"/>
      <c r="F1" s="610"/>
      <c r="G1" s="610"/>
      <c r="H1" s="611"/>
      <c r="I1" s="340"/>
    </row>
    <row r="2" spans="1:9" s="341" customFormat="1" ht="35.1" customHeight="1" x14ac:dyDescent="0.2">
      <c r="A2" s="612" t="s">
        <v>792</v>
      </c>
      <c r="B2" s="613"/>
      <c r="C2" s="613"/>
      <c r="D2" s="613"/>
      <c r="E2" s="613"/>
      <c r="F2" s="613"/>
      <c r="G2" s="613"/>
      <c r="H2" s="614"/>
      <c r="I2" s="342"/>
    </row>
    <row r="3" spans="1:9" ht="27" customHeight="1" x14ac:dyDescent="0.25">
      <c r="A3" s="615" t="s">
        <v>134</v>
      </c>
      <c r="B3" s="617" t="s">
        <v>213</v>
      </c>
      <c r="C3" s="619" t="s">
        <v>193</v>
      </c>
      <c r="D3" s="619"/>
      <c r="E3" s="619" t="s">
        <v>194</v>
      </c>
      <c r="F3" s="619"/>
      <c r="G3" s="620" t="s">
        <v>137</v>
      </c>
      <c r="H3" s="621"/>
      <c r="I3" s="343"/>
    </row>
    <row r="4" spans="1:9" ht="33" customHeight="1" x14ac:dyDescent="0.25">
      <c r="A4" s="616"/>
      <c r="B4" s="618"/>
      <c r="C4" s="344" t="s">
        <v>35</v>
      </c>
      <c r="D4" s="344" t="s">
        <v>127</v>
      </c>
      <c r="E4" s="344" t="s">
        <v>35</v>
      </c>
      <c r="F4" s="344" t="s">
        <v>127</v>
      </c>
      <c r="G4" s="344" t="s">
        <v>35</v>
      </c>
      <c r="H4" s="345" t="s">
        <v>127</v>
      </c>
      <c r="I4" s="343"/>
    </row>
    <row r="5" spans="1:9" ht="21.6" customHeight="1" x14ac:dyDescent="0.25">
      <c r="A5" s="346"/>
      <c r="B5" s="347"/>
      <c r="C5" s="118" t="s">
        <v>178</v>
      </c>
      <c r="D5" s="118" t="s">
        <v>179</v>
      </c>
      <c r="E5" s="118" t="s">
        <v>180</v>
      </c>
      <c r="F5" s="118" t="s">
        <v>186</v>
      </c>
      <c r="G5" s="118" t="s">
        <v>16</v>
      </c>
      <c r="H5" s="119" t="s">
        <v>17</v>
      </c>
      <c r="I5" s="343"/>
    </row>
    <row r="6" spans="1:9" ht="19.5" customHeight="1" x14ac:dyDescent="0.25">
      <c r="A6" s="348">
        <v>1</v>
      </c>
      <c r="B6" s="349" t="s">
        <v>628</v>
      </c>
      <c r="C6" s="350">
        <v>0</v>
      </c>
      <c r="D6" s="350">
        <v>0</v>
      </c>
      <c r="E6" s="350">
        <v>0</v>
      </c>
      <c r="F6" s="350">
        <v>0</v>
      </c>
      <c r="G6" s="350">
        <v>0</v>
      </c>
      <c r="H6" s="351">
        <v>0</v>
      </c>
      <c r="I6" s="343"/>
    </row>
    <row r="7" spans="1:9" ht="19.5" customHeight="1" x14ac:dyDescent="0.25">
      <c r="A7" s="348">
        <v>2</v>
      </c>
      <c r="B7" s="352" t="s">
        <v>629</v>
      </c>
      <c r="C7" s="353"/>
      <c r="D7" s="354" t="s">
        <v>587</v>
      </c>
      <c r="E7" s="353"/>
      <c r="F7" s="354" t="s">
        <v>587</v>
      </c>
      <c r="G7" s="350">
        <v>0</v>
      </c>
      <c r="H7" s="355" t="s">
        <v>587</v>
      </c>
      <c r="I7" s="343"/>
    </row>
    <row r="8" spans="1:9" ht="19.5" customHeight="1" x14ac:dyDescent="0.25">
      <c r="A8" s="348">
        <v>3</v>
      </c>
      <c r="B8" s="352" t="s">
        <v>630</v>
      </c>
      <c r="C8" s="354" t="s">
        <v>587</v>
      </c>
      <c r="D8" s="353"/>
      <c r="E8" s="354" t="s">
        <v>587</v>
      </c>
      <c r="F8" s="353"/>
      <c r="G8" s="356" t="s">
        <v>587</v>
      </c>
      <c r="H8" s="351">
        <v>0</v>
      </c>
      <c r="I8" s="343"/>
    </row>
    <row r="9" spans="1:9" ht="19.5" customHeight="1" x14ac:dyDescent="0.25">
      <c r="A9" s="348">
        <v>4</v>
      </c>
      <c r="B9" s="349" t="s">
        <v>631</v>
      </c>
      <c r="C9" s="350">
        <v>0</v>
      </c>
      <c r="D9" s="350">
        <v>0</v>
      </c>
      <c r="E9" s="350">
        <v>0</v>
      </c>
      <c r="F9" s="350">
        <v>0</v>
      </c>
      <c r="G9" s="350">
        <v>0</v>
      </c>
      <c r="H9" s="351">
        <v>0</v>
      </c>
      <c r="I9" s="343"/>
    </row>
    <row r="10" spans="1:9" ht="19.5" customHeight="1" x14ac:dyDescent="0.25">
      <c r="A10" s="348">
        <v>5</v>
      </c>
      <c r="B10" s="352" t="s">
        <v>632</v>
      </c>
      <c r="C10" s="353"/>
      <c r="D10" s="354" t="s">
        <v>587</v>
      </c>
      <c r="E10" s="353"/>
      <c r="F10" s="354" t="s">
        <v>587</v>
      </c>
      <c r="G10" s="350">
        <v>0</v>
      </c>
      <c r="H10" s="355" t="s">
        <v>587</v>
      </c>
      <c r="I10" s="343"/>
    </row>
    <row r="11" spans="1:9" ht="19.5" customHeight="1" x14ac:dyDescent="0.25">
      <c r="A11" s="348">
        <v>6</v>
      </c>
      <c r="B11" s="352" t="s">
        <v>633</v>
      </c>
      <c r="C11" s="354" t="s">
        <v>587</v>
      </c>
      <c r="D11" s="353"/>
      <c r="E11" s="354" t="s">
        <v>587</v>
      </c>
      <c r="F11" s="353"/>
      <c r="G11" s="356" t="s">
        <v>587</v>
      </c>
      <c r="H11" s="351">
        <v>0</v>
      </c>
      <c r="I11" s="343"/>
    </row>
    <row r="12" spans="1:9" x14ac:dyDescent="0.25">
      <c r="A12" s="348">
        <v>7</v>
      </c>
      <c r="B12" s="349" t="s">
        <v>860</v>
      </c>
      <c r="C12" s="350">
        <f>C13</f>
        <v>697928.54</v>
      </c>
      <c r="D12" s="350">
        <f>D14</f>
        <v>82109.240000000005</v>
      </c>
      <c r="E12" s="350">
        <f>E13</f>
        <v>6621974.4199999999</v>
      </c>
      <c r="F12" s="350">
        <f>F14</f>
        <v>779055.82</v>
      </c>
      <c r="G12" s="350">
        <v>0</v>
      </c>
      <c r="H12" s="351">
        <v>0</v>
      </c>
      <c r="I12" s="343"/>
    </row>
    <row r="13" spans="1:9" ht="26.25" customHeight="1" x14ac:dyDescent="0.25">
      <c r="A13" s="348">
        <v>8</v>
      </c>
      <c r="B13" s="357" t="s">
        <v>861</v>
      </c>
      <c r="C13" s="354">
        <v>697928.54</v>
      </c>
      <c r="D13" s="354" t="s">
        <v>587</v>
      </c>
      <c r="E13" s="354">
        <v>6621974.4199999999</v>
      </c>
      <c r="F13" s="354" t="s">
        <v>587</v>
      </c>
      <c r="G13" s="350">
        <v>0</v>
      </c>
      <c r="H13" s="355" t="s">
        <v>587</v>
      </c>
      <c r="I13" s="343"/>
    </row>
    <row r="14" spans="1:9" ht="24" customHeight="1" x14ac:dyDescent="0.25">
      <c r="A14" s="348">
        <v>9</v>
      </c>
      <c r="B14" s="357" t="s">
        <v>862</v>
      </c>
      <c r="C14" s="354" t="s">
        <v>587</v>
      </c>
      <c r="D14" s="353">
        <v>82109.240000000005</v>
      </c>
      <c r="E14" s="354" t="s">
        <v>587</v>
      </c>
      <c r="F14" s="353">
        <v>779055.82</v>
      </c>
      <c r="G14" s="356" t="s">
        <v>587</v>
      </c>
      <c r="H14" s="351">
        <v>0</v>
      </c>
      <c r="I14" s="343"/>
    </row>
    <row r="15" spans="1:9" ht="24.75" customHeight="1" x14ac:dyDescent="0.2">
      <c r="A15" s="348">
        <v>10</v>
      </c>
      <c r="B15" s="349" t="s">
        <v>589</v>
      </c>
      <c r="C15" s="350">
        <f>C6+C9+C12</f>
        <v>697928.54</v>
      </c>
      <c r="D15" s="350">
        <f t="shared" ref="D15:F15" si="0">D6+D9+D12</f>
        <v>82109.240000000005</v>
      </c>
      <c r="E15" s="350">
        <f t="shared" si="0"/>
        <v>6621974.4199999999</v>
      </c>
      <c r="F15" s="350">
        <f t="shared" si="0"/>
        <v>779055.82</v>
      </c>
      <c r="G15" s="350">
        <v>0</v>
      </c>
      <c r="H15" s="351">
        <v>0</v>
      </c>
      <c r="I15" s="358"/>
    </row>
    <row r="16" spans="1:9" ht="23.25" customHeight="1" x14ac:dyDescent="0.25">
      <c r="A16" s="348">
        <v>11</v>
      </c>
      <c r="B16" s="349" t="s">
        <v>590</v>
      </c>
      <c r="C16" s="350">
        <f>C17</f>
        <v>382882.05</v>
      </c>
      <c r="D16" s="350">
        <f t="shared" ref="D16:F16" si="1">D17</f>
        <v>45044.95</v>
      </c>
      <c r="E16" s="350">
        <f t="shared" si="1"/>
        <v>0</v>
      </c>
      <c r="F16" s="350">
        <f t="shared" si="1"/>
        <v>0</v>
      </c>
      <c r="G16" s="350">
        <v>0</v>
      </c>
      <c r="H16" s="351">
        <v>0</v>
      </c>
      <c r="I16" s="343"/>
    </row>
    <row r="17" spans="1:8" x14ac:dyDescent="0.2">
      <c r="A17" s="348">
        <v>12</v>
      </c>
      <c r="B17" s="349" t="s">
        <v>863</v>
      </c>
      <c r="C17" s="350">
        <f>C18+C19</f>
        <v>382882.05</v>
      </c>
      <c r="D17" s="350">
        <f t="shared" ref="D17:F17" si="2">D18+D19</f>
        <v>45044.95</v>
      </c>
      <c r="E17" s="350">
        <f t="shared" si="2"/>
        <v>0</v>
      </c>
      <c r="F17" s="350">
        <f t="shared" si="2"/>
        <v>0</v>
      </c>
      <c r="G17" s="350">
        <v>0</v>
      </c>
      <c r="H17" s="351">
        <v>0</v>
      </c>
    </row>
    <row r="18" spans="1:8" x14ac:dyDescent="0.2">
      <c r="A18" s="348">
        <v>13</v>
      </c>
      <c r="B18" s="359" t="s">
        <v>864</v>
      </c>
      <c r="C18" s="360">
        <v>382882.05</v>
      </c>
      <c r="D18" s="360"/>
      <c r="E18" s="360"/>
      <c r="F18" s="360"/>
      <c r="G18" s="350">
        <v>0</v>
      </c>
      <c r="H18" s="351">
        <v>0</v>
      </c>
    </row>
    <row r="19" spans="1:8" x14ac:dyDescent="0.2">
      <c r="A19" s="361"/>
      <c r="B19" s="359" t="s">
        <v>865</v>
      </c>
      <c r="C19" s="360"/>
      <c r="D19" s="360">
        <v>45044.95</v>
      </c>
      <c r="E19" s="360"/>
      <c r="F19" s="360"/>
      <c r="G19" s="362">
        <v>0</v>
      </c>
      <c r="H19" s="363">
        <v>0</v>
      </c>
    </row>
    <row r="20" spans="1:8" ht="16.5" thickBot="1" x14ac:dyDescent="0.25">
      <c r="A20" s="364">
        <v>14</v>
      </c>
      <c r="B20" s="365" t="s">
        <v>591</v>
      </c>
      <c r="C20" s="366">
        <f>C15+C16</f>
        <v>1080810.5900000001</v>
      </c>
      <c r="D20" s="366">
        <f t="shared" ref="D20:F20" si="3">D15+D16</f>
        <v>127154.19</v>
      </c>
      <c r="E20" s="366">
        <f t="shared" si="3"/>
        <v>6621974.4199999999</v>
      </c>
      <c r="F20" s="366">
        <f t="shared" si="3"/>
        <v>779055.82</v>
      </c>
      <c r="G20" s="367">
        <v>0</v>
      </c>
      <c r="H20" s="368">
        <v>0</v>
      </c>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7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tabColor indexed="42"/>
    <pageSetUpPr fitToPage="1"/>
  </sheetPr>
  <dimension ref="A1:I24"/>
  <sheetViews>
    <sheetView zoomScaleNormal="100" workbookViewId="0">
      <pane xSplit="2" ySplit="4" topLeftCell="C5" activePane="bottomRight" state="frozen"/>
      <selection pane="topRight" activeCell="C1" sqref="C1"/>
      <selection pane="bottomLeft" activeCell="A5" sqref="A5"/>
      <selection pane="bottomRight" activeCell="I7" sqref="I7"/>
    </sheetView>
  </sheetViews>
  <sheetFormatPr defaultRowHeight="15.75" x14ac:dyDescent="0.25"/>
  <cols>
    <col min="1" max="1" width="9.5703125" style="132" customWidth="1"/>
    <col min="2" max="2" width="58.42578125" style="8" customWidth="1"/>
    <col min="3" max="3" width="22.140625" style="22" customWidth="1"/>
    <col min="4" max="4" width="21.140625" style="22" customWidth="1"/>
    <col min="5" max="5" width="24.140625" style="22" customWidth="1"/>
    <col min="6" max="16384" width="9.140625" style="8"/>
  </cols>
  <sheetData>
    <row r="1" spans="1:9" ht="80.25" customHeight="1" thickBot="1" x14ac:dyDescent="0.3">
      <c r="A1" s="622" t="s">
        <v>723</v>
      </c>
      <c r="B1" s="623"/>
      <c r="C1" s="623"/>
      <c r="D1" s="623"/>
      <c r="E1" s="624"/>
      <c r="F1" s="146"/>
      <c r="G1" s="146"/>
    </row>
    <row r="2" spans="1:9" ht="35.1" customHeight="1" x14ac:dyDescent="0.25">
      <c r="A2" s="485" t="s">
        <v>792</v>
      </c>
      <c r="B2" s="486"/>
      <c r="C2" s="486"/>
      <c r="D2" s="486"/>
      <c r="E2" s="487"/>
      <c r="F2" s="146"/>
      <c r="G2" s="146"/>
    </row>
    <row r="3" spans="1:9" s="147" customFormat="1" ht="46.9" customHeight="1" x14ac:dyDescent="0.25">
      <c r="A3" s="28" t="s">
        <v>134</v>
      </c>
      <c r="B3" s="129" t="s">
        <v>213</v>
      </c>
      <c r="C3" s="129" t="s">
        <v>193</v>
      </c>
      <c r="D3" s="129" t="s">
        <v>194</v>
      </c>
      <c r="E3" s="130" t="s">
        <v>135</v>
      </c>
    </row>
    <row r="4" spans="1:9" s="147" customFormat="1" ht="16.5" customHeight="1" x14ac:dyDescent="0.25">
      <c r="A4" s="28"/>
      <c r="B4" s="129"/>
      <c r="C4" s="129" t="s">
        <v>178</v>
      </c>
      <c r="D4" s="129" t="s">
        <v>179</v>
      </c>
      <c r="E4" s="130" t="s">
        <v>13</v>
      </c>
    </row>
    <row r="5" spans="1:9" s="147" customFormat="1" ht="17.45" customHeight="1" x14ac:dyDescent="0.25">
      <c r="A5" s="28"/>
      <c r="B5" s="30" t="s">
        <v>240</v>
      </c>
      <c r="C5" s="12"/>
      <c r="D5" s="12"/>
      <c r="E5" s="25"/>
    </row>
    <row r="6" spans="1:9" s="147" customFormat="1" ht="17.45" customHeight="1" x14ac:dyDescent="0.25">
      <c r="A6" s="24">
        <v>1</v>
      </c>
      <c r="B6" s="369" t="s">
        <v>268</v>
      </c>
      <c r="C6" s="135">
        <f>SUM(C7:C10)</f>
        <v>1620685.84</v>
      </c>
      <c r="D6" s="135">
        <f>SUM(D7:D10)</f>
        <v>0</v>
      </c>
      <c r="E6" s="101">
        <f>C6+D6</f>
        <v>1620685.84</v>
      </c>
    </row>
    <row r="7" spans="1:9" s="22" customFormat="1" x14ac:dyDescent="0.2">
      <c r="A7" s="7">
        <f>A6+1</f>
        <v>2</v>
      </c>
      <c r="B7" s="23" t="s">
        <v>87</v>
      </c>
      <c r="C7" s="97">
        <v>1601685.84</v>
      </c>
      <c r="D7" s="154"/>
      <c r="E7" s="101">
        <f>C7+D7</f>
        <v>1601685.84</v>
      </c>
    </row>
    <row r="8" spans="1:9" s="22" customFormat="1" x14ac:dyDescent="0.2">
      <c r="A8" s="7">
        <f>A7+1</f>
        <v>3</v>
      </c>
      <c r="B8" s="23" t="s">
        <v>266</v>
      </c>
      <c r="C8" s="97">
        <v>19000</v>
      </c>
      <c r="D8" s="97"/>
      <c r="E8" s="101">
        <f t="shared" ref="E8:E16" si="0">C8+D8</f>
        <v>19000</v>
      </c>
      <c r="G8" s="370"/>
    </row>
    <row r="9" spans="1:9" s="22" customFormat="1" x14ac:dyDescent="0.2">
      <c r="A9" s="7">
        <f>A8+1</f>
        <v>4</v>
      </c>
      <c r="B9" s="23"/>
      <c r="C9" s="97"/>
      <c r="D9" s="97"/>
      <c r="E9" s="101"/>
    </row>
    <row r="10" spans="1:9" s="22" customFormat="1" x14ac:dyDescent="0.2">
      <c r="A10" s="7">
        <f>A9+1</f>
        <v>5</v>
      </c>
      <c r="B10" s="23"/>
      <c r="C10" s="97"/>
      <c r="D10" s="97"/>
      <c r="E10" s="101">
        <f t="shared" si="0"/>
        <v>0</v>
      </c>
    </row>
    <row r="11" spans="1:9" s="22" customFormat="1" x14ac:dyDescent="0.2">
      <c r="A11" s="7"/>
      <c r="B11" s="30" t="s">
        <v>561</v>
      </c>
      <c r="C11" s="97"/>
      <c r="D11" s="97"/>
      <c r="E11" s="101"/>
    </row>
    <row r="12" spans="1:9" x14ac:dyDescent="0.25">
      <c r="A12" s="7">
        <v>6</v>
      </c>
      <c r="B12" s="23" t="s">
        <v>5</v>
      </c>
      <c r="C12" s="102">
        <v>5028</v>
      </c>
      <c r="D12" s="102"/>
      <c r="E12" s="101">
        <f t="shared" si="0"/>
        <v>5028</v>
      </c>
    </row>
    <row r="13" spans="1:9" x14ac:dyDescent="0.25">
      <c r="A13" s="7">
        <v>7</v>
      </c>
      <c r="B13" s="23" t="s">
        <v>6</v>
      </c>
      <c r="C13" s="97"/>
      <c r="D13" s="97"/>
      <c r="E13" s="101">
        <f t="shared" si="0"/>
        <v>0</v>
      </c>
    </row>
    <row r="14" spans="1:9" x14ac:dyDescent="0.25">
      <c r="A14" s="7"/>
      <c r="B14" s="14"/>
      <c r="C14" s="102"/>
      <c r="D14" s="102"/>
      <c r="E14" s="101"/>
    </row>
    <row r="15" spans="1:9" x14ac:dyDescent="0.25">
      <c r="A15" s="7">
        <v>8</v>
      </c>
      <c r="B15" s="14" t="s">
        <v>269</v>
      </c>
      <c r="C15" s="371">
        <f>SUM(C16:C17)</f>
        <v>0</v>
      </c>
      <c r="D15" s="371">
        <f>SUM(D16:D17)</f>
        <v>0</v>
      </c>
      <c r="E15" s="101">
        <f t="shared" si="0"/>
        <v>0</v>
      </c>
    </row>
    <row r="16" spans="1:9" ht="31.5" x14ac:dyDescent="0.25">
      <c r="A16" s="7" t="s">
        <v>267</v>
      </c>
      <c r="B16" s="57" t="s">
        <v>614</v>
      </c>
      <c r="C16" s="102"/>
      <c r="D16" s="102"/>
      <c r="E16" s="101">
        <f t="shared" si="0"/>
        <v>0</v>
      </c>
      <c r="I16" s="372"/>
    </row>
    <row r="17" spans="1:5" x14ac:dyDescent="0.25">
      <c r="A17" s="7"/>
      <c r="B17" s="14"/>
      <c r="C17" s="102"/>
      <c r="D17" s="102"/>
      <c r="E17" s="101"/>
    </row>
    <row r="18" spans="1:5" ht="16.5" thickBot="1" x14ac:dyDescent="0.3">
      <c r="A18" s="26">
        <v>9</v>
      </c>
      <c r="B18" s="27" t="s">
        <v>547</v>
      </c>
      <c r="C18" s="175">
        <f>C6+C12+C13+C15</f>
        <v>1625713.84</v>
      </c>
      <c r="D18" s="175">
        <f>D6+D12+D13+D15</f>
        <v>0</v>
      </c>
      <c r="E18" s="160">
        <f>E6+E12+E13+E15</f>
        <v>1625713.84</v>
      </c>
    </row>
    <row r="19" spans="1:5" x14ac:dyDescent="0.25">
      <c r="E19" s="141"/>
    </row>
    <row r="21" spans="1:5" x14ac:dyDescent="0.25">
      <c r="B21" s="40"/>
      <c r="C21" s="132"/>
    </row>
    <row r="22" spans="1:5" x14ac:dyDescent="0.25">
      <c r="B22" s="132"/>
      <c r="C22" s="132"/>
    </row>
    <row r="23" spans="1:5" x14ac:dyDescent="0.25">
      <c r="B23" s="132"/>
      <c r="C23" s="132"/>
    </row>
    <row r="24" spans="1:5" x14ac:dyDescent="0.25">
      <c r="D24" s="370"/>
    </row>
  </sheetData>
  <protectedRanges>
    <protectedRange sqref="C8:D10" name="Rozsah2_1"/>
    <protectedRange sqref="C11:D11" name="Rozsah2_2"/>
  </protectedRanges>
  <mergeCells count="2">
    <mergeCell ref="A1:E1"/>
    <mergeCell ref="A2:E2"/>
  </mergeCells>
  <phoneticPr fontId="6" type="noConversion"/>
  <pageMargins left="0.79" right="0.74803149606299213" top="0.98425196850393704" bottom="0.77" header="0.51181102362204722" footer="0.51181102362204722"/>
  <pageSetup paperSize="9" scale="9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G26"/>
  <sheetViews>
    <sheetView workbookViewId="0">
      <pane xSplit="2" ySplit="5" topLeftCell="C6" activePane="bottomRight" state="frozen"/>
      <selection pane="topRight" activeCell="C1" sqref="C1"/>
      <selection pane="bottomLeft" activeCell="A6" sqref="A6"/>
      <selection pane="bottomRight" activeCell="G20" sqref="G20"/>
    </sheetView>
  </sheetViews>
  <sheetFormatPr defaultRowHeight="15.75" x14ac:dyDescent="0.2"/>
  <cols>
    <col min="1" max="1" width="9.140625" style="22"/>
    <col min="2" max="2" width="75.42578125" style="273" customWidth="1"/>
    <col min="3" max="6" width="17.28515625" style="22" customWidth="1"/>
    <col min="7" max="7" width="66.42578125" style="22" customWidth="1"/>
    <col min="8" max="16384" width="9.140625" style="22"/>
  </cols>
  <sheetData>
    <row r="1" spans="1:7" ht="35.1" customHeight="1" thickBot="1" x14ac:dyDescent="0.25">
      <c r="A1" s="464" t="s">
        <v>724</v>
      </c>
      <c r="B1" s="589"/>
      <c r="C1" s="589"/>
      <c r="D1" s="589"/>
      <c r="E1" s="589"/>
      <c r="F1" s="590"/>
    </row>
    <row r="2" spans="1:7" ht="35.1" customHeight="1" x14ac:dyDescent="0.2">
      <c r="A2" s="467" t="s">
        <v>792</v>
      </c>
      <c r="B2" s="558"/>
      <c r="C2" s="559" t="s">
        <v>638</v>
      </c>
      <c r="D2" s="559"/>
      <c r="E2" s="559"/>
      <c r="F2" s="560"/>
    </row>
    <row r="3" spans="1:7" ht="22.9" customHeight="1" x14ac:dyDescent="0.2">
      <c r="A3" s="488" t="s">
        <v>134</v>
      </c>
      <c r="B3" s="524" t="s">
        <v>213</v>
      </c>
      <c r="C3" s="521">
        <v>2016</v>
      </c>
      <c r="D3" s="521"/>
      <c r="E3" s="521">
        <v>2017</v>
      </c>
      <c r="F3" s="568"/>
    </row>
    <row r="4" spans="1:7" ht="75" customHeight="1" x14ac:dyDescent="0.2">
      <c r="A4" s="488"/>
      <c r="B4" s="524"/>
      <c r="C4" s="129" t="s">
        <v>18</v>
      </c>
      <c r="D4" s="129" t="s">
        <v>128</v>
      </c>
      <c r="E4" s="129" t="s">
        <v>18</v>
      </c>
      <c r="F4" s="130" t="s">
        <v>129</v>
      </c>
    </row>
    <row r="5" spans="1:7" x14ac:dyDescent="0.2">
      <c r="A5" s="7"/>
      <c r="B5" s="373"/>
      <c r="C5" s="5" t="s">
        <v>178</v>
      </c>
      <c r="D5" s="5" t="s">
        <v>179</v>
      </c>
      <c r="E5" s="5" t="s">
        <v>180</v>
      </c>
      <c r="F5" s="6" t="s">
        <v>186</v>
      </c>
    </row>
    <row r="6" spans="1:7" ht="31.5" x14ac:dyDescent="0.2">
      <c r="A6" s="7">
        <v>1</v>
      </c>
      <c r="B6" s="14" t="s">
        <v>653</v>
      </c>
      <c r="C6" s="374">
        <f>C7+C10+C16+C19+C13</f>
        <v>34413.96</v>
      </c>
      <c r="D6" s="375">
        <f t="shared" ref="D6:F6" si="0">D7+D10+D16+D19+D13</f>
        <v>274</v>
      </c>
      <c r="E6" s="152">
        <f t="shared" si="0"/>
        <v>48274.22</v>
      </c>
      <c r="F6" s="375">
        <f t="shared" si="0"/>
        <v>396</v>
      </c>
      <c r="G6" s="376"/>
    </row>
    <row r="7" spans="1:7" x14ac:dyDescent="0.2">
      <c r="A7" s="7">
        <v>2</v>
      </c>
      <c r="B7" s="14" t="s">
        <v>71</v>
      </c>
      <c r="C7" s="374">
        <f>SUM(C8:C9)</f>
        <v>5890</v>
      </c>
      <c r="D7" s="375">
        <f t="shared" ref="D7:F7" si="1">SUM(D8:D9)</f>
        <v>24</v>
      </c>
      <c r="E7" s="152">
        <f t="shared" si="1"/>
        <v>3079.9700000000003</v>
      </c>
      <c r="F7" s="375">
        <f t="shared" si="1"/>
        <v>28</v>
      </c>
      <c r="G7" s="376"/>
    </row>
    <row r="8" spans="1:7" x14ac:dyDescent="0.2">
      <c r="A8" s="7">
        <v>3</v>
      </c>
      <c r="B8" s="9" t="s">
        <v>21</v>
      </c>
      <c r="C8" s="377">
        <v>5890</v>
      </c>
      <c r="D8" s="378">
        <v>24</v>
      </c>
      <c r="E8" s="97">
        <f>1780+1299.97</f>
        <v>3079.9700000000003</v>
      </c>
      <c r="F8" s="379">
        <v>28</v>
      </c>
      <c r="G8" s="380"/>
    </row>
    <row r="9" spans="1:7" ht="18.75" x14ac:dyDescent="0.2">
      <c r="A9" s="7">
        <v>4</v>
      </c>
      <c r="B9" s="9" t="s">
        <v>90</v>
      </c>
      <c r="C9" s="377"/>
      <c r="D9" s="378"/>
      <c r="E9" s="97"/>
      <c r="F9" s="379"/>
      <c r="G9" s="380"/>
    </row>
    <row r="10" spans="1:7" ht="21" customHeight="1" x14ac:dyDescent="0.2">
      <c r="A10" s="7">
        <v>5</v>
      </c>
      <c r="B10" s="14" t="s">
        <v>649</v>
      </c>
      <c r="C10" s="374">
        <f>SUM(C11:C12)</f>
        <v>12323</v>
      </c>
      <c r="D10" s="375">
        <f t="shared" ref="D10:F10" si="2">SUM(D11:D12)</f>
        <v>64</v>
      </c>
      <c r="E10" s="152">
        <f t="shared" si="2"/>
        <v>12060</v>
      </c>
      <c r="F10" s="375">
        <f t="shared" si="2"/>
        <v>123</v>
      </c>
      <c r="G10" s="380"/>
    </row>
    <row r="11" spans="1:7" x14ac:dyDescent="0.2">
      <c r="A11" s="7">
        <v>6</v>
      </c>
      <c r="B11" s="9" t="s">
        <v>21</v>
      </c>
      <c r="C11" s="377">
        <v>12323</v>
      </c>
      <c r="D11" s="378">
        <v>64</v>
      </c>
      <c r="E11" s="97">
        <v>6379.5</v>
      </c>
      <c r="F11" s="379">
        <v>109</v>
      </c>
      <c r="G11" s="380"/>
    </row>
    <row r="12" spans="1:7" ht="18.75" x14ac:dyDescent="0.2">
      <c r="A12" s="7">
        <v>7</v>
      </c>
      <c r="B12" s="9" t="s">
        <v>90</v>
      </c>
      <c r="C12" s="377"/>
      <c r="D12" s="378"/>
      <c r="E12" s="97">
        <v>5680.5</v>
      </c>
      <c r="F12" s="379">
        <v>14</v>
      </c>
      <c r="G12" s="380"/>
    </row>
    <row r="13" spans="1:7" x14ac:dyDescent="0.2">
      <c r="A13" s="7">
        <v>8</v>
      </c>
      <c r="B13" s="10" t="s">
        <v>650</v>
      </c>
      <c r="C13" s="374">
        <f>C14+C15</f>
        <v>12255.96</v>
      </c>
      <c r="D13" s="375">
        <f t="shared" ref="D13:F13" si="3">D14+D15</f>
        <v>150</v>
      </c>
      <c r="E13" s="152">
        <f t="shared" si="3"/>
        <v>30964.25</v>
      </c>
      <c r="F13" s="375">
        <f t="shared" si="3"/>
        <v>230</v>
      </c>
      <c r="G13" s="380"/>
    </row>
    <row r="14" spans="1:7" x14ac:dyDescent="0.2">
      <c r="A14" s="7">
        <v>9</v>
      </c>
      <c r="B14" s="9" t="s">
        <v>21</v>
      </c>
      <c r="C14" s="377">
        <v>12255.96</v>
      </c>
      <c r="D14" s="378">
        <v>150</v>
      </c>
      <c r="E14" s="97">
        <f>1870+29094.25</f>
        <v>30964.25</v>
      </c>
      <c r="F14" s="379">
        <v>230</v>
      </c>
      <c r="G14" s="380"/>
    </row>
    <row r="15" spans="1:7" ht="18.75" x14ac:dyDescent="0.2">
      <c r="A15" s="7">
        <v>10</v>
      </c>
      <c r="B15" s="9" t="s">
        <v>725</v>
      </c>
      <c r="C15" s="377"/>
      <c r="D15" s="378"/>
      <c r="E15" s="97"/>
      <c r="F15" s="379"/>
      <c r="G15" s="380"/>
    </row>
    <row r="16" spans="1:7" x14ac:dyDescent="0.2">
      <c r="A16" s="7">
        <v>11</v>
      </c>
      <c r="B16" s="14" t="s">
        <v>651</v>
      </c>
      <c r="C16" s="374">
        <f>SUM(C17:C18)</f>
        <v>975</v>
      </c>
      <c r="D16" s="375">
        <f t="shared" ref="D16:F16" si="4">SUM(D17:D18)</f>
        <v>19</v>
      </c>
      <c r="E16" s="152">
        <f t="shared" si="4"/>
        <v>1870</v>
      </c>
      <c r="F16" s="375">
        <f t="shared" si="4"/>
        <v>14</v>
      </c>
      <c r="G16" s="380"/>
    </row>
    <row r="17" spans="1:7" x14ac:dyDescent="0.2">
      <c r="A17" s="7">
        <v>12</v>
      </c>
      <c r="B17" s="9" t="s">
        <v>21</v>
      </c>
      <c r="C17" s="377">
        <v>975</v>
      </c>
      <c r="D17" s="378">
        <v>19</v>
      </c>
      <c r="E17" s="97">
        <v>1870</v>
      </c>
      <c r="F17" s="379">
        <v>14</v>
      </c>
      <c r="G17" s="380"/>
    </row>
    <row r="18" spans="1:7" ht="18.75" x14ac:dyDescent="0.2">
      <c r="A18" s="7">
        <v>13</v>
      </c>
      <c r="B18" s="9" t="s">
        <v>90</v>
      </c>
      <c r="C18" s="377"/>
      <c r="D18" s="378"/>
      <c r="E18" s="97"/>
      <c r="F18" s="379"/>
      <c r="G18" s="380"/>
    </row>
    <row r="19" spans="1:7" x14ac:dyDescent="0.2">
      <c r="A19" s="7">
        <v>14</v>
      </c>
      <c r="B19" s="14" t="s">
        <v>652</v>
      </c>
      <c r="C19" s="374">
        <f>SUM(C20:C21)</f>
        <v>2970</v>
      </c>
      <c r="D19" s="375">
        <f t="shared" ref="D19:F19" si="5">SUM(D20:D21)</f>
        <v>17</v>
      </c>
      <c r="E19" s="152">
        <f t="shared" si="5"/>
        <v>300</v>
      </c>
      <c r="F19" s="375">
        <f t="shared" si="5"/>
        <v>1</v>
      </c>
      <c r="G19" s="380"/>
    </row>
    <row r="20" spans="1:7" x14ac:dyDescent="0.2">
      <c r="A20" s="7">
        <v>15</v>
      </c>
      <c r="B20" s="9" t="s">
        <v>21</v>
      </c>
      <c r="C20" s="377">
        <v>2970</v>
      </c>
      <c r="D20" s="378">
        <v>17</v>
      </c>
      <c r="E20" s="97">
        <v>300</v>
      </c>
      <c r="F20" s="379">
        <v>1</v>
      </c>
      <c r="G20" s="380"/>
    </row>
    <row r="21" spans="1:7" ht="18.75" x14ac:dyDescent="0.2">
      <c r="A21" s="7">
        <v>16</v>
      </c>
      <c r="B21" s="61" t="s">
        <v>90</v>
      </c>
      <c r="C21" s="381"/>
      <c r="D21" s="382"/>
      <c r="E21" s="382"/>
      <c r="F21" s="383"/>
    </row>
    <row r="22" spans="1:7" ht="19.5" thickBot="1" x14ac:dyDescent="0.25">
      <c r="A22" s="7">
        <v>17</v>
      </c>
      <c r="B22" s="21" t="s">
        <v>581</v>
      </c>
      <c r="C22" s="29" t="s">
        <v>200</v>
      </c>
      <c r="D22" s="384"/>
      <c r="E22" s="29" t="s">
        <v>200</v>
      </c>
      <c r="F22" s="385">
        <v>396</v>
      </c>
    </row>
    <row r="23" spans="1:7" x14ac:dyDescent="0.2">
      <c r="A23" s="70"/>
      <c r="B23" s="131"/>
      <c r="C23" s="71"/>
      <c r="D23" s="72"/>
      <c r="E23" s="71"/>
      <c r="F23" s="72"/>
    </row>
    <row r="24" spans="1:7" x14ac:dyDescent="0.2">
      <c r="A24" s="626" t="s">
        <v>552</v>
      </c>
      <c r="B24" s="627"/>
      <c r="C24" s="627"/>
      <c r="D24" s="627"/>
      <c r="E24" s="627"/>
      <c r="F24" s="628"/>
    </row>
    <row r="25" spans="1:7" x14ac:dyDescent="0.2">
      <c r="A25" s="629" t="s">
        <v>553</v>
      </c>
      <c r="B25" s="630"/>
      <c r="C25" s="630"/>
      <c r="D25" s="630"/>
      <c r="E25" s="630"/>
      <c r="F25" s="631"/>
    </row>
    <row r="26" spans="1:7" x14ac:dyDescent="0.2">
      <c r="A26" s="625" t="s">
        <v>647</v>
      </c>
      <c r="B26" s="625"/>
      <c r="C26" s="625"/>
      <c r="D26" s="625"/>
      <c r="E26" s="625"/>
      <c r="F26" s="625"/>
    </row>
  </sheetData>
  <mergeCells count="10">
    <mergeCell ref="C2:F2"/>
    <mergeCell ref="A26:F26"/>
    <mergeCell ref="A24:F24"/>
    <mergeCell ref="A25:F25"/>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8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H16"/>
  <sheetViews>
    <sheetView zoomScaleNormal="100" workbookViewId="0">
      <pane xSplit="2" ySplit="5" topLeftCell="C6" activePane="bottomRight" state="frozen"/>
      <selection pane="topRight" activeCell="C1" sqref="C1"/>
      <selection pane="bottomLeft" activeCell="A5" sqref="A5"/>
      <selection pane="bottomRight" activeCell="J8" sqref="J8"/>
    </sheetView>
  </sheetViews>
  <sheetFormatPr defaultRowHeight="18.75" x14ac:dyDescent="0.25"/>
  <cols>
    <col min="1" max="1" width="9.140625" style="108"/>
    <col min="2" max="2" width="67" style="303" customWidth="1"/>
    <col min="3" max="3" width="20.28515625" style="404" customWidth="1"/>
    <col min="4" max="4" width="23.5703125" style="404" customWidth="1"/>
    <col min="5" max="5" width="22.140625" style="404" customWidth="1"/>
    <col min="6" max="6" width="18.42578125" style="108" customWidth="1"/>
    <col min="7" max="7" width="37.85546875" style="108" customWidth="1"/>
    <col min="8" max="16384" width="9.140625" style="108"/>
  </cols>
  <sheetData>
    <row r="1" spans="1:8" ht="50.1" customHeight="1" thickBot="1" x14ac:dyDescent="0.3">
      <c r="A1" s="580" t="s">
        <v>726</v>
      </c>
      <c r="B1" s="632"/>
      <c r="C1" s="632"/>
      <c r="D1" s="633"/>
      <c r="E1" s="633"/>
      <c r="F1" s="634"/>
    </row>
    <row r="2" spans="1:8" ht="35.1" customHeight="1" thickBot="1" x14ac:dyDescent="0.3">
      <c r="A2" s="635" t="s">
        <v>792</v>
      </c>
      <c r="B2" s="636"/>
      <c r="C2" s="636"/>
      <c r="D2" s="637"/>
      <c r="E2" s="637"/>
      <c r="F2" s="638"/>
    </row>
    <row r="3" spans="1:8" ht="33" customHeight="1" x14ac:dyDescent="0.25">
      <c r="A3" s="488" t="s">
        <v>134</v>
      </c>
      <c r="B3" s="642" t="s">
        <v>213</v>
      </c>
      <c r="C3" s="639">
        <v>2016</v>
      </c>
      <c r="D3" s="639"/>
      <c r="E3" s="639">
        <v>2017</v>
      </c>
      <c r="F3" s="640"/>
    </row>
    <row r="4" spans="1:8" ht="78.75" customHeight="1" x14ac:dyDescent="0.25">
      <c r="A4" s="488"/>
      <c r="B4" s="643"/>
      <c r="C4" s="386" t="s">
        <v>696</v>
      </c>
      <c r="D4" s="386" t="s">
        <v>697</v>
      </c>
      <c r="E4" s="386" t="s">
        <v>696</v>
      </c>
      <c r="F4" s="387" t="s">
        <v>697</v>
      </c>
    </row>
    <row r="5" spans="1:8" ht="18.75" customHeight="1" x14ac:dyDescent="0.25">
      <c r="A5" s="284"/>
      <c r="B5" s="285"/>
      <c r="C5" s="286" t="s">
        <v>178</v>
      </c>
      <c r="D5" s="286" t="s">
        <v>179</v>
      </c>
      <c r="E5" s="388" t="s">
        <v>180</v>
      </c>
      <c r="F5" s="389" t="s">
        <v>186</v>
      </c>
    </row>
    <row r="6" spans="1:8" s="394" customFormat="1" ht="34.5" customHeight="1" x14ac:dyDescent="0.2">
      <c r="A6" s="110">
        <v>1</v>
      </c>
      <c r="B6" s="390" t="s">
        <v>585</v>
      </c>
      <c r="C6" s="105"/>
      <c r="D6" s="105">
        <v>3295</v>
      </c>
      <c r="E6" s="291">
        <f>C9</f>
        <v>0</v>
      </c>
      <c r="F6" s="391">
        <f>D9</f>
        <v>3</v>
      </c>
      <c r="G6" s="392"/>
      <c r="H6" s="393"/>
    </row>
    <row r="7" spans="1:8" ht="36" customHeight="1" x14ac:dyDescent="0.25">
      <c r="A7" s="110">
        <v>2</v>
      </c>
      <c r="B7" s="390" t="s">
        <v>690</v>
      </c>
      <c r="C7" s="105">
        <v>126900</v>
      </c>
      <c r="D7" s="105">
        <v>278838</v>
      </c>
      <c r="E7" s="105">
        <v>66300</v>
      </c>
      <c r="F7" s="395">
        <v>272451</v>
      </c>
    </row>
    <row r="8" spans="1:8" ht="132.75" customHeight="1" x14ac:dyDescent="0.25">
      <c r="A8" s="110">
        <v>3</v>
      </c>
      <c r="B8" s="390" t="s">
        <v>586</v>
      </c>
      <c r="C8" s="105">
        <v>126900</v>
      </c>
      <c r="D8" s="105">
        <v>282130</v>
      </c>
      <c r="E8" s="105">
        <v>66300</v>
      </c>
      <c r="F8" s="395">
        <v>272410</v>
      </c>
      <c r="G8" s="396"/>
    </row>
    <row r="9" spans="1:8" ht="39.75" customHeight="1" x14ac:dyDescent="0.25">
      <c r="A9" s="110">
        <v>4</v>
      </c>
      <c r="B9" s="390" t="s">
        <v>691</v>
      </c>
      <c r="C9" s="291">
        <f>C6+C7-C8</f>
        <v>0</v>
      </c>
      <c r="D9" s="291">
        <f>D6+D7-D8</f>
        <v>3</v>
      </c>
      <c r="E9" s="291">
        <f>E6+E7-E8</f>
        <v>0</v>
      </c>
      <c r="F9" s="391">
        <f>F6+F7-F8</f>
        <v>44</v>
      </c>
    </row>
    <row r="10" spans="1:8" ht="36" customHeight="1" thickBot="1" x14ac:dyDescent="0.3">
      <c r="A10" s="111">
        <v>5</v>
      </c>
      <c r="B10" s="397" t="s">
        <v>692</v>
      </c>
      <c r="C10" s="398">
        <v>3295</v>
      </c>
      <c r="D10" s="398">
        <v>767</v>
      </c>
      <c r="E10" s="398">
        <v>97</v>
      </c>
      <c r="F10" s="399">
        <v>745</v>
      </c>
    </row>
    <row r="11" spans="1:8" ht="45" customHeight="1" x14ac:dyDescent="0.25">
      <c r="A11" s="644" t="s">
        <v>870</v>
      </c>
      <c r="B11" s="644"/>
      <c r="C11" s="644"/>
      <c r="D11" s="644"/>
      <c r="E11" s="644"/>
      <c r="F11" s="644"/>
      <c r="G11" s="394"/>
    </row>
    <row r="12" spans="1:8" ht="21" customHeight="1" x14ac:dyDescent="0.25">
      <c r="A12" s="641" t="s">
        <v>693</v>
      </c>
      <c r="B12" s="641"/>
      <c r="C12" s="641"/>
      <c r="D12" s="641"/>
      <c r="E12" s="641"/>
      <c r="F12" s="641"/>
    </row>
    <row r="13" spans="1:8" ht="18" x14ac:dyDescent="0.25">
      <c r="A13" s="400" t="s">
        <v>694</v>
      </c>
      <c r="B13" s="401"/>
      <c r="C13" s="402"/>
      <c r="D13" s="402"/>
      <c r="E13" s="402"/>
      <c r="F13" s="403"/>
    </row>
    <row r="14" spans="1:8" ht="18" x14ac:dyDescent="0.25">
      <c r="A14" s="400" t="s">
        <v>695</v>
      </c>
      <c r="B14" s="401"/>
      <c r="C14" s="402"/>
      <c r="D14" s="402"/>
      <c r="E14" s="402"/>
      <c r="F14" s="403"/>
    </row>
    <row r="16" spans="1:8" x14ac:dyDescent="0.25">
      <c r="C16" s="404" t="s">
        <v>99</v>
      </c>
    </row>
  </sheetData>
  <mergeCells count="8">
    <mergeCell ref="A1:F1"/>
    <mergeCell ref="A2:F2"/>
    <mergeCell ref="E3:F3"/>
    <mergeCell ref="A12:F12"/>
    <mergeCell ref="C3:D3"/>
    <mergeCell ref="B3:B4"/>
    <mergeCell ref="A3:A4"/>
    <mergeCell ref="A11:F11"/>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6">
    <tabColor indexed="42"/>
    <pageSetUpPr fitToPage="1"/>
  </sheetPr>
  <dimension ref="A1:G32"/>
  <sheetViews>
    <sheetView workbookViewId="0">
      <pane xSplit="2" ySplit="4" topLeftCell="C17" activePane="bottomRight" state="frozen"/>
      <selection pane="topRight" activeCell="C1" sqref="C1"/>
      <selection pane="bottomLeft" activeCell="A5" sqref="A5"/>
      <selection pane="bottomRight" activeCell="C38" sqref="C38"/>
    </sheetView>
  </sheetViews>
  <sheetFormatPr defaultRowHeight="15.75" x14ac:dyDescent="0.25"/>
  <cols>
    <col min="1" max="1" width="10.140625" style="132" customWidth="1"/>
    <col min="2" max="2" width="83" style="163" customWidth="1"/>
    <col min="3" max="3" width="15.42578125" style="8" customWidth="1"/>
    <col min="4" max="4" width="14.28515625" style="8" customWidth="1"/>
    <col min="5" max="5" width="14.7109375" style="8" customWidth="1"/>
    <col min="6" max="16384" width="9.140625" style="8"/>
  </cols>
  <sheetData>
    <row r="1" spans="1:7" ht="50.1" customHeight="1" thickBot="1" x14ac:dyDescent="0.3">
      <c r="A1" s="470" t="s">
        <v>704</v>
      </c>
      <c r="B1" s="471"/>
      <c r="C1" s="471"/>
      <c r="D1" s="471"/>
      <c r="E1" s="472"/>
      <c r="F1" s="146"/>
      <c r="G1" s="146"/>
    </row>
    <row r="2" spans="1:7" s="134" customFormat="1" ht="38.25" customHeight="1" x14ac:dyDescent="0.2">
      <c r="A2" s="473" t="s">
        <v>789</v>
      </c>
      <c r="B2" s="474"/>
      <c r="C2" s="474"/>
      <c r="D2" s="474"/>
      <c r="E2" s="475"/>
    </row>
    <row r="3" spans="1:7" s="147" customFormat="1" ht="35.25" customHeight="1" x14ac:dyDescent="0.25">
      <c r="A3" s="28" t="s">
        <v>134</v>
      </c>
      <c r="B3" s="129" t="s">
        <v>213</v>
      </c>
      <c r="C3" s="129" t="s">
        <v>193</v>
      </c>
      <c r="D3" s="129" t="s">
        <v>194</v>
      </c>
      <c r="E3" s="6" t="s">
        <v>137</v>
      </c>
    </row>
    <row r="4" spans="1:7" s="22" customFormat="1" ht="17.25" customHeight="1" x14ac:dyDescent="0.2">
      <c r="A4" s="7"/>
      <c r="B4" s="10"/>
      <c r="C4" s="2" t="s">
        <v>178</v>
      </c>
      <c r="D4" s="2" t="s">
        <v>179</v>
      </c>
      <c r="E4" s="3" t="s">
        <v>13</v>
      </c>
    </row>
    <row r="5" spans="1:7" ht="31.5" x14ac:dyDescent="0.25">
      <c r="A5" s="42">
        <v>1</v>
      </c>
      <c r="B5" s="148" t="s">
        <v>576</v>
      </c>
      <c r="C5" s="149">
        <f>SUM(C6:C9)</f>
        <v>1230271.69</v>
      </c>
      <c r="D5" s="149">
        <f>SUM(D6:D7)</f>
        <v>0</v>
      </c>
      <c r="E5" s="150">
        <f>C5+D5</f>
        <v>1230271.69</v>
      </c>
    </row>
    <row r="6" spans="1:7" x14ac:dyDescent="0.25">
      <c r="A6" s="42" t="s">
        <v>204</v>
      </c>
      <c r="B6" s="91" t="s">
        <v>795</v>
      </c>
      <c r="C6" s="12">
        <v>1050220.69</v>
      </c>
      <c r="D6" s="12"/>
      <c r="E6" s="150">
        <f t="shared" ref="E6:E30" si="0">C6+D6</f>
        <v>1050220.69</v>
      </c>
    </row>
    <row r="7" spans="1:7" x14ac:dyDescent="0.25">
      <c r="A7" s="42" t="s">
        <v>256</v>
      </c>
      <c r="B7" s="91" t="s">
        <v>796</v>
      </c>
      <c r="C7" s="97">
        <v>175051</v>
      </c>
      <c r="D7" s="97"/>
      <c r="E7" s="151">
        <f t="shared" si="0"/>
        <v>175051</v>
      </c>
    </row>
    <row r="8" spans="1:7" x14ac:dyDescent="0.25">
      <c r="A8" s="42" t="s">
        <v>797</v>
      </c>
      <c r="B8" s="91" t="s">
        <v>798</v>
      </c>
      <c r="C8" s="97">
        <v>3000</v>
      </c>
      <c r="D8" s="97"/>
      <c r="E8" s="151">
        <f t="shared" si="0"/>
        <v>3000</v>
      </c>
    </row>
    <row r="9" spans="1:7" x14ac:dyDescent="0.25">
      <c r="A9" s="42" t="s">
        <v>805</v>
      </c>
      <c r="B9" s="91" t="s">
        <v>806</v>
      </c>
      <c r="C9" s="97">
        <v>2000</v>
      </c>
      <c r="D9" s="97"/>
      <c r="E9" s="151">
        <f t="shared" si="0"/>
        <v>2000</v>
      </c>
    </row>
    <row r="10" spans="1:7" x14ac:dyDescent="0.25">
      <c r="A10" s="42"/>
      <c r="B10" s="91"/>
      <c r="C10" s="97"/>
      <c r="D10" s="97"/>
      <c r="E10" s="151"/>
    </row>
    <row r="11" spans="1:7" x14ac:dyDescent="0.25">
      <c r="A11" s="42">
        <v>2</v>
      </c>
      <c r="B11" s="148" t="s">
        <v>36</v>
      </c>
      <c r="C11" s="152">
        <f>SUM(C12:C14)</f>
        <v>1500</v>
      </c>
      <c r="D11" s="152">
        <f>SUM(D12:D13)</f>
        <v>0</v>
      </c>
      <c r="E11" s="151">
        <f t="shared" si="0"/>
        <v>1500</v>
      </c>
    </row>
    <row r="12" spans="1:7" x14ac:dyDescent="0.25">
      <c r="A12" s="42" t="s">
        <v>205</v>
      </c>
      <c r="B12" s="91" t="s">
        <v>799</v>
      </c>
      <c r="C12" s="97">
        <v>1000</v>
      </c>
      <c r="D12" s="97"/>
      <c r="E12" s="151">
        <f t="shared" si="0"/>
        <v>1000</v>
      </c>
    </row>
    <row r="13" spans="1:7" x14ac:dyDescent="0.25">
      <c r="A13" s="42" t="s">
        <v>257</v>
      </c>
      <c r="B13" s="91" t="s">
        <v>801</v>
      </c>
      <c r="C13" s="97">
        <v>300</v>
      </c>
      <c r="D13" s="97"/>
      <c r="E13" s="151">
        <f t="shared" si="0"/>
        <v>300</v>
      </c>
    </row>
    <row r="14" spans="1:7" x14ac:dyDescent="0.25">
      <c r="A14" s="42" t="s">
        <v>802</v>
      </c>
      <c r="B14" s="91" t="s">
        <v>803</v>
      </c>
      <c r="C14" s="97">
        <v>200</v>
      </c>
      <c r="D14" s="97"/>
      <c r="E14" s="151">
        <f t="shared" si="0"/>
        <v>200</v>
      </c>
    </row>
    <row r="15" spans="1:7" x14ac:dyDescent="0.25">
      <c r="A15" s="42"/>
      <c r="B15" s="91"/>
      <c r="C15" s="97"/>
      <c r="D15" s="97"/>
      <c r="E15" s="151"/>
    </row>
    <row r="16" spans="1:7" x14ac:dyDescent="0.25">
      <c r="A16" s="42">
        <v>3</v>
      </c>
      <c r="B16" s="148" t="s">
        <v>161</v>
      </c>
      <c r="C16" s="152">
        <f>SUM(C17:C18)</f>
        <v>8050</v>
      </c>
      <c r="D16" s="152">
        <f>SUM(D17:D18)</f>
        <v>0</v>
      </c>
      <c r="E16" s="151">
        <f t="shared" si="0"/>
        <v>8050</v>
      </c>
    </row>
    <row r="17" spans="1:5" x14ac:dyDescent="0.25">
      <c r="A17" s="42" t="s">
        <v>206</v>
      </c>
      <c r="B17" s="153" t="s">
        <v>800</v>
      </c>
      <c r="C17" s="97">
        <v>7500</v>
      </c>
      <c r="D17" s="97"/>
      <c r="E17" s="151">
        <f t="shared" si="0"/>
        <v>7500</v>
      </c>
    </row>
    <row r="18" spans="1:5" x14ac:dyDescent="0.25">
      <c r="A18" s="42" t="s">
        <v>258</v>
      </c>
      <c r="B18" s="153" t="s">
        <v>804</v>
      </c>
      <c r="C18" s="97">
        <v>550</v>
      </c>
      <c r="D18" s="97"/>
      <c r="E18" s="151">
        <f t="shared" si="0"/>
        <v>550</v>
      </c>
    </row>
    <row r="19" spans="1:5" x14ac:dyDescent="0.25">
      <c r="A19" s="42"/>
      <c r="B19" s="91"/>
      <c r="C19" s="97"/>
      <c r="D19" s="97"/>
      <c r="E19" s="151">
        <f t="shared" si="0"/>
        <v>0</v>
      </c>
    </row>
    <row r="20" spans="1:5" x14ac:dyDescent="0.25">
      <c r="A20" s="42">
        <v>4</v>
      </c>
      <c r="B20" s="148" t="s">
        <v>162</v>
      </c>
      <c r="C20" s="152">
        <f>SUM(C21:C30)</f>
        <v>928819.84000000008</v>
      </c>
      <c r="D20" s="152">
        <f>SUM(D21:D22)</f>
        <v>0</v>
      </c>
      <c r="E20" s="151">
        <f t="shared" si="0"/>
        <v>928819.84000000008</v>
      </c>
    </row>
    <row r="21" spans="1:5" x14ac:dyDescent="0.25">
      <c r="A21" s="42" t="s">
        <v>152</v>
      </c>
      <c r="B21" s="91" t="s">
        <v>807</v>
      </c>
      <c r="C21" s="154">
        <v>60000</v>
      </c>
      <c r="D21" s="154"/>
      <c r="E21" s="151">
        <f t="shared" si="0"/>
        <v>60000</v>
      </c>
    </row>
    <row r="22" spans="1:5" x14ac:dyDescent="0.25">
      <c r="A22" s="42" t="s">
        <v>259</v>
      </c>
      <c r="B22" s="91" t="s">
        <v>808</v>
      </c>
      <c r="C22" s="154">
        <v>6152.6</v>
      </c>
      <c r="D22" s="154"/>
      <c r="E22" s="151">
        <f t="shared" si="0"/>
        <v>6152.6</v>
      </c>
    </row>
    <row r="23" spans="1:5" x14ac:dyDescent="0.25">
      <c r="A23" s="42" t="s">
        <v>810</v>
      </c>
      <c r="B23" s="91" t="s">
        <v>809</v>
      </c>
      <c r="C23" s="97">
        <v>44200</v>
      </c>
      <c r="D23" s="97"/>
      <c r="E23" s="151">
        <f t="shared" si="0"/>
        <v>44200</v>
      </c>
    </row>
    <row r="24" spans="1:5" x14ac:dyDescent="0.25">
      <c r="A24" s="155" t="s">
        <v>811</v>
      </c>
      <c r="B24" s="92" t="s">
        <v>816</v>
      </c>
      <c r="C24" s="102">
        <v>50</v>
      </c>
      <c r="D24" s="102"/>
      <c r="E24" s="151">
        <f t="shared" si="0"/>
        <v>50</v>
      </c>
    </row>
    <row r="25" spans="1:5" x14ac:dyDescent="0.25">
      <c r="A25" s="155" t="s">
        <v>812</v>
      </c>
      <c r="B25" s="92" t="s">
        <v>813</v>
      </c>
      <c r="C25" s="102">
        <v>3861.5</v>
      </c>
      <c r="D25" s="102"/>
      <c r="E25" s="151">
        <f t="shared" si="0"/>
        <v>3861.5</v>
      </c>
    </row>
    <row r="26" spans="1:5" x14ac:dyDescent="0.25">
      <c r="A26" s="155" t="s">
        <v>811</v>
      </c>
      <c r="B26" s="92" t="s">
        <v>814</v>
      </c>
      <c r="C26" s="102">
        <v>15000</v>
      </c>
      <c r="D26" s="102"/>
      <c r="E26" s="151">
        <f t="shared" si="0"/>
        <v>15000</v>
      </c>
    </row>
    <row r="27" spans="1:5" x14ac:dyDescent="0.25">
      <c r="A27" s="42" t="s">
        <v>812</v>
      </c>
      <c r="B27" s="91" t="s">
        <v>815</v>
      </c>
      <c r="C27" s="102">
        <v>428.74</v>
      </c>
      <c r="D27" s="154"/>
      <c r="E27" s="151">
        <f t="shared" si="0"/>
        <v>428.74</v>
      </c>
    </row>
    <row r="28" spans="1:5" x14ac:dyDescent="0.25">
      <c r="A28" s="42" t="s">
        <v>817</v>
      </c>
      <c r="B28" s="156" t="s">
        <v>819</v>
      </c>
      <c r="C28" s="154">
        <v>17815</v>
      </c>
      <c r="D28" s="97"/>
      <c r="E28" s="151">
        <f t="shared" si="0"/>
        <v>17815</v>
      </c>
    </row>
    <row r="29" spans="1:5" s="157" customFormat="1" x14ac:dyDescent="0.25">
      <c r="A29" s="42" t="s">
        <v>818</v>
      </c>
      <c r="B29" s="92" t="s">
        <v>821</v>
      </c>
      <c r="C29" s="97">
        <v>694610</v>
      </c>
      <c r="D29" s="102"/>
      <c r="E29" s="151">
        <f t="shared" si="0"/>
        <v>694610</v>
      </c>
    </row>
    <row r="30" spans="1:5" x14ac:dyDescent="0.25">
      <c r="A30" s="158" t="s">
        <v>820</v>
      </c>
      <c r="B30" s="92" t="s">
        <v>822</v>
      </c>
      <c r="C30" s="102">
        <v>86702</v>
      </c>
      <c r="D30" s="102"/>
      <c r="E30" s="151">
        <f t="shared" si="0"/>
        <v>86702</v>
      </c>
    </row>
    <row r="31" spans="1:5" ht="16.5" thickBot="1" x14ac:dyDescent="0.3">
      <c r="A31" s="26">
        <v>5</v>
      </c>
      <c r="B31" s="27" t="s">
        <v>195</v>
      </c>
      <c r="C31" s="159">
        <f>C5+C11+C16+C20</f>
        <v>2168641.5300000003</v>
      </c>
      <c r="D31" s="159">
        <f>D5+D11+D16+D20</f>
        <v>0</v>
      </c>
      <c r="E31" s="160">
        <f>C31+D31</f>
        <v>2168641.5300000003</v>
      </c>
    </row>
    <row r="32" spans="1:5" x14ac:dyDescent="0.25">
      <c r="A32" s="161"/>
      <c r="B32" s="162"/>
      <c r="C32" s="157"/>
      <c r="D32" s="157"/>
      <c r="E32" s="157"/>
    </row>
  </sheetData>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77" orientation="landscape"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tabColor indexed="42"/>
    <pageSetUpPr fitToPage="1"/>
  </sheetPr>
  <dimension ref="A1:T11"/>
  <sheetViews>
    <sheetView zoomScale="80" zoomScaleNormal="80" workbookViewId="0">
      <pane xSplit="1" ySplit="5" topLeftCell="B6" activePane="bottomRight" state="frozen"/>
      <selection pane="topRight" activeCell="B1" sqref="B1"/>
      <selection pane="bottomLeft" activeCell="A6" sqref="A6"/>
      <selection pane="bottomRight" activeCell="J11" sqref="J11"/>
    </sheetView>
  </sheetViews>
  <sheetFormatPr defaultRowHeight="15.75" x14ac:dyDescent="0.2"/>
  <cols>
    <col min="1" max="1" width="8.85546875" style="414" customWidth="1"/>
    <col min="2" max="2" width="20.5703125" style="414" customWidth="1"/>
    <col min="3" max="3" width="19.140625" style="414" customWidth="1"/>
    <col min="4" max="4" width="15.85546875" style="414" customWidth="1"/>
    <col min="5" max="5" width="15.7109375" style="414" customWidth="1"/>
    <col min="6" max="6" width="14.5703125" style="414" customWidth="1"/>
    <col min="7" max="7" width="18.7109375" style="414" customWidth="1"/>
    <col min="8" max="8" width="20.28515625" style="414" customWidth="1"/>
    <col min="9" max="9" width="18" style="414" customWidth="1"/>
    <col min="10" max="10" width="14.28515625" style="414" customWidth="1"/>
    <col min="11" max="11" width="16.85546875" style="414" customWidth="1"/>
    <col min="12" max="12" width="15" style="414" customWidth="1"/>
    <col min="13" max="13" width="17.7109375" style="414" customWidth="1"/>
    <col min="14" max="15" width="9.140625" style="414"/>
    <col min="16" max="16" width="17.28515625" style="414" customWidth="1"/>
    <col min="17" max="16384" width="9.140625" style="414"/>
  </cols>
  <sheetData>
    <row r="1" spans="1:20" s="405" customFormat="1" ht="35.1" customHeight="1" thickBot="1" x14ac:dyDescent="0.25">
      <c r="A1" s="647" t="s">
        <v>727</v>
      </c>
      <c r="B1" s="648"/>
      <c r="C1" s="648"/>
      <c r="D1" s="648"/>
      <c r="E1" s="648"/>
      <c r="F1" s="648"/>
      <c r="G1" s="648"/>
      <c r="H1" s="648"/>
      <c r="I1" s="648"/>
      <c r="J1" s="648"/>
      <c r="K1" s="648"/>
      <c r="L1" s="648"/>
      <c r="M1" s="649"/>
    </row>
    <row r="2" spans="1:20" s="405" customFormat="1" ht="42.75" customHeight="1" x14ac:dyDescent="0.2">
      <c r="A2" s="467" t="s">
        <v>793</v>
      </c>
      <c r="B2" s="468"/>
      <c r="C2" s="468"/>
      <c r="D2" s="468"/>
      <c r="E2" s="468"/>
      <c r="F2" s="468"/>
      <c r="G2" s="468"/>
      <c r="H2" s="468"/>
      <c r="I2" s="468"/>
      <c r="J2" s="468"/>
      <c r="K2" s="468"/>
      <c r="L2" s="468"/>
      <c r="M2" s="469"/>
    </row>
    <row r="3" spans="1:20" s="405" customFormat="1" ht="45.75" customHeight="1" x14ac:dyDescent="0.2">
      <c r="A3" s="650" t="s">
        <v>134</v>
      </c>
      <c r="B3" s="652" t="s">
        <v>655</v>
      </c>
      <c r="C3" s="652"/>
      <c r="D3" s="652"/>
      <c r="E3" s="652"/>
      <c r="F3" s="652"/>
      <c r="G3" s="652"/>
      <c r="H3" s="652" t="s">
        <v>728</v>
      </c>
      <c r="I3" s="652"/>
      <c r="J3" s="652"/>
      <c r="K3" s="652"/>
      <c r="L3" s="652"/>
      <c r="M3" s="653"/>
    </row>
    <row r="4" spans="1:20" s="409" customFormat="1" ht="171.75" customHeight="1" x14ac:dyDescent="0.2">
      <c r="A4" s="651"/>
      <c r="B4" s="406" t="s">
        <v>582</v>
      </c>
      <c r="C4" s="406" t="s">
        <v>583</v>
      </c>
      <c r="D4" s="406" t="s">
        <v>138</v>
      </c>
      <c r="E4" s="406" t="s">
        <v>37</v>
      </c>
      <c r="F4" s="406" t="s">
        <v>38</v>
      </c>
      <c r="G4" s="406" t="s">
        <v>132</v>
      </c>
      <c r="H4" s="406" t="s">
        <v>582</v>
      </c>
      <c r="I4" s="406" t="s">
        <v>583</v>
      </c>
      <c r="J4" s="406" t="s">
        <v>138</v>
      </c>
      <c r="K4" s="406" t="s">
        <v>37</v>
      </c>
      <c r="L4" s="407" t="s">
        <v>38</v>
      </c>
      <c r="M4" s="408" t="s">
        <v>132</v>
      </c>
    </row>
    <row r="5" spans="1:20" x14ac:dyDescent="0.2">
      <c r="A5" s="410"/>
      <c r="B5" s="411" t="s">
        <v>178</v>
      </c>
      <c r="C5" s="411" t="s">
        <v>179</v>
      </c>
      <c r="D5" s="411" t="s">
        <v>180</v>
      </c>
      <c r="E5" s="411" t="s">
        <v>186</v>
      </c>
      <c r="F5" s="411" t="s">
        <v>181</v>
      </c>
      <c r="G5" s="411" t="s">
        <v>554</v>
      </c>
      <c r="H5" s="411" t="s">
        <v>183</v>
      </c>
      <c r="I5" s="411" t="s">
        <v>184</v>
      </c>
      <c r="J5" s="411" t="s">
        <v>185</v>
      </c>
      <c r="K5" s="411" t="s">
        <v>555</v>
      </c>
      <c r="L5" s="412" t="s">
        <v>556</v>
      </c>
      <c r="M5" s="413" t="s">
        <v>648</v>
      </c>
    </row>
    <row r="6" spans="1:20" ht="107.25" customHeight="1" thickBot="1" x14ac:dyDescent="0.25">
      <c r="A6" s="415">
        <v>1</v>
      </c>
      <c r="B6" s="416">
        <v>16584221.359999999</v>
      </c>
      <c r="C6" s="416">
        <v>30036634.670000002</v>
      </c>
      <c r="D6" s="416">
        <v>974890.66</v>
      </c>
      <c r="E6" s="416">
        <v>1974844.76</v>
      </c>
      <c r="F6" s="416">
        <v>2140325.1</v>
      </c>
      <c r="G6" s="417">
        <f>SUM(B6:F6)</f>
        <v>51710916.549999997</v>
      </c>
      <c r="H6" s="416">
        <f>B6+'[2]T11-Zdroje KV'!D15-'[2]T5 - Analýza nákladov'!E91-'T5 - Analýza nákladov'!E94</f>
        <v>15133861.899999999</v>
      </c>
      <c r="I6" s="416">
        <f>C6+'[2]T11-Zdroje KV'!D16-'[2]T5 - Analýza nákladov'!E93-29849.21-1221024.22</f>
        <v>31857618.790000007</v>
      </c>
      <c r="J6" s="416">
        <v>873894.26</v>
      </c>
      <c r="K6" s="416">
        <v>1533366.42</v>
      </c>
      <c r="L6" s="416">
        <v>2347004.73</v>
      </c>
      <c r="M6" s="418">
        <f>SUM(H6:L6)</f>
        <v>51745746.100000001</v>
      </c>
      <c r="N6" s="645"/>
      <c r="O6" s="645"/>
      <c r="P6" s="645"/>
      <c r="Q6" s="645"/>
      <c r="R6" s="645"/>
      <c r="S6" s="645"/>
      <c r="T6" s="645"/>
    </row>
    <row r="7" spans="1:20" ht="60" customHeight="1" x14ac:dyDescent="0.2">
      <c r="A7" s="646" t="s">
        <v>879</v>
      </c>
      <c r="B7" s="646"/>
      <c r="C7" s="646"/>
      <c r="D7" s="646"/>
      <c r="E7" s="646"/>
      <c r="F7" s="646"/>
      <c r="G7" s="646"/>
      <c r="H7" s="646"/>
      <c r="I7" s="646"/>
      <c r="J7" s="646"/>
      <c r="K7" s="646"/>
      <c r="L7" s="646"/>
      <c r="M7" s="646"/>
      <c r="P7" s="419"/>
    </row>
    <row r="8" spans="1:20" ht="15.75" customHeight="1" x14ac:dyDescent="0.2">
      <c r="B8" s="420"/>
      <c r="H8" s="421"/>
      <c r="I8" s="421"/>
      <c r="P8" s="419"/>
    </row>
    <row r="9" spans="1:20" ht="51.75" customHeight="1" x14ac:dyDescent="0.2">
      <c r="B9" s="420"/>
      <c r="C9" s="420"/>
      <c r="E9" s="645"/>
      <c r="F9" s="645"/>
      <c r="G9" s="645"/>
      <c r="H9" s="645"/>
      <c r="I9" s="645"/>
      <c r="J9" s="645"/>
      <c r="K9" s="645"/>
      <c r="P9" s="421"/>
    </row>
    <row r="11" spans="1:20" x14ac:dyDescent="0.2">
      <c r="B11" s="420"/>
      <c r="C11" s="420"/>
    </row>
  </sheetData>
  <mergeCells count="8">
    <mergeCell ref="E9:K9"/>
    <mergeCell ref="A7:M7"/>
    <mergeCell ref="N6:T6"/>
    <mergeCell ref="A1:M1"/>
    <mergeCell ref="A2:M2"/>
    <mergeCell ref="A3:A4"/>
    <mergeCell ref="B3:G3"/>
    <mergeCell ref="H3:M3"/>
  </mergeCells>
  <phoneticPr fontId="22" type="noConversion"/>
  <pageMargins left="0.4" right="0.27" top="0.98425196850393704" bottom="0.98425196850393704" header="0.51181102362204722" footer="0.51181102362204722"/>
  <pageSetup paperSize="9" scale="65"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4"/>
  <sheetViews>
    <sheetView workbookViewId="0">
      <pane xSplit="3" ySplit="3" topLeftCell="D28" activePane="bottomRight" state="frozen"/>
      <selection pane="topRight" activeCell="D1" sqref="D1"/>
      <selection pane="bottomLeft" activeCell="A4" sqref="A4"/>
      <selection pane="bottomRight" activeCell="M22" sqref="M22"/>
    </sheetView>
  </sheetViews>
  <sheetFormatPr defaultRowHeight="15.75" x14ac:dyDescent="0.2"/>
  <cols>
    <col min="1" max="1" width="7.28515625" style="422" customWidth="1"/>
    <col min="2" max="2" width="39.85546875" style="422" customWidth="1"/>
    <col min="3" max="3" width="9.42578125" style="422" customWidth="1"/>
    <col min="4" max="4" width="18.42578125" style="422" customWidth="1"/>
    <col min="5" max="5" width="16.7109375" style="422" customWidth="1"/>
    <col min="6" max="6" width="15.42578125" style="422" customWidth="1"/>
    <col min="7" max="7" width="51" style="422" customWidth="1"/>
    <col min="8" max="16384" width="9.140625" style="422"/>
  </cols>
  <sheetData>
    <row r="1" spans="1:7" ht="66.75" customHeight="1" thickBot="1" x14ac:dyDescent="0.25">
      <c r="A1" s="658" t="s">
        <v>729</v>
      </c>
      <c r="B1" s="659"/>
      <c r="C1" s="659"/>
      <c r="D1" s="659"/>
      <c r="E1" s="659"/>
      <c r="F1" s="660"/>
    </row>
    <row r="2" spans="1:7" ht="36.75" customHeight="1" thickBot="1" x14ac:dyDescent="0.25">
      <c r="A2" s="661" t="s">
        <v>788</v>
      </c>
      <c r="B2" s="662"/>
      <c r="C2" s="662"/>
      <c r="D2" s="662"/>
      <c r="E2" s="662"/>
      <c r="F2" s="663"/>
    </row>
    <row r="3" spans="1:7" s="426" customFormat="1" ht="69" customHeight="1" x14ac:dyDescent="0.2">
      <c r="A3" s="74" t="s">
        <v>396</v>
      </c>
      <c r="B3" s="74" t="s">
        <v>270</v>
      </c>
      <c r="C3" s="423" t="s">
        <v>134</v>
      </c>
      <c r="D3" s="423" t="s">
        <v>730</v>
      </c>
      <c r="E3" s="424" t="s">
        <v>731</v>
      </c>
      <c r="F3" s="425" t="s">
        <v>706</v>
      </c>
      <c r="G3" s="422"/>
    </row>
    <row r="4" spans="1:7" s="426" customFormat="1" x14ac:dyDescent="0.2">
      <c r="A4" s="76"/>
      <c r="B4" s="75"/>
      <c r="C4" s="427"/>
      <c r="D4" s="427" t="s">
        <v>178</v>
      </c>
      <c r="E4" s="427" t="s">
        <v>179</v>
      </c>
      <c r="F4" s="428" t="s">
        <v>180</v>
      </c>
      <c r="G4" s="422"/>
    </row>
    <row r="5" spans="1:7" s="434" customFormat="1" x14ac:dyDescent="0.25">
      <c r="A5" s="429">
        <v>601</v>
      </c>
      <c r="B5" s="430" t="s">
        <v>470</v>
      </c>
      <c r="C5" s="431" t="s">
        <v>471</v>
      </c>
      <c r="D5" s="432">
        <v>233480.72</v>
      </c>
      <c r="E5" s="432">
        <v>255396.56</v>
      </c>
      <c r="F5" s="433">
        <f>E5-D5</f>
        <v>21915.839999999997</v>
      </c>
      <c r="G5" s="422"/>
    </row>
    <row r="6" spans="1:7" s="434" customFormat="1" x14ac:dyDescent="0.25">
      <c r="A6" s="117">
        <v>602</v>
      </c>
      <c r="B6" s="435" t="s">
        <v>472</v>
      </c>
      <c r="C6" s="436" t="s">
        <v>473</v>
      </c>
      <c r="D6" s="437">
        <v>842980.42</v>
      </c>
      <c r="E6" s="437">
        <v>863555.93</v>
      </c>
      <c r="F6" s="433">
        <f t="shared" ref="F6:F39" si="0">E6-D6</f>
        <v>20575.510000000009</v>
      </c>
      <c r="G6" s="422"/>
    </row>
    <row r="7" spans="1:7" s="434" customFormat="1" x14ac:dyDescent="0.25">
      <c r="A7" s="117">
        <v>604</v>
      </c>
      <c r="B7" s="438" t="s">
        <v>474</v>
      </c>
      <c r="C7" s="436" t="s">
        <v>475</v>
      </c>
      <c r="D7" s="439"/>
      <c r="E7" s="437"/>
      <c r="F7" s="433">
        <f t="shared" si="0"/>
        <v>0</v>
      </c>
      <c r="G7" s="422"/>
    </row>
    <row r="8" spans="1:7" s="434" customFormat="1" x14ac:dyDescent="0.25">
      <c r="A8" s="117">
        <v>611</v>
      </c>
      <c r="B8" s="435" t="s">
        <v>476</v>
      </c>
      <c r="C8" s="436" t="s">
        <v>477</v>
      </c>
      <c r="D8" s="439"/>
      <c r="E8" s="437"/>
      <c r="F8" s="433">
        <f t="shared" si="0"/>
        <v>0</v>
      </c>
      <c r="G8" s="422"/>
    </row>
    <row r="9" spans="1:7" s="434" customFormat="1" x14ac:dyDescent="0.25">
      <c r="A9" s="117">
        <v>612</v>
      </c>
      <c r="B9" s="435" t="s">
        <v>478</v>
      </c>
      <c r="C9" s="436" t="s">
        <v>479</v>
      </c>
      <c r="D9" s="439"/>
      <c r="E9" s="437"/>
      <c r="F9" s="433">
        <f t="shared" si="0"/>
        <v>0</v>
      </c>
      <c r="G9" s="422"/>
    </row>
    <row r="10" spans="1:7" s="434" customFormat="1" x14ac:dyDescent="0.25">
      <c r="A10" s="117">
        <v>613</v>
      </c>
      <c r="B10" s="435" t="s">
        <v>480</v>
      </c>
      <c r="C10" s="436" t="s">
        <v>481</v>
      </c>
      <c r="D10" s="439"/>
      <c r="E10" s="437"/>
      <c r="F10" s="433">
        <f t="shared" si="0"/>
        <v>0</v>
      </c>
      <c r="G10" s="422"/>
    </row>
    <row r="11" spans="1:7" s="434" customFormat="1" x14ac:dyDescent="0.25">
      <c r="A11" s="117">
        <v>614</v>
      </c>
      <c r="B11" s="435" t="s">
        <v>482</v>
      </c>
      <c r="C11" s="436" t="s">
        <v>483</v>
      </c>
      <c r="D11" s="439"/>
      <c r="E11" s="437"/>
      <c r="F11" s="433">
        <f t="shared" si="0"/>
        <v>0</v>
      </c>
      <c r="G11" s="422"/>
    </row>
    <row r="12" spans="1:7" s="434" customFormat="1" x14ac:dyDescent="0.25">
      <c r="A12" s="117">
        <v>621</v>
      </c>
      <c r="B12" s="435" t="s">
        <v>484</v>
      </c>
      <c r="C12" s="436" t="s">
        <v>485</v>
      </c>
      <c r="D12" s="439"/>
      <c r="E12" s="437"/>
      <c r="F12" s="433">
        <f t="shared" si="0"/>
        <v>0</v>
      </c>
      <c r="G12" s="422"/>
    </row>
    <row r="13" spans="1:7" s="434" customFormat="1" x14ac:dyDescent="0.25">
      <c r="A13" s="117">
        <v>622</v>
      </c>
      <c r="B13" s="435" t="s">
        <v>486</v>
      </c>
      <c r="C13" s="436" t="s">
        <v>487</v>
      </c>
      <c r="D13" s="439"/>
      <c r="E13" s="437"/>
      <c r="F13" s="433">
        <f t="shared" si="0"/>
        <v>0</v>
      </c>
      <c r="G13" s="422"/>
    </row>
    <row r="14" spans="1:7" s="434" customFormat="1" x14ac:dyDescent="0.25">
      <c r="A14" s="117">
        <v>623</v>
      </c>
      <c r="B14" s="435" t="s">
        <v>488</v>
      </c>
      <c r="C14" s="436" t="s">
        <v>489</v>
      </c>
      <c r="D14" s="439"/>
      <c r="E14" s="437"/>
      <c r="F14" s="433">
        <f t="shared" si="0"/>
        <v>0</v>
      </c>
    </row>
    <row r="15" spans="1:7" s="434" customFormat="1" x14ac:dyDescent="0.25">
      <c r="A15" s="117">
        <v>624</v>
      </c>
      <c r="B15" s="435" t="s">
        <v>490</v>
      </c>
      <c r="C15" s="436" t="s">
        <v>491</v>
      </c>
      <c r="D15" s="439"/>
      <c r="E15" s="437"/>
      <c r="F15" s="433">
        <f t="shared" si="0"/>
        <v>0</v>
      </c>
    </row>
    <row r="16" spans="1:7" s="434" customFormat="1" x14ac:dyDescent="0.25">
      <c r="A16" s="117">
        <v>641</v>
      </c>
      <c r="B16" s="435" t="s">
        <v>427</v>
      </c>
      <c r="C16" s="436" t="s">
        <v>492</v>
      </c>
      <c r="D16" s="439"/>
      <c r="E16" s="437"/>
      <c r="F16" s="433">
        <f t="shared" si="0"/>
        <v>0</v>
      </c>
    </row>
    <row r="17" spans="1:7" s="434" customFormat="1" x14ac:dyDescent="0.25">
      <c r="A17" s="117">
        <v>642</v>
      </c>
      <c r="B17" s="435" t="s">
        <v>429</v>
      </c>
      <c r="C17" s="436" t="s">
        <v>493</v>
      </c>
      <c r="D17" s="439"/>
      <c r="E17" s="437"/>
      <c r="F17" s="433">
        <f t="shared" si="0"/>
        <v>0</v>
      </c>
    </row>
    <row r="18" spans="1:7" s="434" customFormat="1" x14ac:dyDescent="0.25">
      <c r="A18" s="117">
        <v>643</v>
      </c>
      <c r="B18" s="435" t="s">
        <v>494</v>
      </c>
      <c r="C18" s="436" t="s">
        <v>495</v>
      </c>
      <c r="D18" s="439"/>
      <c r="E18" s="437"/>
      <c r="F18" s="433">
        <f t="shared" si="0"/>
        <v>0</v>
      </c>
    </row>
    <row r="19" spans="1:7" s="434" customFormat="1" x14ac:dyDescent="0.25">
      <c r="A19" s="117">
        <v>644</v>
      </c>
      <c r="B19" s="435" t="s">
        <v>433</v>
      </c>
      <c r="C19" s="436" t="s">
        <v>496</v>
      </c>
      <c r="D19" s="439"/>
      <c r="E19" s="437"/>
      <c r="F19" s="433">
        <f t="shared" si="0"/>
        <v>0</v>
      </c>
    </row>
    <row r="20" spans="1:7" s="434" customFormat="1" x14ac:dyDescent="0.25">
      <c r="A20" s="117">
        <v>645</v>
      </c>
      <c r="B20" s="435" t="s">
        <v>497</v>
      </c>
      <c r="C20" s="436" t="s">
        <v>498</v>
      </c>
      <c r="D20" s="439"/>
      <c r="E20" s="437"/>
      <c r="F20" s="433">
        <f t="shared" si="0"/>
        <v>0</v>
      </c>
    </row>
    <row r="21" spans="1:7" s="434" customFormat="1" x14ac:dyDescent="0.25">
      <c r="A21" s="117">
        <v>646</v>
      </c>
      <c r="B21" s="435" t="s">
        <v>499</v>
      </c>
      <c r="C21" s="436" t="s">
        <v>500</v>
      </c>
      <c r="D21" s="439"/>
      <c r="E21" s="437"/>
      <c r="F21" s="433">
        <f t="shared" si="0"/>
        <v>0</v>
      </c>
    </row>
    <row r="22" spans="1:7" s="434" customFormat="1" x14ac:dyDescent="0.25">
      <c r="A22" s="117">
        <v>647</v>
      </c>
      <c r="B22" s="435" t="s">
        <v>501</v>
      </c>
      <c r="C22" s="436" t="s">
        <v>502</v>
      </c>
      <c r="D22" s="439"/>
      <c r="E22" s="437"/>
      <c r="F22" s="433">
        <f t="shared" si="0"/>
        <v>0</v>
      </c>
    </row>
    <row r="23" spans="1:7" s="434" customFormat="1" x14ac:dyDescent="0.25">
      <c r="A23" s="117">
        <v>648</v>
      </c>
      <c r="B23" s="435" t="s">
        <v>503</v>
      </c>
      <c r="C23" s="436" t="s">
        <v>504</v>
      </c>
      <c r="D23" s="439">
        <v>48967.9</v>
      </c>
      <c r="E23" s="437">
        <v>64729.47</v>
      </c>
      <c r="F23" s="433">
        <f t="shared" si="0"/>
        <v>15761.57</v>
      </c>
      <c r="G23" s="125"/>
    </row>
    <row r="24" spans="1:7" s="434" customFormat="1" ht="37.5" customHeight="1" x14ac:dyDescent="0.25">
      <c r="A24" s="117">
        <v>649</v>
      </c>
      <c r="B24" s="435" t="s">
        <v>505</v>
      </c>
      <c r="C24" s="436" t="s">
        <v>506</v>
      </c>
      <c r="D24" s="437">
        <f>14415.15</f>
        <v>14415.15</v>
      </c>
      <c r="E24" s="437">
        <f>3871.55</f>
        <v>3871.55</v>
      </c>
      <c r="F24" s="433">
        <f t="shared" si="0"/>
        <v>-10543.599999999999</v>
      </c>
      <c r="G24" s="125"/>
    </row>
    <row r="25" spans="1:7" s="434" customFormat="1" x14ac:dyDescent="0.25">
      <c r="A25" s="117">
        <v>651</v>
      </c>
      <c r="B25" s="435" t="s">
        <v>507</v>
      </c>
      <c r="C25" s="436" t="s">
        <v>508</v>
      </c>
      <c r="D25" s="439"/>
      <c r="E25" s="437">
        <v>43300.46</v>
      </c>
      <c r="F25" s="433">
        <f t="shared" si="0"/>
        <v>43300.46</v>
      </c>
    </row>
    <row r="26" spans="1:7" s="434" customFormat="1" x14ac:dyDescent="0.25">
      <c r="A26" s="117">
        <v>652</v>
      </c>
      <c r="B26" s="435" t="s">
        <v>509</v>
      </c>
      <c r="C26" s="436" t="s">
        <v>510</v>
      </c>
      <c r="D26" s="439"/>
      <c r="E26" s="437"/>
      <c r="F26" s="433">
        <f t="shared" si="0"/>
        <v>0</v>
      </c>
    </row>
    <row r="27" spans="1:7" s="434" customFormat="1" x14ac:dyDescent="0.25">
      <c r="A27" s="117">
        <v>653</v>
      </c>
      <c r="B27" s="435" t="s">
        <v>511</v>
      </c>
      <c r="C27" s="436" t="s">
        <v>512</v>
      </c>
      <c r="D27" s="439"/>
      <c r="E27" s="437"/>
      <c r="F27" s="433">
        <f t="shared" si="0"/>
        <v>0</v>
      </c>
    </row>
    <row r="28" spans="1:7" s="434" customFormat="1" x14ac:dyDescent="0.25">
      <c r="A28" s="117">
        <v>654</v>
      </c>
      <c r="B28" s="435" t="s">
        <v>513</v>
      </c>
      <c r="C28" s="436" t="s">
        <v>514</v>
      </c>
      <c r="D28" s="439"/>
      <c r="E28" s="437"/>
      <c r="F28" s="433">
        <f t="shared" si="0"/>
        <v>0</v>
      </c>
    </row>
    <row r="29" spans="1:7" s="434" customFormat="1" x14ac:dyDescent="0.25">
      <c r="A29" s="117">
        <v>655</v>
      </c>
      <c r="B29" s="435" t="s">
        <v>515</v>
      </c>
      <c r="C29" s="436" t="s">
        <v>516</v>
      </c>
      <c r="D29" s="439"/>
      <c r="E29" s="437"/>
      <c r="F29" s="433">
        <f t="shared" si="0"/>
        <v>0</v>
      </c>
    </row>
    <row r="30" spans="1:7" s="434" customFormat="1" x14ac:dyDescent="0.25">
      <c r="A30" s="117">
        <v>656</v>
      </c>
      <c r="B30" s="435" t="s">
        <v>517</v>
      </c>
      <c r="C30" s="436" t="s">
        <v>518</v>
      </c>
      <c r="D30" s="439">
        <v>34413.96</v>
      </c>
      <c r="E30" s="437">
        <v>48274.22</v>
      </c>
      <c r="F30" s="433">
        <f t="shared" si="0"/>
        <v>13860.260000000002</v>
      </c>
    </row>
    <row r="31" spans="1:7" s="434" customFormat="1" x14ac:dyDescent="0.25">
      <c r="A31" s="117">
        <v>657</v>
      </c>
      <c r="B31" s="435" t="s">
        <v>519</v>
      </c>
      <c r="C31" s="436" t="s">
        <v>520</v>
      </c>
      <c r="D31" s="439"/>
      <c r="E31" s="437"/>
      <c r="F31" s="433">
        <f t="shared" si="0"/>
        <v>0</v>
      </c>
    </row>
    <row r="32" spans="1:7" s="434" customFormat="1" x14ac:dyDescent="0.25">
      <c r="A32" s="117">
        <v>658</v>
      </c>
      <c r="B32" s="435" t="s">
        <v>521</v>
      </c>
      <c r="C32" s="436" t="s">
        <v>522</v>
      </c>
      <c r="D32" s="439"/>
      <c r="E32" s="437"/>
      <c r="F32" s="433">
        <f t="shared" si="0"/>
        <v>0</v>
      </c>
    </row>
    <row r="33" spans="1:7" s="434" customFormat="1" x14ac:dyDescent="0.25">
      <c r="A33" s="117">
        <v>661</v>
      </c>
      <c r="B33" s="435" t="s">
        <v>523</v>
      </c>
      <c r="C33" s="436" t="s">
        <v>524</v>
      </c>
      <c r="D33" s="439"/>
      <c r="E33" s="437"/>
      <c r="F33" s="433">
        <f t="shared" si="0"/>
        <v>0</v>
      </c>
    </row>
    <row r="34" spans="1:7" s="434" customFormat="1" x14ac:dyDescent="0.25">
      <c r="A34" s="117">
        <v>662</v>
      </c>
      <c r="B34" s="435" t="s">
        <v>525</v>
      </c>
      <c r="C34" s="436" t="s">
        <v>526</v>
      </c>
      <c r="D34" s="439"/>
      <c r="E34" s="437"/>
      <c r="F34" s="433">
        <f t="shared" si="0"/>
        <v>0</v>
      </c>
    </row>
    <row r="35" spans="1:7" s="434" customFormat="1" x14ac:dyDescent="0.25">
      <c r="A35" s="117">
        <v>663</v>
      </c>
      <c r="B35" s="435" t="s">
        <v>527</v>
      </c>
      <c r="C35" s="436" t="s">
        <v>528</v>
      </c>
      <c r="D35" s="439"/>
      <c r="E35" s="437"/>
      <c r="F35" s="433">
        <f t="shared" si="0"/>
        <v>0</v>
      </c>
    </row>
    <row r="36" spans="1:7" s="434" customFormat="1" x14ac:dyDescent="0.25">
      <c r="A36" s="117">
        <v>664</v>
      </c>
      <c r="B36" s="435" t="s">
        <v>529</v>
      </c>
      <c r="C36" s="436" t="s">
        <v>530</v>
      </c>
      <c r="D36" s="439"/>
      <c r="E36" s="440"/>
      <c r="F36" s="433">
        <f t="shared" si="0"/>
        <v>0</v>
      </c>
      <c r="G36" s="422"/>
    </row>
    <row r="37" spans="1:7" s="434" customFormat="1" x14ac:dyDescent="0.25">
      <c r="A37" s="117">
        <v>665</v>
      </c>
      <c r="B37" s="435" t="s">
        <v>531</v>
      </c>
      <c r="C37" s="436" t="s">
        <v>532</v>
      </c>
      <c r="D37" s="439"/>
      <c r="E37" s="440"/>
      <c r="F37" s="433">
        <f t="shared" si="0"/>
        <v>0</v>
      </c>
      <c r="G37" s="422"/>
    </row>
    <row r="38" spans="1:7" x14ac:dyDescent="0.25">
      <c r="A38" s="117">
        <v>667</v>
      </c>
      <c r="B38" s="435" t="s">
        <v>533</v>
      </c>
      <c r="C38" s="436" t="s">
        <v>534</v>
      </c>
      <c r="D38" s="439"/>
      <c r="E38" s="440"/>
      <c r="F38" s="433">
        <f t="shared" si="0"/>
        <v>0</v>
      </c>
    </row>
    <row r="39" spans="1:7" x14ac:dyDescent="0.25">
      <c r="A39" s="117">
        <v>691</v>
      </c>
      <c r="B39" s="435" t="s">
        <v>535</v>
      </c>
      <c r="C39" s="436" t="s">
        <v>536</v>
      </c>
      <c r="D39" s="440">
        <v>962617.62</v>
      </c>
      <c r="E39" s="440">
        <v>991996.79</v>
      </c>
      <c r="F39" s="433">
        <f t="shared" si="0"/>
        <v>29379.170000000042</v>
      </c>
    </row>
    <row r="40" spans="1:7" x14ac:dyDescent="0.2">
      <c r="A40" s="654" t="s">
        <v>537</v>
      </c>
      <c r="B40" s="655"/>
      <c r="C40" s="441" t="s">
        <v>538</v>
      </c>
      <c r="D40" s="442">
        <f>SUM(D5:D39)</f>
        <v>2136875.77</v>
      </c>
      <c r="E40" s="443">
        <f>SUM(E5:E39)</f>
        <v>2271124.98</v>
      </c>
      <c r="F40" s="433">
        <f>SUM(F5:F39)</f>
        <v>134249.21000000005</v>
      </c>
    </row>
    <row r="41" spans="1:7" x14ac:dyDescent="0.2">
      <c r="A41" s="654" t="s">
        <v>539</v>
      </c>
      <c r="B41" s="655"/>
      <c r="C41" s="441" t="s">
        <v>540</v>
      </c>
      <c r="D41" s="135">
        <f>D40-[3]T23_Náklady_soc_oblasť!D42</f>
        <v>406464.81000000029</v>
      </c>
      <c r="E41" s="444">
        <f>E40-[3]T23_Náklady_soc_oblasť!E42</f>
        <v>372056.30000000005</v>
      </c>
      <c r="F41" s="433">
        <f>F40-[3]T23_Náklady_soc_oblasť!F42</f>
        <v>-34408.510000000009</v>
      </c>
    </row>
    <row r="42" spans="1:7" x14ac:dyDescent="0.25">
      <c r="A42" s="117">
        <v>591</v>
      </c>
      <c r="B42" s="435" t="s">
        <v>541</v>
      </c>
      <c r="C42" s="436" t="s">
        <v>542</v>
      </c>
      <c r="D42" s="439"/>
      <c r="E42" s="437"/>
      <c r="F42" s="433">
        <f>E42-D42</f>
        <v>0</v>
      </c>
    </row>
    <row r="43" spans="1:7" x14ac:dyDescent="0.25">
      <c r="A43" s="117">
        <v>595</v>
      </c>
      <c r="B43" s="435" t="s">
        <v>543</v>
      </c>
      <c r="C43" s="436" t="s">
        <v>544</v>
      </c>
      <c r="D43" s="439"/>
      <c r="E43" s="437"/>
      <c r="F43" s="433">
        <f>E43-D43</f>
        <v>0</v>
      </c>
    </row>
    <row r="44" spans="1:7" ht="16.5" thickBot="1" x14ac:dyDescent="0.25">
      <c r="A44" s="656" t="s">
        <v>545</v>
      </c>
      <c r="B44" s="657"/>
      <c r="C44" s="445" t="s">
        <v>546</v>
      </c>
      <c r="D44" s="446">
        <f>D41-D42-D43</f>
        <v>406464.81000000029</v>
      </c>
      <c r="E44" s="446">
        <f>E41-E42-E43</f>
        <v>372056.30000000005</v>
      </c>
      <c r="F44" s="447">
        <f>E44-D44</f>
        <v>-34408.510000000242</v>
      </c>
    </row>
  </sheetData>
  <mergeCells count="5">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86"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3"/>
  <sheetViews>
    <sheetView tabSelected="1" workbookViewId="0">
      <pane xSplit="3" ySplit="3" topLeftCell="D4" activePane="bottomRight" state="frozen"/>
      <selection pane="topRight" activeCell="D1" sqref="D1"/>
      <selection pane="bottomLeft" activeCell="A4" sqref="A4"/>
      <selection pane="bottomRight" activeCell="O24" sqref="O24"/>
    </sheetView>
  </sheetViews>
  <sheetFormatPr defaultRowHeight="12.75" x14ac:dyDescent="0.2"/>
  <cols>
    <col min="1" max="1" width="8.28515625" style="434" customWidth="1"/>
    <col min="2" max="2" width="42.140625" style="434" customWidth="1"/>
    <col min="3" max="3" width="10.140625" style="434" customWidth="1"/>
    <col min="4" max="4" width="17.42578125" style="434" customWidth="1"/>
    <col min="5" max="5" width="17.140625" style="434" customWidth="1"/>
    <col min="6" max="6" width="16.5703125" style="434" customWidth="1"/>
    <col min="7" max="16384" width="9.140625" style="434"/>
  </cols>
  <sheetData>
    <row r="1" spans="1:6" ht="61.5" customHeight="1" thickBot="1" x14ac:dyDescent="0.25">
      <c r="A1" s="667" t="s">
        <v>732</v>
      </c>
      <c r="B1" s="668"/>
      <c r="C1" s="668"/>
      <c r="D1" s="668"/>
      <c r="E1" s="668"/>
      <c r="F1" s="669"/>
    </row>
    <row r="2" spans="1:6" ht="47.25" customHeight="1" thickBot="1" x14ac:dyDescent="0.25">
      <c r="A2" s="664" t="s">
        <v>788</v>
      </c>
      <c r="B2" s="665"/>
      <c r="C2" s="665"/>
      <c r="D2" s="665"/>
      <c r="E2" s="665"/>
      <c r="F2" s="666"/>
    </row>
    <row r="3" spans="1:6" ht="64.5" customHeight="1" x14ac:dyDescent="0.2">
      <c r="A3" s="74" t="s">
        <v>396</v>
      </c>
      <c r="B3" s="77" t="s">
        <v>270</v>
      </c>
      <c r="C3" s="78" t="s">
        <v>134</v>
      </c>
      <c r="D3" s="423" t="s">
        <v>656</v>
      </c>
      <c r="E3" s="424" t="s">
        <v>733</v>
      </c>
      <c r="F3" s="425" t="s">
        <v>734</v>
      </c>
    </row>
    <row r="4" spans="1:6" ht="15.75" x14ac:dyDescent="0.2">
      <c r="A4" s="76"/>
      <c r="B4" s="79"/>
      <c r="C4" s="79"/>
      <c r="D4" s="427" t="s">
        <v>178</v>
      </c>
      <c r="E4" s="427" t="s">
        <v>179</v>
      </c>
      <c r="F4" s="428" t="s">
        <v>180</v>
      </c>
    </row>
    <row r="5" spans="1:6" ht="15.75" x14ac:dyDescent="0.25">
      <c r="A5" s="448">
        <v>501</v>
      </c>
      <c r="B5" s="449" t="s">
        <v>397</v>
      </c>
      <c r="C5" s="450" t="s">
        <v>398</v>
      </c>
      <c r="D5" s="432">
        <v>237922.15</v>
      </c>
      <c r="E5" s="432">
        <v>224769.96</v>
      </c>
      <c r="F5" s="433">
        <f>E5-D5</f>
        <v>-13152.190000000002</v>
      </c>
    </row>
    <row r="6" spans="1:6" ht="15.75" x14ac:dyDescent="0.25">
      <c r="A6" s="116">
        <v>502</v>
      </c>
      <c r="B6" s="451" t="s">
        <v>399</v>
      </c>
      <c r="C6" s="452" t="s">
        <v>400</v>
      </c>
      <c r="D6" s="437">
        <v>377756.31</v>
      </c>
      <c r="E6" s="437">
        <v>356162.75</v>
      </c>
      <c r="F6" s="453">
        <f t="shared" ref="F6:F41" si="0">E6-D6</f>
        <v>-21593.559999999998</v>
      </c>
    </row>
    <row r="7" spans="1:6" ht="15.75" x14ac:dyDescent="0.25">
      <c r="A7" s="116">
        <v>504</v>
      </c>
      <c r="B7" s="451" t="s">
        <v>401</v>
      </c>
      <c r="C7" s="452" t="s">
        <v>402</v>
      </c>
      <c r="D7" s="437"/>
      <c r="E7" s="437">
        <v>0</v>
      </c>
      <c r="F7" s="453">
        <f t="shared" si="0"/>
        <v>0</v>
      </c>
    </row>
    <row r="8" spans="1:6" ht="15.75" x14ac:dyDescent="0.25">
      <c r="A8" s="116">
        <v>511</v>
      </c>
      <c r="B8" s="451" t="s">
        <v>403</v>
      </c>
      <c r="C8" s="452" t="s">
        <v>404</v>
      </c>
      <c r="D8" s="437">
        <v>74888.94</v>
      </c>
      <c r="E8" s="437">
        <v>50789.26</v>
      </c>
      <c r="F8" s="453">
        <f t="shared" si="0"/>
        <v>-24099.68</v>
      </c>
    </row>
    <row r="9" spans="1:6" ht="15.75" x14ac:dyDescent="0.25">
      <c r="A9" s="116">
        <v>512</v>
      </c>
      <c r="B9" s="451" t="s">
        <v>405</v>
      </c>
      <c r="C9" s="452" t="s">
        <v>406</v>
      </c>
      <c r="D9" s="437">
        <v>830</v>
      </c>
      <c r="E9" s="437">
        <v>4737.1499999999996</v>
      </c>
      <c r="F9" s="453">
        <f t="shared" si="0"/>
        <v>3907.1499999999996</v>
      </c>
    </row>
    <row r="10" spans="1:6" ht="15.75" x14ac:dyDescent="0.25">
      <c r="A10" s="116">
        <v>513</v>
      </c>
      <c r="B10" s="451" t="s">
        <v>407</v>
      </c>
      <c r="C10" s="452" t="s">
        <v>408</v>
      </c>
      <c r="D10" s="437">
        <v>738.49</v>
      </c>
      <c r="E10" s="437">
        <v>0</v>
      </c>
      <c r="F10" s="453">
        <f t="shared" si="0"/>
        <v>-738.49</v>
      </c>
    </row>
    <row r="11" spans="1:6" ht="15.75" x14ac:dyDescent="0.25">
      <c r="A11" s="116">
        <v>518</v>
      </c>
      <c r="B11" s="451" t="s">
        <v>409</v>
      </c>
      <c r="C11" s="452" t="s">
        <v>410</v>
      </c>
      <c r="D11" s="437">
        <v>67181.279999999999</v>
      </c>
      <c r="E11" s="437">
        <v>59559.44</v>
      </c>
      <c r="F11" s="453">
        <f t="shared" si="0"/>
        <v>-7621.8399999999965</v>
      </c>
    </row>
    <row r="12" spans="1:6" ht="15.75" x14ac:dyDescent="0.25">
      <c r="A12" s="116">
        <v>521</v>
      </c>
      <c r="B12" s="451" t="s">
        <v>411</v>
      </c>
      <c r="C12" s="452" t="s">
        <v>412</v>
      </c>
      <c r="D12" s="437">
        <v>522063.15</v>
      </c>
      <c r="E12" s="437">
        <v>629773.28</v>
      </c>
      <c r="F12" s="453">
        <f t="shared" si="0"/>
        <v>107710.13</v>
      </c>
    </row>
    <row r="13" spans="1:6" ht="15.75" x14ac:dyDescent="0.25">
      <c r="A13" s="116">
        <v>524</v>
      </c>
      <c r="B13" s="451" t="s">
        <v>413</v>
      </c>
      <c r="C13" s="452" t="s">
        <v>414</v>
      </c>
      <c r="D13" s="437">
        <v>179421.08</v>
      </c>
      <c r="E13" s="437">
        <v>220975.28</v>
      </c>
      <c r="F13" s="453">
        <f t="shared" si="0"/>
        <v>41554.200000000012</v>
      </c>
    </row>
    <row r="14" spans="1:6" ht="15.75" x14ac:dyDescent="0.25">
      <c r="A14" s="116">
        <v>525</v>
      </c>
      <c r="B14" s="451" t="s">
        <v>415</v>
      </c>
      <c r="C14" s="452" t="s">
        <v>416</v>
      </c>
      <c r="D14" s="437">
        <v>10493.89</v>
      </c>
      <c r="E14" s="437">
        <v>13522.43</v>
      </c>
      <c r="F14" s="453">
        <f t="shared" si="0"/>
        <v>3028.5400000000009</v>
      </c>
    </row>
    <row r="15" spans="1:6" ht="15.75" x14ac:dyDescent="0.25">
      <c r="A15" s="116">
        <v>527</v>
      </c>
      <c r="B15" s="451" t="s">
        <v>417</v>
      </c>
      <c r="C15" s="452" t="s">
        <v>418</v>
      </c>
      <c r="D15" s="437">
        <v>36168.639999999999</v>
      </c>
      <c r="E15" s="437">
        <v>38590.5</v>
      </c>
      <c r="F15" s="453">
        <f t="shared" si="0"/>
        <v>2421.8600000000006</v>
      </c>
    </row>
    <row r="16" spans="1:6" ht="15.75" x14ac:dyDescent="0.25">
      <c r="A16" s="116">
        <v>528</v>
      </c>
      <c r="B16" s="451" t="s">
        <v>419</v>
      </c>
      <c r="C16" s="452" t="s">
        <v>420</v>
      </c>
      <c r="D16" s="437"/>
      <c r="E16" s="437">
        <v>0</v>
      </c>
      <c r="F16" s="453">
        <f t="shared" si="0"/>
        <v>0</v>
      </c>
    </row>
    <row r="17" spans="1:6" ht="15.75" x14ac:dyDescent="0.25">
      <c r="A17" s="116">
        <v>531</v>
      </c>
      <c r="B17" s="451" t="s">
        <v>421</v>
      </c>
      <c r="C17" s="452" t="s">
        <v>422</v>
      </c>
      <c r="D17" s="437"/>
      <c r="E17" s="437">
        <v>0</v>
      </c>
      <c r="F17" s="453">
        <f t="shared" si="0"/>
        <v>0</v>
      </c>
    </row>
    <row r="18" spans="1:6" ht="15.75" x14ac:dyDescent="0.25">
      <c r="A18" s="116">
        <v>532</v>
      </c>
      <c r="B18" s="451" t="s">
        <v>423</v>
      </c>
      <c r="C18" s="452" t="s">
        <v>424</v>
      </c>
      <c r="D18" s="437">
        <v>20269.099999999999</v>
      </c>
      <c r="E18" s="437">
        <v>20269.099999999999</v>
      </c>
      <c r="F18" s="453">
        <f t="shared" si="0"/>
        <v>0</v>
      </c>
    </row>
    <row r="19" spans="1:6" ht="15.75" x14ac:dyDescent="0.25">
      <c r="A19" s="116">
        <v>538</v>
      </c>
      <c r="B19" s="451" t="s">
        <v>425</v>
      </c>
      <c r="C19" s="452" t="s">
        <v>426</v>
      </c>
      <c r="D19" s="437">
        <v>3360.6</v>
      </c>
      <c r="E19" s="437">
        <v>1522.44</v>
      </c>
      <c r="F19" s="453">
        <f t="shared" si="0"/>
        <v>-1838.1599999999999</v>
      </c>
    </row>
    <row r="20" spans="1:6" ht="15.75" x14ac:dyDescent="0.25">
      <c r="A20" s="116">
        <v>541</v>
      </c>
      <c r="B20" s="451" t="s">
        <v>427</v>
      </c>
      <c r="C20" s="452" t="s">
        <v>428</v>
      </c>
      <c r="D20" s="437"/>
      <c r="E20" s="437"/>
      <c r="F20" s="453">
        <f t="shared" si="0"/>
        <v>0</v>
      </c>
    </row>
    <row r="21" spans="1:6" ht="15.75" x14ac:dyDescent="0.25">
      <c r="A21" s="116">
        <v>542</v>
      </c>
      <c r="B21" s="451" t="s">
        <v>429</v>
      </c>
      <c r="C21" s="452" t="s">
        <v>430</v>
      </c>
      <c r="D21" s="437"/>
      <c r="E21" s="437"/>
      <c r="F21" s="453">
        <f t="shared" si="0"/>
        <v>0</v>
      </c>
    </row>
    <row r="22" spans="1:6" ht="15.75" x14ac:dyDescent="0.25">
      <c r="A22" s="116">
        <v>543</v>
      </c>
      <c r="B22" s="451" t="s">
        <v>431</v>
      </c>
      <c r="C22" s="452" t="s">
        <v>432</v>
      </c>
      <c r="D22" s="437"/>
      <c r="E22" s="437"/>
      <c r="F22" s="453">
        <f t="shared" si="0"/>
        <v>0</v>
      </c>
    </row>
    <row r="23" spans="1:6" ht="15.75" x14ac:dyDescent="0.25">
      <c r="A23" s="116">
        <v>544</v>
      </c>
      <c r="B23" s="451" t="s">
        <v>433</v>
      </c>
      <c r="C23" s="452" t="s">
        <v>434</v>
      </c>
      <c r="D23" s="437"/>
      <c r="E23" s="437"/>
      <c r="F23" s="453">
        <f t="shared" si="0"/>
        <v>0</v>
      </c>
    </row>
    <row r="24" spans="1:6" ht="15.75" x14ac:dyDescent="0.25">
      <c r="A24" s="116">
        <v>545</v>
      </c>
      <c r="B24" s="451" t="s">
        <v>435</v>
      </c>
      <c r="C24" s="452" t="s">
        <v>436</v>
      </c>
      <c r="D24" s="437"/>
      <c r="E24" s="437">
        <v>13.21</v>
      </c>
      <c r="F24" s="453">
        <f t="shared" si="0"/>
        <v>13.21</v>
      </c>
    </row>
    <row r="25" spans="1:6" ht="15.75" x14ac:dyDescent="0.25">
      <c r="A25" s="116">
        <v>546</v>
      </c>
      <c r="B25" s="451" t="s">
        <v>437</v>
      </c>
      <c r="C25" s="452" t="s">
        <v>438</v>
      </c>
      <c r="D25" s="437"/>
      <c r="E25" s="437"/>
      <c r="F25" s="453">
        <f t="shared" si="0"/>
        <v>0</v>
      </c>
    </row>
    <row r="26" spans="1:6" ht="15.75" x14ac:dyDescent="0.25">
      <c r="A26" s="116">
        <v>547</v>
      </c>
      <c r="B26" s="451" t="s">
        <v>439</v>
      </c>
      <c r="C26" s="452" t="s">
        <v>440</v>
      </c>
      <c r="D26" s="437"/>
      <c r="E26" s="437"/>
      <c r="F26" s="453">
        <f t="shared" si="0"/>
        <v>0</v>
      </c>
    </row>
    <row r="27" spans="1:6" ht="15.75" x14ac:dyDescent="0.25">
      <c r="A27" s="116">
        <v>548</v>
      </c>
      <c r="B27" s="451" t="s">
        <v>441</v>
      </c>
      <c r="C27" s="452" t="s">
        <v>442</v>
      </c>
      <c r="D27" s="437"/>
      <c r="E27" s="437"/>
      <c r="F27" s="453">
        <f t="shared" si="0"/>
        <v>0</v>
      </c>
    </row>
    <row r="28" spans="1:6" ht="43.5" customHeight="1" x14ac:dyDescent="0.25">
      <c r="A28" s="116">
        <v>549</v>
      </c>
      <c r="B28" s="451" t="s">
        <v>443</v>
      </c>
      <c r="C28" s="452" t="s">
        <v>444</v>
      </c>
      <c r="D28" s="437">
        <f>'T19-Štip_ z vlastných '!C6</f>
        <v>34413.96</v>
      </c>
      <c r="E28" s="437">
        <f>'T19-Štip_ z vlastných '!E6</f>
        <v>48274.22</v>
      </c>
      <c r="F28" s="453">
        <f t="shared" si="0"/>
        <v>13860.260000000002</v>
      </c>
    </row>
    <row r="29" spans="1:6" ht="15.75" x14ac:dyDescent="0.25">
      <c r="A29" s="116">
        <v>551</v>
      </c>
      <c r="B29" s="451" t="s">
        <v>445</v>
      </c>
      <c r="C29" s="452" t="s">
        <v>446</v>
      </c>
      <c r="D29" s="437">
        <v>52270.04</v>
      </c>
      <c r="E29" s="437">
        <v>46796.44</v>
      </c>
      <c r="F29" s="453">
        <f t="shared" si="0"/>
        <v>-5473.5999999999985</v>
      </c>
    </row>
    <row r="30" spans="1:6" ht="15.75" x14ac:dyDescent="0.25">
      <c r="A30" s="116">
        <v>552</v>
      </c>
      <c r="B30" s="451" t="s">
        <v>560</v>
      </c>
      <c r="C30" s="452" t="s">
        <v>447</v>
      </c>
      <c r="D30" s="437"/>
      <c r="E30" s="437"/>
      <c r="F30" s="453">
        <f t="shared" si="0"/>
        <v>0</v>
      </c>
    </row>
    <row r="31" spans="1:6" ht="15.75" x14ac:dyDescent="0.25">
      <c r="A31" s="116">
        <v>553</v>
      </c>
      <c r="B31" s="451" t="s">
        <v>448</v>
      </c>
      <c r="C31" s="452" t="s">
        <v>449</v>
      </c>
      <c r="D31" s="437"/>
      <c r="E31" s="437"/>
      <c r="F31" s="453">
        <f t="shared" si="0"/>
        <v>0</v>
      </c>
    </row>
    <row r="32" spans="1:6" ht="15.75" x14ac:dyDescent="0.25">
      <c r="A32" s="116">
        <v>554</v>
      </c>
      <c r="B32" s="451" t="s">
        <v>450</v>
      </c>
      <c r="C32" s="452" t="s">
        <v>451</v>
      </c>
      <c r="D32" s="437"/>
      <c r="E32" s="437"/>
      <c r="F32" s="453">
        <f t="shared" si="0"/>
        <v>0</v>
      </c>
    </row>
    <row r="33" spans="1:6" ht="15.75" x14ac:dyDescent="0.25">
      <c r="A33" s="116">
        <v>555</v>
      </c>
      <c r="B33" s="451" t="s">
        <v>452</v>
      </c>
      <c r="C33" s="452" t="s">
        <v>453</v>
      </c>
      <c r="D33" s="437"/>
      <c r="E33" s="437"/>
      <c r="F33" s="453">
        <f t="shared" si="0"/>
        <v>0</v>
      </c>
    </row>
    <row r="34" spans="1:6" ht="15.75" x14ac:dyDescent="0.25">
      <c r="A34" s="116">
        <v>556</v>
      </c>
      <c r="B34" s="451" t="s">
        <v>454</v>
      </c>
      <c r="C34" s="452" t="s">
        <v>455</v>
      </c>
      <c r="D34" s="439">
        <v>48967.9</v>
      </c>
      <c r="E34" s="437">
        <v>64729.47</v>
      </c>
      <c r="F34" s="453">
        <f t="shared" si="0"/>
        <v>15761.57</v>
      </c>
    </row>
    <row r="35" spans="1:6" ht="15.75" x14ac:dyDescent="0.25">
      <c r="A35" s="116">
        <v>557</v>
      </c>
      <c r="B35" s="451" t="s">
        <v>456</v>
      </c>
      <c r="C35" s="452" t="s">
        <v>457</v>
      </c>
      <c r="D35" s="439"/>
      <c r="E35" s="437"/>
      <c r="F35" s="453">
        <f t="shared" si="0"/>
        <v>0</v>
      </c>
    </row>
    <row r="36" spans="1:6" ht="15.75" x14ac:dyDescent="0.25">
      <c r="A36" s="116">
        <v>558</v>
      </c>
      <c r="B36" s="451" t="s">
        <v>458</v>
      </c>
      <c r="C36" s="452" t="s">
        <v>459</v>
      </c>
      <c r="D36" s="439"/>
      <c r="E36" s="437"/>
      <c r="F36" s="453">
        <f t="shared" si="0"/>
        <v>0</v>
      </c>
    </row>
    <row r="37" spans="1:6" ht="20.25" customHeight="1" x14ac:dyDescent="0.25">
      <c r="A37" s="116">
        <v>561</v>
      </c>
      <c r="B37" s="451" t="s">
        <v>461</v>
      </c>
      <c r="C37" s="452" t="s">
        <v>460</v>
      </c>
      <c r="D37" s="439"/>
      <c r="E37" s="437"/>
      <c r="F37" s="453">
        <f t="shared" si="0"/>
        <v>0</v>
      </c>
    </row>
    <row r="38" spans="1:6" ht="15.75" x14ac:dyDescent="0.25">
      <c r="A38" s="116">
        <v>562</v>
      </c>
      <c r="B38" s="451" t="s">
        <v>463</v>
      </c>
      <c r="C38" s="452" t="s">
        <v>462</v>
      </c>
      <c r="D38" s="437">
        <v>17110</v>
      </c>
      <c r="E38" s="437">
        <v>16495</v>
      </c>
      <c r="F38" s="453">
        <f t="shared" si="0"/>
        <v>-615</v>
      </c>
    </row>
    <row r="39" spans="1:6" ht="15.75" x14ac:dyDescent="0.25">
      <c r="A39" s="116">
        <v>563</v>
      </c>
      <c r="B39" s="451" t="s">
        <v>465</v>
      </c>
      <c r="C39" s="452" t="s">
        <v>464</v>
      </c>
      <c r="D39" s="439"/>
      <c r="E39" s="437"/>
      <c r="F39" s="453">
        <f t="shared" si="0"/>
        <v>0</v>
      </c>
    </row>
    <row r="40" spans="1:6" ht="15.75" x14ac:dyDescent="0.25">
      <c r="A40" s="115">
        <v>565</v>
      </c>
      <c r="B40" s="454" t="s">
        <v>559</v>
      </c>
      <c r="C40" s="452" t="s">
        <v>466</v>
      </c>
      <c r="D40" s="455"/>
      <c r="E40" s="440"/>
      <c r="F40" s="453">
        <f t="shared" si="0"/>
        <v>0</v>
      </c>
    </row>
    <row r="41" spans="1:6" ht="16.5" thickBot="1" x14ac:dyDescent="0.3">
      <c r="A41" s="115">
        <v>567</v>
      </c>
      <c r="B41" s="456" t="s">
        <v>467</v>
      </c>
      <c r="C41" s="457" t="s">
        <v>468</v>
      </c>
      <c r="D41" s="455"/>
      <c r="E41" s="440"/>
      <c r="F41" s="458">
        <f t="shared" si="0"/>
        <v>0</v>
      </c>
    </row>
    <row r="42" spans="1:6" ht="24.75" customHeight="1" thickBot="1" x14ac:dyDescent="0.25">
      <c r="A42" s="670" t="s">
        <v>579</v>
      </c>
      <c r="B42" s="671"/>
      <c r="C42" s="459" t="s">
        <v>469</v>
      </c>
      <c r="D42" s="460">
        <f>SUM(D5:D41)</f>
        <v>1683855.5299999998</v>
      </c>
      <c r="E42" s="461">
        <f>SUM(E5:E41)</f>
        <v>1796979.93</v>
      </c>
      <c r="F42" s="462">
        <f>SUM(F5:F41)</f>
        <v>113124.40000000005</v>
      </c>
    </row>
    <row r="43" spans="1:6" x14ac:dyDescent="0.2">
      <c r="B43" s="463"/>
      <c r="C43" s="463"/>
      <c r="D43" s="463"/>
      <c r="E43" s="463"/>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673" t="s">
        <v>393</v>
      </c>
      <c r="B1" s="674"/>
      <c r="C1" s="674"/>
      <c r="D1" s="674"/>
      <c r="E1" s="674"/>
      <c r="F1" s="675"/>
    </row>
    <row r="2" spans="1:6" ht="19.5" customHeight="1" x14ac:dyDescent="0.25">
      <c r="A2" s="672" t="s">
        <v>263</v>
      </c>
      <c r="B2" s="672"/>
      <c r="C2" s="672"/>
      <c r="D2" s="672"/>
      <c r="E2" s="672"/>
      <c r="F2" s="672"/>
    </row>
    <row r="3" spans="1:6" ht="42" customHeight="1" x14ac:dyDescent="0.2">
      <c r="A3" s="31" t="s">
        <v>271</v>
      </c>
      <c r="B3" s="32" t="s">
        <v>272</v>
      </c>
      <c r="C3" s="39" t="s">
        <v>395</v>
      </c>
      <c r="D3" s="32" t="s">
        <v>390</v>
      </c>
      <c r="E3" s="32" t="s">
        <v>391</v>
      </c>
      <c r="F3" s="32" t="s">
        <v>392</v>
      </c>
    </row>
    <row r="4" spans="1:6" ht="15.75" x14ac:dyDescent="0.25">
      <c r="A4" s="33" t="s">
        <v>273</v>
      </c>
      <c r="B4" s="33" t="s">
        <v>274</v>
      </c>
      <c r="C4" s="34"/>
      <c r="D4" s="34"/>
      <c r="E4" s="34"/>
      <c r="F4" s="34"/>
    </row>
    <row r="5" spans="1:6" ht="15.75" x14ac:dyDescent="0.25">
      <c r="A5" s="38" t="s">
        <v>275</v>
      </c>
      <c r="B5" s="33" t="s">
        <v>276</v>
      </c>
      <c r="C5" s="34"/>
      <c r="D5" s="34"/>
      <c r="E5" s="34"/>
      <c r="F5" s="34"/>
    </row>
    <row r="6" spans="1:6" ht="15.75" x14ac:dyDescent="0.25">
      <c r="A6" s="33" t="s">
        <v>277</v>
      </c>
      <c r="B6" s="33" t="s">
        <v>278</v>
      </c>
      <c r="C6" s="34"/>
      <c r="D6" s="34"/>
      <c r="E6" s="34"/>
      <c r="F6" s="34"/>
    </row>
    <row r="7" spans="1:6" ht="15.75" x14ac:dyDescent="0.25">
      <c r="A7" s="33" t="s">
        <v>279</v>
      </c>
      <c r="B7" s="33" t="s">
        <v>280</v>
      </c>
      <c r="C7" s="34"/>
      <c r="D7" s="34"/>
      <c r="E7" s="34"/>
      <c r="F7" s="34"/>
    </row>
    <row r="8" spans="1:6" ht="15.75" x14ac:dyDescent="0.25">
      <c r="A8" s="37" t="s">
        <v>394</v>
      </c>
      <c r="B8" s="33" t="s">
        <v>281</v>
      </c>
      <c r="C8" s="34"/>
      <c r="D8" s="34"/>
      <c r="E8" s="34"/>
      <c r="F8" s="34"/>
    </row>
    <row r="9" spans="1:6" ht="15.75" x14ac:dyDescent="0.25">
      <c r="A9" s="33" t="s">
        <v>282</v>
      </c>
      <c r="B9" s="33" t="s">
        <v>283</v>
      </c>
      <c r="C9" s="34"/>
      <c r="D9" s="34"/>
      <c r="E9" s="34"/>
      <c r="F9" s="34"/>
    </row>
    <row r="10" spans="1:6" ht="15.75" x14ac:dyDescent="0.25">
      <c r="A10" s="33" t="s">
        <v>284</v>
      </c>
      <c r="B10" s="33" t="s">
        <v>285</v>
      </c>
      <c r="C10" s="34"/>
      <c r="D10" s="34"/>
      <c r="E10" s="34"/>
      <c r="F10" s="34"/>
    </row>
    <row r="11" spans="1:6" ht="15.75" x14ac:dyDescent="0.25">
      <c r="A11" s="33" t="s">
        <v>286</v>
      </c>
      <c r="B11" s="33" t="s">
        <v>287</v>
      </c>
      <c r="C11" s="34"/>
      <c r="D11" s="34"/>
      <c r="E11" s="34"/>
      <c r="F11" s="34"/>
    </row>
    <row r="12" spans="1:6" ht="15.75" x14ac:dyDescent="0.25">
      <c r="A12" s="38" t="s">
        <v>288</v>
      </c>
      <c r="B12" s="33" t="s">
        <v>289</v>
      </c>
      <c r="C12" s="34"/>
      <c r="D12" s="34"/>
      <c r="E12" s="34"/>
      <c r="F12" s="34"/>
    </row>
    <row r="13" spans="1:6" ht="15.75" x14ac:dyDescent="0.25">
      <c r="A13" s="33" t="s">
        <v>290</v>
      </c>
      <c r="B13" s="33" t="s">
        <v>291</v>
      </c>
      <c r="C13" s="34"/>
      <c r="D13" s="34"/>
      <c r="E13" s="34"/>
      <c r="F13" s="34"/>
    </row>
    <row r="14" spans="1:6" ht="15.75" x14ac:dyDescent="0.25">
      <c r="A14" s="33" t="s">
        <v>292</v>
      </c>
      <c r="B14" s="33" t="s">
        <v>293</v>
      </c>
      <c r="C14" s="34"/>
      <c r="D14" s="34"/>
      <c r="E14" s="34"/>
      <c r="F14" s="34"/>
    </row>
    <row r="15" spans="1:6" ht="15.75" x14ac:dyDescent="0.25">
      <c r="A15" s="33" t="s">
        <v>294</v>
      </c>
      <c r="B15" s="33" t="s">
        <v>295</v>
      </c>
      <c r="C15" s="34"/>
      <c r="D15" s="34"/>
      <c r="E15" s="34"/>
      <c r="F15" s="34"/>
    </row>
    <row r="16" spans="1:6" ht="15.75" x14ac:dyDescent="0.25">
      <c r="A16" s="33" t="s">
        <v>296</v>
      </c>
      <c r="B16" s="33" t="s">
        <v>297</v>
      </c>
      <c r="C16" s="34"/>
      <c r="D16" s="34"/>
      <c r="E16" s="34"/>
      <c r="F16" s="34"/>
    </row>
    <row r="17" spans="1:6" ht="15.75" x14ac:dyDescent="0.25">
      <c r="A17" s="33" t="s">
        <v>298</v>
      </c>
      <c r="B17" s="33" t="s">
        <v>299</v>
      </c>
      <c r="C17" s="34"/>
      <c r="D17" s="34"/>
      <c r="E17" s="34"/>
      <c r="F17" s="34"/>
    </row>
    <row r="18" spans="1:6" ht="15.75" x14ac:dyDescent="0.25">
      <c r="A18" s="33" t="s">
        <v>300</v>
      </c>
      <c r="B18" s="33" t="s">
        <v>301</v>
      </c>
      <c r="C18" s="34"/>
      <c r="D18" s="34"/>
      <c r="E18" s="34"/>
      <c r="F18" s="34"/>
    </row>
    <row r="19" spans="1:6" ht="15.75" x14ac:dyDescent="0.25">
      <c r="A19" s="33" t="s">
        <v>302</v>
      </c>
      <c r="B19" s="33" t="s">
        <v>303</v>
      </c>
      <c r="C19" s="34"/>
      <c r="D19" s="34"/>
      <c r="E19" s="34"/>
      <c r="F19" s="34"/>
    </row>
    <row r="20" spans="1:6" ht="15.75" x14ac:dyDescent="0.25">
      <c r="A20" s="33" t="s">
        <v>304</v>
      </c>
      <c r="B20" s="33" t="s">
        <v>305</v>
      </c>
      <c r="C20" s="34"/>
      <c r="D20" s="34"/>
      <c r="E20" s="34"/>
      <c r="F20" s="34"/>
    </row>
    <row r="21" spans="1:6" ht="15.75" x14ac:dyDescent="0.25">
      <c r="A21" s="33" t="s">
        <v>306</v>
      </c>
      <c r="B21" s="33" t="s">
        <v>307</v>
      </c>
      <c r="C21" s="34"/>
      <c r="D21" s="34"/>
      <c r="E21" s="34"/>
      <c r="F21" s="34"/>
    </row>
    <row r="22" spans="1:6" ht="15.75" x14ac:dyDescent="0.25">
      <c r="A22" s="33" t="s">
        <v>308</v>
      </c>
      <c r="B22" s="33" t="s">
        <v>309</v>
      </c>
      <c r="C22" s="34"/>
      <c r="D22" s="34"/>
      <c r="E22" s="34"/>
      <c r="F22" s="34"/>
    </row>
    <row r="23" spans="1:6" ht="15.75" x14ac:dyDescent="0.25">
      <c r="A23" s="33" t="s">
        <v>310</v>
      </c>
      <c r="B23" s="33" t="s">
        <v>311</v>
      </c>
      <c r="C23" s="34"/>
      <c r="D23" s="34"/>
      <c r="E23" s="34"/>
      <c r="F23" s="34"/>
    </row>
    <row r="24" spans="1:6" ht="15.75" x14ac:dyDescent="0.25">
      <c r="A24" s="38" t="s">
        <v>312</v>
      </c>
      <c r="B24" s="33" t="s">
        <v>313</v>
      </c>
      <c r="C24" s="34"/>
      <c r="D24" s="34"/>
      <c r="E24" s="34"/>
      <c r="F24" s="34"/>
    </row>
    <row r="25" spans="1:6" ht="15.75" x14ac:dyDescent="0.25">
      <c r="A25" s="33" t="s">
        <v>314</v>
      </c>
      <c r="B25" s="33" t="s">
        <v>315</v>
      </c>
      <c r="C25" s="34"/>
      <c r="D25" s="34"/>
      <c r="E25" s="34"/>
      <c r="F25" s="34"/>
    </row>
    <row r="26" spans="1:6" ht="15.75" x14ac:dyDescent="0.25">
      <c r="A26" s="33" t="s">
        <v>316</v>
      </c>
      <c r="B26" s="33" t="s">
        <v>317</v>
      </c>
      <c r="C26" s="34"/>
      <c r="D26" s="34"/>
      <c r="E26" s="34"/>
      <c r="F26" s="34"/>
    </row>
    <row r="27" spans="1:6" ht="15.75" x14ac:dyDescent="0.25">
      <c r="A27" s="33" t="s">
        <v>318</v>
      </c>
      <c r="B27" s="33" t="s">
        <v>319</v>
      </c>
      <c r="C27" s="34"/>
      <c r="D27" s="34"/>
      <c r="E27" s="34"/>
      <c r="F27" s="34"/>
    </row>
    <row r="28" spans="1:6" ht="15.75" x14ac:dyDescent="0.25">
      <c r="A28" s="33" t="s">
        <v>320</v>
      </c>
      <c r="B28" s="33" t="s">
        <v>321</v>
      </c>
      <c r="C28" s="34"/>
      <c r="D28" s="34"/>
      <c r="E28" s="34"/>
      <c r="F28" s="34"/>
    </row>
    <row r="29" spans="1:6" ht="15.75" x14ac:dyDescent="0.25">
      <c r="A29" s="33" t="s">
        <v>322</v>
      </c>
      <c r="B29" s="33" t="s">
        <v>323</v>
      </c>
      <c r="C29" s="34"/>
      <c r="D29" s="34"/>
      <c r="E29" s="34"/>
      <c r="F29" s="34"/>
    </row>
    <row r="30" spans="1:6" ht="15.75" x14ac:dyDescent="0.25">
      <c r="A30" s="33" t="s">
        <v>324</v>
      </c>
      <c r="B30" s="33" t="s">
        <v>325</v>
      </c>
      <c r="C30" s="34"/>
      <c r="D30" s="34"/>
      <c r="E30" s="34"/>
      <c r="F30" s="34"/>
    </row>
    <row r="31" spans="1:6" ht="15.75" x14ac:dyDescent="0.25">
      <c r="A31" s="33" t="s">
        <v>326</v>
      </c>
      <c r="B31" s="33" t="s">
        <v>327</v>
      </c>
      <c r="C31" s="34"/>
      <c r="D31" s="34"/>
      <c r="E31" s="34"/>
      <c r="F31" s="34"/>
    </row>
    <row r="32" spans="1:6" ht="15.75" x14ac:dyDescent="0.25">
      <c r="A32" s="33" t="s">
        <v>328</v>
      </c>
      <c r="B32" s="33" t="s">
        <v>329</v>
      </c>
      <c r="C32" s="34"/>
      <c r="D32" s="34"/>
      <c r="E32" s="34"/>
      <c r="F32" s="34"/>
    </row>
    <row r="33" spans="1:6" ht="15.75" x14ac:dyDescent="0.25">
      <c r="A33" s="38" t="s">
        <v>330</v>
      </c>
      <c r="B33" s="33" t="s">
        <v>331</v>
      </c>
      <c r="C33" s="34"/>
      <c r="D33" s="34"/>
      <c r="E33" s="34"/>
      <c r="F33" s="34"/>
    </row>
    <row r="34" spans="1:6" ht="15.75" x14ac:dyDescent="0.25">
      <c r="A34" s="33" t="s">
        <v>332</v>
      </c>
      <c r="B34" s="33" t="s">
        <v>333</v>
      </c>
      <c r="C34" s="34"/>
      <c r="D34" s="34"/>
      <c r="E34" s="34"/>
      <c r="F34" s="34"/>
    </row>
    <row r="35" spans="1:6" ht="15.75" x14ac:dyDescent="0.25">
      <c r="A35" s="33" t="s">
        <v>334</v>
      </c>
      <c r="B35" s="33" t="s">
        <v>335</v>
      </c>
      <c r="C35" s="34"/>
      <c r="D35" s="34"/>
      <c r="E35" s="34"/>
      <c r="F35" s="34"/>
    </row>
    <row r="36" spans="1:6" ht="15.75" x14ac:dyDescent="0.25">
      <c r="A36" s="33" t="s">
        <v>336</v>
      </c>
      <c r="B36" s="33" t="s">
        <v>337</v>
      </c>
      <c r="C36" s="34"/>
      <c r="D36" s="34"/>
      <c r="E36" s="34"/>
      <c r="F36" s="34"/>
    </row>
    <row r="37" spans="1:6" ht="15.75" x14ac:dyDescent="0.25">
      <c r="A37" s="33" t="s">
        <v>338</v>
      </c>
      <c r="B37" s="33" t="s">
        <v>339</v>
      </c>
      <c r="C37" s="34"/>
      <c r="D37" s="34"/>
      <c r="E37" s="34"/>
      <c r="F37" s="34"/>
    </row>
    <row r="38" spans="1:6" ht="15.75" x14ac:dyDescent="0.25">
      <c r="A38" s="33" t="s">
        <v>340</v>
      </c>
      <c r="B38" s="33" t="s">
        <v>341</v>
      </c>
      <c r="C38" s="34"/>
      <c r="D38" s="34"/>
      <c r="E38" s="34"/>
      <c r="F38" s="34"/>
    </row>
    <row r="39" spans="1:6" ht="15.75" x14ac:dyDescent="0.25">
      <c r="A39" s="33" t="s">
        <v>342</v>
      </c>
      <c r="B39" s="33" t="s">
        <v>343</v>
      </c>
      <c r="C39" s="34"/>
      <c r="D39" s="34"/>
      <c r="E39" s="34"/>
      <c r="F39" s="34"/>
    </row>
    <row r="40" spans="1:6" ht="15.75" x14ac:dyDescent="0.25">
      <c r="A40" s="38" t="s">
        <v>344</v>
      </c>
      <c r="B40" s="33" t="s">
        <v>345</v>
      </c>
      <c r="C40" s="34"/>
      <c r="D40" s="34"/>
      <c r="E40" s="34"/>
      <c r="F40" s="34"/>
    </row>
    <row r="41" spans="1:6" ht="15.75" x14ac:dyDescent="0.25">
      <c r="A41" s="33" t="s">
        <v>346</v>
      </c>
      <c r="B41" s="33" t="s">
        <v>347</v>
      </c>
      <c r="C41" s="34"/>
      <c r="D41" s="34"/>
      <c r="E41" s="34"/>
      <c r="F41" s="34"/>
    </row>
    <row r="42" spans="1:6" ht="15.75" x14ac:dyDescent="0.25">
      <c r="A42" s="33" t="s">
        <v>348</v>
      </c>
      <c r="B42" s="33" t="s">
        <v>349</v>
      </c>
      <c r="C42" s="34"/>
      <c r="D42" s="34"/>
      <c r="E42" s="34"/>
      <c r="F42" s="34"/>
    </row>
    <row r="43" spans="1:6" ht="15.75" x14ac:dyDescent="0.25">
      <c r="A43" s="33" t="s">
        <v>350</v>
      </c>
      <c r="B43" s="33" t="s">
        <v>351</v>
      </c>
      <c r="C43" s="34"/>
      <c r="D43" s="34"/>
      <c r="E43" s="34"/>
      <c r="F43" s="34"/>
    </row>
    <row r="44" spans="1:6" ht="15.75" x14ac:dyDescent="0.25">
      <c r="A44" s="33" t="s">
        <v>352</v>
      </c>
      <c r="B44" s="33" t="s">
        <v>353</v>
      </c>
      <c r="C44" s="34"/>
      <c r="D44" s="34"/>
      <c r="E44" s="34"/>
      <c r="F44" s="34"/>
    </row>
    <row r="45" spans="1:6" ht="15.75" x14ac:dyDescent="0.25">
      <c r="A45" s="38" t="s">
        <v>354</v>
      </c>
      <c r="B45" s="33" t="s">
        <v>355</v>
      </c>
      <c r="C45" s="34"/>
      <c r="D45" s="34"/>
      <c r="E45" s="34"/>
      <c r="F45" s="34"/>
    </row>
    <row r="46" spans="1:6" ht="15.75" x14ac:dyDescent="0.25">
      <c r="A46" s="33" t="s">
        <v>356</v>
      </c>
      <c r="B46" s="33" t="s">
        <v>357</v>
      </c>
      <c r="C46" s="34"/>
      <c r="D46" s="34"/>
      <c r="E46" s="34"/>
      <c r="F46" s="34"/>
    </row>
    <row r="47" spans="1:6" ht="15.75" x14ac:dyDescent="0.25">
      <c r="A47" s="33" t="s">
        <v>348</v>
      </c>
      <c r="B47" s="33" t="s">
        <v>358</v>
      </c>
      <c r="C47" s="34"/>
      <c r="D47" s="34"/>
      <c r="E47" s="34"/>
      <c r="F47" s="34"/>
    </row>
    <row r="48" spans="1:6" ht="15.75" x14ac:dyDescent="0.25">
      <c r="A48" s="33" t="s">
        <v>359</v>
      </c>
      <c r="B48" s="33" t="s">
        <v>360</v>
      </c>
      <c r="C48" s="34"/>
      <c r="D48" s="34"/>
      <c r="E48" s="34"/>
      <c r="F48" s="34"/>
    </row>
    <row r="49" spans="1:6" ht="15.75" x14ac:dyDescent="0.25">
      <c r="A49" s="33" t="s">
        <v>361</v>
      </c>
      <c r="B49" s="33" t="s">
        <v>362</v>
      </c>
      <c r="C49" s="34"/>
      <c r="D49" s="34"/>
      <c r="E49" s="34"/>
      <c r="F49" s="34"/>
    </row>
    <row r="50" spans="1:6" ht="15.75" x14ac:dyDescent="0.25">
      <c r="A50" s="33" t="s">
        <v>363</v>
      </c>
      <c r="B50" s="33" t="s">
        <v>364</v>
      </c>
      <c r="C50" s="34"/>
      <c r="D50" s="34"/>
      <c r="E50" s="34"/>
      <c r="F50" s="34"/>
    </row>
    <row r="51" spans="1:6" ht="15.75" x14ac:dyDescent="0.25">
      <c r="A51" s="33" t="s">
        <v>350</v>
      </c>
      <c r="B51" s="33" t="s">
        <v>365</v>
      </c>
      <c r="C51" s="34"/>
      <c r="D51" s="34"/>
      <c r="E51" s="34"/>
      <c r="F51" s="34"/>
    </row>
    <row r="52" spans="1:6" ht="15.75" x14ac:dyDescent="0.25">
      <c r="A52" s="33" t="s">
        <v>366</v>
      </c>
      <c r="B52" s="33" t="s">
        <v>367</v>
      </c>
      <c r="C52" s="34"/>
      <c r="D52" s="34"/>
      <c r="E52" s="34"/>
      <c r="F52" s="34"/>
    </row>
    <row r="53" spans="1:6" ht="15.75" x14ac:dyDescent="0.25">
      <c r="A53" s="33" t="s">
        <v>352</v>
      </c>
      <c r="B53" s="33" t="s">
        <v>368</v>
      </c>
      <c r="C53" s="34"/>
      <c r="D53" s="34"/>
      <c r="E53" s="34"/>
      <c r="F53" s="34"/>
    </row>
    <row r="54" spans="1:6" ht="15.75" x14ac:dyDescent="0.25">
      <c r="A54" s="38" t="s">
        <v>369</v>
      </c>
      <c r="B54" s="33" t="s">
        <v>370</v>
      </c>
      <c r="C54" s="34"/>
      <c r="D54" s="34"/>
      <c r="E54" s="34"/>
      <c r="F54" s="34"/>
    </row>
    <row r="55" spans="1:6" ht="15.75" x14ac:dyDescent="0.25">
      <c r="A55" s="33" t="s">
        <v>371</v>
      </c>
      <c r="B55" s="33" t="s">
        <v>372</v>
      </c>
      <c r="C55" s="34"/>
      <c r="D55" s="34"/>
      <c r="E55" s="34"/>
      <c r="F55" s="34"/>
    </row>
    <row r="56" spans="1:6" ht="15.75" x14ac:dyDescent="0.25">
      <c r="A56" s="33" t="s">
        <v>373</v>
      </c>
      <c r="B56" s="33" t="s">
        <v>374</v>
      </c>
      <c r="C56" s="34"/>
      <c r="D56" s="34"/>
      <c r="E56" s="34"/>
      <c r="F56" s="34"/>
    </row>
    <row r="57" spans="1:6" ht="15.75" x14ac:dyDescent="0.25">
      <c r="A57" s="33" t="s">
        <v>375</v>
      </c>
      <c r="B57" s="33" t="s">
        <v>376</v>
      </c>
      <c r="C57" s="34"/>
      <c r="D57" s="34"/>
      <c r="E57" s="34"/>
      <c r="F57" s="34"/>
    </row>
    <row r="58" spans="1:6" ht="15.75" x14ac:dyDescent="0.25">
      <c r="A58" s="33" t="s">
        <v>377</v>
      </c>
      <c r="B58" s="33" t="s">
        <v>378</v>
      </c>
      <c r="C58" s="34"/>
      <c r="D58" s="34"/>
      <c r="E58" s="34"/>
      <c r="F58" s="34"/>
    </row>
    <row r="59" spans="1:6" ht="15.75" x14ac:dyDescent="0.25">
      <c r="A59" s="33" t="s">
        <v>379</v>
      </c>
      <c r="B59" s="33" t="s">
        <v>380</v>
      </c>
      <c r="C59" s="34"/>
      <c r="D59" s="34"/>
      <c r="E59" s="34"/>
      <c r="F59" s="34"/>
    </row>
    <row r="60" spans="1:6" ht="15.75" x14ac:dyDescent="0.25">
      <c r="A60" s="33" t="s">
        <v>381</v>
      </c>
      <c r="B60" s="33" t="s">
        <v>382</v>
      </c>
      <c r="C60" s="34"/>
      <c r="D60" s="34"/>
      <c r="E60" s="34"/>
      <c r="F60" s="34"/>
    </row>
    <row r="61" spans="1:6" ht="15.75" x14ac:dyDescent="0.25">
      <c r="A61" s="38" t="s">
        <v>383</v>
      </c>
      <c r="B61" s="33" t="s">
        <v>384</v>
      </c>
      <c r="C61" s="34"/>
      <c r="D61" s="34"/>
      <c r="E61" s="34"/>
      <c r="F61" s="34"/>
    </row>
    <row r="62" spans="1:6" ht="15.75" x14ac:dyDescent="0.25">
      <c r="A62" s="33" t="s">
        <v>385</v>
      </c>
      <c r="B62" s="33" t="s">
        <v>386</v>
      </c>
      <c r="C62" s="34"/>
      <c r="D62" s="34"/>
      <c r="E62" s="34"/>
      <c r="F62" s="34"/>
    </row>
    <row r="63" spans="1:6" ht="15.75" x14ac:dyDescent="0.25">
      <c r="A63" s="33" t="s">
        <v>387</v>
      </c>
      <c r="B63" s="33" t="s">
        <v>388</v>
      </c>
      <c r="C63" s="34"/>
      <c r="D63" s="34"/>
      <c r="E63" s="34"/>
      <c r="F63" s="34"/>
    </row>
    <row r="64" spans="1:6" ht="15.75" x14ac:dyDescent="0.25">
      <c r="A64" s="35" t="s">
        <v>389</v>
      </c>
      <c r="B64" s="36"/>
      <c r="C64" s="34"/>
      <c r="D64" s="34"/>
      <c r="E64" s="34"/>
      <c r="F64" s="34"/>
    </row>
    <row r="65" spans="1:6" ht="15.75" x14ac:dyDescent="0.25">
      <c r="A65" s="18"/>
      <c r="B65" s="18"/>
      <c r="C65" s="18"/>
      <c r="D65" s="18"/>
      <c r="E65" s="18"/>
      <c r="F65" s="18"/>
    </row>
    <row r="66" spans="1:6" ht="15.75" x14ac:dyDescent="0.25">
      <c r="A66" s="18"/>
      <c r="B66" s="18"/>
      <c r="C66" s="18"/>
      <c r="D66" s="18"/>
      <c r="E66" s="18"/>
      <c r="F66" s="18"/>
    </row>
    <row r="67" spans="1:6" ht="15.75" x14ac:dyDescent="0.25">
      <c r="A67" s="18"/>
      <c r="B67" s="18"/>
      <c r="C67" s="18"/>
      <c r="D67" s="18"/>
      <c r="E67" s="18"/>
      <c r="F67" s="18"/>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75"/>
  <sheetViews>
    <sheetView zoomScaleNormal="100" workbookViewId="0">
      <pane xSplit="2" ySplit="5" topLeftCell="C55" activePane="bottomRight" state="frozen"/>
      <selection pane="topRight" activeCell="C1" sqref="C1"/>
      <selection pane="bottomLeft" activeCell="A6" sqref="A6"/>
      <selection pane="bottomRight" activeCell="B58" sqref="B58"/>
    </sheetView>
  </sheetViews>
  <sheetFormatPr defaultRowHeight="15.75" x14ac:dyDescent="0.25"/>
  <cols>
    <col min="1" max="1" width="7.85546875" style="132" customWidth="1"/>
    <col min="2" max="2" width="79.85546875" style="180" customWidth="1"/>
    <col min="3" max="3" width="16.42578125" style="182" customWidth="1"/>
    <col min="4" max="4" width="16.5703125" style="182" customWidth="1"/>
    <col min="5" max="5" width="16.42578125" style="182" customWidth="1"/>
    <col min="6" max="6" width="19.140625" style="182" customWidth="1"/>
    <col min="7" max="7" width="16.85546875" style="182" customWidth="1"/>
    <col min="8" max="8" width="17.28515625" style="182" customWidth="1"/>
    <col min="9" max="9" width="9.140625" style="8" customWidth="1"/>
    <col min="10" max="16384" width="9.140625" style="8"/>
  </cols>
  <sheetData>
    <row r="1" spans="1:9" ht="35.1" customHeight="1" thickBot="1" x14ac:dyDescent="0.3">
      <c r="A1" s="482" t="s">
        <v>705</v>
      </c>
      <c r="B1" s="483"/>
      <c r="C1" s="483"/>
      <c r="D1" s="483"/>
      <c r="E1" s="483"/>
      <c r="F1" s="483"/>
      <c r="G1" s="483"/>
      <c r="H1" s="484"/>
    </row>
    <row r="2" spans="1:9" ht="31.9" customHeight="1" x14ac:dyDescent="0.25">
      <c r="A2" s="485" t="s">
        <v>790</v>
      </c>
      <c r="B2" s="486"/>
      <c r="C2" s="486"/>
      <c r="D2" s="486"/>
      <c r="E2" s="486"/>
      <c r="F2" s="486"/>
      <c r="G2" s="486"/>
      <c r="H2" s="487"/>
    </row>
    <row r="3" spans="1:9" ht="24" customHeight="1" x14ac:dyDescent="0.25">
      <c r="A3" s="488" t="s">
        <v>134</v>
      </c>
      <c r="B3" s="489" t="s">
        <v>213</v>
      </c>
      <c r="C3" s="491">
        <v>2016</v>
      </c>
      <c r="D3" s="492"/>
      <c r="E3" s="491">
        <v>2017</v>
      </c>
      <c r="F3" s="492"/>
      <c r="G3" s="491" t="s">
        <v>706</v>
      </c>
      <c r="H3" s="493"/>
    </row>
    <row r="4" spans="1:9" s="147" customFormat="1" ht="31.5" x14ac:dyDescent="0.25">
      <c r="A4" s="488"/>
      <c r="B4" s="490"/>
      <c r="C4" s="129" t="s">
        <v>214</v>
      </c>
      <c r="D4" s="129" t="s">
        <v>215</v>
      </c>
      <c r="E4" s="129" t="s">
        <v>214</v>
      </c>
      <c r="F4" s="129" t="s">
        <v>215</v>
      </c>
      <c r="G4" s="129" t="s">
        <v>214</v>
      </c>
      <c r="H4" s="130" t="s">
        <v>215</v>
      </c>
      <c r="I4" s="8"/>
    </row>
    <row r="5" spans="1:9" s="147" customFormat="1" x14ac:dyDescent="0.25">
      <c r="A5" s="28"/>
      <c r="B5" s="10"/>
      <c r="C5" s="129" t="s">
        <v>178</v>
      </c>
      <c r="D5" s="129" t="s">
        <v>179</v>
      </c>
      <c r="E5" s="129" t="s">
        <v>180</v>
      </c>
      <c r="F5" s="129" t="s">
        <v>186</v>
      </c>
      <c r="G5" s="129" t="s">
        <v>14</v>
      </c>
      <c r="H5" s="130" t="s">
        <v>15</v>
      </c>
      <c r="I5" s="8"/>
    </row>
    <row r="6" spans="1:9" x14ac:dyDescent="0.25">
      <c r="A6" s="42">
        <v>1</v>
      </c>
      <c r="B6" s="10" t="s">
        <v>157</v>
      </c>
      <c r="C6" s="149">
        <f>SUM(C7:C10)</f>
        <v>234808.4</v>
      </c>
      <c r="D6" s="149">
        <f t="shared" ref="D6:F6" si="0">SUM(D7:D10)</f>
        <v>464022.35000000003</v>
      </c>
      <c r="E6" s="152">
        <f t="shared" si="0"/>
        <v>256392.98</v>
      </c>
      <c r="F6" s="152">
        <f t="shared" si="0"/>
        <v>487949.03</v>
      </c>
      <c r="G6" s="164">
        <f>E6-C6</f>
        <v>21584.580000000016</v>
      </c>
      <c r="H6" s="165">
        <f t="shared" ref="G6:H69" si="1">F6-D6</f>
        <v>23926.679999999993</v>
      </c>
    </row>
    <row r="7" spans="1:9" x14ac:dyDescent="0.25">
      <c r="A7" s="42">
        <f>A6+1</f>
        <v>2</v>
      </c>
      <c r="B7" s="55" t="s">
        <v>172</v>
      </c>
      <c r="C7" s="166"/>
      <c r="D7" s="166"/>
      <c r="E7" s="167"/>
      <c r="F7" s="167"/>
      <c r="G7" s="164">
        <f t="shared" si="1"/>
        <v>0</v>
      </c>
      <c r="H7" s="165">
        <f t="shared" si="1"/>
        <v>0</v>
      </c>
      <c r="I7" s="168"/>
    </row>
    <row r="8" spans="1:9" x14ac:dyDescent="0.25">
      <c r="A8" s="42">
        <f t="shared" ref="A8:A69" si="2">A7+1</f>
        <v>3</v>
      </c>
      <c r="B8" s="55" t="s">
        <v>191</v>
      </c>
      <c r="C8" s="166"/>
      <c r="D8" s="166"/>
      <c r="E8" s="167"/>
      <c r="F8" s="167"/>
      <c r="G8" s="164">
        <f t="shared" si="1"/>
        <v>0</v>
      </c>
      <c r="H8" s="165">
        <f t="shared" si="1"/>
        <v>0</v>
      </c>
      <c r="I8" s="168"/>
    </row>
    <row r="9" spans="1:9" x14ac:dyDescent="0.25">
      <c r="A9" s="42">
        <f t="shared" si="2"/>
        <v>4</v>
      </c>
      <c r="B9" s="55" t="s">
        <v>27</v>
      </c>
      <c r="C9" s="166">
        <v>233480.72</v>
      </c>
      <c r="D9" s="166">
        <v>462155.2</v>
      </c>
      <c r="E9" s="167">
        <v>255396.56</v>
      </c>
      <c r="F9" s="167">
        <v>485444.95</v>
      </c>
      <c r="G9" s="164">
        <f t="shared" si="1"/>
        <v>21915.839999999997</v>
      </c>
      <c r="H9" s="165">
        <f t="shared" si="1"/>
        <v>23289.75</v>
      </c>
      <c r="I9" s="168"/>
    </row>
    <row r="10" spans="1:9" x14ac:dyDescent="0.25">
      <c r="A10" s="42">
        <f t="shared" si="2"/>
        <v>5</v>
      </c>
      <c r="B10" s="55" t="s">
        <v>190</v>
      </c>
      <c r="C10" s="166">
        <v>1327.68</v>
      </c>
      <c r="D10" s="166">
        <v>1867.15</v>
      </c>
      <c r="E10" s="167">
        <v>996.42</v>
      </c>
      <c r="F10" s="167">
        <v>2504.08</v>
      </c>
      <c r="G10" s="164">
        <f t="shared" si="1"/>
        <v>-331.2600000000001</v>
      </c>
      <c r="H10" s="165">
        <f t="shared" si="1"/>
        <v>636.92999999999984</v>
      </c>
      <c r="I10" s="168"/>
    </row>
    <row r="11" spans="1:9" x14ac:dyDescent="0.25">
      <c r="A11" s="42">
        <f t="shared" si="2"/>
        <v>6</v>
      </c>
      <c r="B11" s="58" t="s">
        <v>611</v>
      </c>
      <c r="C11" s="149">
        <f>SUM(C12:C15)</f>
        <v>1062748.58</v>
      </c>
      <c r="D11" s="149">
        <f t="shared" ref="D11:F11" si="3">SUM(D12:D15)</f>
        <v>811925.2</v>
      </c>
      <c r="E11" s="152">
        <f t="shared" si="3"/>
        <v>1078497.31</v>
      </c>
      <c r="F11" s="152">
        <f t="shared" si="3"/>
        <v>812444.88</v>
      </c>
      <c r="G11" s="164">
        <f t="shared" si="1"/>
        <v>15748.729999999981</v>
      </c>
      <c r="H11" s="165">
        <f t="shared" si="1"/>
        <v>519.68000000005122</v>
      </c>
    </row>
    <row r="12" spans="1:9" x14ac:dyDescent="0.25">
      <c r="A12" s="42">
        <f t="shared" si="2"/>
        <v>7</v>
      </c>
      <c r="B12" s="55" t="s">
        <v>49</v>
      </c>
      <c r="C12" s="166">
        <v>842980.42</v>
      </c>
      <c r="D12" s="166">
        <v>175</v>
      </c>
      <c r="E12" s="167">
        <v>863555.93</v>
      </c>
      <c r="F12" s="167"/>
      <c r="G12" s="164">
        <f t="shared" si="1"/>
        <v>20575.510000000009</v>
      </c>
      <c r="H12" s="165">
        <f t="shared" si="1"/>
        <v>-175</v>
      </c>
    </row>
    <row r="13" spans="1:9" x14ac:dyDescent="0.25">
      <c r="A13" s="42">
        <f t="shared" si="2"/>
        <v>8</v>
      </c>
      <c r="B13" s="55" t="s">
        <v>50</v>
      </c>
      <c r="C13" s="166"/>
      <c r="D13" s="166"/>
      <c r="E13" s="167"/>
      <c r="F13" s="167"/>
      <c r="G13" s="164">
        <f t="shared" si="1"/>
        <v>0</v>
      </c>
      <c r="H13" s="165">
        <f t="shared" si="1"/>
        <v>0</v>
      </c>
    </row>
    <row r="14" spans="1:9" x14ac:dyDescent="0.25">
      <c r="A14" s="42">
        <f>A13+1</f>
        <v>9</v>
      </c>
      <c r="B14" s="55" t="s">
        <v>51</v>
      </c>
      <c r="C14" s="166"/>
      <c r="D14" s="166">
        <v>103605.86</v>
      </c>
      <c r="E14" s="167"/>
      <c r="F14" s="167"/>
      <c r="G14" s="164">
        <f t="shared" si="1"/>
        <v>0</v>
      </c>
      <c r="H14" s="165">
        <f t="shared" si="1"/>
        <v>-103605.86</v>
      </c>
    </row>
    <row r="15" spans="1:9" ht="31.5" x14ac:dyDescent="0.25">
      <c r="A15" s="169">
        <f t="shared" si="2"/>
        <v>10</v>
      </c>
      <c r="B15" s="55" t="s">
        <v>673</v>
      </c>
      <c r="C15" s="166">
        <v>219768.16</v>
      </c>
      <c r="D15" s="166">
        <v>708144.34</v>
      </c>
      <c r="E15" s="167">
        <v>214941.38</v>
      </c>
      <c r="F15" s="167">
        <f>812084.73+360.15</f>
        <v>812444.88</v>
      </c>
      <c r="G15" s="164">
        <f t="shared" si="1"/>
        <v>-4826.7799999999988</v>
      </c>
      <c r="H15" s="165">
        <f t="shared" si="1"/>
        <v>104300.54000000004</v>
      </c>
    </row>
    <row r="16" spans="1:9" x14ac:dyDescent="0.25">
      <c r="A16" s="42">
        <f t="shared" si="2"/>
        <v>11</v>
      </c>
      <c r="B16" s="58" t="s">
        <v>11</v>
      </c>
      <c r="C16" s="166"/>
      <c r="D16" s="166">
        <v>84170.54</v>
      </c>
      <c r="E16" s="167"/>
      <c r="F16" s="167">
        <v>110739.33</v>
      </c>
      <c r="G16" s="164">
        <f t="shared" si="1"/>
        <v>0</v>
      </c>
      <c r="H16" s="165">
        <f t="shared" si="1"/>
        <v>26568.790000000008</v>
      </c>
    </row>
    <row r="17" spans="1:8" x14ac:dyDescent="0.25">
      <c r="A17" s="42">
        <f t="shared" si="2"/>
        <v>12</v>
      </c>
      <c r="B17" s="58" t="s">
        <v>657</v>
      </c>
      <c r="C17" s="166"/>
      <c r="D17" s="166"/>
      <c r="E17" s="167"/>
      <c r="F17" s="167"/>
      <c r="G17" s="164">
        <f t="shared" si="1"/>
        <v>0</v>
      </c>
      <c r="H17" s="165">
        <f t="shared" si="1"/>
        <v>0</v>
      </c>
    </row>
    <row r="18" spans="1:8" x14ac:dyDescent="0.25">
      <c r="A18" s="42">
        <f t="shared" si="2"/>
        <v>13</v>
      </c>
      <c r="B18" s="58" t="s">
        <v>658</v>
      </c>
      <c r="C18" s="166"/>
      <c r="D18" s="166"/>
      <c r="E18" s="167"/>
      <c r="F18" s="167"/>
      <c r="G18" s="164">
        <f t="shared" si="1"/>
        <v>0</v>
      </c>
      <c r="H18" s="165">
        <f t="shared" si="1"/>
        <v>0</v>
      </c>
    </row>
    <row r="19" spans="1:8" x14ac:dyDescent="0.25">
      <c r="A19" s="42">
        <f t="shared" si="2"/>
        <v>14</v>
      </c>
      <c r="B19" s="58" t="s">
        <v>220</v>
      </c>
      <c r="C19" s="166">
        <v>4.96</v>
      </c>
      <c r="D19" s="166">
        <v>120.36</v>
      </c>
      <c r="E19" s="167">
        <v>421.18</v>
      </c>
      <c r="F19" s="167">
        <v>2104.35</v>
      </c>
      <c r="G19" s="164">
        <f t="shared" si="1"/>
        <v>416.22</v>
      </c>
      <c r="H19" s="165">
        <f t="shared" si="1"/>
        <v>1983.99</v>
      </c>
    </row>
    <row r="20" spans="1:8" x14ac:dyDescent="0.25">
      <c r="A20" s="42">
        <f t="shared" si="2"/>
        <v>15</v>
      </c>
      <c r="B20" s="58" t="s">
        <v>221</v>
      </c>
      <c r="C20" s="167"/>
      <c r="D20" s="167"/>
      <c r="E20" s="167"/>
      <c r="F20" s="167"/>
      <c r="G20" s="164">
        <f t="shared" si="1"/>
        <v>0</v>
      </c>
      <c r="H20" s="165">
        <f t="shared" si="1"/>
        <v>0</v>
      </c>
    </row>
    <row r="21" spans="1:8" x14ac:dyDescent="0.25">
      <c r="A21" s="42">
        <f t="shared" si="2"/>
        <v>16</v>
      </c>
      <c r="B21" s="58" t="s">
        <v>612</v>
      </c>
      <c r="C21" s="152">
        <f>SUM(C22:C23)</f>
        <v>55.58</v>
      </c>
      <c r="D21" s="152">
        <f t="shared" ref="D21:F21" si="4">SUM(D22:D23)</f>
        <v>31.15</v>
      </c>
      <c r="E21" s="152">
        <f t="shared" si="4"/>
        <v>66.41</v>
      </c>
      <c r="F21" s="152">
        <f t="shared" si="4"/>
        <v>41.4</v>
      </c>
      <c r="G21" s="164">
        <f t="shared" si="1"/>
        <v>10.829999999999998</v>
      </c>
      <c r="H21" s="165">
        <f t="shared" si="1"/>
        <v>10.25</v>
      </c>
    </row>
    <row r="22" spans="1:8" x14ac:dyDescent="0.25">
      <c r="A22" s="42">
        <f t="shared" si="2"/>
        <v>17</v>
      </c>
      <c r="B22" s="55" t="s">
        <v>54</v>
      </c>
      <c r="C22" s="167"/>
      <c r="D22" s="167"/>
      <c r="E22" s="167"/>
      <c r="F22" s="167"/>
      <c r="G22" s="164">
        <f t="shared" si="1"/>
        <v>0</v>
      </c>
      <c r="H22" s="165">
        <f t="shared" si="1"/>
        <v>0</v>
      </c>
    </row>
    <row r="23" spans="1:8" x14ac:dyDescent="0.25">
      <c r="A23" s="42">
        <f t="shared" si="2"/>
        <v>18</v>
      </c>
      <c r="B23" s="55" t="s">
        <v>55</v>
      </c>
      <c r="C23" s="167">
        <v>55.58</v>
      </c>
      <c r="D23" s="170">
        <v>31.15</v>
      </c>
      <c r="E23" s="167">
        <v>66.41</v>
      </c>
      <c r="F23" s="170">
        <v>41.4</v>
      </c>
      <c r="G23" s="164">
        <f t="shared" si="1"/>
        <v>10.829999999999998</v>
      </c>
      <c r="H23" s="165">
        <f t="shared" si="1"/>
        <v>10.25</v>
      </c>
    </row>
    <row r="24" spans="1:8" x14ac:dyDescent="0.25">
      <c r="A24" s="42">
        <f t="shared" si="2"/>
        <v>19</v>
      </c>
      <c r="B24" s="58" t="s">
        <v>222</v>
      </c>
      <c r="C24" s="167">
        <v>3621.62</v>
      </c>
      <c r="D24" s="167"/>
      <c r="E24" s="167">
        <v>2252.15</v>
      </c>
      <c r="F24" s="167"/>
      <c r="G24" s="164">
        <f t="shared" si="1"/>
        <v>-1369.4699999999998</v>
      </c>
      <c r="H24" s="165">
        <f t="shared" si="1"/>
        <v>0</v>
      </c>
    </row>
    <row r="25" spans="1:8" x14ac:dyDescent="0.25">
      <c r="A25" s="42">
        <f t="shared" si="2"/>
        <v>20</v>
      </c>
      <c r="B25" s="87" t="s">
        <v>760</v>
      </c>
      <c r="C25" s="152">
        <f>C26+C27+C28+C29</f>
        <v>10807697.720000001</v>
      </c>
      <c r="D25" s="152">
        <f t="shared" ref="D25:F25" si="5">D26+D27+D28+D29</f>
        <v>0</v>
      </c>
      <c r="E25" s="152">
        <f>E26+E27+E28+E29</f>
        <v>12173648.570000002</v>
      </c>
      <c r="F25" s="152">
        <f t="shared" si="5"/>
        <v>0</v>
      </c>
      <c r="G25" s="164">
        <f t="shared" ref="G25:G34" si="6">E25-C25</f>
        <v>1365950.8500000015</v>
      </c>
      <c r="H25" s="165">
        <f t="shared" ref="H25:H34" si="7">F25-D25</f>
        <v>0</v>
      </c>
    </row>
    <row r="26" spans="1:8" x14ac:dyDescent="0.25">
      <c r="A26" s="42">
        <f t="shared" si="2"/>
        <v>21</v>
      </c>
      <c r="B26" s="88" t="s">
        <v>764</v>
      </c>
      <c r="C26" s="167">
        <v>228352.5</v>
      </c>
      <c r="D26" s="167"/>
      <c r="E26" s="167">
        <v>263843.46999999997</v>
      </c>
      <c r="F26" s="167"/>
      <c r="G26" s="164">
        <f t="shared" si="6"/>
        <v>35490.969999999972</v>
      </c>
      <c r="H26" s="165">
        <f t="shared" si="7"/>
        <v>0</v>
      </c>
    </row>
    <row r="27" spans="1:8" x14ac:dyDescent="0.25">
      <c r="A27" s="42">
        <f t="shared" si="2"/>
        <v>22</v>
      </c>
      <c r="B27" s="88" t="s">
        <v>765</v>
      </c>
      <c r="C27" s="167">
        <f>10287485</f>
        <v>10287485</v>
      </c>
      <c r="D27" s="167"/>
      <c r="E27" s="167">
        <v>11598064.890000001</v>
      </c>
      <c r="F27" s="167"/>
      <c r="G27" s="164">
        <f t="shared" si="6"/>
        <v>1310579.8900000006</v>
      </c>
      <c r="H27" s="165">
        <f t="shared" si="7"/>
        <v>0</v>
      </c>
    </row>
    <row r="28" spans="1:8" x14ac:dyDescent="0.25">
      <c r="A28" s="42">
        <f t="shared" si="2"/>
        <v>23</v>
      </c>
      <c r="B28" s="88" t="s">
        <v>766</v>
      </c>
      <c r="C28" s="167">
        <v>291860.21999999997</v>
      </c>
      <c r="D28" s="167"/>
      <c r="E28" s="167">
        <v>311740.21000000002</v>
      </c>
      <c r="F28" s="167"/>
      <c r="G28" s="164">
        <f t="shared" si="6"/>
        <v>19879.990000000049</v>
      </c>
      <c r="H28" s="165">
        <f t="shared" si="7"/>
        <v>0</v>
      </c>
    </row>
    <row r="29" spans="1:8" x14ac:dyDescent="0.25">
      <c r="A29" s="42">
        <f t="shared" si="2"/>
        <v>24</v>
      </c>
      <c r="B29" s="88" t="s">
        <v>767</v>
      </c>
      <c r="C29" s="167">
        <v>0</v>
      </c>
      <c r="D29" s="167"/>
      <c r="E29" s="167"/>
      <c r="F29" s="167"/>
      <c r="G29" s="164">
        <f t="shared" si="6"/>
        <v>0</v>
      </c>
      <c r="H29" s="165">
        <f t="shared" si="7"/>
        <v>0</v>
      </c>
    </row>
    <row r="30" spans="1:8" x14ac:dyDescent="0.25">
      <c r="A30" s="42">
        <f t="shared" si="2"/>
        <v>25</v>
      </c>
      <c r="B30" s="87" t="s">
        <v>773</v>
      </c>
      <c r="C30" s="152">
        <f>SUM(C31:C36)</f>
        <v>341929.42</v>
      </c>
      <c r="D30" s="152">
        <f t="shared" ref="D30:F30" si="8">SUM(D31:D36)</f>
        <v>19.63</v>
      </c>
      <c r="E30" s="152">
        <f>SUM(E31:E36)</f>
        <v>356963.9</v>
      </c>
      <c r="F30" s="152">
        <f t="shared" si="8"/>
        <v>0</v>
      </c>
      <c r="G30" s="164">
        <f t="shared" ref="G30" si="9">E30-C30</f>
        <v>15034.48000000004</v>
      </c>
      <c r="H30" s="165">
        <f t="shared" ref="H30" si="10">F30-D30</f>
        <v>-19.63</v>
      </c>
    </row>
    <row r="31" spans="1:8" x14ac:dyDescent="0.25">
      <c r="A31" s="42">
        <f t="shared" si="2"/>
        <v>26</v>
      </c>
      <c r="B31" s="88" t="s">
        <v>768</v>
      </c>
      <c r="C31" s="167">
        <v>243760.5</v>
      </c>
      <c r="D31" s="167"/>
      <c r="E31" s="167">
        <v>230098</v>
      </c>
      <c r="F31" s="167"/>
      <c r="G31" s="164">
        <f t="shared" si="6"/>
        <v>-13662.5</v>
      </c>
      <c r="H31" s="165">
        <f t="shared" si="7"/>
        <v>0</v>
      </c>
    </row>
    <row r="32" spans="1:8" x14ac:dyDescent="0.25">
      <c r="A32" s="42">
        <f t="shared" si="2"/>
        <v>27</v>
      </c>
      <c r="B32" s="88" t="s">
        <v>769</v>
      </c>
      <c r="C32" s="167">
        <v>47395.09</v>
      </c>
      <c r="D32" s="167"/>
      <c r="E32" s="167">
        <v>84819.9</v>
      </c>
      <c r="F32" s="167"/>
      <c r="G32" s="164">
        <f t="shared" si="6"/>
        <v>37424.81</v>
      </c>
      <c r="H32" s="165">
        <f t="shared" si="7"/>
        <v>0</v>
      </c>
    </row>
    <row r="33" spans="1:9" x14ac:dyDescent="0.25">
      <c r="A33" s="42">
        <f t="shared" si="2"/>
        <v>28</v>
      </c>
      <c r="B33" s="88" t="s">
        <v>770</v>
      </c>
      <c r="C33" s="167">
        <v>29804</v>
      </c>
      <c r="D33" s="167"/>
      <c r="E33" s="167">
        <v>25587</v>
      </c>
      <c r="F33" s="167"/>
      <c r="G33" s="164">
        <f t="shared" si="6"/>
        <v>-4217</v>
      </c>
      <c r="H33" s="165">
        <f t="shared" si="7"/>
        <v>0</v>
      </c>
    </row>
    <row r="34" spans="1:9" x14ac:dyDescent="0.25">
      <c r="A34" s="42">
        <f t="shared" si="2"/>
        <v>29</v>
      </c>
      <c r="B34" s="88" t="s">
        <v>771</v>
      </c>
      <c r="C34" s="167">
        <f>20969.83</f>
        <v>20969.830000000002</v>
      </c>
      <c r="D34" s="167">
        <v>19.63</v>
      </c>
      <c r="E34" s="167">
        <v>16261</v>
      </c>
      <c r="F34" s="167"/>
      <c r="G34" s="164">
        <f t="shared" si="6"/>
        <v>-4708.8300000000017</v>
      </c>
      <c r="H34" s="165">
        <f t="shared" si="7"/>
        <v>-19.63</v>
      </c>
    </row>
    <row r="35" spans="1:9" x14ac:dyDescent="0.25">
      <c r="A35" s="42">
        <f t="shared" si="2"/>
        <v>30</v>
      </c>
      <c r="B35" s="88" t="s">
        <v>761</v>
      </c>
      <c r="C35" s="167"/>
      <c r="D35" s="167"/>
      <c r="E35" s="167"/>
      <c r="F35" s="167"/>
      <c r="G35" s="164">
        <f t="shared" ref="G35:G36" si="11">E35-C35</f>
        <v>0</v>
      </c>
      <c r="H35" s="165">
        <f t="shared" ref="H35:H36" si="12">F35-D35</f>
        <v>0</v>
      </c>
    </row>
    <row r="36" spans="1:9" x14ac:dyDescent="0.25">
      <c r="A36" s="42">
        <f t="shared" si="2"/>
        <v>31</v>
      </c>
      <c r="B36" s="88" t="s">
        <v>762</v>
      </c>
      <c r="C36" s="167"/>
      <c r="D36" s="167"/>
      <c r="E36" s="167">
        <v>198</v>
      </c>
      <c r="F36" s="167"/>
      <c r="G36" s="164">
        <f t="shared" si="11"/>
        <v>198</v>
      </c>
      <c r="H36" s="165">
        <f t="shared" si="12"/>
        <v>0</v>
      </c>
    </row>
    <row r="37" spans="1:9" x14ac:dyDescent="0.25">
      <c r="A37" s="42">
        <v>32</v>
      </c>
      <c r="B37" s="87" t="s">
        <v>787</v>
      </c>
      <c r="C37" s="167"/>
      <c r="D37" s="167"/>
      <c r="E37" s="167">
        <v>287952.05</v>
      </c>
      <c r="F37" s="167"/>
      <c r="G37" s="164">
        <f t="shared" ref="G37" si="13">E37-C37</f>
        <v>287952.05</v>
      </c>
      <c r="H37" s="165">
        <f t="shared" ref="H37" si="14">F37-D37</f>
        <v>0</v>
      </c>
    </row>
    <row r="38" spans="1:9" s="172" customFormat="1" ht="15.75" customHeight="1" x14ac:dyDescent="0.3">
      <c r="A38" s="42">
        <v>33</v>
      </c>
      <c r="B38" s="87" t="s">
        <v>777</v>
      </c>
      <c r="C38" s="171">
        <f t="shared" ref="C38:F38" si="15">SUM(C39:C48)</f>
        <v>5806630.3700000001</v>
      </c>
      <c r="D38" s="171">
        <f t="shared" si="15"/>
        <v>14554.58</v>
      </c>
      <c r="E38" s="171">
        <f t="shared" si="15"/>
        <v>4740227.09</v>
      </c>
      <c r="F38" s="171">
        <f t="shared" si="15"/>
        <v>31000.48</v>
      </c>
      <c r="G38" s="164">
        <f t="shared" ref="G38" si="16">E38-C38</f>
        <v>-1066403.2800000003</v>
      </c>
      <c r="H38" s="165">
        <f t="shared" ref="H38" si="17">F38-D38</f>
        <v>16445.900000000001</v>
      </c>
      <c r="I38" s="8"/>
    </row>
    <row r="39" spans="1:9" x14ac:dyDescent="0.25">
      <c r="A39" s="42">
        <v>34</v>
      </c>
      <c r="B39" s="55" t="s">
        <v>698</v>
      </c>
      <c r="C39" s="167">
        <v>22546</v>
      </c>
      <c r="D39" s="167"/>
      <c r="E39" s="167">
        <f>333+46531</f>
        <v>46864</v>
      </c>
      <c r="F39" s="167"/>
      <c r="G39" s="164">
        <f t="shared" si="1"/>
        <v>24318</v>
      </c>
      <c r="H39" s="165">
        <f t="shared" si="1"/>
        <v>0</v>
      </c>
    </row>
    <row r="40" spans="1:9" x14ac:dyDescent="0.25">
      <c r="A40" s="42">
        <v>35</v>
      </c>
      <c r="B40" s="55" t="s">
        <v>56</v>
      </c>
      <c r="C40" s="167">
        <v>79258.880000000005</v>
      </c>
      <c r="D40" s="167"/>
      <c r="E40" s="167"/>
      <c r="F40" s="167"/>
      <c r="G40" s="164">
        <f t="shared" si="1"/>
        <v>-79258.880000000005</v>
      </c>
      <c r="H40" s="165">
        <f t="shared" si="1"/>
        <v>0</v>
      </c>
    </row>
    <row r="41" spans="1:9" x14ac:dyDescent="0.25">
      <c r="A41" s="42">
        <v>36</v>
      </c>
      <c r="B41" s="55" t="s">
        <v>57</v>
      </c>
      <c r="C41" s="167">
        <v>0</v>
      </c>
      <c r="D41" s="167"/>
      <c r="E41" s="167"/>
      <c r="F41" s="167"/>
      <c r="G41" s="164">
        <f t="shared" si="1"/>
        <v>0</v>
      </c>
      <c r="H41" s="165">
        <f t="shared" si="1"/>
        <v>0</v>
      </c>
    </row>
    <row r="42" spans="1:9" x14ac:dyDescent="0.25">
      <c r="A42" s="42">
        <f t="shared" si="2"/>
        <v>37</v>
      </c>
      <c r="B42" s="55" t="s">
        <v>58</v>
      </c>
      <c r="C42" s="167">
        <v>0</v>
      </c>
      <c r="D42" s="167"/>
      <c r="E42" s="167">
        <v>-9997.85</v>
      </c>
      <c r="F42" s="167"/>
      <c r="G42" s="164">
        <f t="shared" si="1"/>
        <v>-9997.85</v>
      </c>
      <c r="H42" s="165">
        <f t="shared" si="1"/>
        <v>0</v>
      </c>
    </row>
    <row r="43" spans="1:9" x14ac:dyDescent="0.25">
      <c r="A43" s="42">
        <f t="shared" si="2"/>
        <v>38</v>
      </c>
      <c r="B43" s="55" t="s">
        <v>59</v>
      </c>
      <c r="C43" s="167">
        <v>-176683.9</v>
      </c>
      <c r="D43" s="167"/>
      <c r="E43" s="167">
        <v>1619521.52</v>
      </c>
      <c r="F43" s="167">
        <v>335</v>
      </c>
      <c r="G43" s="164">
        <f t="shared" si="1"/>
        <v>1796205.42</v>
      </c>
      <c r="H43" s="165">
        <f t="shared" si="1"/>
        <v>335</v>
      </c>
    </row>
    <row r="44" spans="1:9" x14ac:dyDescent="0.25">
      <c r="A44" s="42">
        <f t="shared" si="2"/>
        <v>39</v>
      </c>
      <c r="B44" s="55" t="s">
        <v>60</v>
      </c>
      <c r="C44" s="167">
        <v>623</v>
      </c>
      <c r="D44" s="167">
        <v>335</v>
      </c>
      <c r="E44" s="167">
        <v>1372006.34</v>
      </c>
      <c r="F44" s="167"/>
      <c r="G44" s="164">
        <f t="shared" si="1"/>
        <v>1371383.34</v>
      </c>
      <c r="H44" s="165">
        <f t="shared" si="1"/>
        <v>-335</v>
      </c>
    </row>
    <row r="45" spans="1:9" x14ac:dyDescent="0.25">
      <c r="A45" s="42">
        <f t="shared" si="2"/>
        <v>40</v>
      </c>
      <c r="B45" s="59" t="s">
        <v>595</v>
      </c>
      <c r="C45" s="167">
        <v>1362304.76</v>
      </c>
      <c r="D45" s="167"/>
      <c r="E45" s="167"/>
      <c r="F45" s="167"/>
      <c r="G45" s="164">
        <f t="shared" si="1"/>
        <v>-1362304.76</v>
      </c>
      <c r="H45" s="165">
        <f t="shared" si="1"/>
        <v>0</v>
      </c>
    </row>
    <row r="46" spans="1:9" x14ac:dyDescent="0.25">
      <c r="A46" s="42">
        <f t="shared" si="2"/>
        <v>41</v>
      </c>
      <c r="B46" s="55" t="s">
        <v>61</v>
      </c>
      <c r="C46" s="167">
        <v>0</v>
      </c>
      <c r="D46" s="167"/>
      <c r="E46" s="167"/>
      <c r="F46" s="167"/>
      <c r="G46" s="164">
        <f t="shared" si="1"/>
        <v>0</v>
      </c>
      <c r="H46" s="165">
        <f t="shared" si="1"/>
        <v>0</v>
      </c>
    </row>
    <row r="47" spans="1:9" x14ac:dyDescent="0.25">
      <c r="A47" s="42">
        <f t="shared" si="2"/>
        <v>42</v>
      </c>
      <c r="B47" s="55" t="s">
        <v>675</v>
      </c>
      <c r="C47" s="167">
        <v>0</v>
      </c>
      <c r="D47" s="167"/>
      <c r="E47" s="167">
        <v>2722.46</v>
      </c>
      <c r="F47" s="167"/>
      <c r="G47" s="164">
        <f t="shared" ref="G47" si="18">E47-C47</f>
        <v>2722.46</v>
      </c>
      <c r="H47" s="165">
        <f t="shared" ref="H47" si="19">F47-D47</f>
        <v>0</v>
      </c>
    </row>
    <row r="48" spans="1:9" x14ac:dyDescent="0.25">
      <c r="A48" s="42">
        <f t="shared" si="2"/>
        <v>43</v>
      </c>
      <c r="B48" s="55" t="s">
        <v>778</v>
      </c>
      <c r="C48" s="167">
        <f>5382+4513199.63</f>
        <v>4518581.63</v>
      </c>
      <c r="D48" s="167">
        <v>14219.58</v>
      </c>
      <c r="E48" s="167">
        <f>-252621.8+1961732.42</f>
        <v>1709110.6199999999</v>
      </c>
      <c r="F48" s="167">
        <f>0.2+30665.28</f>
        <v>30665.48</v>
      </c>
      <c r="G48" s="164">
        <f t="shared" si="1"/>
        <v>-2809471.01</v>
      </c>
      <c r="H48" s="165">
        <f t="shared" si="1"/>
        <v>16445.900000000001</v>
      </c>
    </row>
    <row r="49" spans="1:9" x14ac:dyDescent="0.25">
      <c r="A49" s="42">
        <f t="shared" si="2"/>
        <v>44</v>
      </c>
      <c r="B49" s="58" t="s">
        <v>225</v>
      </c>
      <c r="C49" s="167">
        <v>6060</v>
      </c>
      <c r="D49" s="167"/>
      <c r="E49" s="167">
        <v>884994.92</v>
      </c>
      <c r="F49" s="167"/>
      <c r="G49" s="164">
        <f t="shared" si="1"/>
        <v>878934.92</v>
      </c>
      <c r="H49" s="165">
        <f t="shared" si="1"/>
        <v>0</v>
      </c>
    </row>
    <row r="50" spans="1:9" x14ac:dyDescent="0.25">
      <c r="A50" s="42">
        <f t="shared" si="2"/>
        <v>45</v>
      </c>
      <c r="B50" s="58" t="s">
        <v>91</v>
      </c>
      <c r="C50" s="93"/>
      <c r="D50" s="93"/>
      <c r="E50" s="167"/>
      <c r="F50" s="167"/>
      <c r="G50" s="164">
        <f t="shared" si="1"/>
        <v>0</v>
      </c>
      <c r="H50" s="165">
        <f t="shared" si="1"/>
        <v>0</v>
      </c>
    </row>
    <row r="51" spans="1:9" x14ac:dyDescent="0.25">
      <c r="A51" s="42">
        <f t="shared" si="2"/>
        <v>46</v>
      </c>
      <c r="B51" s="58" t="s">
        <v>88</v>
      </c>
      <c r="C51" s="167"/>
      <c r="D51" s="167"/>
      <c r="E51" s="167"/>
      <c r="F51" s="167"/>
      <c r="G51" s="164">
        <f t="shared" si="1"/>
        <v>0</v>
      </c>
      <c r="H51" s="165">
        <f t="shared" si="1"/>
        <v>0</v>
      </c>
    </row>
    <row r="52" spans="1:9" x14ac:dyDescent="0.25">
      <c r="A52" s="42">
        <f t="shared" si="2"/>
        <v>47</v>
      </c>
      <c r="B52" s="58" t="s">
        <v>209</v>
      </c>
      <c r="C52" s="167"/>
      <c r="D52" s="167"/>
      <c r="E52" s="167">
        <v>56.4</v>
      </c>
      <c r="F52" s="167"/>
      <c r="G52" s="164">
        <f t="shared" si="1"/>
        <v>56.4</v>
      </c>
      <c r="H52" s="165">
        <f t="shared" si="1"/>
        <v>0</v>
      </c>
    </row>
    <row r="53" spans="1:9" x14ac:dyDescent="0.25">
      <c r="A53" s="42">
        <f t="shared" si="2"/>
        <v>48</v>
      </c>
      <c r="B53" s="58" t="s">
        <v>158</v>
      </c>
      <c r="C53" s="167"/>
      <c r="D53" s="167"/>
      <c r="E53" s="167"/>
      <c r="F53" s="167"/>
      <c r="G53" s="164">
        <f t="shared" si="1"/>
        <v>0</v>
      </c>
      <c r="H53" s="165">
        <f t="shared" si="1"/>
        <v>0</v>
      </c>
    </row>
    <row r="54" spans="1:9" ht="18.75" x14ac:dyDescent="0.25">
      <c r="A54" s="42">
        <f t="shared" si="2"/>
        <v>49</v>
      </c>
      <c r="B54" s="58" t="s">
        <v>742</v>
      </c>
      <c r="C54" s="173">
        <f>SUM(C55:C59)</f>
        <v>34413.96</v>
      </c>
      <c r="D54" s="173">
        <f t="shared" ref="D54:F54" si="20">SUM(D55:D59)</f>
        <v>43847.32</v>
      </c>
      <c r="E54" s="173">
        <f t="shared" si="20"/>
        <v>48274.22</v>
      </c>
      <c r="F54" s="173">
        <f t="shared" si="20"/>
        <v>0</v>
      </c>
      <c r="G54" s="164">
        <f t="shared" si="1"/>
        <v>13860.260000000002</v>
      </c>
      <c r="H54" s="165">
        <f t="shared" si="1"/>
        <v>-43847.32</v>
      </c>
      <c r="I54" s="168"/>
    </row>
    <row r="55" spans="1:9" x14ac:dyDescent="0.25">
      <c r="A55" s="42">
        <f t="shared" si="2"/>
        <v>50</v>
      </c>
      <c r="B55" s="55" t="s">
        <v>149</v>
      </c>
      <c r="C55" s="167">
        <v>0</v>
      </c>
      <c r="D55" s="167">
        <v>43847.32</v>
      </c>
      <c r="E55" s="167"/>
      <c r="F55" s="136" t="s">
        <v>200</v>
      </c>
      <c r="G55" s="164">
        <f t="shared" si="1"/>
        <v>0</v>
      </c>
      <c r="H55" s="165" t="s">
        <v>200</v>
      </c>
    </row>
    <row r="56" spans="1:9" x14ac:dyDescent="0.25">
      <c r="A56" s="42">
        <f t="shared" si="2"/>
        <v>51</v>
      </c>
      <c r="B56" s="55" t="s">
        <v>62</v>
      </c>
      <c r="C56" s="167">
        <v>34413.96</v>
      </c>
      <c r="D56" s="136" t="s">
        <v>200</v>
      </c>
      <c r="E56" s="167">
        <v>48274.22</v>
      </c>
      <c r="F56" s="136" t="s">
        <v>200</v>
      </c>
      <c r="G56" s="164">
        <f t="shared" si="1"/>
        <v>13860.260000000002</v>
      </c>
      <c r="H56" s="165" t="s">
        <v>200</v>
      </c>
    </row>
    <row r="57" spans="1:9" ht="31.5" x14ac:dyDescent="0.25">
      <c r="A57" s="42">
        <f t="shared" si="2"/>
        <v>52</v>
      </c>
      <c r="B57" s="55" t="s">
        <v>627</v>
      </c>
      <c r="C57" s="167"/>
      <c r="D57" s="136" t="s">
        <v>200</v>
      </c>
      <c r="E57" s="167"/>
      <c r="F57" s="136" t="s">
        <v>200</v>
      </c>
      <c r="G57" s="164">
        <f t="shared" si="1"/>
        <v>0</v>
      </c>
      <c r="H57" s="165" t="s">
        <v>200</v>
      </c>
    </row>
    <row r="58" spans="1:9" ht="18.75" x14ac:dyDescent="0.25">
      <c r="A58" s="42">
        <f t="shared" si="2"/>
        <v>53</v>
      </c>
      <c r="B58" s="55" t="s">
        <v>613</v>
      </c>
      <c r="C58" s="167"/>
      <c r="D58" s="136" t="s">
        <v>200</v>
      </c>
      <c r="E58" s="167"/>
      <c r="F58" s="136" t="s">
        <v>200</v>
      </c>
      <c r="G58" s="164">
        <f t="shared" si="1"/>
        <v>0</v>
      </c>
      <c r="H58" s="165" t="s">
        <v>200</v>
      </c>
    </row>
    <row r="59" spans="1:9" x14ac:dyDescent="0.25">
      <c r="A59" s="42">
        <f t="shared" si="2"/>
        <v>54</v>
      </c>
      <c r="B59" s="55" t="s">
        <v>625</v>
      </c>
      <c r="C59" s="167"/>
      <c r="D59" s="136" t="s">
        <v>200</v>
      </c>
      <c r="E59" s="167"/>
      <c r="F59" s="136" t="s">
        <v>200</v>
      </c>
      <c r="G59" s="164">
        <f t="shared" si="1"/>
        <v>0</v>
      </c>
      <c r="H59" s="165" t="s">
        <v>200</v>
      </c>
    </row>
    <row r="60" spans="1:9" x14ac:dyDescent="0.25">
      <c r="A60" s="42">
        <f t="shared" si="2"/>
        <v>55</v>
      </c>
      <c r="B60" s="58" t="s">
        <v>226</v>
      </c>
      <c r="C60" s="167"/>
      <c r="D60" s="167"/>
      <c r="E60" s="167"/>
      <c r="F60" s="167"/>
      <c r="G60" s="164">
        <f t="shared" si="1"/>
        <v>0</v>
      </c>
      <c r="H60" s="165">
        <f t="shared" si="1"/>
        <v>0</v>
      </c>
    </row>
    <row r="61" spans="1:9" x14ac:dyDescent="0.25">
      <c r="A61" s="42">
        <f t="shared" si="2"/>
        <v>56</v>
      </c>
      <c r="B61" s="58" t="s">
        <v>89</v>
      </c>
      <c r="C61" s="167">
        <v>1428.82</v>
      </c>
      <c r="D61" s="167">
        <v>117485.14</v>
      </c>
      <c r="E61" s="167">
        <v>216.77</v>
      </c>
      <c r="F61" s="167">
        <v>119325.71</v>
      </c>
      <c r="G61" s="164">
        <f t="shared" si="1"/>
        <v>-1212.05</v>
      </c>
      <c r="H61" s="165">
        <f t="shared" si="1"/>
        <v>1840.570000000007</v>
      </c>
    </row>
    <row r="62" spans="1:9" x14ac:dyDescent="0.25">
      <c r="A62" s="42">
        <f t="shared" si="2"/>
        <v>57</v>
      </c>
      <c r="B62" s="60" t="s">
        <v>92</v>
      </c>
      <c r="C62" s="167">
        <v>6702.94</v>
      </c>
      <c r="D62" s="167"/>
      <c r="E62" s="167">
        <v>19315</v>
      </c>
      <c r="F62" s="167"/>
      <c r="G62" s="164">
        <f t="shared" si="1"/>
        <v>12612.060000000001</v>
      </c>
      <c r="H62" s="165">
        <f t="shared" si="1"/>
        <v>0</v>
      </c>
      <c r="I62" s="80"/>
    </row>
    <row r="63" spans="1:9" x14ac:dyDescent="0.25">
      <c r="A63" s="42">
        <f t="shared" si="2"/>
        <v>58</v>
      </c>
      <c r="B63" s="60" t="s">
        <v>743</v>
      </c>
      <c r="C63" s="167"/>
      <c r="D63" s="167"/>
      <c r="E63" s="167"/>
      <c r="F63" s="167"/>
      <c r="G63" s="164">
        <f t="shared" ref="G63" si="21">E63-C63</f>
        <v>0</v>
      </c>
      <c r="H63" s="165">
        <f t="shared" ref="H63" si="22">F63-D63</f>
        <v>0</v>
      </c>
      <c r="I63" s="80"/>
    </row>
    <row r="64" spans="1:9" x14ac:dyDescent="0.25">
      <c r="A64" s="42">
        <f t="shared" si="2"/>
        <v>59</v>
      </c>
      <c r="B64" s="60" t="s">
        <v>659</v>
      </c>
      <c r="C64" s="167"/>
      <c r="D64" s="167"/>
      <c r="E64" s="167"/>
      <c r="F64" s="167"/>
      <c r="G64" s="164">
        <f>E64-C64</f>
        <v>0</v>
      </c>
      <c r="H64" s="165">
        <f t="shared" si="1"/>
        <v>0</v>
      </c>
      <c r="I64" s="80"/>
    </row>
    <row r="65" spans="1:9" x14ac:dyDescent="0.25">
      <c r="A65" s="42">
        <f t="shared" si="2"/>
        <v>60</v>
      </c>
      <c r="B65" s="60" t="s">
        <v>676</v>
      </c>
      <c r="C65" s="174"/>
      <c r="D65" s="174"/>
      <c r="E65" s="167"/>
      <c r="F65" s="167"/>
      <c r="G65" s="164">
        <f>E65-C65</f>
        <v>0</v>
      </c>
      <c r="H65" s="165">
        <f t="shared" ref="H65" si="23">F65-D65</f>
        <v>0</v>
      </c>
      <c r="I65" s="80"/>
    </row>
    <row r="66" spans="1:9" x14ac:dyDescent="0.25">
      <c r="A66" s="42">
        <f t="shared" si="2"/>
        <v>61</v>
      </c>
      <c r="B66" s="58" t="s">
        <v>93</v>
      </c>
      <c r="C66" s="167">
        <v>38135993.560000002</v>
      </c>
      <c r="D66" s="167"/>
      <c r="E66" s="167">
        <v>40698128.07</v>
      </c>
      <c r="F66" s="167"/>
      <c r="G66" s="164">
        <f t="shared" si="1"/>
        <v>2562134.5099999979</v>
      </c>
      <c r="H66" s="165">
        <f t="shared" si="1"/>
        <v>0</v>
      </c>
    </row>
    <row r="67" spans="1:9" x14ac:dyDescent="0.25">
      <c r="A67" s="42">
        <f t="shared" si="2"/>
        <v>62</v>
      </c>
      <c r="B67" s="61" t="s">
        <v>192</v>
      </c>
      <c r="C67" s="95"/>
      <c r="D67" s="95"/>
      <c r="E67" s="95"/>
      <c r="F67" s="95"/>
      <c r="G67" s="164">
        <f t="shared" si="1"/>
        <v>0</v>
      </c>
      <c r="H67" s="165">
        <f t="shared" si="1"/>
        <v>0</v>
      </c>
    </row>
    <row r="68" spans="1:9" x14ac:dyDescent="0.25">
      <c r="A68" s="42">
        <f t="shared" si="2"/>
        <v>63</v>
      </c>
      <c r="B68" s="61" t="s">
        <v>100</v>
      </c>
      <c r="C68" s="95">
        <v>462494.82</v>
      </c>
      <c r="D68" s="95"/>
      <c r="E68" s="95">
        <v>1769631.46</v>
      </c>
      <c r="F68" s="95"/>
      <c r="G68" s="164">
        <f t="shared" si="1"/>
        <v>1307136.6399999999</v>
      </c>
      <c r="H68" s="165">
        <f t="shared" si="1"/>
        <v>0</v>
      </c>
    </row>
    <row r="69" spans="1:9" s="179" customFormat="1" ht="30" thickBot="1" x14ac:dyDescent="0.3">
      <c r="A69" s="42">
        <f t="shared" si="2"/>
        <v>64</v>
      </c>
      <c r="B69" s="83" t="s">
        <v>774</v>
      </c>
      <c r="C69" s="175">
        <f>C6+C11+C16+C17+C18+C19+C20+C21+C24+C25+C30+C37+C38+C49+C50+C51+C52+C53+C54+C60+C61+C62+C63+C64+C65+C66</f>
        <v>56442095.930000007</v>
      </c>
      <c r="D69" s="175">
        <f t="shared" ref="D69:F69" si="24">D6+D11+D16+D17+D18+D19+D20+D21+D24+D25+D30+D37+D38+D49+D50+D51+D52+D53+D54+D60+D61+D62+D63+D64+D65+D66</f>
        <v>1536176.27</v>
      </c>
      <c r="E69" s="175">
        <f t="shared" si="24"/>
        <v>60547407.019999996</v>
      </c>
      <c r="F69" s="175">
        <f t="shared" si="24"/>
        <v>1563605.1800000002</v>
      </c>
      <c r="G69" s="176">
        <f t="shared" si="1"/>
        <v>4105311.0899999887</v>
      </c>
      <c r="H69" s="177">
        <f t="shared" si="1"/>
        <v>27428.910000000149</v>
      </c>
      <c r="I69" s="178"/>
    </row>
    <row r="70" spans="1:9" ht="21" customHeight="1" x14ac:dyDescent="0.25">
      <c r="B70" s="132"/>
      <c r="C70" s="132"/>
      <c r="D70" s="133"/>
      <c r="E70" s="73"/>
      <c r="F70" s="133"/>
      <c r="G70" s="132"/>
      <c r="H70" s="132"/>
    </row>
    <row r="71" spans="1:9" x14ac:dyDescent="0.25">
      <c r="A71" s="476" t="s">
        <v>674</v>
      </c>
      <c r="B71" s="477"/>
      <c r="C71" s="477"/>
      <c r="D71" s="477"/>
      <c r="E71" s="477"/>
      <c r="F71" s="477"/>
      <c r="G71" s="477"/>
      <c r="H71" s="478"/>
      <c r="I71" s="168"/>
    </row>
    <row r="72" spans="1:9" ht="30.75" customHeight="1" x14ac:dyDescent="0.25">
      <c r="A72" s="479" t="s">
        <v>150</v>
      </c>
      <c r="B72" s="480"/>
      <c r="C72" s="480"/>
      <c r="D72" s="480"/>
      <c r="E72" s="480"/>
      <c r="F72" s="480"/>
      <c r="G72" s="480"/>
      <c r="H72" s="481"/>
    </row>
    <row r="74" spans="1:9" x14ac:dyDescent="0.25">
      <c r="C74" s="181"/>
    </row>
    <row r="75" spans="1:9" ht="18.75" customHeight="1" x14ac:dyDescent="0.25"/>
  </sheetData>
  <mergeCells count="9">
    <mergeCell ref="A71:H71"/>
    <mergeCell ref="A72:H72"/>
    <mergeCell ref="A1:H1"/>
    <mergeCell ref="A2:H2"/>
    <mergeCell ref="A3:A4"/>
    <mergeCell ref="B3:B4"/>
    <mergeCell ref="C3:D3"/>
    <mergeCell ref="E3:F3"/>
    <mergeCell ref="G3:H3"/>
  </mergeCells>
  <printOptions gridLines="1"/>
  <pageMargins left="0.51181102362204722" right="0.31496062992125984" top="0.43307086614173229" bottom="0.47244094488188981" header="0.39370078740157483" footer="0.23622047244094491"/>
  <pageSetup paperSize="9" scale="74" fitToHeight="2" orientation="landscape" r:id="rId1"/>
  <headerFooter alignWithMargins="0">
    <oddFooter>&amp;C&amp;P z &amp;N</oddFooter>
  </headerFooter>
  <rowBreaks count="1" manualBreakCount="1">
    <brk id="4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Normal="100" workbookViewId="0">
      <selection activeCell="G8" sqref="G8"/>
    </sheetView>
  </sheetViews>
  <sheetFormatPr defaultRowHeight="15.75" x14ac:dyDescent="0.25"/>
  <cols>
    <col min="1" max="1" width="7.85546875" style="132" customWidth="1"/>
    <col min="2" max="2" width="98.28515625" style="195" customWidth="1"/>
    <col min="3" max="3" width="16.85546875" style="8" customWidth="1"/>
    <col min="4" max="4" width="17.28515625" style="8" customWidth="1"/>
    <col min="5" max="5" width="10" style="8" customWidth="1"/>
    <col min="6" max="8" width="9.140625" style="8"/>
    <col min="9" max="9" width="9.140625" style="8" customWidth="1"/>
    <col min="10" max="16384" width="9.140625" style="8"/>
  </cols>
  <sheetData>
    <row r="1" spans="1:9" ht="45.75" customHeight="1" thickBot="1" x14ac:dyDescent="0.3">
      <c r="A1" s="470" t="s">
        <v>707</v>
      </c>
      <c r="B1" s="471"/>
      <c r="C1" s="471"/>
      <c r="D1" s="472"/>
    </row>
    <row r="2" spans="1:9" ht="37.5" customHeight="1" x14ac:dyDescent="0.25">
      <c r="A2" s="485" t="s">
        <v>791</v>
      </c>
      <c r="B2" s="486"/>
      <c r="C2" s="486"/>
      <c r="D2" s="487"/>
    </row>
    <row r="3" spans="1:9" s="147" customFormat="1" ht="31.5" x14ac:dyDescent="0.25">
      <c r="A3" s="28" t="s">
        <v>134</v>
      </c>
      <c r="B3" s="126" t="s">
        <v>213</v>
      </c>
      <c r="C3" s="129">
        <v>2016</v>
      </c>
      <c r="D3" s="128">
        <v>2017</v>
      </c>
    </row>
    <row r="4" spans="1:9" s="147" customFormat="1" x14ac:dyDescent="0.25">
      <c r="A4" s="28"/>
      <c r="B4" s="126"/>
      <c r="C4" s="129" t="s">
        <v>178</v>
      </c>
      <c r="D4" s="128" t="s">
        <v>179</v>
      </c>
      <c r="F4" s="183"/>
    </row>
    <row r="5" spans="1:9" x14ac:dyDescent="0.25">
      <c r="A5" s="42">
        <v>1</v>
      </c>
      <c r="B5" s="58" t="s">
        <v>786</v>
      </c>
      <c r="C5" s="184">
        <f>+SUM(C6:C9)</f>
        <v>10807697.720000001</v>
      </c>
      <c r="D5" s="184">
        <f>+SUM(D6:D9)</f>
        <v>12173648.570000002</v>
      </c>
      <c r="E5" s="147"/>
      <c r="F5" s="185"/>
      <c r="G5" s="186"/>
    </row>
    <row r="6" spans="1:9" x14ac:dyDescent="0.25">
      <c r="A6" s="42">
        <v>2</v>
      </c>
      <c r="B6" s="86" t="s">
        <v>750</v>
      </c>
      <c r="C6" s="97">
        <v>0</v>
      </c>
      <c r="D6" s="187">
        <v>0</v>
      </c>
      <c r="E6" s="81"/>
      <c r="F6" s="147"/>
      <c r="I6" s="80"/>
    </row>
    <row r="7" spans="1:9" x14ac:dyDescent="0.25">
      <c r="A7" s="42">
        <v>3</v>
      </c>
      <c r="B7" s="86" t="s">
        <v>751</v>
      </c>
      <c r="C7" s="97">
        <v>228352.5</v>
      </c>
      <c r="D7" s="187">
        <v>263843.46999999997</v>
      </c>
      <c r="E7" s="81"/>
      <c r="F7" s="147"/>
      <c r="I7" s="80"/>
    </row>
    <row r="8" spans="1:9" x14ac:dyDescent="0.25">
      <c r="A8" s="42">
        <v>4</v>
      </c>
      <c r="B8" s="86" t="s">
        <v>752</v>
      </c>
      <c r="C8" s="97">
        <v>10287485</v>
      </c>
      <c r="D8" s="187">
        <v>11598064.890000001</v>
      </c>
      <c r="E8" s="81"/>
      <c r="F8" s="147"/>
      <c r="I8" s="80"/>
    </row>
    <row r="9" spans="1:9" x14ac:dyDescent="0.25">
      <c r="A9" s="42">
        <v>5</v>
      </c>
      <c r="B9" s="86" t="s">
        <v>753</v>
      </c>
      <c r="C9" s="97">
        <v>291860.21999999997</v>
      </c>
      <c r="D9" s="187">
        <v>311740.21000000002</v>
      </c>
      <c r="E9" s="81"/>
      <c r="F9" s="147"/>
      <c r="I9" s="80"/>
    </row>
    <row r="10" spans="1:9" ht="18.75" x14ac:dyDescent="0.25">
      <c r="A10" s="42">
        <v>6</v>
      </c>
      <c r="B10" s="86" t="s">
        <v>775</v>
      </c>
      <c r="C10" s="154"/>
      <c r="D10" s="188"/>
    </row>
    <row r="11" spans="1:9" x14ac:dyDescent="0.25">
      <c r="A11" s="42">
        <v>7</v>
      </c>
      <c r="B11" s="10" t="s">
        <v>618</v>
      </c>
      <c r="C11" s="152">
        <f>SUM(C12:C17)</f>
        <v>341929.42</v>
      </c>
      <c r="D11" s="189">
        <f>SUM(D12:D17)</f>
        <v>356963.9</v>
      </c>
    </row>
    <row r="12" spans="1:9" x14ac:dyDescent="0.25">
      <c r="A12" s="42">
        <v>8</v>
      </c>
      <c r="B12" s="86" t="s">
        <v>754</v>
      </c>
      <c r="C12" s="97">
        <v>243760.5</v>
      </c>
      <c r="D12" s="187">
        <v>230098</v>
      </c>
    </row>
    <row r="13" spans="1:9" x14ac:dyDescent="0.25">
      <c r="A13" s="42">
        <v>9</v>
      </c>
      <c r="B13" s="86" t="s">
        <v>755</v>
      </c>
      <c r="C13" s="97">
        <v>47395.09</v>
      </c>
      <c r="D13" s="187">
        <v>84819.9</v>
      </c>
    </row>
    <row r="14" spans="1:9" x14ac:dyDescent="0.25">
      <c r="A14" s="42">
        <v>10</v>
      </c>
      <c r="B14" s="86" t="s">
        <v>756</v>
      </c>
      <c r="C14" s="97">
        <v>29804</v>
      </c>
      <c r="D14" s="187">
        <v>25587</v>
      </c>
    </row>
    <row r="15" spans="1:9" x14ac:dyDescent="0.25">
      <c r="A15" s="42">
        <v>11</v>
      </c>
      <c r="B15" s="86" t="s">
        <v>757</v>
      </c>
      <c r="C15" s="97">
        <v>20969.830000000002</v>
      </c>
      <c r="D15" s="187">
        <v>16261</v>
      </c>
    </row>
    <row r="16" spans="1:9" ht="31.5" x14ac:dyDescent="0.25">
      <c r="A16" s="42">
        <v>12</v>
      </c>
      <c r="B16" s="86" t="s">
        <v>758</v>
      </c>
      <c r="C16" s="97"/>
      <c r="D16" s="187"/>
    </row>
    <row r="17" spans="1:4" x14ac:dyDescent="0.25">
      <c r="A17" s="42">
        <v>13</v>
      </c>
      <c r="B17" s="86" t="s">
        <v>759</v>
      </c>
      <c r="C17" s="97"/>
      <c r="D17" s="187">
        <v>198</v>
      </c>
    </row>
    <row r="18" spans="1:4" x14ac:dyDescent="0.25">
      <c r="A18" s="42">
        <v>14</v>
      </c>
      <c r="B18" s="10" t="s">
        <v>153</v>
      </c>
      <c r="C18" s="152">
        <f>(C6+C7)*0.2</f>
        <v>45670.5</v>
      </c>
      <c r="D18" s="189">
        <f>(D6+D7)*0.2</f>
        <v>52768.693999999996</v>
      </c>
    </row>
    <row r="19" spans="1:4" ht="16.5" thickBot="1" x14ac:dyDescent="0.3">
      <c r="A19" s="26">
        <v>15</v>
      </c>
      <c r="B19" s="11" t="s">
        <v>219</v>
      </c>
      <c r="C19" s="159">
        <v>48967.9</v>
      </c>
      <c r="D19" s="190">
        <v>64729.47</v>
      </c>
    </row>
    <row r="20" spans="1:4" x14ac:dyDescent="0.25">
      <c r="B20" s="191"/>
    </row>
    <row r="21" spans="1:4" ht="18.75" x14ac:dyDescent="0.25">
      <c r="A21" s="192"/>
      <c r="B21" s="193" t="s">
        <v>634</v>
      </c>
    </row>
    <row r="22" spans="1:4" x14ac:dyDescent="0.25">
      <c r="B22" s="194" t="s">
        <v>763</v>
      </c>
    </row>
    <row r="23" spans="1:4" x14ac:dyDescent="0.25">
      <c r="B23" s="194"/>
    </row>
    <row r="24" spans="1:4" x14ac:dyDescent="0.25">
      <c r="B24" s="191"/>
    </row>
    <row r="25" spans="1:4" x14ac:dyDescent="0.25">
      <c r="B25" s="191"/>
    </row>
    <row r="26" spans="1:4" x14ac:dyDescent="0.25">
      <c r="B26" s="191"/>
    </row>
    <row r="27" spans="1:4" x14ac:dyDescent="0.25">
      <c r="B27" s="191"/>
    </row>
  </sheetData>
  <mergeCells count="2">
    <mergeCell ref="A1:D1"/>
    <mergeCell ref="A2:D2"/>
  </mergeCells>
  <pageMargins left="0.70866141732283472" right="0.2" top="0.74803149606299213" bottom="0.74803149606299213" header="0.31496062992125984" footer="0.31496062992125984"/>
  <pageSetup paperSize="9" scale="9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92"/>
  <sheetViews>
    <sheetView zoomScaleNormal="100" zoomScaleSheetLayoutView="80" workbookViewId="0">
      <pane xSplit="2" ySplit="5" topLeftCell="C96" activePane="bottomRight" state="frozen"/>
      <selection pane="topRight" activeCell="C1" sqref="C1"/>
      <selection pane="bottomLeft" activeCell="A6" sqref="A6"/>
      <selection pane="bottomRight" activeCell="E111" sqref="E111"/>
    </sheetView>
  </sheetViews>
  <sheetFormatPr defaultRowHeight="15.75" x14ac:dyDescent="0.25"/>
  <cols>
    <col min="1" max="1" width="8.42578125" style="132" customWidth="1"/>
    <col min="2" max="2" width="35.7109375" style="204" customWidth="1"/>
    <col min="3" max="3" width="18" style="8" customWidth="1"/>
    <col min="4" max="4" width="15" style="8" customWidth="1"/>
    <col min="5" max="5" width="17" style="8" customWidth="1"/>
    <col min="6" max="6" width="16" style="8" customWidth="1"/>
    <col min="7" max="7" width="17" style="8" customWidth="1"/>
    <col min="8" max="8" width="18" style="8" customWidth="1"/>
    <col min="9" max="9" width="28.42578125" style="8" customWidth="1"/>
    <col min="10" max="16384" width="9.140625" style="8"/>
  </cols>
  <sheetData>
    <row r="1" spans="1:8" ht="35.1" customHeight="1" thickBot="1" x14ac:dyDescent="0.3">
      <c r="A1" s="494" t="s">
        <v>708</v>
      </c>
      <c r="B1" s="495"/>
      <c r="C1" s="495"/>
      <c r="D1" s="495"/>
      <c r="E1" s="495"/>
      <c r="F1" s="495"/>
      <c r="G1" s="495"/>
      <c r="H1" s="496"/>
    </row>
    <row r="2" spans="1:8" ht="32.450000000000003" customHeight="1" x14ac:dyDescent="0.25">
      <c r="A2" s="467" t="s">
        <v>792</v>
      </c>
      <c r="B2" s="468"/>
      <c r="C2" s="468"/>
      <c r="D2" s="468"/>
      <c r="E2" s="468"/>
      <c r="F2" s="468"/>
      <c r="G2" s="468"/>
      <c r="H2" s="469"/>
    </row>
    <row r="3" spans="1:8" s="147" customFormat="1" ht="31.5" customHeight="1" x14ac:dyDescent="0.25">
      <c r="A3" s="488" t="s">
        <v>134</v>
      </c>
      <c r="B3" s="489" t="s">
        <v>213</v>
      </c>
      <c r="C3" s="497">
        <v>2016</v>
      </c>
      <c r="D3" s="497"/>
      <c r="E3" s="497">
        <v>2017</v>
      </c>
      <c r="F3" s="497"/>
      <c r="G3" s="491" t="s">
        <v>706</v>
      </c>
      <c r="H3" s="493"/>
    </row>
    <row r="4" spans="1:8" ht="31.5" customHeight="1" x14ac:dyDescent="0.25">
      <c r="A4" s="488"/>
      <c r="B4" s="490"/>
      <c r="C4" s="129" t="s">
        <v>214</v>
      </c>
      <c r="D4" s="129" t="s">
        <v>215</v>
      </c>
      <c r="E4" s="129" t="s">
        <v>214</v>
      </c>
      <c r="F4" s="129" t="s">
        <v>215</v>
      </c>
      <c r="G4" s="129" t="s">
        <v>214</v>
      </c>
      <c r="H4" s="130" t="s">
        <v>215</v>
      </c>
    </row>
    <row r="5" spans="1:8" x14ac:dyDescent="0.25">
      <c r="A5" s="42"/>
      <c r="B5" s="54"/>
      <c r="C5" s="4" t="s">
        <v>178</v>
      </c>
      <c r="D5" s="4" t="s">
        <v>179</v>
      </c>
      <c r="E5" s="4" t="s">
        <v>180</v>
      </c>
      <c r="F5" s="4" t="s">
        <v>186</v>
      </c>
      <c r="G5" s="4" t="s">
        <v>14</v>
      </c>
      <c r="H5" s="13" t="s">
        <v>15</v>
      </c>
    </row>
    <row r="6" spans="1:8" ht="31.5" x14ac:dyDescent="0.25">
      <c r="A6" s="42">
        <v>1</v>
      </c>
      <c r="B6" s="52" t="s">
        <v>678</v>
      </c>
      <c r="C6" s="152">
        <f>SUM(C7:C18)</f>
        <v>2121488.21</v>
      </c>
      <c r="D6" s="152">
        <f>SUM(D7:D18)</f>
        <v>352811.49000000005</v>
      </c>
      <c r="E6" s="152">
        <f>SUM(E7:E18)</f>
        <v>2974876.22</v>
      </c>
      <c r="F6" s="152">
        <f>SUM(F7:F18)</f>
        <v>388561.9599999999</v>
      </c>
      <c r="G6" s="152">
        <f>E6-C6</f>
        <v>853388.01000000024</v>
      </c>
      <c r="H6" s="151">
        <f>F6-D6</f>
        <v>35750.469999999856</v>
      </c>
    </row>
    <row r="7" spans="1:8" ht="17.25" customHeight="1" x14ac:dyDescent="0.25">
      <c r="A7" s="42">
        <f>A6+1</f>
        <v>2</v>
      </c>
      <c r="B7" s="51" t="s">
        <v>596</v>
      </c>
      <c r="C7" s="97">
        <v>154692.44</v>
      </c>
      <c r="D7" s="97">
        <v>3655.73</v>
      </c>
      <c r="E7" s="97">
        <v>196752.43</v>
      </c>
      <c r="F7" s="97">
        <v>4704.66</v>
      </c>
      <c r="G7" s="154">
        <f>E7-C7</f>
        <v>42059.989999999991</v>
      </c>
      <c r="H7" s="196">
        <f>F7-D7</f>
        <v>1048.9299999999998</v>
      </c>
    </row>
    <row r="8" spans="1:8" ht="30.6" customHeight="1" x14ac:dyDescent="0.25">
      <c r="A8" s="42">
        <f t="shared" ref="A8:A71" si="0">A7+1</f>
        <v>3</v>
      </c>
      <c r="B8" s="53" t="s">
        <v>665</v>
      </c>
      <c r="C8" s="97">
        <v>550784.91</v>
      </c>
      <c r="D8" s="97">
        <v>97.27</v>
      </c>
      <c r="E8" s="97">
        <v>622388.28</v>
      </c>
      <c r="F8" s="97">
        <v>1353.34</v>
      </c>
      <c r="G8" s="154">
        <f t="shared" ref="G8:H71" si="1">E8-C8</f>
        <v>71603.37</v>
      </c>
      <c r="H8" s="196">
        <f t="shared" si="1"/>
        <v>1256.07</v>
      </c>
    </row>
    <row r="9" spans="1:8" ht="31.5" x14ac:dyDescent="0.25">
      <c r="A9" s="42">
        <f t="shared" si="0"/>
        <v>4</v>
      </c>
      <c r="B9" s="51" t="s">
        <v>597</v>
      </c>
      <c r="C9" s="97">
        <v>154894.25</v>
      </c>
      <c r="D9" s="97">
        <v>4000.02</v>
      </c>
      <c r="E9" s="97">
        <v>203533.14</v>
      </c>
      <c r="F9" s="97">
        <v>4629.79</v>
      </c>
      <c r="G9" s="154">
        <f t="shared" si="1"/>
        <v>48638.890000000014</v>
      </c>
      <c r="H9" s="196">
        <f t="shared" si="1"/>
        <v>629.77</v>
      </c>
    </row>
    <row r="10" spans="1:8" x14ac:dyDescent="0.25">
      <c r="A10" s="42">
        <f t="shared" si="0"/>
        <v>5</v>
      </c>
      <c r="B10" s="51" t="s">
        <v>598</v>
      </c>
      <c r="C10" s="97">
        <v>10686.6</v>
      </c>
      <c r="D10" s="97">
        <v>226.29</v>
      </c>
      <c r="E10" s="97">
        <v>12676.019999999999</v>
      </c>
      <c r="F10" s="97">
        <v>396.49</v>
      </c>
      <c r="G10" s="154">
        <f t="shared" si="1"/>
        <v>1989.4199999999983</v>
      </c>
      <c r="H10" s="196">
        <f t="shared" si="1"/>
        <v>170.20000000000002</v>
      </c>
    </row>
    <row r="11" spans="1:8" ht="47.25" x14ac:dyDescent="0.25">
      <c r="A11" s="42">
        <f t="shared" si="0"/>
        <v>6</v>
      </c>
      <c r="B11" s="51" t="s">
        <v>599</v>
      </c>
      <c r="C11" s="97">
        <v>25454.69</v>
      </c>
      <c r="D11" s="97">
        <v>5286.18</v>
      </c>
      <c r="E11" s="97">
        <v>26674.39</v>
      </c>
      <c r="F11" s="97">
        <v>5174.1900000000005</v>
      </c>
      <c r="G11" s="154">
        <f t="shared" si="1"/>
        <v>1219.7000000000007</v>
      </c>
      <c r="H11" s="196">
        <f t="shared" si="1"/>
        <v>-111.98999999999978</v>
      </c>
    </row>
    <row r="12" spans="1:8" ht="31.5" x14ac:dyDescent="0.25">
      <c r="A12" s="42">
        <f t="shared" si="0"/>
        <v>7</v>
      </c>
      <c r="B12" s="51" t="s">
        <v>600</v>
      </c>
      <c r="C12" s="97">
        <v>50879.839999999997</v>
      </c>
      <c r="D12" s="97">
        <v>19485.18</v>
      </c>
      <c r="E12" s="97">
        <v>71961.720000000016</v>
      </c>
      <c r="F12" s="97">
        <v>21752.87</v>
      </c>
      <c r="G12" s="154">
        <f t="shared" si="1"/>
        <v>21081.880000000019</v>
      </c>
      <c r="H12" s="196">
        <f t="shared" si="1"/>
        <v>2267.6899999999987</v>
      </c>
    </row>
    <row r="13" spans="1:8" ht="47.25" x14ac:dyDescent="0.25">
      <c r="A13" s="42">
        <f t="shared" si="0"/>
        <v>8</v>
      </c>
      <c r="B13" s="51" t="s">
        <v>63</v>
      </c>
      <c r="C13" s="97">
        <v>105509.24</v>
      </c>
      <c r="D13" s="97">
        <v>3536.39</v>
      </c>
      <c r="E13" s="97">
        <v>115430.13</v>
      </c>
      <c r="F13" s="97">
        <v>4406.25</v>
      </c>
      <c r="G13" s="154">
        <f t="shared" si="1"/>
        <v>9920.89</v>
      </c>
      <c r="H13" s="196">
        <f t="shared" si="1"/>
        <v>869.86000000000013</v>
      </c>
    </row>
    <row r="14" spans="1:8" x14ac:dyDescent="0.25">
      <c r="A14" s="42">
        <f t="shared" si="0"/>
        <v>9</v>
      </c>
      <c r="B14" s="51" t="s">
        <v>64</v>
      </c>
      <c r="C14" s="97">
        <v>154328.35</v>
      </c>
      <c r="D14" s="97">
        <v>264781.82</v>
      </c>
      <c r="E14" s="97">
        <v>151105</v>
      </c>
      <c r="F14" s="97">
        <v>311053.21999999997</v>
      </c>
      <c r="G14" s="154">
        <f t="shared" si="1"/>
        <v>-3223.3500000000058</v>
      </c>
      <c r="H14" s="196">
        <f t="shared" si="1"/>
        <v>46271.399999999965</v>
      </c>
    </row>
    <row r="15" spans="1:8" ht="47.25" x14ac:dyDescent="0.25">
      <c r="A15" s="42">
        <f t="shared" si="0"/>
        <v>10</v>
      </c>
      <c r="B15" s="55" t="s">
        <v>65</v>
      </c>
      <c r="C15" s="97">
        <v>307442.93</v>
      </c>
      <c r="D15" s="97">
        <v>7157.51</v>
      </c>
      <c r="E15" s="97">
        <v>496272.42</v>
      </c>
      <c r="F15" s="97">
        <v>987.5</v>
      </c>
      <c r="G15" s="154">
        <f t="shared" si="1"/>
        <v>188829.49</v>
      </c>
      <c r="H15" s="196">
        <f t="shared" si="1"/>
        <v>-6170.01</v>
      </c>
    </row>
    <row r="16" spans="1:8" ht="16.149999999999999" customHeight="1" x14ac:dyDescent="0.25">
      <c r="A16" s="42">
        <f t="shared" si="0"/>
        <v>11</v>
      </c>
      <c r="B16" s="51" t="s">
        <v>66</v>
      </c>
      <c r="C16" s="97">
        <v>268334.86</v>
      </c>
      <c r="D16" s="97">
        <v>1332.27</v>
      </c>
      <c r="E16" s="97">
        <v>710340.91</v>
      </c>
      <c r="F16" s="97">
        <v>4994.99</v>
      </c>
      <c r="G16" s="154">
        <f t="shared" si="1"/>
        <v>442006.05000000005</v>
      </c>
      <c r="H16" s="196">
        <f t="shared" si="1"/>
        <v>3662.72</v>
      </c>
    </row>
    <row r="17" spans="1:8" ht="47.25" x14ac:dyDescent="0.25">
      <c r="A17" s="42">
        <f t="shared" si="0"/>
        <v>12</v>
      </c>
      <c r="B17" s="55" t="s">
        <v>699</v>
      </c>
      <c r="C17" s="97">
        <v>263894.65999999997</v>
      </c>
      <c r="D17" s="97">
        <v>29825.38</v>
      </c>
      <c r="E17" s="97">
        <v>343897.18000000011</v>
      </c>
      <c r="F17" s="97">
        <v>25450.800000000003</v>
      </c>
      <c r="G17" s="154">
        <f t="shared" si="1"/>
        <v>80002.520000000135</v>
      </c>
      <c r="H17" s="196">
        <f t="shared" si="1"/>
        <v>-4374.5799999999981</v>
      </c>
    </row>
    <row r="18" spans="1:8" ht="31.5" x14ac:dyDescent="0.25">
      <c r="A18" s="42">
        <f t="shared" si="0"/>
        <v>13</v>
      </c>
      <c r="B18" s="51" t="s">
        <v>660</v>
      </c>
      <c r="C18" s="97">
        <v>74585.440000000002</v>
      </c>
      <c r="D18" s="97">
        <v>13427.45</v>
      </c>
      <c r="E18" s="97">
        <v>23844.6</v>
      </c>
      <c r="F18" s="97">
        <v>3657.8599999999997</v>
      </c>
      <c r="G18" s="154">
        <f t="shared" si="1"/>
        <v>-50740.840000000004</v>
      </c>
      <c r="H18" s="196">
        <f t="shared" si="1"/>
        <v>-9769.59</v>
      </c>
    </row>
    <row r="19" spans="1:8" ht="31.5" x14ac:dyDescent="0.25">
      <c r="A19" s="42">
        <f t="shared" si="0"/>
        <v>14</v>
      </c>
      <c r="B19" s="52" t="s">
        <v>679</v>
      </c>
      <c r="C19" s="152">
        <f>SUM(C20:C25)</f>
        <v>1721309.7000000002</v>
      </c>
      <c r="D19" s="152">
        <f>SUM(D20:D25)</f>
        <v>62831.29</v>
      </c>
      <c r="E19" s="152">
        <f>SUM(E20:E25)</f>
        <v>1671271.1199999996</v>
      </c>
      <c r="F19" s="152">
        <f>SUM(F20:F25)</f>
        <v>57085.380000000005</v>
      </c>
      <c r="G19" s="152">
        <f t="shared" si="1"/>
        <v>-50038.58000000054</v>
      </c>
      <c r="H19" s="151">
        <f t="shared" si="1"/>
        <v>-5745.9099999999962</v>
      </c>
    </row>
    <row r="20" spans="1:8" ht="31.5" x14ac:dyDescent="0.25">
      <c r="A20" s="42">
        <f t="shared" si="0"/>
        <v>15</v>
      </c>
      <c r="B20" s="51" t="s">
        <v>601</v>
      </c>
      <c r="C20" s="97">
        <v>554916.53</v>
      </c>
      <c r="D20" s="97">
        <v>20924.740000000002</v>
      </c>
      <c r="E20" s="97">
        <v>528227.57999999996</v>
      </c>
      <c r="F20" s="97">
        <v>19084.260000000002</v>
      </c>
      <c r="G20" s="154">
        <f t="shared" si="1"/>
        <v>-26688.95000000007</v>
      </c>
      <c r="H20" s="196">
        <f t="shared" si="1"/>
        <v>-1840.4799999999996</v>
      </c>
    </row>
    <row r="21" spans="1:8" ht="31.5" x14ac:dyDescent="0.25">
      <c r="A21" s="42">
        <f t="shared" si="0"/>
        <v>16</v>
      </c>
      <c r="B21" s="51" t="s">
        <v>602</v>
      </c>
      <c r="C21" s="97">
        <v>888027.79</v>
      </c>
      <c r="D21" s="97">
        <v>16302.31</v>
      </c>
      <c r="E21" s="97">
        <v>901301.95</v>
      </c>
      <c r="F21" s="97">
        <v>15415.27</v>
      </c>
      <c r="G21" s="154">
        <f t="shared" si="1"/>
        <v>13274.159999999916</v>
      </c>
      <c r="H21" s="196">
        <f t="shared" si="1"/>
        <v>-887.03999999999905</v>
      </c>
    </row>
    <row r="22" spans="1:8" ht="31.5" x14ac:dyDescent="0.25">
      <c r="A22" s="42">
        <f t="shared" si="0"/>
        <v>17</v>
      </c>
      <c r="B22" s="51" t="s">
        <v>603</v>
      </c>
      <c r="C22" s="97">
        <v>166973.97</v>
      </c>
      <c r="D22" s="97">
        <v>19823.060000000001</v>
      </c>
      <c r="E22" s="97">
        <v>155143.13999999998</v>
      </c>
      <c r="F22" s="97">
        <v>16664.079999999998</v>
      </c>
      <c r="G22" s="154">
        <f t="shared" si="1"/>
        <v>-11830.830000000016</v>
      </c>
      <c r="H22" s="196">
        <f t="shared" si="1"/>
        <v>-3158.9800000000032</v>
      </c>
    </row>
    <row r="23" spans="1:8" x14ac:dyDescent="0.25">
      <c r="A23" s="42">
        <f t="shared" si="0"/>
        <v>18</v>
      </c>
      <c r="B23" s="51" t="s">
        <v>604</v>
      </c>
      <c r="C23" s="97">
        <v>106459.81</v>
      </c>
      <c r="D23" s="97">
        <v>5781.18</v>
      </c>
      <c r="E23" s="97">
        <v>85366.55</v>
      </c>
      <c r="F23" s="97">
        <v>5921.77</v>
      </c>
      <c r="G23" s="154">
        <f t="shared" si="1"/>
        <v>-21093.259999999995</v>
      </c>
      <c r="H23" s="196">
        <f t="shared" si="1"/>
        <v>140.59000000000015</v>
      </c>
    </row>
    <row r="24" spans="1:8" x14ac:dyDescent="0.25">
      <c r="A24" s="42">
        <f t="shared" si="0"/>
        <v>19</v>
      </c>
      <c r="B24" s="51" t="s">
        <v>605</v>
      </c>
      <c r="C24" s="97">
        <v>1275.81</v>
      </c>
      <c r="D24" s="97"/>
      <c r="E24" s="97">
        <v>1231.9000000000001</v>
      </c>
      <c r="F24" s="97" t="s">
        <v>823</v>
      </c>
      <c r="G24" s="154">
        <f t="shared" si="1"/>
        <v>-43.909999999999854</v>
      </c>
      <c r="H24" s="196">
        <f t="shared" si="1"/>
        <v>0</v>
      </c>
    </row>
    <row r="25" spans="1:8" x14ac:dyDescent="0.25">
      <c r="A25" s="42">
        <f t="shared" si="0"/>
        <v>20</v>
      </c>
      <c r="B25" s="51" t="s">
        <v>661</v>
      </c>
      <c r="C25" s="97">
        <v>3655.79</v>
      </c>
      <c r="D25" s="97"/>
      <c r="E25" s="97" t="s">
        <v>823</v>
      </c>
      <c r="F25" s="97" t="s">
        <v>823</v>
      </c>
      <c r="G25" s="154">
        <f t="shared" si="1"/>
        <v>-3655.79</v>
      </c>
      <c r="H25" s="196">
        <f t="shared" si="1"/>
        <v>0</v>
      </c>
    </row>
    <row r="26" spans="1:8" ht="47.25" x14ac:dyDescent="0.25">
      <c r="A26" s="42">
        <f t="shared" si="0"/>
        <v>21</v>
      </c>
      <c r="B26" s="52" t="s">
        <v>210</v>
      </c>
      <c r="C26" s="96" t="s">
        <v>200</v>
      </c>
      <c r="D26" s="96" t="s">
        <v>200</v>
      </c>
      <c r="E26" s="96" t="s">
        <v>200</v>
      </c>
      <c r="F26" s="96" t="s">
        <v>200</v>
      </c>
      <c r="G26" s="97" t="s">
        <v>99</v>
      </c>
      <c r="H26" s="98" t="s">
        <v>99</v>
      </c>
    </row>
    <row r="27" spans="1:8" ht="31.5" x14ac:dyDescent="0.25">
      <c r="A27" s="42">
        <f t="shared" si="0"/>
        <v>22</v>
      </c>
      <c r="B27" s="52" t="s">
        <v>680</v>
      </c>
      <c r="C27" s="152">
        <f>SUM(C28:C31)</f>
        <v>329.14</v>
      </c>
      <c r="D27" s="152">
        <f>SUM(D28:D31)</f>
        <v>49349.33</v>
      </c>
      <c r="E27" s="152">
        <f>SUM(E28:E31)</f>
        <v>0</v>
      </c>
      <c r="F27" s="152">
        <f>SUM(F28:F31)</f>
        <v>60805.279999999999</v>
      </c>
      <c r="G27" s="152">
        <f t="shared" si="1"/>
        <v>-329.14</v>
      </c>
      <c r="H27" s="151">
        <f t="shared" si="1"/>
        <v>11455.949999999997</v>
      </c>
    </row>
    <row r="28" spans="1:8" ht="9.75" customHeight="1" x14ac:dyDescent="0.25">
      <c r="A28" s="42">
        <f t="shared" si="0"/>
        <v>23</v>
      </c>
      <c r="B28" s="51" t="s">
        <v>172</v>
      </c>
      <c r="C28" s="97"/>
      <c r="D28" s="97"/>
      <c r="E28" s="97"/>
      <c r="F28" s="97"/>
      <c r="G28" s="154">
        <f t="shared" si="1"/>
        <v>0</v>
      </c>
      <c r="H28" s="196">
        <f t="shared" si="1"/>
        <v>0</v>
      </c>
    </row>
    <row r="29" spans="1:8" ht="6" customHeight="1" x14ac:dyDescent="0.25">
      <c r="A29" s="42">
        <f t="shared" si="0"/>
        <v>24</v>
      </c>
      <c r="B29" s="53" t="s">
        <v>191</v>
      </c>
      <c r="C29" s="97"/>
      <c r="D29" s="97"/>
      <c r="E29" s="97"/>
      <c r="F29" s="97"/>
      <c r="G29" s="154">
        <f t="shared" si="1"/>
        <v>0</v>
      </c>
      <c r="H29" s="196">
        <f t="shared" si="1"/>
        <v>0</v>
      </c>
    </row>
    <row r="30" spans="1:8" ht="9.75" customHeight="1" x14ac:dyDescent="0.25">
      <c r="A30" s="42">
        <f t="shared" si="0"/>
        <v>25</v>
      </c>
      <c r="B30" s="53" t="s">
        <v>27</v>
      </c>
      <c r="C30" s="97"/>
      <c r="D30" s="97"/>
      <c r="E30" s="97"/>
      <c r="F30" s="97"/>
      <c r="G30" s="154">
        <f t="shared" si="1"/>
        <v>0</v>
      </c>
      <c r="H30" s="196">
        <f t="shared" si="1"/>
        <v>0</v>
      </c>
    </row>
    <row r="31" spans="1:8" x14ac:dyDescent="0.25">
      <c r="A31" s="42">
        <f t="shared" si="0"/>
        <v>26</v>
      </c>
      <c r="B31" s="51" t="s">
        <v>28</v>
      </c>
      <c r="C31" s="97">
        <v>329.14</v>
      </c>
      <c r="D31" s="97">
        <v>49349.33</v>
      </c>
      <c r="E31" s="97"/>
      <c r="F31" s="97">
        <v>60805.279999999999</v>
      </c>
      <c r="G31" s="154"/>
      <c r="H31" s="196">
        <f t="shared" si="1"/>
        <v>11455.949999999997</v>
      </c>
    </row>
    <row r="32" spans="1:8" ht="25.5" customHeight="1" x14ac:dyDescent="0.25">
      <c r="A32" s="42">
        <f t="shared" si="0"/>
        <v>27</v>
      </c>
      <c r="B32" s="52" t="s">
        <v>681</v>
      </c>
      <c r="C32" s="152">
        <f>SUM(C33:C39)</f>
        <v>891621.1</v>
      </c>
      <c r="D32" s="152">
        <f>SUM(D33:D39)</f>
        <v>13489.87</v>
      </c>
      <c r="E32" s="152">
        <f>SUM(E33:E39)</f>
        <v>1265862.7899999998</v>
      </c>
      <c r="F32" s="152">
        <f>SUM(F33:F39)</f>
        <v>15347.409999999998</v>
      </c>
      <c r="G32" s="152">
        <f t="shared" si="1"/>
        <v>374241.68999999983</v>
      </c>
      <c r="H32" s="151">
        <f t="shared" si="1"/>
        <v>1857.5399999999972</v>
      </c>
    </row>
    <row r="33" spans="1:8" ht="31.5" x14ac:dyDescent="0.25">
      <c r="A33" s="42">
        <f t="shared" si="0"/>
        <v>28</v>
      </c>
      <c r="B33" s="51" t="s">
        <v>67</v>
      </c>
      <c r="C33" s="97">
        <v>568105.84</v>
      </c>
      <c r="D33" s="97">
        <v>2118.52</v>
      </c>
      <c r="E33" s="97">
        <v>970346.17</v>
      </c>
      <c r="F33" s="97" t="s">
        <v>823</v>
      </c>
      <c r="G33" s="154">
        <f t="shared" si="1"/>
        <v>402240.33000000007</v>
      </c>
      <c r="H33" s="196">
        <f t="shared" si="1"/>
        <v>-2118.52</v>
      </c>
    </row>
    <row r="34" spans="1:8" ht="47.25" x14ac:dyDescent="0.25">
      <c r="A34" s="42">
        <f t="shared" si="0"/>
        <v>29</v>
      </c>
      <c r="B34" s="51" t="s">
        <v>68</v>
      </c>
      <c r="C34" s="97">
        <v>219954.73</v>
      </c>
      <c r="D34" s="97">
        <v>7012.61</v>
      </c>
      <c r="E34" s="97">
        <v>152110.75999999998</v>
      </c>
      <c r="F34" s="97">
        <v>6331.98</v>
      </c>
      <c r="G34" s="154">
        <f t="shared" si="1"/>
        <v>-67843.97000000003</v>
      </c>
      <c r="H34" s="196">
        <f t="shared" si="1"/>
        <v>-680.63000000000011</v>
      </c>
    </row>
    <row r="35" spans="1:8" ht="31.5" x14ac:dyDescent="0.25">
      <c r="A35" s="42">
        <f t="shared" si="0"/>
        <v>30</v>
      </c>
      <c r="B35" s="51" t="s">
        <v>69</v>
      </c>
      <c r="C35" s="97">
        <v>19366.93</v>
      </c>
      <c r="D35" s="97">
        <v>1621.71</v>
      </c>
      <c r="E35" s="97">
        <v>16027.62</v>
      </c>
      <c r="F35" s="97">
        <v>1668.11</v>
      </c>
      <c r="G35" s="154">
        <f t="shared" si="1"/>
        <v>-3339.3099999999995</v>
      </c>
      <c r="H35" s="196">
        <f t="shared" si="1"/>
        <v>46.399999999999864</v>
      </c>
    </row>
    <row r="36" spans="1:8" ht="36" customHeight="1" x14ac:dyDescent="0.25">
      <c r="A36" s="42">
        <f t="shared" si="0"/>
        <v>31</v>
      </c>
      <c r="B36" s="51" t="s">
        <v>70</v>
      </c>
      <c r="C36" s="97">
        <v>45365.34</v>
      </c>
      <c r="D36" s="97">
        <v>2336.83</v>
      </c>
      <c r="E36" s="97">
        <v>45154.13</v>
      </c>
      <c r="F36" s="97">
        <v>5072.2199999999993</v>
      </c>
      <c r="G36" s="154">
        <f t="shared" si="1"/>
        <v>-211.20999999999913</v>
      </c>
      <c r="H36" s="196">
        <f t="shared" si="1"/>
        <v>2735.3899999999994</v>
      </c>
    </row>
    <row r="37" spans="1:8" ht="43.5" customHeight="1" x14ac:dyDescent="0.25">
      <c r="A37" s="42">
        <f t="shared" si="0"/>
        <v>32</v>
      </c>
      <c r="B37" s="55" t="s">
        <v>72</v>
      </c>
      <c r="C37" s="97">
        <v>3433.67</v>
      </c>
      <c r="D37" s="97">
        <v>0</v>
      </c>
      <c r="E37" s="97">
        <v>17019.75</v>
      </c>
      <c r="F37" s="97">
        <v>1266.0999999999999</v>
      </c>
      <c r="G37" s="154">
        <f t="shared" si="1"/>
        <v>13586.08</v>
      </c>
      <c r="H37" s="196">
        <f t="shared" si="1"/>
        <v>1266.0999999999999</v>
      </c>
    </row>
    <row r="38" spans="1:8" ht="30.75" customHeight="1" x14ac:dyDescent="0.25">
      <c r="A38" s="42">
        <f t="shared" si="0"/>
        <v>33</v>
      </c>
      <c r="B38" s="62" t="s">
        <v>616</v>
      </c>
      <c r="C38" s="97">
        <v>20177.099999999999</v>
      </c>
      <c r="D38" s="97">
        <v>378.58</v>
      </c>
      <c r="E38" s="97">
        <v>38941.15</v>
      </c>
      <c r="F38" s="97">
        <v>946</v>
      </c>
      <c r="G38" s="154">
        <f t="shared" si="1"/>
        <v>18764.050000000003</v>
      </c>
      <c r="H38" s="196">
        <f t="shared" si="1"/>
        <v>567.42000000000007</v>
      </c>
    </row>
    <row r="39" spans="1:8" ht="31.5" x14ac:dyDescent="0.25">
      <c r="A39" s="42">
        <f t="shared" si="0"/>
        <v>34</v>
      </c>
      <c r="B39" s="51" t="s">
        <v>73</v>
      </c>
      <c r="C39" s="97">
        <v>15217.49</v>
      </c>
      <c r="D39" s="97">
        <v>21.62</v>
      </c>
      <c r="E39" s="97">
        <v>26263.21</v>
      </c>
      <c r="F39" s="97">
        <v>63</v>
      </c>
      <c r="G39" s="154">
        <f t="shared" si="1"/>
        <v>11045.72</v>
      </c>
      <c r="H39" s="196">
        <f t="shared" si="1"/>
        <v>41.379999999999995</v>
      </c>
    </row>
    <row r="40" spans="1:8" ht="31.5" x14ac:dyDescent="0.25">
      <c r="A40" s="42">
        <f t="shared" si="0"/>
        <v>35</v>
      </c>
      <c r="B40" s="52" t="s">
        <v>682</v>
      </c>
      <c r="C40" s="152">
        <f>C41+C42</f>
        <v>1098697.68</v>
      </c>
      <c r="D40" s="152">
        <f>D41+D42</f>
        <v>7819.34</v>
      </c>
      <c r="E40" s="152">
        <f>E41+E42</f>
        <v>1119298.8400000001</v>
      </c>
      <c r="F40" s="152">
        <f>F41+F42</f>
        <v>11017.960000000001</v>
      </c>
      <c r="G40" s="152">
        <f t="shared" si="1"/>
        <v>20601.160000000149</v>
      </c>
      <c r="H40" s="151">
        <f t="shared" si="1"/>
        <v>3198.6200000000008</v>
      </c>
    </row>
    <row r="41" spans="1:8" ht="31.5" x14ac:dyDescent="0.25">
      <c r="A41" s="42">
        <f t="shared" si="0"/>
        <v>36</v>
      </c>
      <c r="B41" s="51" t="s">
        <v>606</v>
      </c>
      <c r="C41" s="97">
        <v>120236.03</v>
      </c>
      <c r="D41" s="97">
        <v>7819.34</v>
      </c>
      <c r="E41" s="97">
        <v>123369.45000000001</v>
      </c>
      <c r="F41" s="97">
        <v>10467.69</v>
      </c>
      <c r="G41" s="154">
        <f t="shared" si="1"/>
        <v>3133.4200000000128</v>
      </c>
      <c r="H41" s="196">
        <f t="shared" si="1"/>
        <v>2648.3500000000004</v>
      </c>
    </row>
    <row r="42" spans="1:8" ht="31.5" x14ac:dyDescent="0.25">
      <c r="A42" s="42">
        <f t="shared" si="0"/>
        <v>37</v>
      </c>
      <c r="B42" s="51" t="s">
        <v>700</v>
      </c>
      <c r="C42" s="97">
        <v>978461.65</v>
      </c>
      <c r="D42" s="97">
        <v>0</v>
      </c>
      <c r="E42" s="97">
        <v>995929.39</v>
      </c>
      <c r="F42" s="97">
        <v>550.27</v>
      </c>
      <c r="G42" s="154">
        <f t="shared" si="1"/>
        <v>17467.739999999991</v>
      </c>
      <c r="H42" s="196">
        <f t="shared" si="1"/>
        <v>550.27</v>
      </c>
    </row>
    <row r="43" spans="1:8" ht="31.5" x14ac:dyDescent="0.25">
      <c r="A43" s="42">
        <f t="shared" si="0"/>
        <v>38</v>
      </c>
      <c r="B43" s="52" t="s">
        <v>211</v>
      </c>
      <c r="C43" s="152">
        <v>55083.62</v>
      </c>
      <c r="D43" s="152">
        <v>119.29</v>
      </c>
      <c r="E43" s="152">
        <v>41354.050000000003</v>
      </c>
      <c r="F43" s="152">
        <v>1236.99</v>
      </c>
      <c r="G43" s="154">
        <f t="shared" si="1"/>
        <v>-13729.57</v>
      </c>
      <c r="H43" s="196">
        <f t="shared" si="1"/>
        <v>1117.7</v>
      </c>
    </row>
    <row r="44" spans="1:8" ht="31.5" x14ac:dyDescent="0.25">
      <c r="A44" s="42">
        <f t="shared" si="0"/>
        <v>39</v>
      </c>
      <c r="B44" s="52" t="s">
        <v>776</v>
      </c>
      <c r="C44" s="152">
        <f>SUM(C45:C59)</f>
        <v>5303048.1899999995</v>
      </c>
      <c r="D44" s="152">
        <f>SUM(D45:D59)</f>
        <v>198199.84</v>
      </c>
      <c r="E44" s="152">
        <f>SUM(E45:E59)</f>
        <v>5019460.8300000019</v>
      </c>
      <c r="F44" s="152">
        <f>SUM(F45:F59)</f>
        <v>188890.95</v>
      </c>
      <c r="G44" s="152">
        <f t="shared" si="1"/>
        <v>-283587.35999999754</v>
      </c>
      <c r="H44" s="151">
        <f t="shared" si="1"/>
        <v>-9308.8899999999849</v>
      </c>
    </row>
    <row r="45" spans="1:8" ht="31.5" x14ac:dyDescent="0.25">
      <c r="A45" s="42">
        <f t="shared" si="0"/>
        <v>40</v>
      </c>
      <c r="B45" s="51" t="s">
        <v>75</v>
      </c>
      <c r="C45" s="97">
        <v>73483.199999999997</v>
      </c>
      <c r="D45" s="97">
        <v>18160</v>
      </c>
      <c r="E45" s="97">
        <v>-6008.7099999999991</v>
      </c>
      <c r="F45" s="97">
        <v>26387</v>
      </c>
      <c r="G45" s="154">
        <f t="shared" si="1"/>
        <v>-79491.91</v>
      </c>
      <c r="H45" s="196">
        <f t="shared" si="1"/>
        <v>8227</v>
      </c>
    </row>
    <row r="46" spans="1:8" x14ac:dyDescent="0.25">
      <c r="A46" s="42">
        <f t="shared" si="0"/>
        <v>41</v>
      </c>
      <c r="B46" s="51" t="s">
        <v>74</v>
      </c>
      <c r="C46" s="97">
        <v>30373.79</v>
      </c>
      <c r="D46" s="97">
        <v>1142.4000000000001</v>
      </c>
      <c r="E46" s="97">
        <v>8183.02</v>
      </c>
      <c r="F46" s="97">
        <v>1202.5</v>
      </c>
      <c r="G46" s="154">
        <f t="shared" si="1"/>
        <v>-22190.77</v>
      </c>
      <c r="H46" s="196">
        <f t="shared" si="1"/>
        <v>60.099999999999909</v>
      </c>
    </row>
    <row r="47" spans="1:8" ht="31.5" x14ac:dyDescent="0.25">
      <c r="A47" s="42">
        <f t="shared" si="0"/>
        <v>42</v>
      </c>
      <c r="B47" s="51" t="s">
        <v>76</v>
      </c>
      <c r="C47" s="97">
        <v>131494.17000000001</v>
      </c>
      <c r="D47" s="97">
        <v>135</v>
      </c>
      <c r="E47" s="97">
        <v>143997.09000000003</v>
      </c>
      <c r="F47" s="97">
        <v>378.93</v>
      </c>
      <c r="G47" s="154">
        <f t="shared" si="1"/>
        <v>12502.920000000013</v>
      </c>
      <c r="H47" s="196">
        <f t="shared" si="1"/>
        <v>243.93</v>
      </c>
    </row>
    <row r="48" spans="1:8" ht="31.5" x14ac:dyDescent="0.25">
      <c r="A48" s="42">
        <f t="shared" si="0"/>
        <v>43</v>
      </c>
      <c r="B48" s="51" t="s">
        <v>77</v>
      </c>
      <c r="C48" s="97">
        <v>17254.900000000001</v>
      </c>
      <c r="D48" s="97">
        <v>99975.72</v>
      </c>
      <c r="E48" s="97">
        <v>12602.94</v>
      </c>
      <c r="F48" s="97">
        <v>127158.17</v>
      </c>
      <c r="G48" s="154">
        <f t="shared" si="1"/>
        <v>-4651.9600000000009</v>
      </c>
      <c r="H48" s="196">
        <f t="shared" si="1"/>
        <v>27182.449999999997</v>
      </c>
    </row>
    <row r="49" spans="1:9" ht="31.5" x14ac:dyDescent="0.25">
      <c r="A49" s="42">
        <f t="shared" si="0"/>
        <v>44</v>
      </c>
      <c r="B49" s="51" t="s">
        <v>607</v>
      </c>
      <c r="C49" s="97">
        <v>52969.4</v>
      </c>
      <c r="D49" s="97">
        <v>6064.22</v>
      </c>
      <c r="E49" s="97">
        <v>51235.710000000006</v>
      </c>
      <c r="F49" s="97">
        <v>5641.2900000000009</v>
      </c>
      <c r="G49" s="154">
        <f t="shared" si="1"/>
        <v>-1733.6899999999951</v>
      </c>
      <c r="H49" s="196">
        <f t="shared" si="1"/>
        <v>-422.92999999999938</v>
      </c>
    </row>
    <row r="50" spans="1:9" ht="31.5" x14ac:dyDescent="0.25">
      <c r="A50" s="42">
        <f t="shared" si="0"/>
        <v>45</v>
      </c>
      <c r="B50" s="51" t="s">
        <v>78</v>
      </c>
      <c r="C50" s="97">
        <v>1369.25</v>
      </c>
      <c r="D50" s="97">
        <v>1463.42</v>
      </c>
      <c r="E50" s="97">
        <v>11266.21</v>
      </c>
      <c r="F50" s="97">
        <v>2366.64</v>
      </c>
      <c r="G50" s="154">
        <f t="shared" si="1"/>
        <v>9896.9599999999991</v>
      </c>
      <c r="H50" s="196">
        <f t="shared" si="1"/>
        <v>903.2199999999998</v>
      </c>
    </row>
    <row r="51" spans="1:9" x14ac:dyDescent="0.25">
      <c r="A51" s="42">
        <f t="shared" si="0"/>
        <v>46</v>
      </c>
      <c r="B51" s="51" t="s">
        <v>608</v>
      </c>
      <c r="C51" s="97">
        <v>49166.47</v>
      </c>
      <c r="D51" s="97">
        <v>2093</v>
      </c>
      <c r="E51" s="97">
        <v>47717.290000000008</v>
      </c>
      <c r="F51" s="97">
        <v>2671.8999999999996</v>
      </c>
      <c r="G51" s="154">
        <f t="shared" si="1"/>
        <v>-1449.179999999993</v>
      </c>
      <c r="H51" s="196">
        <f t="shared" si="1"/>
        <v>578.89999999999964</v>
      </c>
    </row>
    <row r="52" spans="1:9" ht="31.5" x14ac:dyDescent="0.25">
      <c r="A52" s="42">
        <f t="shared" si="0"/>
        <v>47</v>
      </c>
      <c r="B52" s="51" t="s">
        <v>609</v>
      </c>
      <c r="C52" s="97">
        <v>8624.33</v>
      </c>
      <c r="D52" s="97">
        <v>54.1</v>
      </c>
      <c r="E52" s="97">
        <v>40225.57</v>
      </c>
      <c r="F52" s="97">
        <v>615.24</v>
      </c>
      <c r="G52" s="154">
        <f t="shared" si="1"/>
        <v>31601.239999999998</v>
      </c>
      <c r="H52" s="196">
        <f t="shared" si="1"/>
        <v>561.14</v>
      </c>
    </row>
    <row r="53" spans="1:9" x14ac:dyDescent="0.25">
      <c r="A53" s="42">
        <f t="shared" si="0"/>
        <v>48</v>
      </c>
      <c r="B53" s="51" t="s">
        <v>79</v>
      </c>
      <c r="C53" s="97">
        <v>20860.43</v>
      </c>
      <c r="D53" s="97">
        <v>103</v>
      </c>
      <c r="E53" s="97">
        <v>43536.909999999989</v>
      </c>
      <c r="F53" s="97">
        <v>834.45</v>
      </c>
      <c r="G53" s="154">
        <f t="shared" si="1"/>
        <v>22676.479999999989</v>
      </c>
      <c r="H53" s="196">
        <f t="shared" si="1"/>
        <v>731.45</v>
      </c>
    </row>
    <row r="54" spans="1:9" ht="31.5" x14ac:dyDescent="0.25">
      <c r="A54" s="42">
        <f t="shared" si="0"/>
        <v>49</v>
      </c>
      <c r="B54" s="51" t="s">
        <v>80</v>
      </c>
      <c r="C54" s="97"/>
      <c r="D54" s="97"/>
      <c r="E54" s="97">
        <v>899.76</v>
      </c>
      <c r="F54" s="97" t="s">
        <v>823</v>
      </c>
      <c r="G54" s="154">
        <f t="shared" si="1"/>
        <v>899.76</v>
      </c>
      <c r="H54" s="196">
        <f t="shared" si="1"/>
        <v>0</v>
      </c>
    </row>
    <row r="55" spans="1:9" ht="31.5" x14ac:dyDescent="0.25">
      <c r="A55" s="42">
        <f t="shared" si="0"/>
        <v>50</v>
      </c>
      <c r="B55" s="51" t="s">
        <v>662</v>
      </c>
      <c r="C55" s="97">
        <v>13236.76</v>
      </c>
      <c r="D55" s="97">
        <v>669.51</v>
      </c>
      <c r="E55" s="97">
        <v>14496.69</v>
      </c>
      <c r="F55" s="97">
        <v>545.01</v>
      </c>
      <c r="G55" s="154">
        <f t="shared" si="1"/>
        <v>1259.9300000000003</v>
      </c>
      <c r="H55" s="196">
        <f t="shared" si="1"/>
        <v>-124.5</v>
      </c>
    </row>
    <row r="56" spans="1:9" ht="31.5" x14ac:dyDescent="0.25">
      <c r="A56" s="42">
        <f t="shared" si="0"/>
        <v>51</v>
      </c>
      <c r="B56" s="51" t="s">
        <v>52</v>
      </c>
      <c r="C56" s="97">
        <v>53502.23</v>
      </c>
      <c r="D56" s="97">
        <v>705.96</v>
      </c>
      <c r="E56" s="97">
        <v>46550.46</v>
      </c>
      <c r="F56" s="97">
        <v>710.83</v>
      </c>
      <c r="G56" s="154">
        <f t="shared" si="1"/>
        <v>-6951.7700000000041</v>
      </c>
      <c r="H56" s="196">
        <f t="shared" si="1"/>
        <v>4.8700000000000045</v>
      </c>
    </row>
    <row r="57" spans="1:9" x14ac:dyDescent="0.25">
      <c r="A57" s="42">
        <f t="shared" si="0"/>
        <v>52</v>
      </c>
      <c r="B57" s="51" t="s">
        <v>53</v>
      </c>
      <c r="C57" s="97">
        <v>284.2</v>
      </c>
      <c r="D57" s="97"/>
      <c r="E57" s="97">
        <v>100</v>
      </c>
      <c r="F57" s="97" t="s">
        <v>823</v>
      </c>
      <c r="G57" s="154">
        <f t="shared" si="1"/>
        <v>-184.2</v>
      </c>
      <c r="H57" s="196">
        <f t="shared" si="1"/>
        <v>0</v>
      </c>
    </row>
    <row r="58" spans="1:9" ht="78.75" x14ac:dyDescent="0.25">
      <c r="A58" s="42">
        <f t="shared" si="0"/>
        <v>53</v>
      </c>
      <c r="B58" s="89" t="s">
        <v>772</v>
      </c>
      <c r="C58" s="97">
        <v>3224496.92</v>
      </c>
      <c r="D58" s="97">
        <v>63833.02</v>
      </c>
      <c r="E58" s="97">
        <v>4604657.8900000015</v>
      </c>
      <c r="F58" s="97">
        <v>20378.989999999998</v>
      </c>
      <c r="G58" s="154">
        <f t="shared" si="1"/>
        <v>1380160.9700000016</v>
      </c>
      <c r="H58" s="196">
        <f t="shared" si="1"/>
        <v>-43454.03</v>
      </c>
      <c r="I58" s="80"/>
    </row>
    <row r="59" spans="1:9" x14ac:dyDescent="0.25">
      <c r="A59" s="42">
        <f t="shared" si="0"/>
        <v>54</v>
      </c>
      <c r="B59" s="89" t="s">
        <v>781</v>
      </c>
      <c r="C59" s="97">
        <v>1625932.14</v>
      </c>
      <c r="D59" s="97">
        <v>3800.49</v>
      </c>
      <c r="E59" s="97" t="s">
        <v>823</v>
      </c>
      <c r="F59" s="97" t="s">
        <v>823</v>
      </c>
      <c r="G59" s="154">
        <f t="shared" si="1"/>
        <v>-1625932.14</v>
      </c>
      <c r="H59" s="196">
        <f t="shared" si="1"/>
        <v>-3800.49</v>
      </c>
    </row>
    <row r="60" spans="1:9" ht="31.5" x14ac:dyDescent="0.25">
      <c r="A60" s="42">
        <f t="shared" si="0"/>
        <v>55</v>
      </c>
      <c r="B60" s="52" t="s">
        <v>683</v>
      </c>
      <c r="C60" s="152">
        <f>C61+C62</f>
        <v>21774075.59</v>
      </c>
      <c r="D60" s="152">
        <f>D61+D62</f>
        <v>521791.97</v>
      </c>
      <c r="E60" s="152">
        <f>E61+E62</f>
        <v>23580576.659999996</v>
      </c>
      <c r="F60" s="152">
        <f>F61+F62</f>
        <v>409114.15</v>
      </c>
      <c r="G60" s="152">
        <f t="shared" si="1"/>
        <v>1806501.0699999966</v>
      </c>
      <c r="H60" s="151">
        <f t="shared" si="1"/>
        <v>-112677.81999999995</v>
      </c>
    </row>
    <row r="61" spans="1:9" ht="31.5" x14ac:dyDescent="0.25">
      <c r="A61" s="42">
        <f t="shared" si="0"/>
        <v>56</v>
      </c>
      <c r="B61" s="51" t="s">
        <v>677</v>
      </c>
      <c r="C61" s="97">
        <v>21444123.48</v>
      </c>
      <c r="D61" s="97">
        <v>473444.31</v>
      </c>
      <c r="E61" s="97">
        <v>23143619.549999997</v>
      </c>
      <c r="F61" s="197">
        <v>351192.71</v>
      </c>
      <c r="G61" s="152">
        <f t="shared" si="1"/>
        <v>1699496.0699999966</v>
      </c>
      <c r="H61" s="196">
        <f>F61-D61</f>
        <v>-122251.59999999998</v>
      </c>
      <c r="I61" s="198"/>
    </row>
    <row r="62" spans="1:9" x14ac:dyDescent="0.25">
      <c r="A62" s="42">
        <f t="shared" si="0"/>
        <v>57</v>
      </c>
      <c r="B62" s="52" t="s">
        <v>684</v>
      </c>
      <c r="C62" s="152">
        <f>SUM(C63:C65)</f>
        <v>329952.11</v>
      </c>
      <c r="D62" s="152">
        <f>SUM(D63:D65)</f>
        <v>48347.659999999996</v>
      </c>
      <c r="E62" s="152">
        <f>SUM(E63:E65)</f>
        <v>436957.11</v>
      </c>
      <c r="F62" s="152">
        <f>SUM(F63:F65)</f>
        <v>57921.439999999995</v>
      </c>
      <c r="G62" s="152">
        <f t="shared" si="1"/>
        <v>107005</v>
      </c>
      <c r="H62" s="151">
        <f t="shared" si="1"/>
        <v>9573.7799999999988</v>
      </c>
    </row>
    <row r="63" spans="1:9" s="182" customFormat="1" ht="31.5" x14ac:dyDescent="0.2">
      <c r="A63" s="42">
        <f t="shared" si="0"/>
        <v>58</v>
      </c>
      <c r="B63" s="56" t="s">
        <v>2</v>
      </c>
      <c r="C63" s="199">
        <v>300049.86</v>
      </c>
      <c r="D63" s="199">
        <v>39208.78</v>
      </c>
      <c r="E63" s="199" t="s">
        <v>823</v>
      </c>
      <c r="F63" s="199"/>
      <c r="G63" s="154">
        <f t="shared" si="1"/>
        <v>-300049.86</v>
      </c>
      <c r="H63" s="196">
        <f t="shared" si="1"/>
        <v>-39208.78</v>
      </c>
    </row>
    <row r="64" spans="1:9" ht="47.25" x14ac:dyDescent="0.25">
      <c r="A64" s="42">
        <f t="shared" si="0"/>
        <v>59</v>
      </c>
      <c r="B64" s="56" t="s">
        <v>3</v>
      </c>
      <c r="C64" s="97">
        <v>29902.25</v>
      </c>
      <c r="D64" s="97">
        <v>9138.8799999999992</v>
      </c>
      <c r="E64" s="97">
        <v>402697.11</v>
      </c>
      <c r="F64" s="97">
        <v>52168.45</v>
      </c>
      <c r="G64" s="154">
        <f t="shared" si="1"/>
        <v>372794.86</v>
      </c>
      <c r="H64" s="196">
        <f t="shared" si="1"/>
        <v>43029.57</v>
      </c>
    </row>
    <row r="65" spans="1:9" ht="31.5" x14ac:dyDescent="0.25">
      <c r="A65" s="42">
        <f t="shared" si="0"/>
        <v>60</v>
      </c>
      <c r="B65" s="51" t="s">
        <v>151</v>
      </c>
      <c r="C65" s="97"/>
      <c r="D65" s="97"/>
      <c r="E65" s="97">
        <v>34260</v>
      </c>
      <c r="F65" s="97">
        <v>5752.99</v>
      </c>
      <c r="G65" s="154">
        <f t="shared" si="1"/>
        <v>34260</v>
      </c>
      <c r="H65" s="196">
        <f t="shared" si="1"/>
        <v>5752.99</v>
      </c>
    </row>
    <row r="66" spans="1:9" ht="31.5" x14ac:dyDescent="0.25">
      <c r="A66" s="42">
        <f t="shared" si="0"/>
        <v>61</v>
      </c>
      <c r="B66" s="52" t="s">
        <v>114</v>
      </c>
      <c r="C66" s="152">
        <v>7359529.7999999998</v>
      </c>
      <c r="D66" s="152">
        <v>175814.38</v>
      </c>
      <c r="E66" s="152">
        <v>8117685.9600000018</v>
      </c>
      <c r="F66" s="152">
        <v>141288.86000000002</v>
      </c>
      <c r="G66" s="154">
        <f t="shared" si="1"/>
        <v>758156.16000000201</v>
      </c>
      <c r="H66" s="196">
        <f t="shared" si="1"/>
        <v>-34525.51999999999</v>
      </c>
    </row>
    <row r="67" spans="1:9" ht="31.5" x14ac:dyDescent="0.25">
      <c r="A67" s="42">
        <f t="shared" si="0"/>
        <v>62</v>
      </c>
      <c r="B67" s="52" t="s">
        <v>12</v>
      </c>
      <c r="C67" s="152">
        <v>157420.04</v>
      </c>
      <c r="D67" s="152">
        <v>5777.96</v>
      </c>
      <c r="E67" s="152">
        <v>188122.47</v>
      </c>
      <c r="F67" s="152">
        <v>4908.33</v>
      </c>
      <c r="G67" s="154">
        <f t="shared" si="1"/>
        <v>30702.429999999993</v>
      </c>
      <c r="H67" s="196">
        <f t="shared" si="1"/>
        <v>-869.63000000000011</v>
      </c>
    </row>
    <row r="68" spans="1:9" ht="18.75" customHeight="1" x14ac:dyDescent="0.25">
      <c r="A68" s="42">
        <f t="shared" si="0"/>
        <v>63</v>
      </c>
      <c r="B68" s="52" t="s">
        <v>685</v>
      </c>
      <c r="C68" s="152">
        <f>SUM(C69:C74)</f>
        <v>717502.22</v>
      </c>
      <c r="D68" s="152">
        <f>SUM(D69:D74)</f>
        <v>7309.06</v>
      </c>
      <c r="E68" s="152">
        <f>SUM(E69:E74)</f>
        <v>745446.29</v>
      </c>
      <c r="F68" s="152">
        <f>SUM(F69:F74)</f>
        <v>5681.8899999999994</v>
      </c>
      <c r="G68" s="152">
        <f t="shared" si="1"/>
        <v>27944.070000000065</v>
      </c>
      <c r="H68" s="151">
        <f t="shared" si="1"/>
        <v>-1627.170000000001</v>
      </c>
    </row>
    <row r="69" spans="1:9" ht="31.5" x14ac:dyDescent="0.25">
      <c r="A69" s="42">
        <f t="shared" si="0"/>
        <v>64</v>
      </c>
      <c r="B69" s="51" t="s">
        <v>41</v>
      </c>
      <c r="C69" s="97">
        <v>232215.96</v>
      </c>
      <c r="D69" s="97">
        <v>5297.81</v>
      </c>
      <c r="E69" s="97">
        <v>250802.64</v>
      </c>
      <c r="F69" s="97">
        <v>3886.3399999999997</v>
      </c>
      <c r="G69" s="154">
        <f t="shared" si="1"/>
        <v>18586.680000000022</v>
      </c>
      <c r="H69" s="196">
        <f t="shared" si="1"/>
        <v>-1411.4700000000007</v>
      </c>
    </row>
    <row r="70" spans="1:9" ht="47.25" x14ac:dyDescent="0.25">
      <c r="A70" s="42">
        <f t="shared" si="0"/>
        <v>65</v>
      </c>
      <c r="B70" s="51" t="s">
        <v>739</v>
      </c>
      <c r="C70" s="97">
        <v>334363.65999999997</v>
      </c>
      <c r="D70" s="97"/>
      <c r="E70" s="97">
        <v>336856.69</v>
      </c>
      <c r="F70" s="97">
        <v>0</v>
      </c>
      <c r="G70" s="154">
        <f t="shared" si="1"/>
        <v>2493.0300000000279</v>
      </c>
      <c r="H70" s="196">
        <f t="shared" si="1"/>
        <v>0</v>
      </c>
    </row>
    <row r="71" spans="1:9" ht="31.5" x14ac:dyDescent="0.25">
      <c r="A71" s="42">
        <f t="shared" si="0"/>
        <v>66</v>
      </c>
      <c r="B71" s="51" t="s">
        <v>81</v>
      </c>
      <c r="C71" s="97">
        <v>91090.84</v>
      </c>
      <c r="D71" s="97"/>
      <c r="E71" s="97">
        <v>81253.84</v>
      </c>
      <c r="F71" s="97" t="s">
        <v>823</v>
      </c>
      <c r="G71" s="154">
        <f t="shared" si="1"/>
        <v>-9837</v>
      </c>
      <c r="H71" s="196">
        <f t="shared" si="1"/>
        <v>0</v>
      </c>
    </row>
    <row r="72" spans="1:9" ht="31.5" x14ac:dyDescent="0.25">
      <c r="A72" s="42">
        <f t="shared" ref="A72:A102" si="2">A71+1</f>
        <v>67</v>
      </c>
      <c r="B72" s="51" t="s">
        <v>82</v>
      </c>
      <c r="C72" s="97">
        <v>59831.76</v>
      </c>
      <c r="D72" s="97">
        <v>2011.25</v>
      </c>
      <c r="E72" s="97">
        <v>76533.119999999995</v>
      </c>
      <c r="F72" s="97">
        <v>1795.5499999999997</v>
      </c>
      <c r="G72" s="154">
        <f t="shared" ref="G72:H101" si="3">E72-C72</f>
        <v>16701.359999999993</v>
      </c>
      <c r="H72" s="196">
        <f t="shared" si="3"/>
        <v>-215.70000000000027</v>
      </c>
    </row>
    <row r="73" spans="1:9" ht="9" customHeight="1" x14ac:dyDescent="0.25">
      <c r="A73" s="42">
        <f t="shared" si="2"/>
        <v>68</v>
      </c>
      <c r="B73" s="51" t="s">
        <v>83</v>
      </c>
      <c r="C73" s="97"/>
      <c r="D73" s="97"/>
      <c r="E73" s="97" t="s">
        <v>823</v>
      </c>
      <c r="F73" s="97" t="s">
        <v>823</v>
      </c>
      <c r="G73" s="154">
        <f t="shared" si="3"/>
        <v>0</v>
      </c>
      <c r="H73" s="196">
        <f t="shared" si="3"/>
        <v>0</v>
      </c>
    </row>
    <row r="74" spans="1:9" ht="8.25" customHeight="1" x14ac:dyDescent="0.25">
      <c r="A74" s="42">
        <f t="shared" si="2"/>
        <v>69</v>
      </c>
      <c r="B74" s="51" t="s">
        <v>84</v>
      </c>
      <c r="C74" s="97"/>
      <c r="D74" s="97"/>
      <c r="E74" s="97" t="s">
        <v>823</v>
      </c>
      <c r="F74" s="97" t="s">
        <v>823</v>
      </c>
      <c r="G74" s="154">
        <f t="shared" si="3"/>
        <v>0</v>
      </c>
      <c r="H74" s="196">
        <f t="shared" si="3"/>
        <v>0</v>
      </c>
    </row>
    <row r="75" spans="1:9" ht="9" customHeight="1" x14ac:dyDescent="0.25">
      <c r="A75" s="42">
        <f t="shared" si="2"/>
        <v>70</v>
      </c>
      <c r="B75" s="52" t="s">
        <v>19</v>
      </c>
      <c r="C75" s="97"/>
      <c r="D75" s="97"/>
      <c r="E75" s="152" t="s">
        <v>823</v>
      </c>
      <c r="F75" s="152" t="s">
        <v>823</v>
      </c>
      <c r="G75" s="154">
        <f t="shared" si="3"/>
        <v>0</v>
      </c>
      <c r="H75" s="196">
        <f t="shared" si="3"/>
        <v>0</v>
      </c>
    </row>
    <row r="76" spans="1:9" ht="31.5" x14ac:dyDescent="0.25">
      <c r="A76" s="42">
        <f t="shared" si="2"/>
        <v>71</v>
      </c>
      <c r="B76" s="52" t="s">
        <v>246</v>
      </c>
      <c r="C76" s="97"/>
      <c r="D76" s="97">
        <v>224.05</v>
      </c>
      <c r="E76" s="152" t="s">
        <v>823</v>
      </c>
      <c r="F76" s="152">
        <v>343.35</v>
      </c>
      <c r="G76" s="154">
        <f t="shared" si="3"/>
        <v>0</v>
      </c>
      <c r="H76" s="196">
        <f t="shared" si="3"/>
        <v>119.30000000000001</v>
      </c>
    </row>
    <row r="77" spans="1:9" x14ac:dyDescent="0.25">
      <c r="A77" s="42">
        <f t="shared" si="2"/>
        <v>72</v>
      </c>
      <c r="B77" s="52" t="s">
        <v>115</v>
      </c>
      <c r="C77" s="97">
        <v>23290.04</v>
      </c>
      <c r="D77" s="97">
        <v>2100.38</v>
      </c>
      <c r="E77" s="152">
        <v>23205.500000000004</v>
      </c>
      <c r="F77" s="152">
        <v>2100.38</v>
      </c>
      <c r="G77" s="154">
        <f t="shared" si="3"/>
        <v>-84.539999999997235</v>
      </c>
      <c r="H77" s="196">
        <f t="shared" si="3"/>
        <v>0</v>
      </c>
    </row>
    <row r="78" spans="1:9" ht="31.5" x14ac:dyDescent="0.25">
      <c r="A78" s="42">
        <f t="shared" si="2"/>
        <v>73</v>
      </c>
      <c r="B78" s="52" t="s">
        <v>188</v>
      </c>
      <c r="C78" s="97">
        <v>129013.03</v>
      </c>
      <c r="D78" s="97">
        <v>727.83</v>
      </c>
      <c r="E78" s="152">
        <v>117053.03</v>
      </c>
      <c r="F78" s="152">
        <v>5036.6400000000003</v>
      </c>
      <c r="G78" s="154">
        <f t="shared" si="3"/>
        <v>-11960</v>
      </c>
      <c r="H78" s="196">
        <f t="shared" si="3"/>
        <v>4308.8100000000004</v>
      </c>
    </row>
    <row r="79" spans="1:9" ht="31.5" x14ac:dyDescent="0.25">
      <c r="A79" s="42">
        <f t="shared" si="2"/>
        <v>74</v>
      </c>
      <c r="B79" s="52" t="s">
        <v>686</v>
      </c>
      <c r="C79" s="152">
        <f>C80+C81</f>
        <v>7396767.54</v>
      </c>
      <c r="D79" s="152">
        <f>D80+D81</f>
        <v>50893.49</v>
      </c>
      <c r="E79" s="152">
        <f>E80+E81</f>
        <v>4347472.57</v>
      </c>
      <c r="F79" s="152">
        <f>F80+F81</f>
        <v>16823.61</v>
      </c>
      <c r="G79" s="152">
        <f t="shared" si="3"/>
        <v>-3049294.9699999997</v>
      </c>
      <c r="H79" s="151">
        <f t="shared" si="3"/>
        <v>-34069.879999999997</v>
      </c>
    </row>
    <row r="80" spans="1:9" ht="16.5" customHeight="1" x14ac:dyDescent="0.25">
      <c r="A80" s="42">
        <f t="shared" si="2"/>
        <v>75</v>
      </c>
      <c r="B80" s="52" t="s">
        <v>663</v>
      </c>
      <c r="C80" s="152">
        <v>2526932.34</v>
      </c>
      <c r="D80" s="152">
        <v>1764.32</v>
      </c>
      <c r="E80" s="152">
        <v>13997.679999999998</v>
      </c>
      <c r="F80" s="152"/>
      <c r="G80" s="154">
        <f t="shared" si="3"/>
        <v>-2512934.6599999997</v>
      </c>
      <c r="H80" s="196">
        <f t="shared" si="3"/>
        <v>-1764.32</v>
      </c>
      <c r="I80" s="200"/>
    </row>
    <row r="81" spans="1:13" ht="31.5" x14ac:dyDescent="0.25">
      <c r="A81" s="42">
        <f t="shared" si="2"/>
        <v>76</v>
      </c>
      <c r="B81" s="52" t="s">
        <v>4</v>
      </c>
      <c r="C81" s="152">
        <f>SUM(C82:C89)</f>
        <v>4869835.2</v>
      </c>
      <c r="D81" s="152">
        <f>SUM(D82:D89)</f>
        <v>49129.17</v>
      </c>
      <c r="E81" s="152">
        <f>SUM(E82:E89)</f>
        <v>4333474.8900000006</v>
      </c>
      <c r="F81" s="152">
        <f>SUM(F82:F89)</f>
        <v>16823.61</v>
      </c>
      <c r="G81" s="152">
        <f t="shared" si="3"/>
        <v>-536360.30999999959</v>
      </c>
      <c r="H81" s="151">
        <f t="shared" si="3"/>
        <v>-32305.559999999998</v>
      </c>
    </row>
    <row r="82" spans="1:13" ht="16.5" customHeight="1" x14ac:dyDescent="0.25">
      <c r="A82" s="42">
        <f t="shared" si="2"/>
        <v>77</v>
      </c>
      <c r="B82" s="51" t="s">
        <v>575</v>
      </c>
      <c r="C82" s="97">
        <v>2154547.9700000002</v>
      </c>
      <c r="D82" s="97"/>
      <c r="E82" s="97">
        <v>2236573.71</v>
      </c>
      <c r="F82" s="97" t="s">
        <v>823</v>
      </c>
      <c r="G82" s="154">
        <f t="shared" si="3"/>
        <v>82025.739999999758</v>
      </c>
      <c r="H82" s="196">
        <f t="shared" si="3"/>
        <v>0</v>
      </c>
    </row>
    <row r="83" spans="1:13" x14ac:dyDescent="0.25">
      <c r="A83" s="42">
        <f t="shared" si="2"/>
        <v>78</v>
      </c>
      <c r="B83" s="51" t="s">
        <v>85</v>
      </c>
      <c r="C83" s="97">
        <v>3529.53</v>
      </c>
      <c r="D83" s="97">
        <v>281.55</v>
      </c>
      <c r="E83" s="97">
        <v>4447.6000000000013</v>
      </c>
      <c r="F83" s="97">
        <v>286.77999999999997</v>
      </c>
      <c r="G83" s="154">
        <f t="shared" si="3"/>
        <v>918.07000000000107</v>
      </c>
      <c r="H83" s="196">
        <f t="shared" si="3"/>
        <v>5.2299999999999613</v>
      </c>
    </row>
    <row r="84" spans="1:13" ht="31.5" x14ac:dyDescent="0.25">
      <c r="A84" s="42">
        <f t="shared" si="2"/>
        <v>79</v>
      </c>
      <c r="B84" s="51" t="s">
        <v>86</v>
      </c>
      <c r="C84" s="97"/>
      <c r="D84" s="97"/>
      <c r="E84" s="97" t="s">
        <v>823</v>
      </c>
      <c r="F84" s="97" t="s">
        <v>823</v>
      </c>
      <c r="G84" s="154">
        <f t="shared" si="3"/>
        <v>0</v>
      </c>
      <c r="H84" s="196">
        <f t="shared" si="3"/>
        <v>0</v>
      </c>
    </row>
    <row r="85" spans="1:13" ht="47.25" x14ac:dyDescent="0.25">
      <c r="A85" s="42">
        <f t="shared" si="2"/>
        <v>80</v>
      </c>
      <c r="B85" s="62" t="s">
        <v>617</v>
      </c>
      <c r="C85" s="97">
        <v>52817.54</v>
      </c>
      <c r="D85" s="97">
        <v>844.09</v>
      </c>
      <c r="E85" s="97">
        <v>49736.67</v>
      </c>
      <c r="F85" s="97">
        <v>35.61</v>
      </c>
      <c r="G85" s="154">
        <f t="shared" si="3"/>
        <v>-3080.8700000000026</v>
      </c>
      <c r="H85" s="196">
        <f t="shared" si="3"/>
        <v>-808.48</v>
      </c>
      <c r="I85" s="81"/>
      <c r="J85" s="80"/>
      <c r="K85" s="80"/>
      <c r="L85" s="80"/>
      <c r="M85" s="80"/>
    </row>
    <row r="86" spans="1:13" ht="31.5" x14ac:dyDescent="0.25">
      <c r="A86" s="42">
        <f t="shared" si="2"/>
        <v>81</v>
      </c>
      <c r="B86" s="51" t="s">
        <v>669</v>
      </c>
      <c r="C86" s="97">
        <v>34413.96</v>
      </c>
      <c r="D86" s="97"/>
      <c r="E86" s="97">
        <v>48274.22</v>
      </c>
      <c r="F86" s="97" t="s">
        <v>823</v>
      </c>
      <c r="G86" s="154">
        <f t="shared" si="3"/>
        <v>13860.260000000002</v>
      </c>
      <c r="H86" s="196">
        <f t="shared" si="3"/>
        <v>0</v>
      </c>
      <c r="I86" s="80"/>
      <c r="J86" s="80"/>
    </row>
    <row r="87" spans="1:13" ht="31.5" x14ac:dyDescent="0.25">
      <c r="A87" s="42" t="s">
        <v>667</v>
      </c>
      <c r="B87" s="51" t="s">
        <v>666</v>
      </c>
      <c r="C87" s="97"/>
      <c r="D87" s="97"/>
      <c r="E87" s="97" t="s">
        <v>823</v>
      </c>
      <c r="F87" s="97" t="s">
        <v>823</v>
      </c>
      <c r="G87" s="154">
        <f t="shared" ref="G87" si="4">E87-C87</f>
        <v>0</v>
      </c>
      <c r="H87" s="196">
        <f t="shared" ref="H87" si="5">F87-D87</f>
        <v>0</v>
      </c>
      <c r="I87" s="80"/>
      <c r="J87" s="80"/>
    </row>
    <row r="88" spans="1:13" ht="31.5" x14ac:dyDescent="0.25">
      <c r="A88" s="42">
        <f>A86+1</f>
        <v>82</v>
      </c>
      <c r="B88" s="51" t="s">
        <v>671</v>
      </c>
      <c r="C88" s="97">
        <v>4090</v>
      </c>
      <c r="D88" s="97"/>
      <c r="E88" s="97">
        <v>2200</v>
      </c>
      <c r="F88" s="97" t="s">
        <v>823</v>
      </c>
      <c r="G88" s="154">
        <f t="shared" si="3"/>
        <v>-1890</v>
      </c>
      <c r="H88" s="196">
        <f t="shared" si="3"/>
        <v>0</v>
      </c>
      <c r="I88" s="80"/>
    </row>
    <row r="89" spans="1:13" ht="31.5" x14ac:dyDescent="0.25">
      <c r="A89" s="42">
        <f t="shared" si="2"/>
        <v>83</v>
      </c>
      <c r="B89" s="62" t="s">
        <v>670</v>
      </c>
      <c r="C89" s="97">
        <v>2620436.2000000002</v>
      </c>
      <c r="D89" s="97">
        <v>48003.53</v>
      </c>
      <c r="E89" s="97">
        <f>16346.21+1975896.48</f>
        <v>1992242.69</v>
      </c>
      <c r="F89" s="97">
        <v>16501.22</v>
      </c>
      <c r="G89" s="154">
        <f t="shared" si="3"/>
        <v>-628193.51000000024</v>
      </c>
      <c r="H89" s="196">
        <f t="shared" si="3"/>
        <v>-31502.309999999998</v>
      </c>
      <c r="I89" s="80"/>
    </row>
    <row r="90" spans="1:13" ht="47.25" x14ac:dyDescent="0.25">
      <c r="A90" s="42">
        <f t="shared" si="2"/>
        <v>84</v>
      </c>
      <c r="B90" s="63" t="s">
        <v>687</v>
      </c>
      <c r="C90" s="152">
        <f>SUM(C91:C99)</f>
        <v>6565877.9700000007</v>
      </c>
      <c r="D90" s="152">
        <f>SUM(D91:D99)</f>
        <v>61186.5</v>
      </c>
      <c r="E90" s="152">
        <f>SUM(E91:E99)</f>
        <v>7497199.5199999996</v>
      </c>
      <c r="F90" s="152">
        <f>SUM(F91:F99)</f>
        <v>74136.34</v>
      </c>
      <c r="G90" s="152">
        <f t="shared" si="3"/>
        <v>931321.54999999888</v>
      </c>
      <c r="H90" s="151">
        <f t="shared" si="3"/>
        <v>12949.839999999997</v>
      </c>
      <c r="I90" s="80"/>
    </row>
    <row r="91" spans="1:13" ht="31.5" customHeight="1" x14ac:dyDescent="0.25">
      <c r="A91" s="42">
        <f t="shared" si="2"/>
        <v>85</v>
      </c>
      <c r="B91" s="51" t="s">
        <v>610</v>
      </c>
      <c r="C91" s="97">
        <v>462494.82</v>
      </c>
      <c r="D91" s="97"/>
      <c r="E91" s="97">
        <v>1270938.75</v>
      </c>
      <c r="F91" s="97" t="s">
        <v>823</v>
      </c>
      <c r="G91" s="154">
        <f t="shared" si="3"/>
        <v>808443.92999999993</v>
      </c>
      <c r="H91" s="196">
        <f t="shared" si="3"/>
        <v>0</v>
      </c>
      <c r="I91" s="80"/>
    </row>
    <row r="92" spans="1:13" ht="63" x14ac:dyDescent="0.25">
      <c r="A92" s="42">
        <f t="shared" si="2"/>
        <v>86</v>
      </c>
      <c r="B92" s="51" t="s">
        <v>701</v>
      </c>
      <c r="C92" s="97">
        <v>1264537.26</v>
      </c>
      <c r="D92" s="97">
        <v>61186.5</v>
      </c>
      <c r="E92" s="97">
        <v>1333665.8999999999</v>
      </c>
      <c r="F92" s="97">
        <v>74136.34</v>
      </c>
      <c r="G92" s="154">
        <f t="shared" si="3"/>
        <v>69128.639999999898</v>
      </c>
      <c r="H92" s="196">
        <f t="shared" si="3"/>
        <v>12949.839999999997</v>
      </c>
      <c r="I92" s="201"/>
    </row>
    <row r="93" spans="1:13" ht="63" x14ac:dyDescent="0.25">
      <c r="A93" s="42" t="s">
        <v>550</v>
      </c>
      <c r="B93" s="51" t="s">
        <v>702</v>
      </c>
      <c r="C93" s="97">
        <v>4789771.99</v>
      </c>
      <c r="D93" s="97"/>
      <c r="E93" s="97">
        <v>4329172.6899999995</v>
      </c>
      <c r="F93" s="97" t="s">
        <v>823</v>
      </c>
      <c r="G93" s="154">
        <f>E93-C93</f>
        <v>-460599.30000000075</v>
      </c>
      <c r="H93" s="196">
        <f>F93-D93</f>
        <v>0</v>
      </c>
    </row>
    <row r="94" spans="1:13" ht="15.75" customHeight="1" x14ac:dyDescent="0.25">
      <c r="A94" s="42">
        <f>A92+1</f>
        <v>87</v>
      </c>
      <c r="B94" s="51" t="s">
        <v>664</v>
      </c>
      <c r="C94" s="97">
        <v>106</v>
      </c>
      <c r="D94" s="97"/>
      <c r="E94" s="97">
        <v>498692.71</v>
      </c>
      <c r="F94" s="97" t="s">
        <v>823</v>
      </c>
      <c r="G94" s="154">
        <f t="shared" si="3"/>
        <v>498586.71</v>
      </c>
      <c r="H94" s="196">
        <f t="shared" si="3"/>
        <v>0</v>
      </c>
    </row>
    <row r="95" spans="1:13" ht="31.5" x14ac:dyDescent="0.25">
      <c r="A95" s="42">
        <f t="shared" si="2"/>
        <v>88</v>
      </c>
      <c r="B95" s="51" t="s">
        <v>101</v>
      </c>
      <c r="C95" s="97"/>
      <c r="D95" s="97"/>
      <c r="E95" s="97" t="s">
        <v>823</v>
      </c>
      <c r="F95" s="97" t="s">
        <v>823</v>
      </c>
      <c r="G95" s="154">
        <f t="shared" si="3"/>
        <v>0</v>
      </c>
      <c r="H95" s="196">
        <f t="shared" si="3"/>
        <v>0</v>
      </c>
    </row>
    <row r="96" spans="1:13" ht="31.5" x14ac:dyDescent="0.25">
      <c r="A96" s="42">
        <f t="shared" si="2"/>
        <v>89</v>
      </c>
      <c r="B96" s="51" t="s">
        <v>102</v>
      </c>
      <c r="C96" s="97">
        <v>48967.9</v>
      </c>
      <c r="D96" s="97"/>
      <c r="E96" s="97">
        <v>64729.47</v>
      </c>
      <c r="F96" s="97" t="s">
        <v>823</v>
      </c>
      <c r="G96" s="154">
        <f t="shared" si="3"/>
        <v>15761.57</v>
      </c>
      <c r="H96" s="196">
        <f t="shared" si="3"/>
        <v>0</v>
      </c>
    </row>
    <row r="97" spans="1:9" ht="47.25" x14ac:dyDescent="0.25">
      <c r="A97" s="42">
        <f t="shared" si="2"/>
        <v>90</v>
      </c>
      <c r="B97" s="82" t="s">
        <v>668</v>
      </c>
      <c r="C97" s="97"/>
      <c r="D97" s="97"/>
      <c r="E97" s="97" t="s">
        <v>823</v>
      </c>
      <c r="F97" s="97" t="s">
        <v>823</v>
      </c>
      <c r="G97" s="154">
        <f t="shared" si="3"/>
        <v>0</v>
      </c>
      <c r="H97" s="196">
        <f t="shared" si="3"/>
        <v>0</v>
      </c>
      <c r="I97" s="202"/>
    </row>
    <row r="98" spans="1:9" ht="32.25" customHeight="1" x14ac:dyDescent="0.25">
      <c r="A98" s="42">
        <f t="shared" si="2"/>
        <v>91</v>
      </c>
      <c r="B98" s="9" t="s">
        <v>626</v>
      </c>
      <c r="C98" s="97"/>
      <c r="D98" s="97"/>
      <c r="E98" s="97" t="s">
        <v>823</v>
      </c>
      <c r="F98" s="97" t="s">
        <v>823</v>
      </c>
      <c r="G98" s="154">
        <f t="shared" ref="G98" si="6">E98-C98</f>
        <v>0</v>
      </c>
      <c r="H98" s="196">
        <f t="shared" ref="H98" si="7">F98-D98</f>
        <v>0</v>
      </c>
    </row>
    <row r="99" spans="1:9" ht="16.5" customHeight="1" x14ac:dyDescent="0.25">
      <c r="A99" s="42">
        <f>A98+1</f>
        <v>92</v>
      </c>
      <c r="B99" s="51" t="s">
        <v>624</v>
      </c>
      <c r="C99" s="97"/>
      <c r="D99" s="97"/>
      <c r="E99" s="97" t="s">
        <v>823</v>
      </c>
      <c r="F99" s="97" t="s">
        <v>823</v>
      </c>
      <c r="G99" s="154">
        <f t="shared" si="3"/>
        <v>0</v>
      </c>
      <c r="H99" s="196">
        <f t="shared" si="3"/>
        <v>0</v>
      </c>
    </row>
    <row r="100" spans="1:9" ht="16.5" customHeight="1" x14ac:dyDescent="0.25">
      <c r="A100" s="42">
        <f t="shared" si="2"/>
        <v>93</v>
      </c>
      <c r="B100" s="52" t="s">
        <v>740</v>
      </c>
      <c r="C100" s="97">
        <v>19905</v>
      </c>
      <c r="D100" s="97"/>
      <c r="E100" s="97">
        <v>259857.47</v>
      </c>
      <c r="F100" s="97" t="s">
        <v>823</v>
      </c>
      <c r="G100" s="154">
        <f t="shared" si="3"/>
        <v>239952.47</v>
      </c>
      <c r="H100" s="196">
        <f t="shared" si="3"/>
        <v>0</v>
      </c>
    </row>
    <row r="101" spans="1:9" ht="31.5" x14ac:dyDescent="0.25">
      <c r="A101" s="42">
        <f>A100+1</f>
        <v>94</v>
      </c>
      <c r="B101" s="52" t="s">
        <v>741</v>
      </c>
      <c r="C101" s="97">
        <v>324.58</v>
      </c>
      <c r="D101" s="97">
        <v>14208.87</v>
      </c>
      <c r="E101" s="97">
        <v>49184.160000000003</v>
      </c>
      <c r="F101" s="97">
        <v>36538.379999999997</v>
      </c>
      <c r="G101" s="154">
        <f t="shared" si="3"/>
        <v>48859.58</v>
      </c>
      <c r="H101" s="196">
        <f t="shared" si="3"/>
        <v>22329.509999999995</v>
      </c>
    </row>
    <row r="102" spans="1:9" ht="34.5" customHeight="1" thickBot="1" x14ac:dyDescent="0.3">
      <c r="A102" s="26">
        <f t="shared" si="2"/>
        <v>95</v>
      </c>
      <c r="B102" s="64" t="s">
        <v>635</v>
      </c>
      <c r="C102" s="175">
        <f>C6+C19+C27+C32+C40+C43+C44+C60+C66+C67+C68+C75+C76+C77+C78+C79+C90+C100+C101</f>
        <v>55335283.449999996</v>
      </c>
      <c r="D102" s="175">
        <f t="shared" ref="D102:F102" si="8">D6+D19+D27+D32+D40+D43+D44+D60+D66+D67+D68+D75+D76+D77+D78+D79+D90+D100+D101</f>
        <v>1524654.94</v>
      </c>
      <c r="E102" s="175">
        <f>E6+E19+E27+E32+E40+E43+E44+E60+E66+E67+E68+E75+E76+E77+E78+E79+E90+E100+E101</f>
        <v>57017927.479999989</v>
      </c>
      <c r="F102" s="175">
        <f t="shared" si="8"/>
        <v>1418917.86</v>
      </c>
      <c r="G102" s="175">
        <f>E102-C102</f>
        <v>1682644.0299999937</v>
      </c>
      <c r="H102" s="160">
        <f>F102-D102</f>
        <v>-105737.07999999984</v>
      </c>
      <c r="I102" s="178"/>
    </row>
    <row r="103" spans="1:9" x14ac:dyDescent="0.25">
      <c r="A103" s="203"/>
      <c r="D103" s="205"/>
      <c r="E103" s="205"/>
      <c r="F103" s="205"/>
    </row>
    <row r="105" spans="1:9" x14ac:dyDescent="0.25">
      <c r="A105" s="676"/>
      <c r="B105" s="677"/>
    </row>
    <row r="973" spans="6:6" x14ac:dyDescent="0.25">
      <c r="F973" s="8" t="s">
        <v>250</v>
      </c>
    </row>
    <row r="992" spans="4:4" x14ac:dyDescent="0.25">
      <c r="D992" s="8" t="s">
        <v>249</v>
      </c>
    </row>
  </sheetData>
  <mergeCells count="7">
    <mergeCell ref="A1:H1"/>
    <mergeCell ref="A2:H2"/>
    <mergeCell ref="A3:A4"/>
    <mergeCell ref="B3:B4"/>
    <mergeCell ref="C3:D3"/>
    <mergeCell ref="E3:F3"/>
    <mergeCell ref="G3:H3"/>
  </mergeCells>
  <printOptions gridLines="1"/>
  <pageMargins left="0.27559055118110237" right="0.19685039370078741" top="0.62992125984251968" bottom="0.39370078740157483" header="0.39370078740157483" footer="0.23622047244094491"/>
  <pageSetup paperSize="9" scale="70" fitToHeight="0" orientation="portrait" r:id="rId1"/>
  <headerFooter alignWithMargins="0">
    <oddFooter xml:space="preserve">&amp;C &amp;P z &amp;N  </oddFooter>
  </headerFooter>
  <rowBreaks count="2" manualBreakCount="2">
    <brk id="39" max="7" man="1"/>
    <brk id="78"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tabColor indexed="42"/>
    <pageSetUpPr fitToPage="1"/>
  </sheetPr>
  <dimension ref="A1:O46"/>
  <sheetViews>
    <sheetView zoomScale="90" zoomScaleNormal="90" workbookViewId="0">
      <pane xSplit="2" ySplit="6" topLeftCell="C7" activePane="bottomRight" state="frozen"/>
      <selection pane="topRight" activeCell="C1" sqref="C1"/>
      <selection pane="bottomLeft" activeCell="A7" sqref="A7"/>
      <selection pane="bottomRight" activeCell="E10" sqref="E10"/>
    </sheetView>
  </sheetViews>
  <sheetFormatPr defaultRowHeight="15.75" x14ac:dyDescent="0.2"/>
  <cols>
    <col min="1" max="1" width="5.5703125" style="144" customWidth="1"/>
    <col min="2" max="2" width="65.42578125" style="145" customWidth="1"/>
    <col min="3" max="3" width="14.7109375" style="22" customWidth="1"/>
    <col min="4" max="4" width="14" style="22" customWidth="1"/>
    <col min="5" max="5" width="15.85546875" style="22" customWidth="1"/>
    <col min="6" max="6" width="15.7109375" style="22" customWidth="1"/>
    <col min="7" max="7" width="19.140625" style="22" customWidth="1"/>
    <col min="8" max="8" width="18.7109375" style="22" customWidth="1"/>
    <col min="9" max="9" width="16.28515625" style="22" customWidth="1"/>
    <col min="10" max="10" width="17.7109375" style="22" bestFit="1" customWidth="1"/>
    <col min="11" max="11" width="13.28515625" style="22" customWidth="1"/>
    <col min="12" max="12" width="10" style="22" customWidth="1"/>
    <col min="13" max="13" width="11.5703125" style="22" customWidth="1"/>
    <col min="14" max="14" width="13.85546875" style="22" customWidth="1"/>
    <col min="15" max="15" width="32.5703125" style="22" customWidth="1"/>
    <col min="16" max="16384" width="9.140625" style="22"/>
  </cols>
  <sheetData>
    <row r="1" spans="1:14" ht="35.1" customHeight="1" thickBot="1" x14ac:dyDescent="0.25">
      <c r="A1" s="514" t="s">
        <v>709</v>
      </c>
      <c r="B1" s="515"/>
      <c r="C1" s="515"/>
      <c r="D1" s="515"/>
      <c r="E1" s="515"/>
      <c r="F1" s="515"/>
      <c r="G1" s="515"/>
      <c r="H1" s="515"/>
      <c r="I1" s="515"/>
      <c r="J1" s="515"/>
      <c r="K1" s="515"/>
    </row>
    <row r="2" spans="1:14" ht="35.450000000000003" customHeight="1" thickBot="1" x14ac:dyDescent="0.25">
      <c r="A2" s="467" t="s">
        <v>866</v>
      </c>
      <c r="B2" s="468"/>
      <c r="C2" s="468"/>
      <c r="D2" s="468"/>
      <c r="E2" s="468"/>
      <c r="F2" s="468"/>
      <c r="G2" s="468"/>
      <c r="H2" s="468"/>
      <c r="I2" s="468"/>
      <c r="J2" s="468"/>
      <c r="K2" s="469"/>
    </row>
    <row r="3" spans="1:14" ht="42.75" customHeight="1" x14ac:dyDescent="0.2">
      <c r="A3" s="525" t="s">
        <v>134</v>
      </c>
      <c r="B3" s="490" t="s">
        <v>143</v>
      </c>
      <c r="C3" s="520" t="s">
        <v>710</v>
      </c>
      <c r="D3" s="520"/>
      <c r="E3" s="520"/>
      <c r="F3" s="520"/>
      <c r="G3" s="520" t="s">
        <v>567</v>
      </c>
      <c r="H3" s="520" t="s">
        <v>192</v>
      </c>
      <c r="I3" s="520" t="s">
        <v>569</v>
      </c>
      <c r="J3" s="516" t="s">
        <v>570</v>
      </c>
      <c r="K3" s="522" t="s">
        <v>619</v>
      </c>
      <c r="L3" s="499" t="s">
        <v>782</v>
      </c>
      <c r="M3" s="502" t="s">
        <v>784</v>
      </c>
      <c r="N3" s="505" t="s">
        <v>783</v>
      </c>
    </row>
    <row r="4" spans="1:14" ht="34.5" customHeight="1" x14ac:dyDescent="0.2">
      <c r="A4" s="526"/>
      <c r="B4" s="524"/>
      <c r="C4" s="521" t="s">
        <v>141</v>
      </c>
      <c r="D4" s="129" t="s">
        <v>192</v>
      </c>
      <c r="E4" s="521" t="s">
        <v>142</v>
      </c>
      <c r="F4" s="521" t="s">
        <v>119</v>
      </c>
      <c r="G4" s="521"/>
      <c r="H4" s="521"/>
      <c r="I4" s="521"/>
      <c r="J4" s="517"/>
      <c r="K4" s="522"/>
      <c r="L4" s="500"/>
      <c r="M4" s="503"/>
      <c r="N4" s="506"/>
    </row>
    <row r="5" spans="1:14" s="206" customFormat="1" ht="63.75" thickBot="1" x14ac:dyDescent="0.25">
      <c r="A5" s="526"/>
      <c r="B5" s="524"/>
      <c r="C5" s="521"/>
      <c r="D5" s="129" t="s">
        <v>548</v>
      </c>
      <c r="E5" s="521"/>
      <c r="F5" s="521"/>
      <c r="G5" s="521"/>
      <c r="H5" s="129" t="s">
        <v>568</v>
      </c>
      <c r="I5" s="521"/>
      <c r="J5" s="517"/>
      <c r="K5" s="523"/>
      <c r="L5" s="501"/>
      <c r="M5" s="504"/>
      <c r="N5" s="507"/>
    </row>
    <row r="6" spans="1:14" s="208" customFormat="1" ht="18" customHeight="1" x14ac:dyDescent="0.2">
      <c r="A6" s="28"/>
      <c r="B6" s="10"/>
      <c r="C6" s="129" t="s">
        <v>178</v>
      </c>
      <c r="D6" s="129" t="s">
        <v>179</v>
      </c>
      <c r="E6" s="129" t="s">
        <v>180</v>
      </c>
      <c r="F6" s="129" t="s">
        <v>120</v>
      </c>
      <c r="G6" s="129" t="s">
        <v>181</v>
      </c>
      <c r="H6" s="129" t="s">
        <v>182</v>
      </c>
      <c r="I6" s="129" t="s">
        <v>183</v>
      </c>
      <c r="J6" s="127" t="s">
        <v>121</v>
      </c>
      <c r="K6" s="207" t="s">
        <v>620</v>
      </c>
    </row>
    <row r="7" spans="1:14" s="141" customFormat="1" x14ac:dyDescent="0.2">
      <c r="A7" s="7">
        <v>1</v>
      </c>
      <c r="B7" s="10" t="s">
        <v>175</v>
      </c>
      <c r="C7" s="152">
        <f>SUM(C8:C12)</f>
        <v>576.30000000000007</v>
      </c>
      <c r="D7" s="152">
        <f>SUM(D8:D12)</f>
        <v>571.5</v>
      </c>
      <c r="E7" s="152">
        <f>SUM(E8:E12)</f>
        <v>81.099999999999994</v>
      </c>
      <c r="F7" s="152">
        <f t="shared" ref="F7:F13" si="0">C7+E7</f>
        <v>657.40000000000009</v>
      </c>
      <c r="G7" s="152">
        <f>SUM(G8:G12)</f>
        <v>9701145.5600000005</v>
      </c>
      <c r="H7" s="152">
        <f>SUM(H8:H12)</f>
        <v>9393292.8000000007</v>
      </c>
      <c r="I7" s="152">
        <f>SUM(I8:I12)</f>
        <v>4394383.7300000004</v>
      </c>
      <c r="J7" s="209">
        <f t="shared" ref="J7:J13" si="1">G7+I7</f>
        <v>14095529.290000001</v>
      </c>
      <c r="K7" s="124">
        <f>IF(F7=0,0,J7/F7/12)</f>
        <v>1786.7773666463845</v>
      </c>
      <c r="L7" s="123">
        <v>1132.9590000000001</v>
      </c>
      <c r="M7" s="123">
        <v>1449.85</v>
      </c>
      <c r="N7" s="123">
        <v>2188.7060000000001</v>
      </c>
    </row>
    <row r="8" spans="1:14" x14ac:dyDescent="0.2">
      <c r="A8" s="7">
        <v>2</v>
      </c>
      <c r="B8" s="9" t="s">
        <v>621</v>
      </c>
      <c r="C8" s="210">
        <v>81.2</v>
      </c>
      <c r="D8" s="210">
        <v>80.599999999999994</v>
      </c>
      <c r="E8" s="210">
        <v>22.3</v>
      </c>
      <c r="F8" s="152">
        <f t="shared" si="0"/>
        <v>103.5</v>
      </c>
      <c r="G8" s="210">
        <v>2184814.9300000002</v>
      </c>
      <c r="H8" s="210">
        <v>2104777.2799999998</v>
      </c>
      <c r="I8" s="210">
        <v>1258630.3799999999</v>
      </c>
      <c r="J8" s="209">
        <f t="shared" si="1"/>
        <v>3443445.31</v>
      </c>
      <c r="K8" s="124">
        <f t="shared" ref="K8:K30" si="2">IF(F8=0,0,J8/F8/12)</f>
        <v>2772.5002495974236</v>
      </c>
      <c r="L8" s="123">
        <v>1906.518</v>
      </c>
      <c r="M8" s="123">
        <v>2526.1849999999999</v>
      </c>
      <c r="N8" s="123">
        <v>3434.76</v>
      </c>
    </row>
    <row r="9" spans="1:14" x14ac:dyDescent="0.2">
      <c r="A9" s="7">
        <v>3</v>
      </c>
      <c r="B9" s="9" t="s">
        <v>144</v>
      </c>
      <c r="C9" s="210">
        <v>128.9</v>
      </c>
      <c r="D9" s="210">
        <v>128.4</v>
      </c>
      <c r="E9" s="210">
        <v>14.9</v>
      </c>
      <c r="F9" s="152">
        <f t="shared" si="0"/>
        <v>143.80000000000001</v>
      </c>
      <c r="G9" s="210">
        <v>2573450.17</v>
      </c>
      <c r="H9" s="210">
        <v>2495536.12</v>
      </c>
      <c r="I9" s="210">
        <v>811337.35</v>
      </c>
      <c r="J9" s="209">
        <f t="shared" si="1"/>
        <v>3384787.52</v>
      </c>
      <c r="K9" s="124">
        <f t="shared" si="2"/>
        <v>1961.5133982382938</v>
      </c>
      <c r="L9" s="123">
        <v>1305.511</v>
      </c>
      <c r="M9" s="123">
        <v>1701.731</v>
      </c>
      <c r="N9" s="123">
        <v>2374.0129999999999</v>
      </c>
    </row>
    <row r="10" spans="1:14" x14ac:dyDescent="0.2">
      <c r="A10" s="7">
        <v>4</v>
      </c>
      <c r="B10" s="9" t="s">
        <v>145</v>
      </c>
      <c r="C10" s="210">
        <v>299.8</v>
      </c>
      <c r="D10" s="210">
        <v>296.3</v>
      </c>
      <c r="E10" s="210">
        <v>34.299999999999997</v>
      </c>
      <c r="F10" s="152">
        <f t="shared" si="0"/>
        <v>334.1</v>
      </c>
      <c r="G10" s="210">
        <v>4255090.16</v>
      </c>
      <c r="H10" s="210">
        <v>4110082.02</v>
      </c>
      <c r="I10" s="210">
        <v>1906173.04</v>
      </c>
      <c r="J10" s="209">
        <f t="shared" si="1"/>
        <v>6161263.2000000002</v>
      </c>
      <c r="K10" s="124">
        <f t="shared" si="2"/>
        <v>1536.7812032325648</v>
      </c>
      <c r="L10" s="123">
        <v>1057.7860000000001</v>
      </c>
      <c r="M10" s="123">
        <v>1347.5609999999999</v>
      </c>
      <c r="N10" s="123">
        <v>1920.3620000000001</v>
      </c>
    </row>
    <row r="11" spans="1:14" x14ac:dyDescent="0.2">
      <c r="A11" s="7">
        <v>5</v>
      </c>
      <c r="B11" s="9" t="s">
        <v>146</v>
      </c>
      <c r="C11" s="210">
        <v>56.3</v>
      </c>
      <c r="D11" s="210">
        <v>56.1</v>
      </c>
      <c r="E11" s="210">
        <v>3.6</v>
      </c>
      <c r="F11" s="152">
        <f t="shared" si="0"/>
        <v>59.9</v>
      </c>
      <c r="G11" s="210">
        <v>569846.06999999995</v>
      </c>
      <c r="H11" s="210">
        <v>565452.56000000006</v>
      </c>
      <c r="I11" s="210">
        <v>343494.56</v>
      </c>
      <c r="J11" s="209">
        <f t="shared" si="1"/>
        <v>913340.62999999989</v>
      </c>
      <c r="K11" s="124">
        <f t="shared" si="2"/>
        <v>1270.6463967723982</v>
      </c>
      <c r="L11" s="123">
        <v>991.70899999999995</v>
      </c>
      <c r="M11" s="123">
        <v>1152.4829999999999</v>
      </c>
      <c r="N11" s="123">
        <v>1408.097</v>
      </c>
    </row>
    <row r="12" spans="1:14" x14ac:dyDescent="0.2">
      <c r="A12" s="7">
        <v>6</v>
      </c>
      <c r="B12" s="9" t="s">
        <v>147</v>
      </c>
      <c r="C12" s="210">
        <v>10.1</v>
      </c>
      <c r="D12" s="210">
        <v>10.1</v>
      </c>
      <c r="E12" s="210">
        <v>6</v>
      </c>
      <c r="F12" s="152">
        <f t="shared" si="0"/>
        <v>16.100000000000001</v>
      </c>
      <c r="G12" s="210">
        <v>117944.23</v>
      </c>
      <c r="H12" s="210">
        <v>117444.82</v>
      </c>
      <c r="I12" s="210">
        <v>74748.399999999994</v>
      </c>
      <c r="J12" s="209">
        <f t="shared" si="1"/>
        <v>192692.63</v>
      </c>
      <c r="K12" s="124">
        <f t="shared" si="2"/>
        <v>997.37386128364381</v>
      </c>
      <c r="L12" s="123">
        <v>870.58799999999997</v>
      </c>
      <c r="M12" s="123">
        <v>909.49800000000005</v>
      </c>
      <c r="N12" s="123">
        <v>1071.7449999999999</v>
      </c>
    </row>
    <row r="13" spans="1:14" x14ac:dyDescent="0.2">
      <c r="A13" s="7">
        <v>7</v>
      </c>
      <c r="B13" s="10" t="s">
        <v>29</v>
      </c>
      <c r="C13" s="210">
        <v>178.4</v>
      </c>
      <c r="D13" s="210">
        <v>170.3</v>
      </c>
      <c r="E13" s="210">
        <v>27.3</v>
      </c>
      <c r="F13" s="152">
        <f t="shared" si="0"/>
        <v>205.70000000000002</v>
      </c>
      <c r="G13" s="210">
        <v>1985638.49</v>
      </c>
      <c r="H13" s="210">
        <v>1830291.92</v>
      </c>
      <c r="I13" s="210">
        <v>465141.49</v>
      </c>
      <c r="J13" s="209">
        <f t="shared" si="1"/>
        <v>2450779.98</v>
      </c>
      <c r="K13" s="124">
        <f t="shared" si="2"/>
        <v>992.86176470588225</v>
      </c>
      <c r="L13" s="123">
        <v>702.18799999999999</v>
      </c>
      <c r="M13" s="123">
        <v>909.66600000000005</v>
      </c>
      <c r="N13" s="123">
        <v>1303.943</v>
      </c>
    </row>
    <row r="14" spans="1:14" x14ac:dyDescent="0.2">
      <c r="A14" s="7"/>
      <c r="B14" s="9" t="s">
        <v>192</v>
      </c>
      <c r="C14" s="210"/>
      <c r="D14" s="210"/>
      <c r="E14" s="210"/>
      <c r="F14" s="152"/>
      <c r="G14" s="210"/>
      <c r="H14" s="210"/>
      <c r="I14" s="210"/>
      <c r="J14" s="209"/>
      <c r="K14" s="124"/>
      <c r="L14" s="211"/>
      <c r="M14" s="212"/>
      <c r="N14" s="213"/>
    </row>
    <row r="15" spans="1:14" x14ac:dyDescent="0.2">
      <c r="A15" s="7">
        <v>8</v>
      </c>
      <c r="B15" s="9" t="s">
        <v>33</v>
      </c>
      <c r="C15" s="210">
        <v>43.8</v>
      </c>
      <c r="D15" s="210">
        <v>43.1</v>
      </c>
      <c r="E15" s="210">
        <v>5.9</v>
      </c>
      <c r="F15" s="152">
        <f t="shared" ref="F15:F21" si="3">C15+E15</f>
        <v>49.699999999999996</v>
      </c>
      <c r="G15" s="210">
        <v>595151.99</v>
      </c>
      <c r="H15" s="210">
        <v>580156.27</v>
      </c>
      <c r="I15" s="210">
        <v>147932.43</v>
      </c>
      <c r="J15" s="209">
        <f t="shared" ref="J15:J21" si="4">G15+I15</f>
        <v>743084.41999999993</v>
      </c>
      <c r="K15" s="124">
        <f t="shared" si="2"/>
        <v>1245.9497317236753</v>
      </c>
      <c r="L15" s="123">
        <v>911.34500000000003</v>
      </c>
      <c r="M15" s="123">
        <v>1156.4549999999999</v>
      </c>
      <c r="N15" s="123">
        <v>1369.653</v>
      </c>
    </row>
    <row r="16" spans="1:14" x14ac:dyDescent="0.2">
      <c r="A16" s="7">
        <v>9</v>
      </c>
      <c r="B16" s="10" t="s">
        <v>176</v>
      </c>
      <c r="C16" s="152">
        <f>SUM(C17:C19)</f>
        <v>197.60000000000002</v>
      </c>
      <c r="D16" s="152">
        <f>SUM(D17:D19)</f>
        <v>195.79999999999998</v>
      </c>
      <c r="E16" s="152">
        <f>SUM(E17:E19)</f>
        <v>24.6</v>
      </c>
      <c r="F16" s="152">
        <f t="shared" si="3"/>
        <v>222.20000000000002</v>
      </c>
      <c r="G16" s="152">
        <f>SUM(G17:G19)</f>
        <v>2120702.4300000002</v>
      </c>
      <c r="H16" s="152">
        <f>SUM(H17:H19)</f>
        <v>2081997</v>
      </c>
      <c r="I16" s="152">
        <f>SUM(I17:I19)</f>
        <v>494275.1</v>
      </c>
      <c r="J16" s="209">
        <f t="shared" si="4"/>
        <v>2614977.5300000003</v>
      </c>
      <c r="K16" s="124">
        <f t="shared" si="2"/>
        <v>980.71464521452151</v>
      </c>
      <c r="L16" s="123">
        <v>723.48599999999999</v>
      </c>
      <c r="M16" s="123">
        <v>870.76900000000001</v>
      </c>
      <c r="N16" s="123">
        <v>1090.0150000000001</v>
      </c>
    </row>
    <row r="17" spans="1:15" x14ac:dyDescent="0.2">
      <c r="A17" s="7">
        <v>10</v>
      </c>
      <c r="B17" s="9" t="s">
        <v>148</v>
      </c>
      <c r="C17" s="210">
        <v>76.7</v>
      </c>
      <c r="D17" s="210">
        <v>75.099999999999994</v>
      </c>
      <c r="E17" s="210">
        <v>2.6</v>
      </c>
      <c r="F17" s="152">
        <f t="shared" si="3"/>
        <v>79.3</v>
      </c>
      <c r="G17" s="210">
        <v>914299.3</v>
      </c>
      <c r="H17" s="210">
        <v>888878.72</v>
      </c>
      <c r="I17" s="210">
        <v>43421.68</v>
      </c>
      <c r="J17" s="209">
        <f t="shared" si="4"/>
        <v>957720.9800000001</v>
      </c>
      <c r="K17" s="124">
        <f t="shared" si="2"/>
        <v>1006.4323034888611</v>
      </c>
      <c r="L17" s="123">
        <v>758.38800000000003</v>
      </c>
      <c r="M17" s="123">
        <v>912.23400000000004</v>
      </c>
      <c r="N17" s="123">
        <v>1139.1880000000001</v>
      </c>
    </row>
    <row r="18" spans="1:15" x14ac:dyDescent="0.2">
      <c r="A18" s="7">
        <v>11</v>
      </c>
      <c r="B18" s="9" t="s">
        <v>122</v>
      </c>
      <c r="C18" s="210">
        <v>74.599999999999994</v>
      </c>
      <c r="D18" s="210">
        <v>74.599999999999994</v>
      </c>
      <c r="E18" s="210">
        <v>12.5</v>
      </c>
      <c r="F18" s="152">
        <f t="shared" si="3"/>
        <v>87.1</v>
      </c>
      <c r="G18" s="210">
        <v>832204.13</v>
      </c>
      <c r="H18" s="210">
        <v>828512.06</v>
      </c>
      <c r="I18" s="210">
        <v>295182.02</v>
      </c>
      <c r="J18" s="209">
        <f t="shared" si="4"/>
        <v>1127386.1499999999</v>
      </c>
      <c r="K18" s="124">
        <f t="shared" si="2"/>
        <v>1078.6319843092231</v>
      </c>
      <c r="L18" s="7">
        <v>0</v>
      </c>
      <c r="M18" s="1">
        <v>0</v>
      </c>
      <c r="N18" s="214">
        <v>0</v>
      </c>
    </row>
    <row r="19" spans="1:15" x14ac:dyDescent="0.2">
      <c r="A19" s="7">
        <v>12</v>
      </c>
      <c r="B19" s="9" t="s">
        <v>104</v>
      </c>
      <c r="C19" s="210">
        <v>46.3</v>
      </c>
      <c r="D19" s="210">
        <v>46.1</v>
      </c>
      <c r="E19" s="210">
        <v>9.5</v>
      </c>
      <c r="F19" s="152">
        <f t="shared" si="3"/>
        <v>55.8</v>
      </c>
      <c r="G19" s="210">
        <v>374199</v>
      </c>
      <c r="H19" s="210">
        <v>364606.22</v>
      </c>
      <c r="I19" s="210">
        <v>155671.4</v>
      </c>
      <c r="J19" s="209">
        <f t="shared" si="4"/>
        <v>529870.4</v>
      </c>
      <c r="K19" s="124">
        <f t="shared" si="2"/>
        <v>791.32377538829166</v>
      </c>
      <c r="L19" s="123">
        <v>675.59699999999998</v>
      </c>
      <c r="M19" s="123">
        <v>804.54399999999998</v>
      </c>
      <c r="N19" s="123">
        <v>890.86699999999996</v>
      </c>
    </row>
    <row r="20" spans="1:15" x14ac:dyDescent="0.2">
      <c r="A20" s="7">
        <v>13</v>
      </c>
      <c r="B20" s="10" t="s">
        <v>173</v>
      </c>
      <c r="C20" s="210">
        <v>103.9</v>
      </c>
      <c r="D20" s="210">
        <v>97.1</v>
      </c>
      <c r="E20" s="210">
        <v>22</v>
      </c>
      <c r="F20" s="152">
        <f t="shared" si="3"/>
        <v>125.9</v>
      </c>
      <c r="G20" s="210">
        <v>1622173.83</v>
      </c>
      <c r="H20" s="210">
        <v>1508882.34</v>
      </c>
      <c r="I20" s="210">
        <v>716239.53</v>
      </c>
      <c r="J20" s="209">
        <f t="shared" si="4"/>
        <v>2338413.3600000003</v>
      </c>
      <c r="K20" s="124">
        <f t="shared" si="2"/>
        <v>1547.7980937251789</v>
      </c>
      <c r="L20" s="123">
        <v>917.94200000000001</v>
      </c>
      <c r="M20" s="123">
        <v>1186.0519999999999</v>
      </c>
      <c r="N20" s="123">
        <v>1842.5440000000001</v>
      </c>
    </row>
    <row r="21" spans="1:15" ht="31.5" x14ac:dyDescent="0.2">
      <c r="A21" s="7">
        <v>14</v>
      </c>
      <c r="B21" s="10" t="s">
        <v>30</v>
      </c>
      <c r="C21" s="210">
        <v>134.9</v>
      </c>
      <c r="D21" s="210">
        <v>134.9</v>
      </c>
      <c r="E21" s="210">
        <v>20.399999999999999</v>
      </c>
      <c r="F21" s="152">
        <f t="shared" si="3"/>
        <v>155.30000000000001</v>
      </c>
      <c r="G21" s="210">
        <v>948980.27</v>
      </c>
      <c r="H21" s="210">
        <v>948779.27</v>
      </c>
      <c r="I21" s="210">
        <v>225852.57</v>
      </c>
      <c r="J21" s="209">
        <f t="shared" si="4"/>
        <v>1174832.8400000001</v>
      </c>
      <c r="K21" s="124">
        <f t="shared" si="2"/>
        <v>630.41040995921878</v>
      </c>
      <c r="L21" s="215">
        <v>458.95</v>
      </c>
      <c r="M21" s="215">
        <v>552.077</v>
      </c>
      <c r="N21" s="215">
        <v>730.46900000000005</v>
      </c>
    </row>
    <row r="22" spans="1:15" ht="47.25" x14ac:dyDescent="0.2">
      <c r="A22" s="7">
        <v>15</v>
      </c>
      <c r="B22" s="10" t="s">
        <v>207</v>
      </c>
      <c r="C22" s="152">
        <f>SUM(C23:C26)</f>
        <v>33.409999999999997</v>
      </c>
      <c r="D22" s="152">
        <f>SUM(D23:D26)</f>
        <v>33.409999999999997</v>
      </c>
      <c r="E22" s="152">
        <f>SUM(E23:E26)</f>
        <v>5.3819999999999997</v>
      </c>
      <c r="F22" s="152">
        <f>SUM(F27:F27)</f>
        <v>0</v>
      </c>
      <c r="G22" s="152">
        <f>SUM(G23:G26)</f>
        <v>293547.39</v>
      </c>
      <c r="H22" s="152">
        <f>SUM(H23:H26)</f>
        <v>293547.39</v>
      </c>
      <c r="I22" s="152">
        <f>SUM(I23:I26)</f>
        <v>33900.720000000001</v>
      </c>
      <c r="J22" s="209">
        <f>SUM(J23:J26)</f>
        <v>327448.11</v>
      </c>
      <c r="K22" s="124">
        <f t="shared" si="2"/>
        <v>0</v>
      </c>
      <c r="L22" s="7">
        <v>0</v>
      </c>
      <c r="M22" s="7">
        <v>0</v>
      </c>
      <c r="N22" s="7">
        <v>0</v>
      </c>
    </row>
    <row r="23" spans="1:15" x14ac:dyDescent="0.2">
      <c r="A23" s="7" t="s">
        <v>174</v>
      </c>
      <c r="B23" s="9" t="s">
        <v>837</v>
      </c>
      <c r="C23" s="210">
        <v>33.409999999999997</v>
      </c>
      <c r="D23" s="210">
        <v>33.409999999999997</v>
      </c>
      <c r="E23" s="210">
        <v>5.3819999999999997</v>
      </c>
      <c r="F23" s="152">
        <f t="shared" ref="F23:F29" si="5">C23+E23</f>
        <v>38.791999999999994</v>
      </c>
      <c r="G23" s="210">
        <v>293547.39</v>
      </c>
      <c r="H23" s="210">
        <v>293547.39</v>
      </c>
      <c r="I23" s="210">
        <v>33900.720000000001</v>
      </c>
      <c r="J23" s="209">
        <f>G23+I23</f>
        <v>327448.11</v>
      </c>
      <c r="K23" s="124">
        <f t="shared" si="2"/>
        <v>703.42705970303166</v>
      </c>
      <c r="L23" s="7" t="s">
        <v>200</v>
      </c>
      <c r="M23" s="7" t="s">
        <v>200</v>
      </c>
      <c r="N23" s="7" t="s">
        <v>200</v>
      </c>
    </row>
    <row r="24" spans="1:15" x14ac:dyDescent="0.2">
      <c r="A24" s="7" t="s">
        <v>260</v>
      </c>
      <c r="B24" s="9"/>
      <c r="C24" s="210"/>
      <c r="D24" s="210"/>
      <c r="E24" s="210"/>
      <c r="F24" s="152">
        <f t="shared" si="5"/>
        <v>0</v>
      </c>
      <c r="G24" s="210"/>
      <c r="H24" s="210"/>
      <c r="I24" s="210"/>
      <c r="J24" s="209">
        <f>G24+I24</f>
        <v>0</v>
      </c>
      <c r="K24" s="124">
        <f t="shared" si="2"/>
        <v>0</v>
      </c>
      <c r="L24" s="7" t="s">
        <v>200</v>
      </c>
      <c r="M24" s="7" t="s">
        <v>200</v>
      </c>
      <c r="N24" s="7" t="s">
        <v>200</v>
      </c>
    </row>
    <row r="25" spans="1:15" x14ac:dyDescent="0.2">
      <c r="A25" s="7" t="s">
        <v>261</v>
      </c>
      <c r="B25" s="9"/>
      <c r="C25" s="210"/>
      <c r="D25" s="210"/>
      <c r="E25" s="210"/>
      <c r="F25" s="152">
        <f t="shared" si="5"/>
        <v>0</v>
      </c>
      <c r="G25" s="210"/>
      <c r="H25" s="210"/>
      <c r="I25" s="210"/>
      <c r="J25" s="209">
        <f>G25+I25</f>
        <v>0</v>
      </c>
      <c r="K25" s="124">
        <f t="shared" si="2"/>
        <v>0</v>
      </c>
      <c r="L25" s="7" t="s">
        <v>200</v>
      </c>
      <c r="M25" s="7" t="s">
        <v>200</v>
      </c>
      <c r="N25" s="7" t="s">
        <v>200</v>
      </c>
    </row>
    <row r="26" spans="1:15" ht="16.5" customHeight="1" x14ac:dyDescent="0.2">
      <c r="A26" s="7" t="s">
        <v>262</v>
      </c>
      <c r="B26" s="9"/>
      <c r="C26" s="210"/>
      <c r="D26" s="210"/>
      <c r="E26" s="210"/>
      <c r="F26" s="152">
        <f t="shared" si="5"/>
        <v>0</v>
      </c>
      <c r="G26" s="210"/>
      <c r="H26" s="210"/>
      <c r="I26" s="210"/>
      <c r="J26" s="209">
        <f>G26+I26</f>
        <v>0</v>
      </c>
      <c r="K26" s="124">
        <f t="shared" si="2"/>
        <v>0</v>
      </c>
      <c r="L26" s="7" t="s">
        <v>200</v>
      </c>
      <c r="M26" s="7" t="s">
        <v>200</v>
      </c>
      <c r="N26" s="7" t="s">
        <v>200</v>
      </c>
    </row>
    <row r="27" spans="1:15" x14ac:dyDescent="0.2">
      <c r="A27" s="7"/>
      <c r="B27" s="9"/>
      <c r="C27" s="210"/>
      <c r="D27" s="210"/>
      <c r="E27" s="210"/>
      <c r="F27" s="152">
        <f t="shared" si="5"/>
        <v>0</v>
      </c>
      <c r="G27" s="210"/>
      <c r="H27" s="210"/>
      <c r="I27" s="210"/>
      <c r="J27" s="209"/>
      <c r="K27" s="124"/>
      <c r="L27" s="211"/>
      <c r="M27" s="212"/>
      <c r="N27" s="213"/>
    </row>
    <row r="28" spans="1:15" x14ac:dyDescent="0.2">
      <c r="A28" s="7">
        <v>16</v>
      </c>
      <c r="B28" s="10" t="s">
        <v>31</v>
      </c>
      <c r="C28" s="210">
        <v>47.4</v>
      </c>
      <c r="D28" s="210">
        <v>47.4</v>
      </c>
      <c r="E28" s="210">
        <v>12.5</v>
      </c>
      <c r="F28" s="152">
        <f t="shared" si="5"/>
        <v>59.9</v>
      </c>
      <c r="G28" s="210">
        <v>353591.6</v>
      </c>
      <c r="H28" s="210">
        <v>385388.06</v>
      </c>
      <c r="I28" s="210">
        <v>150778.54</v>
      </c>
      <c r="J28" s="209">
        <f>G28+I28</f>
        <v>504370.14</v>
      </c>
      <c r="K28" s="124">
        <f t="shared" si="2"/>
        <v>701.68355592654427</v>
      </c>
      <c r="L28" s="123">
        <v>536.23699999999997</v>
      </c>
      <c r="M28" s="123">
        <v>641.40300000000002</v>
      </c>
      <c r="N28" s="123">
        <v>833.25699999999995</v>
      </c>
    </row>
    <row r="29" spans="1:15" x14ac:dyDescent="0.2">
      <c r="A29" s="7">
        <v>17</v>
      </c>
      <c r="B29" s="10" t="s">
        <v>32</v>
      </c>
      <c r="C29" s="210"/>
      <c r="D29" s="210"/>
      <c r="E29" s="210">
        <v>40.5</v>
      </c>
      <c r="F29" s="152">
        <f t="shared" si="5"/>
        <v>40.5</v>
      </c>
      <c r="G29" s="210">
        <v>31796.09</v>
      </c>
      <c r="H29" s="210"/>
      <c r="I29" s="210">
        <v>272877.21999999997</v>
      </c>
      <c r="J29" s="209">
        <f>G29+I29</f>
        <v>304673.31</v>
      </c>
      <c r="K29" s="124">
        <f t="shared" si="2"/>
        <v>626.89981481481482</v>
      </c>
      <c r="L29" s="216">
        <v>436.39</v>
      </c>
      <c r="M29" s="216">
        <v>549.53599999999994</v>
      </c>
      <c r="N29" s="216">
        <v>658.87800000000004</v>
      </c>
    </row>
    <row r="30" spans="1:15" ht="16.5" thickBot="1" x14ac:dyDescent="0.25">
      <c r="A30" s="47">
        <v>18</v>
      </c>
      <c r="B30" s="11" t="s">
        <v>208</v>
      </c>
      <c r="C30" s="175">
        <f t="shared" ref="C30:J30" si="6">C7+C13+C16+C20+C21+C28+C29</f>
        <v>1238.5000000000002</v>
      </c>
      <c r="D30" s="175">
        <f t="shared" si="6"/>
        <v>1217</v>
      </c>
      <c r="E30" s="175">
        <f t="shared" si="6"/>
        <v>228.4</v>
      </c>
      <c r="F30" s="175">
        <f t="shared" si="6"/>
        <v>1466.9000000000003</v>
      </c>
      <c r="G30" s="175">
        <f t="shared" si="6"/>
        <v>16764028.27</v>
      </c>
      <c r="H30" s="175">
        <f t="shared" si="6"/>
        <v>16148631.390000001</v>
      </c>
      <c r="I30" s="175">
        <f t="shared" si="6"/>
        <v>6719548.1800000006</v>
      </c>
      <c r="J30" s="217">
        <f t="shared" si="6"/>
        <v>23483576.449999999</v>
      </c>
      <c r="K30" s="218">
        <f t="shared" si="2"/>
        <v>1334.0818761787893</v>
      </c>
      <c r="L30" s="219">
        <v>821.86699999999996</v>
      </c>
      <c r="M30" s="219">
        <v>1170.5129999999999</v>
      </c>
      <c r="N30" s="219">
        <v>1750.846</v>
      </c>
      <c r="O30" s="220"/>
    </row>
    <row r="31" spans="1:15" ht="16.5" thickBot="1" x14ac:dyDescent="0.25">
      <c r="A31" s="134"/>
      <c r="B31" s="134"/>
      <c r="C31" s="221"/>
      <c r="D31" s="134"/>
      <c r="E31" s="134"/>
      <c r="F31" s="221"/>
      <c r="G31" s="221"/>
      <c r="H31" s="221"/>
      <c r="I31" s="221"/>
      <c r="J31" s="221"/>
    </row>
    <row r="32" spans="1:15" ht="16.5" thickBot="1" x14ac:dyDescent="0.3">
      <c r="A32" s="518" t="s">
        <v>0</v>
      </c>
      <c r="B32" s="519"/>
      <c r="C32" s="519"/>
      <c r="D32" s="519"/>
      <c r="E32" s="519"/>
      <c r="F32" s="519"/>
      <c r="G32" s="519"/>
      <c r="H32" s="519"/>
      <c r="I32" s="519"/>
      <c r="J32" s="519"/>
      <c r="K32" s="222"/>
      <c r="L32" s="223" t="s">
        <v>785</v>
      </c>
      <c r="M32" s="224"/>
      <c r="N32" s="225"/>
    </row>
    <row r="33" spans="1:14" x14ac:dyDescent="0.25">
      <c r="A33" s="509" t="s">
        <v>622</v>
      </c>
      <c r="B33" s="510"/>
      <c r="C33" s="510"/>
      <c r="D33" s="510"/>
      <c r="E33" s="510"/>
      <c r="F33" s="510"/>
      <c r="G33" s="510"/>
      <c r="H33" s="510"/>
      <c r="I33" s="510"/>
      <c r="J33" s="511"/>
    </row>
    <row r="34" spans="1:14" ht="50.25" customHeight="1" x14ac:dyDescent="0.2">
      <c r="B34" s="508" t="s">
        <v>572</v>
      </c>
      <c r="C34" s="508"/>
      <c r="D34" s="508"/>
      <c r="E34" s="508"/>
      <c r="F34" s="508"/>
      <c r="G34" s="508"/>
      <c r="H34" s="508"/>
      <c r="I34" s="508"/>
      <c r="J34" s="508"/>
      <c r="K34" s="122"/>
      <c r="L34" s="512"/>
      <c r="M34" s="512"/>
      <c r="N34" s="512"/>
    </row>
    <row r="35" spans="1:14" x14ac:dyDescent="0.2">
      <c r="B35" s="226" t="s">
        <v>563</v>
      </c>
    </row>
    <row r="36" spans="1:14" x14ac:dyDescent="0.2">
      <c r="B36" s="226" t="s">
        <v>564</v>
      </c>
    </row>
    <row r="37" spans="1:14" x14ac:dyDescent="0.2">
      <c r="B37" s="226" t="s">
        <v>565</v>
      </c>
    </row>
    <row r="39" spans="1:14" ht="30" customHeight="1" x14ac:dyDescent="0.2">
      <c r="A39" s="513" t="s">
        <v>878</v>
      </c>
      <c r="B39" s="513"/>
      <c r="C39" s="513"/>
      <c r="D39" s="513"/>
      <c r="E39" s="513"/>
      <c r="F39" s="513"/>
      <c r="G39" s="513"/>
      <c r="H39" s="513"/>
      <c r="I39" s="513"/>
      <c r="J39" s="513"/>
      <c r="K39" s="513"/>
    </row>
    <row r="40" spans="1:14" x14ac:dyDescent="0.2">
      <c r="B40" s="145" t="s">
        <v>877</v>
      </c>
    </row>
    <row r="41" spans="1:14" x14ac:dyDescent="0.2">
      <c r="B41" s="227" t="s">
        <v>876</v>
      </c>
    </row>
    <row r="42" spans="1:14" x14ac:dyDescent="0.2">
      <c r="B42" s="228" t="s">
        <v>872</v>
      </c>
    </row>
    <row r="43" spans="1:14" x14ac:dyDescent="0.2">
      <c r="B43" s="227" t="s">
        <v>873</v>
      </c>
    </row>
    <row r="44" spans="1:14" x14ac:dyDescent="0.2">
      <c r="B44" s="227"/>
    </row>
    <row r="45" spans="1:14" ht="55.5" customHeight="1" x14ac:dyDescent="0.2">
      <c r="B45" s="498" t="s">
        <v>874</v>
      </c>
      <c r="C45" s="498"/>
      <c r="D45" s="498"/>
      <c r="E45" s="498"/>
      <c r="F45" s="498"/>
      <c r="G45" s="498"/>
      <c r="H45" s="498"/>
      <c r="I45" s="498"/>
      <c r="J45" s="498"/>
      <c r="K45" s="498"/>
      <c r="L45" s="498"/>
      <c r="M45" s="498"/>
      <c r="N45" s="498"/>
    </row>
    <row r="46" spans="1:14" ht="37.5" customHeight="1" x14ac:dyDescent="0.2">
      <c r="B46" s="498" t="s">
        <v>875</v>
      </c>
      <c r="C46" s="498"/>
      <c r="D46" s="498"/>
      <c r="E46" s="498"/>
      <c r="F46" s="498"/>
      <c r="G46" s="498"/>
      <c r="H46" s="498"/>
      <c r="I46" s="498"/>
      <c r="J46" s="498"/>
      <c r="K46" s="498"/>
      <c r="L46" s="498"/>
      <c r="M46" s="498"/>
      <c r="N46" s="498"/>
    </row>
  </sheetData>
  <mergeCells count="23">
    <mergeCell ref="A1:K1"/>
    <mergeCell ref="A2:K2"/>
    <mergeCell ref="J3:J5"/>
    <mergeCell ref="A32:J32"/>
    <mergeCell ref="C3:F3"/>
    <mergeCell ref="H3:H4"/>
    <mergeCell ref="K3:K5"/>
    <mergeCell ref="G3:G5"/>
    <mergeCell ref="I3:I5"/>
    <mergeCell ref="C4:C5"/>
    <mergeCell ref="E4:E5"/>
    <mergeCell ref="F4:F5"/>
    <mergeCell ref="B3:B5"/>
    <mergeCell ref="A3:A5"/>
    <mergeCell ref="B45:N45"/>
    <mergeCell ref="B46:N46"/>
    <mergeCell ref="L3:L5"/>
    <mergeCell ref="M3:M5"/>
    <mergeCell ref="N3:N5"/>
    <mergeCell ref="B34:J34"/>
    <mergeCell ref="A33:J33"/>
    <mergeCell ref="L34:N34"/>
    <mergeCell ref="A39:K39"/>
  </mergeCells>
  <phoneticPr fontId="0" type="noConversion"/>
  <printOptions gridLines="1"/>
  <pageMargins left="0.47244094488188981" right="0.31496062992125984" top="0.74803149606299213" bottom="0.39370078740157483" header="0.51181102362204722" footer="0.27559055118110237"/>
  <pageSetup paperSize="9" scale="5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zoomScaleNormal="100" workbookViewId="0">
      <pane xSplit="2" ySplit="6" topLeftCell="D7" activePane="bottomRight" state="frozen"/>
      <selection pane="topRight" activeCell="C1" sqref="C1"/>
      <selection pane="bottomLeft" activeCell="A7" sqref="A7"/>
      <selection pane="bottomRight" activeCell="B39" sqref="B39"/>
    </sheetView>
  </sheetViews>
  <sheetFormatPr defaultRowHeight="15.75" x14ac:dyDescent="0.2"/>
  <cols>
    <col min="1" max="1" width="5.5703125" style="144" customWidth="1"/>
    <col min="2" max="2" width="65.42578125" style="145" customWidth="1"/>
    <col min="3" max="3" width="14.7109375" style="22" customWidth="1"/>
    <col min="4" max="4" width="14" style="22" customWidth="1"/>
    <col min="5" max="5" width="15.85546875" style="22" customWidth="1"/>
    <col min="6" max="6" width="15.7109375" style="22" customWidth="1"/>
    <col min="7" max="7" width="19.140625" style="22" customWidth="1"/>
    <col min="8" max="8" width="18.7109375" style="22" customWidth="1"/>
    <col min="9" max="9" width="16.28515625" style="22" customWidth="1"/>
    <col min="10" max="10" width="17.7109375" style="22" bestFit="1" customWidth="1"/>
    <col min="11" max="11" width="13.28515625" style="22" customWidth="1"/>
    <col min="12" max="12" width="13.140625" style="22" customWidth="1"/>
    <col min="13" max="13" width="10.7109375" style="22" customWidth="1"/>
    <col min="14" max="14" width="11.7109375" style="22" customWidth="1"/>
    <col min="15" max="15" width="11.85546875" style="22" customWidth="1"/>
    <col min="16" max="16384" width="9.140625" style="22"/>
  </cols>
  <sheetData>
    <row r="1" spans="1:15" ht="19.5" thickBot="1" x14ac:dyDescent="0.25">
      <c r="A1" s="530" t="s">
        <v>738</v>
      </c>
      <c r="B1" s="531"/>
      <c r="C1" s="531"/>
      <c r="D1" s="531"/>
      <c r="E1" s="531"/>
      <c r="F1" s="531"/>
      <c r="G1" s="531"/>
      <c r="H1" s="531"/>
      <c r="I1" s="531"/>
      <c r="J1" s="531"/>
      <c r="K1" s="531"/>
    </row>
    <row r="2" spans="1:15" ht="16.5" thickBot="1" x14ac:dyDescent="0.25">
      <c r="A2" s="467" t="s">
        <v>866</v>
      </c>
      <c r="B2" s="468"/>
      <c r="C2" s="468"/>
      <c r="D2" s="468"/>
      <c r="E2" s="468"/>
      <c r="F2" s="468"/>
      <c r="G2" s="468"/>
      <c r="H2" s="468"/>
      <c r="I2" s="468"/>
      <c r="J2" s="468"/>
      <c r="K2" s="468"/>
      <c r="L2" s="229" t="s">
        <v>640</v>
      </c>
    </row>
    <row r="3" spans="1:15" x14ac:dyDescent="0.2">
      <c r="A3" s="525" t="s">
        <v>134</v>
      </c>
      <c r="B3" s="490" t="s">
        <v>623</v>
      </c>
      <c r="C3" s="520" t="s">
        <v>654</v>
      </c>
      <c r="D3" s="520"/>
      <c r="E3" s="520"/>
      <c r="F3" s="520"/>
      <c r="G3" s="520" t="s">
        <v>567</v>
      </c>
      <c r="H3" s="520" t="s">
        <v>192</v>
      </c>
      <c r="I3" s="520" t="s">
        <v>569</v>
      </c>
      <c r="J3" s="516" t="s">
        <v>570</v>
      </c>
      <c r="K3" s="532" t="s">
        <v>642</v>
      </c>
      <c r="L3" s="528" t="s">
        <v>641</v>
      </c>
      <c r="M3" s="499" t="s">
        <v>782</v>
      </c>
      <c r="N3" s="502" t="s">
        <v>784</v>
      </c>
      <c r="O3" s="505" t="s">
        <v>783</v>
      </c>
    </row>
    <row r="4" spans="1:15" x14ac:dyDescent="0.2">
      <c r="A4" s="526"/>
      <c r="B4" s="524"/>
      <c r="C4" s="521" t="s">
        <v>643</v>
      </c>
      <c r="D4" s="129" t="s">
        <v>192</v>
      </c>
      <c r="E4" s="521" t="s">
        <v>645</v>
      </c>
      <c r="F4" s="521" t="s">
        <v>646</v>
      </c>
      <c r="G4" s="521"/>
      <c r="H4" s="521"/>
      <c r="I4" s="521"/>
      <c r="J4" s="517"/>
      <c r="K4" s="532"/>
      <c r="L4" s="528"/>
      <c r="M4" s="500"/>
      <c r="N4" s="503"/>
      <c r="O4" s="506"/>
    </row>
    <row r="5" spans="1:15" s="206" customFormat="1" ht="63.75" thickBot="1" x14ac:dyDescent="0.25">
      <c r="A5" s="526"/>
      <c r="B5" s="524"/>
      <c r="C5" s="521"/>
      <c r="D5" s="5" t="s">
        <v>644</v>
      </c>
      <c r="E5" s="521"/>
      <c r="F5" s="521"/>
      <c r="G5" s="521"/>
      <c r="H5" s="129" t="s">
        <v>568</v>
      </c>
      <c r="I5" s="521"/>
      <c r="J5" s="517"/>
      <c r="K5" s="533"/>
      <c r="L5" s="529"/>
      <c r="M5" s="501"/>
      <c r="N5" s="504"/>
      <c r="O5" s="507"/>
    </row>
    <row r="6" spans="1:15" s="208" customFormat="1" x14ac:dyDescent="0.2">
      <c r="A6" s="28"/>
      <c r="B6" s="10"/>
      <c r="C6" s="129" t="s">
        <v>178</v>
      </c>
      <c r="D6" s="129" t="s">
        <v>179</v>
      </c>
      <c r="E6" s="129" t="s">
        <v>180</v>
      </c>
      <c r="F6" s="129" t="s">
        <v>120</v>
      </c>
      <c r="G6" s="129" t="s">
        <v>181</v>
      </c>
      <c r="H6" s="129" t="s">
        <v>182</v>
      </c>
      <c r="I6" s="129" t="s">
        <v>183</v>
      </c>
      <c r="J6" s="127" t="s">
        <v>121</v>
      </c>
      <c r="K6" s="230" t="s">
        <v>620</v>
      </c>
      <c r="L6" s="207" t="s">
        <v>555</v>
      </c>
    </row>
    <row r="7" spans="1:15" s="141" customFormat="1" x14ac:dyDescent="0.2">
      <c r="A7" s="7">
        <v>1</v>
      </c>
      <c r="B7" s="10" t="s">
        <v>175</v>
      </c>
      <c r="C7" s="152">
        <f>SUM(C8:C12)</f>
        <v>293.7</v>
      </c>
      <c r="D7" s="152">
        <f>SUM(D8:D12)</f>
        <v>293.54000000000002</v>
      </c>
      <c r="E7" s="152">
        <f>SUM(E8:E12)</f>
        <v>42.63</v>
      </c>
      <c r="F7" s="152">
        <f t="shared" ref="F7:F21" si="0">C7+E7</f>
        <v>336.33</v>
      </c>
      <c r="G7" s="152">
        <f>SUM(G8:G12)</f>
        <v>4549340.66</v>
      </c>
      <c r="H7" s="152">
        <f>SUM(H8:H12)</f>
        <v>4545071.25</v>
      </c>
      <c r="I7" s="152">
        <f>SUM(I8:I12)</f>
        <v>2126260.96</v>
      </c>
      <c r="J7" s="209">
        <f t="shared" ref="J7:J13" si="1">G7+I7</f>
        <v>6675601.6200000001</v>
      </c>
      <c r="K7" s="124">
        <f>IF(F7=0,0,J7/F7/12)</f>
        <v>1654.0306692831446</v>
      </c>
      <c r="L7" s="231">
        <f>IF('T6-Zamestnanci_a_mzdy'!F7-'T6a-Zamestnanci_a_mzdy (ženy)'!F7=0,0,('T6-Zamestnanci_a_mzdy'!J7-'T6a-Zamestnanci_a_mzdy (ženy)'!J7)/('T6-Zamestnanci_a_mzdy'!F7-'T6a-Zamestnanci_a_mzdy (ženy)'!F7)/12)</f>
        <v>1925.8333255468688</v>
      </c>
      <c r="M7" s="232">
        <v>1061.2470000000001</v>
      </c>
      <c r="N7" s="232">
        <v>1323.009</v>
      </c>
      <c r="O7" s="232">
        <v>1934.1790000000001</v>
      </c>
    </row>
    <row r="8" spans="1:15" ht="15.75" customHeight="1" x14ac:dyDescent="0.2">
      <c r="A8" s="7">
        <v>2</v>
      </c>
      <c r="B8" s="9" t="s">
        <v>621</v>
      </c>
      <c r="C8" s="210">
        <v>18.3</v>
      </c>
      <c r="D8" s="210">
        <v>18.34</v>
      </c>
      <c r="E8" s="210">
        <v>8.16</v>
      </c>
      <c r="F8" s="152">
        <f t="shared" si="0"/>
        <v>26.46</v>
      </c>
      <c r="G8" s="210">
        <v>506033.69</v>
      </c>
      <c r="H8" s="210">
        <v>506033.69</v>
      </c>
      <c r="I8" s="210">
        <v>447878.82</v>
      </c>
      <c r="J8" s="209">
        <f t="shared" si="1"/>
        <v>953912.51</v>
      </c>
      <c r="K8" s="124">
        <f t="shared" ref="K8:K30" si="2">IF(F8=0,0,J8/F8/12)</f>
        <v>3004.2596056941293</v>
      </c>
      <c r="L8" s="231">
        <f>IF('T6-Zamestnanci_a_mzdy'!F8-'T6a-Zamestnanci_a_mzdy (ženy)'!F8=0,0,('T6-Zamestnanci_a_mzdy'!J8-'T6a-Zamestnanci_a_mzdy (ženy)'!J8)/('T6-Zamestnanci_a_mzdy'!F8-'T6a-Zamestnanci_a_mzdy (ženy)'!F8)/12)</f>
        <v>2692.9006576670131</v>
      </c>
      <c r="M8" s="233">
        <v>2273.261</v>
      </c>
      <c r="N8" s="233">
        <v>2961.73</v>
      </c>
      <c r="O8" s="233">
        <v>3731.4850000000001</v>
      </c>
    </row>
    <row r="9" spans="1:15" x14ac:dyDescent="0.2">
      <c r="A9" s="7">
        <v>3</v>
      </c>
      <c r="B9" s="9" t="s">
        <v>144</v>
      </c>
      <c r="C9" s="210">
        <v>62.03</v>
      </c>
      <c r="D9" s="210">
        <v>61.99</v>
      </c>
      <c r="E9" s="210">
        <v>7.67</v>
      </c>
      <c r="F9" s="152">
        <f t="shared" si="0"/>
        <v>69.7</v>
      </c>
      <c r="G9" s="210">
        <v>1232903.57</v>
      </c>
      <c r="H9" s="210">
        <v>1231458.06</v>
      </c>
      <c r="I9" s="210">
        <v>411962.89</v>
      </c>
      <c r="J9" s="209">
        <f t="shared" si="1"/>
        <v>1644866.46</v>
      </c>
      <c r="K9" s="124">
        <f t="shared" si="2"/>
        <v>1966.6026542324246</v>
      </c>
      <c r="L9" s="231">
        <f>IF('T6-Zamestnanci_a_mzdy'!F9-'T6a-Zamestnanci_a_mzdy (ženy)'!F9=0,0,('T6-Zamestnanci_a_mzdy'!J9-'T6a-Zamestnanci_a_mzdy (ženy)'!J9)/('T6-Zamestnanci_a_mzdy'!F9-'T6a-Zamestnanci_a_mzdy (ženy)'!F9)/12)</f>
        <v>1956.7263382816011</v>
      </c>
      <c r="M9" s="233">
        <v>1328.184</v>
      </c>
      <c r="N9" s="233">
        <v>1726.607</v>
      </c>
      <c r="O9" s="233">
        <v>2317.62</v>
      </c>
    </row>
    <row r="10" spans="1:15" x14ac:dyDescent="0.2">
      <c r="A10" s="7">
        <v>4</v>
      </c>
      <c r="B10" s="9" t="s">
        <v>145</v>
      </c>
      <c r="C10" s="210">
        <v>166.7</v>
      </c>
      <c r="D10" s="210">
        <v>166.54</v>
      </c>
      <c r="E10" s="210">
        <v>18.5</v>
      </c>
      <c r="F10" s="152">
        <f t="shared" si="0"/>
        <v>185.2</v>
      </c>
      <c r="G10" s="210">
        <v>2343323.2400000002</v>
      </c>
      <c r="H10" s="210">
        <v>2340499.34</v>
      </c>
      <c r="I10" s="210">
        <v>952883.12</v>
      </c>
      <c r="J10" s="209">
        <f t="shared" si="1"/>
        <v>3296206.3600000003</v>
      </c>
      <c r="K10" s="124">
        <f t="shared" si="2"/>
        <v>1483.1742080633551</v>
      </c>
      <c r="L10" s="231">
        <f>IF('T6-Zamestnanci_a_mzdy'!F10-'T6a-Zamestnanci_a_mzdy (ženy)'!F10=0,0,('T6-Zamestnanci_a_mzdy'!J10-'T6a-Zamestnanci_a_mzdy (ženy)'!J10)/('T6-Zamestnanci_a_mzdy'!F10-'T6a-Zamestnanci_a_mzdy (ženy)'!F10)/12)</f>
        <v>1603.4569285874184</v>
      </c>
      <c r="M10" s="233">
        <v>1014.832</v>
      </c>
      <c r="N10" s="233">
        <v>1271.7370000000001</v>
      </c>
      <c r="O10" s="233">
        <v>1769.0830000000001</v>
      </c>
    </row>
    <row r="11" spans="1:15" x14ac:dyDescent="0.2">
      <c r="A11" s="7">
        <v>5</v>
      </c>
      <c r="B11" s="9" t="s">
        <v>146</v>
      </c>
      <c r="C11" s="210">
        <v>41.82</v>
      </c>
      <c r="D11" s="210">
        <v>41.82</v>
      </c>
      <c r="E11" s="210">
        <v>2.38</v>
      </c>
      <c r="F11" s="152">
        <f t="shared" si="0"/>
        <v>44.2</v>
      </c>
      <c r="G11" s="210">
        <v>412678.5</v>
      </c>
      <c r="H11" s="210">
        <v>412678.5</v>
      </c>
      <c r="I11" s="210">
        <v>240588.58</v>
      </c>
      <c r="J11" s="209">
        <f t="shared" si="1"/>
        <v>653267.07999999996</v>
      </c>
      <c r="K11" s="124">
        <f t="shared" si="2"/>
        <v>1231.6498491704372</v>
      </c>
      <c r="L11" s="231">
        <f>IF('T6-Zamestnanci_a_mzdy'!F11-'T6a-Zamestnanci_a_mzdy (ženy)'!F11=0,0,('T6-Zamestnanci_a_mzdy'!J11-'T6a-Zamestnanci_a_mzdy (ženy)'!J11)/('T6-Zamestnanci_a_mzdy'!F11-'T6a-Zamestnanci_a_mzdy (ženy)'!F11)/12)</f>
        <v>1380.432855626327</v>
      </c>
      <c r="M11" s="233">
        <v>1028.558</v>
      </c>
      <c r="N11" s="233">
        <v>1173.086</v>
      </c>
      <c r="O11" s="233">
        <v>1391.626</v>
      </c>
    </row>
    <row r="12" spans="1:15" x14ac:dyDescent="0.2">
      <c r="A12" s="7">
        <v>6</v>
      </c>
      <c r="B12" s="9" t="s">
        <v>147</v>
      </c>
      <c r="C12" s="210">
        <v>4.8499999999999996</v>
      </c>
      <c r="D12" s="210">
        <v>4.8499999999999996</v>
      </c>
      <c r="E12" s="210">
        <v>5.92</v>
      </c>
      <c r="F12" s="152">
        <f t="shared" si="0"/>
        <v>10.77</v>
      </c>
      <c r="G12" s="210">
        <v>54401.66</v>
      </c>
      <c r="H12" s="210">
        <v>54401.66</v>
      </c>
      <c r="I12" s="210">
        <v>72947.55</v>
      </c>
      <c r="J12" s="209">
        <f t="shared" si="1"/>
        <v>127349.21</v>
      </c>
      <c r="K12" s="124">
        <f t="shared" si="2"/>
        <v>985.36993190962551</v>
      </c>
      <c r="L12" s="231">
        <f>IF('T6-Zamestnanci_a_mzdy'!F12-'T6a-Zamestnanci_a_mzdy (ženy)'!F12=0,0,('T6-Zamestnanci_a_mzdy'!J12-'T6a-Zamestnanci_a_mzdy (ženy)'!J12)/('T6-Zamestnanci_a_mzdy'!F12-'T6a-Zamestnanci_a_mzdy (ženy)'!F12)/12)</f>
        <v>1021.6294559099433</v>
      </c>
      <c r="M12" s="233">
        <v>870.58799999999997</v>
      </c>
      <c r="N12" s="233">
        <v>903.76199999999994</v>
      </c>
      <c r="O12" s="233">
        <v>1114.684</v>
      </c>
    </row>
    <row r="13" spans="1:15" x14ac:dyDescent="0.2">
      <c r="A13" s="7">
        <v>7</v>
      </c>
      <c r="B13" s="10" t="s">
        <v>29</v>
      </c>
      <c r="C13" s="210">
        <v>115.13</v>
      </c>
      <c r="D13" s="210">
        <v>109.13</v>
      </c>
      <c r="E13" s="210">
        <v>17.75</v>
      </c>
      <c r="F13" s="152">
        <f t="shared" si="0"/>
        <v>132.88</v>
      </c>
      <c r="G13" s="210">
        <v>1113825.17</v>
      </c>
      <c r="H13" s="210">
        <v>1020181.21</v>
      </c>
      <c r="I13" s="210">
        <v>260758.23</v>
      </c>
      <c r="J13" s="209">
        <f t="shared" si="1"/>
        <v>1374583.4</v>
      </c>
      <c r="K13" s="124">
        <f t="shared" si="2"/>
        <v>862.04557997190443</v>
      </c>
      <c r="L13" s="231">
        <f>IF('T6-Zamestnanci_a_mzdy'!F13-'T6a-Zamestnanci_a_mzdy (ženy)'!F13=0,0,('T6-Zamestnanci_a_mzdy'!J13-'T6a-Zamestnanci_a_mzdy (ženy)'!J13)/('T6-Zamestnanci_a_mzdy'!F13-'T6a-Zamestnanci_a_mzdy (ženy)'!F13)/12)</f>
        <v>1231.5716607159202</v>
      </c>
      <c r="M13" s="233">
        <v>678.399</v>
      </c>
      <c r="N13" s="233">
        <v>827.70799999999997</v>
      </c>
      <c r="O13" s="233" t="s">
        <v>871</v>
      </c>
    </row>
    <row r="14" spans="1:15" x14ac:dyDescent="0.2">
      <c r="A14" s="7"/>
      <c r="B14" s="9" t="s">
        <v>192</v>
      </c>
      <c r="C14" s="210"/>
      <c r="D14" s="210"/>
      <c r="E14" s="210"/>
      <c r="F14" s="152">
        <f t="shared" si="0"/>
        <v>0</v>
      </c>
      <c r="G14" s="210"/>
      <c r="H14" s="210"/>
      <c r="I14" s="210"/>
      <c r="J14" s="209"/>
      <c r="K14" s="209"/>
      <c r="L14" s="231"/>
      <c r="M14" s="234"/>
      <c r="N14" s="234"/>
      <c r="O14" s="234"/>
    </row>
    <row r="15" spans="1:15" x14ac:dyDescent="0.2">
      <c r="A15" s="7">
        <v>8</v>
      </c>
      <c r="B15" s="9" t="s">
        <v>33</v>
      </c>
      <c r="C15" s="210">
        <v>12.45</v>
      </c>
      <c r="D15" s="210">
        <v>12.46</v>
      </c>
      <c r="E15" s="210">
        <v>1.92</v>
      </c>
      <c r="F15" s="152">
        <f t="shared" si="0"/>
        <v>14.37</v>
      </c>
      <c r="G15" s="210">
        <v>138344.15</v>
      </c>
      <c r="H15" s="210">
        <v>138344.15</v>
      </c>
      <c r="I15" s="210">
        <v>31479.57</v>
      </c>
      <c r="J15" s="209">
        <f t="shared" ref="J15:J21" si="3">G15+I15</f>
        <v>169823.72</v>
      </c>
      <c r="K15" s="124">
        <f t="shared" si="2"/>
        <v>984.82788216191148</v>
      </c>
      <c r="L15" s="231">
        <f>IF('T6-Zamestnanci_a_mzdy'!F15-'T6a-Zamestnanci_a_mzdy (ženy)'!F15=0,0,('T6-Zamestnanci_a_mzdy'!J15-'T6a-Zamestnanci_a_mzdy (ženy)'!J15)/('T6-Zamestnanci_a_mzdy'!F15-'T6a-Zamestnanci_a_mzdy (ženy)'!F15)/12)</f>
        <v>1352.1575148598924</v>
      </c>
      <c r="M15" s="233">
        <v>824.10699999999997</v>
      </c>
      <c r="N15" s="233">
        <v>911.97299999999996</v>
      </c>
      <c r="O15" s="233">
        <v>1090.0150000000001</v>
      </c>
    </row>
    <row r="16" spans="1:15" x14ac:dyDescent="0.2">
      <c r="A16" s="7">
        <v>9</v>
      </c>
      <c r="B16" s="10" t="s">
        <v>176</v>
      </c>
      <c r="C16" s="152">
        <f>SUM(C17:C19)</f>
        <v>188.17000000000002</v>
      </c>
      <c r="D16" s="152">
        <f>SUM(D17:D19)</f>
        <v>186.62000000000003</v>
      </c>
      <c r="E16" s="152">
        <f>SUM(E17:E19)</f>
        <v>24.58</v>
      </c>
      <c r="F16" s="152">
        <f t="shared" si="0"/>
        <v>212.75</v>
      </c>
      <c r="G16" s="152">
        <f>SUM(G17:G19)</f>
        <v>1986222.5899999999</v>
      </c>
      <c r="H16" s="152">
        <f>SUM(H17:H19)</f>
        <v>1958203.79</v>
      </c>
      <c r="I16" s="152">
        <f>SUM(I17:I19)</f>
        <v>487643.89</v>
      </c>
      <c r="J16" s="209">
        <f t="shared" si="3"/>
        <v>2473866.48</v>
      </c>
      <c r="K16" s="124">
        <f t="shared" si="2"/>
        <v>969.00371327849587</v>
      </c>
      <c r="L16" s="231">
        <f>IF('T6-Zamestnanci_a_mzdy'!F16-'T6a-Zamestnanci_a_mzdy (ženy)'!F16=0,0,('T6-Zamestnanci_a_mzdy'!J16-'T6a-Zamestnanci_a_mzdy (ženy)'!J16)/('T6-Zamestnanci_a_mzdy'!F16-'T6a-Zamestnanci_a_mzdy (ženy)'!F16)/12)</f>
        <v>1244.3655202821872</v>
      </c>
      <c r="M16" s="233">
        <v>723.48599999999999</v>
      </c>
      <c r="N16" s="233">
        <v>868.34</v>
      </c>
      <c r="O16" s="233">
        <v>1090.0150000000001</v>
      </c>
    </row>
    <row r="17" spans="1:15" x14ac:dyDescent="0.2">
      <c r="A17" s="7">
        <v>10</v>
      </c>
      <c r="B17" s="9" t="s">
        <v>148</v>
      </c>
      <c r="C17" s="210">
        <v>70.14</v>
      </c>
      <c r="D17" s="210">
        <v>68.59</v>
      </c>
      <c r="E17" s="210">
        <v>2.59</v>
      </c>
      <c r="F17" s="152">
        <f t="shared" si="0"/>
        <v>72.73</v>
      </c>
      <c r="G17" s="210">
        <v>811598.07</v>
      </c>
      <c r="H17" s="210">
        <v>786177.49</v>
      </c>
      <c r="I17" s="210">
        <v>37521.64</v>
      </c>
      <c r="J17" s="209">
        <f t="shared" si="3"/>
        <v>849119.71</v>
      </c>
      <c r="K17" s="124">
        <f t="shared" si="2"/>
        <v>972.91318346395337</v>
      </c>
      <c r="L17" s="231">
        <f>IF('T6-Zamestnanci_a_mzdy'!F17-'T6a-Zamestnanci_a_mzdy (ženy)'!F17=0,0,('T6-Zamestnanci_a_mzdy'!J17-'T6a-Zamestnanci_a_mzdy (ženy)'!J17)/('T6-Zamestnanci_a_mzdy'!F17-'T6a-Zamestnanci_a_mzdy (ženy)'!F17)/12)</f>
        <v>1377.4894723490645</v>
      </c>
      <c r="M17" s="233">
        <v>758.38800000000003</v>
      </c>
      <c r="N17" s="233">
        <v>907.49099999999999</v>
      </c>
      <c r="O17" s="233">
        <v>1145.8309999999999</v>
      </c>
    </row>
    <row r="18" spans="1:15" x14ac:dyDescent="0.2">
      <c r="A18" s="7">
        <v>11</v>
      </c>
      <c r="B18" s="9" t="s">
        <v>122</v>
      </c>
      <c r="C18" s="210">
        <v>71.760000000000005</v>
      </c>
      <c r="D18" s="210">
        <v>71.760000000000005</v>
      </c>
      <c r="E18" s="210">
        <v>12.53</v>
      </c>
      <c r="F18" s="152">
        <f t="shared" si="0"/>
        <v>84.29</v>
      </c>
      <c r="G18" s="210">
        <v>800425.52</v>
      </c>
      <c r="H18" s="210">
        <v>798655.78</v>
      </c>
      <c r="I18" s="210">
        <v>294450.84999999998</v>
      </c>
      <c r="J18" s="209">
        <f t="shared" si="3"/>
        <v>1094876.3700000001</v>
      </c>
      <c r="K18" s="124">
        <f t="shared" si="2"/>
        <v>1082.449845770554</v>
      </c>
      <c r="L18" s="231">
        <f>IF('T6-Zamestnanci_a_mzdy'!F18-'T6a-Zamestnanci_a_mzdy (ženy)'!F18=0,0,('T6-Zamestnanci_a_mzdy'!J18-'T6a-Zamestnanci_a_mzdy (ženy)'!J18)/('T6-Zamestnanci_a_mzdy'!F18-'T6a-Zamestnanci_a_mzdy (ženy)'!F18)/12)</f>
        <v>964.10972716488538</v>
      </c>
      <c r="M18" s="234">
        <v>0</v>
      </c>
      <c r="N18" s="234">
        <v>0</v>
      </c>
      <c r="O18" s="234">
        <v>0</v>
      </c>
    </row>
    <row r="19" spans="1:15" x14ac:dyDescent="0.2">
      <c r="A19" s="7">
        <v>12</v>
      </c>
      <c r="B19" s="9" t="s">
        <v>104</v>
      </c>
      <c r="C19" s="210">
        <v>46.27</v>
      </c>
      <c r="D19" s="210">
        <v>46.27</v>
      </c>
      <c r="E19" s="210">
        <v>9.4600000000000009</v>
      </c>
      <c r="F19" s="152">
        <f t="shared" si="0"/>
        <v>55.730000000000004</v>
      </c>
      <c r="G19" s="210">
        <v>374199</v>
      </c>
      <c r="H19" s="210">
        <v>373370.52</v>
      </c>
      <c r="I19" s="210">
        <v>155671.4</v>
      </c>
      <c r="J19" s="209">
        <f t="shared" si="3"/>
        <v>529870.4</v>
      </c>
      <c r="K19" s="124">
        <f t="shared" si="2"/>
        <v>792.31772235181518</v>
      </c>
      <c r="L19" s="231">
        <f>IF('T6-Zamestnanci_a_mzdy'!F19-'T6a-Zamestnanci_a_mzdy (ženy)'!F19=0,0,('T6-Zamestnanci_a_mzdy'!J19-'T6a-Zamestnanci_a_mzdy (ženy)'!J19)/('T6-Zamestnanci_a_mzdy'!F19-'T6a-Zamestnanci_a_mzdy (ženy)'!F19)/12)</f>
        <v>0</v>
      </c>
      <c r="M19" s="233">
        <v>675.59699999999998</v>
      </c>
      <c r="N19" s="233">
        <v>804.54399999999998</v>
      </c>
      <c r="O19" s="233">
        <v>890.86699999999996</v>
      </c>
    </row>
    <row r="20" spans="1:15" x14ac:dyDescent="0.2">
      <c r="A20" s="7">
        <v>13</v>
      </c>
      <c r="B20" s="10" t="s">
        <v>173</v>
      </c>
      <c r="C20" s="210">
        <v>52.59</v>
      </c>
      <c r="D20" s="210">
        <v>52.19</v>
      </c>
      <c r="E20" s="210">
        <v>13.66</v>
      </c>
      <c r="F20" s="152">
        <f t="shared" si="0"/>
        <v>66.25</v>
      </c>
      <c r="G20" s="210">
        <v>752935.05</v>
      </c>
      <c r="H20" s="210">
        <v>747591.44</v>
      </c>
      <c r="I20" s="210">
        <v>431551.57</v>
      </c>
      <c r="J20" s="209">
        <f t="shared" si="3"/>
        <v>1184486.6200000001</v>
      </c>
      <c r="K20" s="124">
        <f t="shared" si="2"/>
        <v>1489.9202767295599</v>
      </c>
      <c r="L20" s="231">
        <f>IF('T6-Zamestnanci_a_mzdy'!F20-'T6a-Zamestnanci_a_mzdy (ženy)'!F20=0,0,('T6-Zamestnanci_a_mzdy'!J20-'T6a-Zamestnanci_a_mzdy (ženy)'!J20)/('T6-Zamestnanci_a_mzdy'!F20-'T6a-Zamestnanci_a_mzdy (ženy)'!F20)/12)</f>
        <v>1612.0798267672535</v>
      </c>
      <c r="M20" s="233">
        <v>893.74099999999999</v>
      </c>
      <c r="N20" s="233">
        <v>1112.998</v>
      </c>
      <c r="O20" s="233">
        <v>1747.0170000000001</v>
      </c>
    </row>
    <row r="21" spans="1:15" ht="31.5" x14ac:dyDescent="0.2">
      <c r="A21" s="7">
        <v>14</v>
      </c>
      <c r="B21" s="10" t="s">
        <v>30</v>
      </c>
      <c r="C21" s="210">
        <v>76.41</v>
      </c>
      <c r="D21" s="210">
        <v>76.41</v>
      </c>
      <c r="E21" s="210">
        <v>12.31</v>
      </c>
      <c r="F21" s="152">
        <f t="shared" si="0"/>
        <v>88.72</v>
      </c>
      <c r="G21" s="210">
        <v>443405.55</v>
      </c>
      <c r="H21" s="210">
        <v>443405.55</v>
      </c>
      <c r="I21" s="210">
        <v>132851.76</v>
      </c>
      <c r="J21" s="209">
        <f t="shared" si="3"/>
        <v>576257.31000000006</v>
      </c>
      <c r="K21" s="124">
        <f t="shared" si="2"/>
        <v>541.26964044183956</v>
      </c>
      <c r="L21" s="231">
        <f>IF('T6-Zamestnanci_a_mzdy'!F21-'T6a-Zamestnanci_a_mzdy (ženy)'!F21=0,0,('T6-Zamestnanci_a_mzdy'!J21-'T6a-Zamestnanci_a_mzdy (ženy)'!J21)/('T6-Zamestnanci_a_mzdy'!F21-'T6a-Zamestnanci_a_mzdy (ženy)'!F21)/12)</f>
        <v>749.19336387303485</v>
      </c>
      <c r="M21" s="233">
        <v>443.62700000000001</v>
      </c>
      <c r="N21" s="233">
        <v>481.495</v>
      </c>
      <c r="O21" s="233">
        <v>581.60299999999995</v>
      </c>
    </row>
    <row r="22" spans="1:15" ht="47.25" x14ac:dyDescent="0.2">
      <c r="A22" s="7">
        <v>15</v>
      </c>
      <c r="B22" s="10" t="s">
        <v>207</v>
      </c>
      <c r="C22" s="152">
        <f>SUM(C23:C26)</f>
        <v>16.55</v>
      </c>
      <c r="D22" s="152">
        <f>SUM(D23:D26)</f>
        <v>16.55</v>
      </c>
      <c r="E22" s="152">
        <f>SUM(E23:E26)</f>
        <v>3.78</v>
      </c>
      <c r="F22" s="152">
        <f>SUM(F27:F27)</f>
        <v>0</v>
      </c>
      <c r="G22" s="152">
        <f>SUM(G23:G26)</f>
        <v>127309.01</v>
      </c>
      <c r="H22" s="152">
        <f>SUM(H23:H26)</f>
        <v>127309.01</v>
      </c>
      <c r="I22" s="152">
        <f>SUM(I23:I26)</f>
        <v>20916.86</v>
      </c>
      <c r="J22" s="209">
        <f>SUM(J23:J26)</f>
        <v>148225.87</v>
      </c>
      <c r="K22" s="124">
        <f t="shared" si="2"/>
        <v>0</v>
      </c>
      <c r="L22" s="231">
        <f>IF('T6-Zamestnanci_a_mzdy'!F22-'T6a-Zamestnanci_a_mzdy (ženy)'!F22=0,0,('T6-Zamestnanci_a_mzdy'!J22-'T6a-Zamestnanci_a_mzdy (ženy)'!J22)/('T6-Zamestnanci_a_mzdy'!F22-'T6a-Zamestnanci_a_mzdy (ženy)'!F22)/12)</f>
        <v>0</v>
      </c>
      <c r="M22" s="7" t="s">
        <v>200</v>
      </c>
      <c r="N22" s="7" t="s">
        <v>200</v>
      </c>
      <c r="O22" s="7" t="s">
        <v>200</v>
      </c>
    </row>
    <row r="23" spans="1:15" x14ac:dyDescent="0.2">
      <c r="A23" s="7" t="s">
        <v>174</v>
      </c>
      <c r="B23" s="9" t="s">
        <v>837</v>
      </c>
      <c r="C23" s="210">
        <v>16.55</v>
      </c>
      <c r="D23" s="210">
        <v>16.55</v>
      </c>
      <c r="E23" s="210">
        <v>3.78</v>
      </c>
      <c r="F23" s="152">
        <f t="shared" ref="F23:F29" si="4">C23+E23</f>
        <v>20.330000000000002</v>
      </c>
      <c r="G23" s="210">
        <v>127309.01</v>
      </c>
      <c r="H23" s="210">
        <v>127309.01</v>
      </c>
      <c r="I23" s="210">
        <v>20916.86</v>
      </c>
      <c r="J23" s="209">
        <f>G23+I23</f>
        <v>148225.87</v>
      </c>
      <c r="K23" s="124">
        <f t="shared" si="2"/>
        <v>607.58267748811272</v>
      </c>
      <c r="L23" s="231">
        <f>IF('T6-Zamestnanci_a_mzdy'!F23-'T6a-Zamestnanci_a_mzdy (ženy)'!F23=0,0,('T6-Zamestnanci_a_mzdy'!J23-'T6a-Zamestnanci_a_mzdy (ženy)'!J23)/('T6-Zamestnanci_a_mzdy'!F23-'T6a-Zamestnanci_a_mzdy (ženy)'!F23)/12)</f>
        <v>808.96905355143929</v>
      </c>
      <c r="M23" s="7" t="s">
        <v>200</v>
      </c>
      <c r="N23" s="7" t="s">
        <v>200</v>
      </c>
      <c r="O23" s="7" t="s">
        <v>200</v>
      </c>
    </row>
    <row r="24" spans="1:15" x14ac:dyDescent="0.2">
      <c r="A24" s="7" t="s">
        <v>260</v>
      </c>
      <c r="B24" s="9"/>
      <c r="C24" s="210"/>
      <c r="D24" s="210"/>
      <c r="E24" s="210"/>
      <c r="F24" s="152">
        <f t="shared" si="4"/>
        <v>0</v>
      </c>
      <c r="G24" s="210"/>
      <c r="H24" s="210"/>
      <c r="I24" s="210"/>
      <c r="J24" s="209">
        <f>G24+I24</f>
        <v>0</v>
      </c>
      <c r="K24" s="124">
        <f t="shared" si="2"/>
        <v>0</v>
      </c>
      <c r="L24" s="231">
        <f>IF('T6-Zamestnanci_a_mzdy'!F24-'T6a-Zamestnanci_a_mzdy (ženy)'!F24=0,0,('T6-Zamestnanci_a_mzdy'!J24-'T6a-Zamestnanci_a_mzdy (ženy)'!J24)/('T6-Zamestnanci_a_mzdy'!F24-'T6a-Zamestnanci_a_mzdy (ženy)'!F24)/12)</f>
        <v>0</v>
      </c>
      <c r="M24" s="7" t="s">
        <v>200</v>
      </c>
      <c r="N24" s="7" t="s">
        <v>200</v>
      </c>
      <c r="O24" s="7" t="s">
        <v>200</v>
      </c>
    </row>
    <row r="25" spans="1:15" x14ac:dyDescent="0.2">
      <c r="A25" s="7" t="s">
        <v>261</v>
      </c>
      <c r="B25" s="9"/>
      <c r="C25" s="210"/>
      <c r="D25" s="210"/>
      <c r="E25" s="210"/>
      <c r="F25" s="152">
        <f t="shared" si="4"/>
        <v>0</v>
      </c>
      <c r="G25" s="210"/>
      <c r="H25" s="210"/>
      <c r="I25" s="210"/>
      <c r="J25" s="209">
        <f>G25+I25</f>
        <v>0</v>
      </c>
      <c r="K25" s="124">
        <f t="shared" si="2"/>
        <v>0</v>
      </c>
      <c r="L25" s="231">
        <f>IF('T6-Zamestnanci_a_mzdy'!F25-'T6a-Zamestnanci_a_mzdy (ženy)'!F25=0,0,('T6-Zamestnanci_a_mzdy'!J25-'T6a-Zamestnanci_a_mzdy (ženy)'!J25)/('T6-Zamestnanci_a_mzdy'!F25-'T6a-Zamestnanci_a_mzdy (ženy)'!F25)/12)</f>
        <v>0</v>
      </c>
      <c r="M25" s="7" t="s">
        <v>200</v>
      </c>
      <c r="N25" s="7" t="s">
        <v>200</v>
      </c>
      <c r="O25" s="7" t="s">
        <v>200</v>
      </c>
    </row>
    <row r="26" spans="1:15" x14ac:dyDescent="0.2">
      <c r="A26" s="7" t="s">
        <v>262</v>
      </c>
      <c r="B26" s="9"/>
      <c r="C26" s="210"/>
      <c r="D26" s="210"/>
      <c r="E26" s="210"/>
      <c r="F26" s="152">
        <f t="shared" si="4"/>
        <v>0</v>
      </c>
      <c r="G26" s="210"/>
      <c r="H26" s="210"/>
      <c r="I26" s="210"/>
      <c r="J26" s="209">
        <f>G26+I26</f>
        <v>0</v>
      </c>
      <c r="K26" s="124">
        <f t="shared" si="2"/>
        <v>0</v>
      </c>
      <c r="L26" s="231">
        <f>IF('T6-Zamestnanci_a_mzdy'!F26-'T6a-Zamestnanci_a_mzdy (ženy)'!F26=0,0,('T6-Zamestnanci_a_mzdy'!J26-'T6a-Zamestnanci_a_mzdy (ženy)'!J26)/('T6-Zamestnanci_a_mzdy'!F26-'T6a-Zamestnanci_a_mzdy (ženy)'!F26)/12)</f>
        <v>0</v>
      </c>
      <c r="M26" s="7" t="s">
        <v>200</v>
      </c>
      <c r="N26" s="7" t="s">
        <v>200</v>
      </c>
      <c r="O26" s="7" t="s">
        <v>200</v>
      </c>
    </row>
    <row r="27" spans="1:15" x14ac:dyDescent="0.2">
      <c r="A27" s="7"/>
      <c r="B27" s="9"/>
      <c r="C27" s="210"/>
      <c r="D27" s="210"/>
      <c r="E27" s="210"/>
      <c r="F27" s="152">
        <f t="shared" si="4"/>
        <v>0</v>
      </c>
      <c r="G27" s="210"/>
      <c r="H27" s="210"/>
      <c r="I27" s="210"/>
      <c r="J27" s="209"/>
      <c r="K27" s="209"/>
      <c r="L27" s="231"/>
      <c r="M27" s="211"/>
      <c r="N27" s="212"/>
      <c r="O27" s="213"/>
    </row>
    <row r="28" spans="1:15" x14ac:dyDescent="0.2">
      <c r="A28" s="7">
        <v>16</v>
      </c>
      <c r="B28" s="10" t="s">
        <v>31</v>
      </c>
      <c r="C28" s="210">
        <v>30.88</v>
      </c>
      <c r="D28" s="210">
        <v>30.88</v>
      </c>
      <c r="E28" s="210">
        <v>8.9600000000000009</v>
      </c>
      <c r="F28" s="152">
        <f t="shared" si="4"/>
        <v>39.840000000000003</v>
      </c>
      <c r="G28" s="210">
        <v>220853.97</v>
      </c>
      <c r="H28" s="210">
        <v>220853.97</v>
      </c>
      <c r="I28" s="210">
        <v>102084.62</v>
      </c>
      <c r="J28" s="209">
        <f>G28+I28</f>
        <v>322938.58999999997</v>
      </c>
      <c r="K28" s="124">
        <f t="shared" si="2"/>
        <v>675.49069193440414</v>
      </c>
      <c r="L28" s="231">
        <f>IF('T6-Zamestnanci_a_mzdy'!F28-'T6a-Zamestnanci_a_mzdy (ženy)'!F28=0,0,('T6-Zamestnanci_a_mzdy'!J28-'T6a-Zamestnanci_a_mzdy (ženy)'!J28)/('T6-Zamestnanci_a_mzdy'!F28-'T6a-Zamestnanci_a_mzdy (ženy)'!F28)/12)</f>
        <v>753.70368062479258</v>
      </c>
      <c r="M28" s="233">
        <v>528.02200000000005</v>
      </c>
      <c r="N28" s="233">
        <v>619.66899999999998</v>
      </c>
      <c r="O28" s="233">
        <v>833.22900000000004</v>
      </c>
    </row>
    <row r="29" spans="1:15" x14ac:dyDescent="0.2">
      <c r="A29" s="7">
        <v>17</v>
      </c>
      <c r="B29" s="10" t="s">
        <v>32</v>
      </c>
      <c r="C29" s="210"/>
      <c r="D29" s="210"/>
      <c r="E29" s="210">
        <v>37.17</v>
      </c>
      <c r="F29" s="152">
        <f t="shared" si="4"/>
        <v>37.17</v>
      </c>
      <c r="G29" s="210">
        <v>29837.24</v>
      </c>
      <c r="H29" s="210">
        <v>29837.24</v>
      </c>
      <c r="I29" s="210">
        <v>252469.96</v>
      </c>
      <c r="J29" s="209">
        <f>G29+I29</f>
        <v>282307.20000000001</v>
      </c>
      <c r="K29" s="124">
        <f t="shared" si="2"/>
        <v>632.91902071563084</v>
      </c>
      <c r="L29" s="231">
        <f>IF('T6-Zamestnanci_a_mzdy'!F29-'T6a-Zamestnanci_a_mzdy (ženy)'!F29=0,0,('T6-Zamestnanci_a_mzdy'!J29-'T6a-Zamestnanci_a_mzdy (ženy)'!J29)/('T6-Zamestnanci_a_mzdy'!F29-'T6a-Zamestnanci_a_mzdy (ženy)'!F29)/12)</f>
        <v>559.71246246246244</v>
      </c>
      <c r="M29" s="233">
        <v>439.81700000000001</v>
      </c>
      <c r="N29" s="233">
        <v>564.48900000000003</v>
      </c>
      <c r="O29" s="233">
        <v>658.87800000000004</v>
      </c>
    </row>
    <row r="30" spans="1:15" ht="16.5" thickBot="1" x14ac:dyDescent="0.25">
      <c r="A30" s="47">
        <v>18</v>
      </c>
      <c r="B30" s="11" t="s">
        <v>208</v>
      </c>
      <c r="C30" s="175">
        <f t="shared" ref="C30:J30" si="5">C7+C13+C16+C20+C21+C28+C29</f>
        <v>756.88</v>
      </c>
      <c r="D30" s="175">
        <f t="shared" si="5"/>
        <v>748.77</v>
      </c>
      <c r="E30" s="175">
        <f t="shared" si="5"/>
        <v>157.06</v>
      </c>
      <c r="F30" s="175">
        <f t="shared" si="5"/>
        <v>913.94</v>
      </c>
      <c r="G30" s="175">
        <f t="shared" si="5"/>
        <v>9096420.2300000023</v>
      </c>
      <c r="H30" s="175">
        <f t="shared" si="5"/>
        <v>8965144.4500000011</v>
      </c>
      <c r="I30" s="175">
        <f t="shared" si="5"/>
        <v>3793620.99</v>
      </c>
      <c r="J30" s="217">
        <f t="shared" si="5"/>
        <v>12890041.220000001</v>
      </c>
      <c r="K30" s="218">
        <f t="shared" si="2"/>
        <v>1175.3179658037363</v>
      </c>
      <c r="L30" s="235">
        <f>IF('T6-Zamestnanci_a_mzdy'!F30-'T6a-Zamestnanci_a_mzdy (ženy)'!F30=0,0,('T6-Zamestnanci_a_mzdy'!J30-'T6a-Zamestnanci_a_mzdy (ženy)'!J30)/('T6-Zamestnanci_a_mzdy'!F30-'T6a-Zamestnanci_a_mzdy (ženy)'!F30)/12)</f>
        <v>1596.4890814887142</v>
      </c>
      <c r="M30" s="236">
        <v>712.03700000000003</v>
      </c>
      <c r="N30" s="236">
        <v>1050.8810000000001</v>
      </c>
      <c r="O30" s="236">
        <v>1538.153</v>
      </c>
    </row>
    <row r="31" spans="1:15" x14ac:dyDescent="0.2">
      <c r="A31" s="134"/>
      <c r="B31" s="134"/>
      <c r="C31" s="221"/>
      <c r="D31" s="134"/>
      <c r="E31" s="134"/>
      <c r="F31" s="221"/>
      <c r="G31" s="221"/>
      <c r="H31" s="221"/>
      <c r="I31" s="221"/>
      <c r="J31" s="221"/>
    </row>
    <row r="32" spans="1:15" x14ac:dyDescent="0.25">
      <c r="A32" s="518" t="s">
        <v>0</v>
      </c>
      <c r="B32" s="519"/>
      <c r="C32" s="519"/>
      <c r="D32" s="519"/>
      <c r="E32" s="519"/>
      <c r="F32" s="519"/>
      <c r="G32" s="519"/>
      <c r="H32" s="519"/>
      <c r="I32" s="519"/>
      <c r="J32" s="527"/>
    </row>
    <row r="33" spans="1:15" x14ac:dyDescent="0.25">
      <c r="A33" s="509" t="s">
        <v>622</v>
      </c>
      <c r="B33" s="510"/>
      <c r="C33" s="510"/>
      <c r="D33" s="510"/>
      <c r="E33" s="510"/>
      <c r="F33" s="510"/>
      <c r="G33" s="510"/>
      <c r="H33" s="510"/>
      <c r="I33" s="510"/>
      <c r="J33" s="511"/>
      <c r="M33" s="237" t="s">
        <v>785</v>
      </c>
    </row>
    <row r="34" spans="1:15" x14ac:dyDescent="0.2">
      <c r="B34" s="508" t="s">
        <v>572</v>
      </c>
      <c r="C34" s="508"/>
      <c r="D34" s="508"/>
      <c r="E34" s="508"/>
      <c r="F34" s="508"/>
      <c r="G34" s="508"/>
      <c r="H34" s="508"/>
      <c r="I34" s="508"/>
      <c r="J34" s="508"/>
    </row>
    <row r="35" spans="1:15" ht="15.75" customHeight="1" x14ac:dyDescent="0.2">
      <c r="B35" s="226" t="s">
        <v>563</v>
      </c>
      <c r="L35" s="122"/>
      <c r="M35" s="512"/>
      <c r="N35" s="512"/>
      <c r="O35" s="512"/>
    </row>
    <row r="36" spans="1:15" x14ac:dyDescent="0.2">
      <c r="B36" s="226" t="s">
        <v>564</v>
      </c>
      <c r="M36" s="512"/>
      <c r="N36" s="512"/>
      <c r="O36" s="512"/>
    </row>
    <row r="37" spans="1:15" x14ac:dyDescent="0.2">
      <c r="B37" s="226" t="s">
        <v>565</v>
      </c>
      <c r="M37" s="512"/>
      <c r="N37" s="512"/>
      <c r="O37" s="512"/>
    </row>
    <row r="39" spans="1:15" x14ac:dyDescent="0.2">
      <c r="B39" s="145" t="s">
        <v>877</v>
      </c>
    </row>
    <row r="40" spans="1:15" x14ac:dyDescent="0.2">
      <c r="B40" s="227" t="s">
        <v>876</v>
      </c>
    </row>
    <row r="41" spans="1:15" x14ac:dyDescent="0.2">
      <c r="B41" s="228" t="s">
        <v>872</v>
      </c>
    </row>
    <row r="42" spans="1:15" x14ac:dyDescent="0.2">
      <c r="B42" s="227" t="s">
        <v>873</v>
      </c>
    </row>
    <row r="43" spans="1:15" x14ac:dyDescent="0.2">
      <c r="B43" s="227"/>
    </row>
    <row r="44" spans="1:15" ht="33.75" customHeight="1" x14ac:dyDescent="0.2">
      <c r="B44" s="498" t="s">
        <v>874</v>
      </c>
      <c r="C44" s="498"/>
      <c r="D44" s="498"/>
      <c r="E44" s="498"/>
      <c r="F44" s="498"/>
      <c r="G44" s="498"/>
      <c r="H44" s="498"/>
      <c r="I44" s="498"/>
      <c r="J44" s="498"/>
      <c r="K44" s="498"/>
      <c r="L44" s="498"/>
      <c r="M44" s="498"/>
      <c r="N44" s="498"/>
    </row>
    <row r="45" spans="1:15" ht="37.5" customHeight="1" x14ac:dyDescent="0.2">
      <c r="B45" s="498" t="s">
        <v>875</v>
      </c>
      <c r="C45" s="498"/>
      <c r="D45" s="498"/>
      <c r="E45" s="498"/>
      <c r="F45" s="498"/>
      <c r="G45" s="498"/>
      <c r="H45" s="498"/>
      <c r="I45" s="498"/>
      <c r="J45" s="498"/>
      <c r="K45" s="498"/>
      <c r="L45" s="498"/>
      <c r="M45" s="498"/>
      <c r="N45" s="498"/>
    </row>
  </sheetData>
  <mergeCells count="23">
    <mergeCell ref="A1:K1"/>
    <mergeCell ref="A2:K2"/>
    <mergeCell ref="A3:A5"/>
    <mergeCell ref="B3:B5"/>
    <mergeCell ref="C3:F3"/>
    <mergeCell ref="G3:G5"/>
    <mergeCell ref="H3:H4"/>
    <mergeCell ref="I3:I5"/>
    <mergeCell ref="J3:J5"/>
    <mergeCell ref="K3:K5"/>
    <mergeCell ref="C4:C5"/>
    <mergeCell ref="E4:E5"/>
    <mergeCell ref="F4:F5"/>
    <mergeCell ref="B44:N44"/>
    <mergeCell ref="B45:N45"/>
    <mergeCell ref="N3:N5"/>
    <mergeCell ref="O3:O5"/>
    <mergeCell ref="A32:J32"/>
    <mergeCell ref="A33:J33"/>
    <mergeCell ref="L3:L5"/>
    <mergeCell ref="M35:O37"/>
    <mergeCell ref="B34:J34"/>
    <mergeCell ref="M3:M5"/>
  </mergeCells>
  <printOptions gridLines="1"/>
  <pageMargins left="0.2" right="0.19" top="0.8" bottom="0.39370078740157483" header="0.51181102362204722" footer="0.27559055118110237"/>
  <pageSetup paperSize="9" scale="6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12"/>
  <sheetViews>
    <sheetView zoomScaleNormal="100" workbookViewId="0">
      <pane xSplit="2" ySplit="4" topLeftCell="C5" activePane="bottomRight" state="frozen"/>
      <selection pane="topRight" activeCell="C1" sqref="C1"/>
      <selection pane="bottomLeft" activeCell="A7" sqref="A7"/>
      <selection pane="bottomRight" activeCell="F17" sqref="F17"/>
    </sheetView>
  </sheetViews>
  <sheetFormatPr defaultRowHeight="15.75" x14ac:dyDescent="0.25"/>
  <cols>
    <col min="1" max="1" width="9.140625" style="90"/>
    <col min="2" max="2" width="69.7109375" style="90" customWidth="1"/>
    <col min="3" max="3" width="18" style="90" bestFit="1" customWidth="1"/>
    <col min="4" max="4" width="20.28515625" style="90" bestFit="1" customWidth="1"/>
    <col min="5" max="5" width="26.42578125" style="90" customWidth="1"/>
    <col min="6" max="6" width="15.42578125" style="90" customWidth="1"/>
    <col min="7" max="7" width="12" style="90" customWidth="1"/>
    <col min="8" max="16384" width="9.140625" style="90"/>
  </cols>
  <sheetData>
    <row r="1" spans="1:7" ht="39.75" customHeight="1" thickBot="1" x14ac:dyDescent="0.3">
      <c r="A1" s="534" t="s">
        <v>711</v>
      </c>
      <c r="B1" s="535"/>
      <c r="C1" s="535"/>
      <c r="D1" s="535"/>
      <c r="E1" s="536"/>
    </row>
    <row r="2" spans="1:7" ht="44.25" customHeight="1" thickBot="1" x14ac:dyDescent="0.3">
      <c r="A2" s="537" t="s">
        <v>867</v>
      </c>
      <c r="B2" s="538"/>
      <c r="C2" s="538"/>
      <c r="D2" s="538"/>
      <c r="E2" s="539"/>
    </row>
    <row r="3" spans="1:7" ht="65.25" customHeight="1" x14ac:dyDescent="0.25">
      <c r="A3" s="238" t="s">
        <v>134</v>
      </c>
      <c r="B3" s="239" t="s">
        <v>213</v>
      </c>
      <c r="C3" s="240" t="s">
        <v>749</v>
      </c>
      <c r="D3" s="240" t="s">
        <v>748</v>
      </c>
      <c r="E3" s="241" t="s">
        <v>588</v>
      </c>
    </row>
    <row r="4" spans="1:7" ht="26.25" customHeight="1" x14ac:dyDescent="0.25">
      <c r="A4" s="242"/>
      <c r="B4" s="243"/>
      <c r="C4" s="244" t="s">
        <v>178</v>
      </c>
      <c r="D4" s="244" t="s">
        <v>179</v>
      </c>
      <c r="E4" s="245" t="s">
        <v>747</v>
      </c>
      <c r="F4" s="246"/>
      <c r="G4" s="246"/>
    </row>
    <row r="5" spans="1:7" ht="35.25" customHeight="1" thickBot="1" x14ac:dyDescent="0.3">
      <c r="A5" s="247">
        <v>1</v>
      </c>
      <c r="B5" s="248" t="s">
        <v>746</v>
      </c>
      <c r="C5" s="249">
        <v>2222753.71</v>
      </c>
      <c r="D5" s="249">
        <v>13820</v>
      </c>
      <c r="E5" s="250">
        <f>C5+D5</f>
        <v>2236573.71</v>
      </c>
      <c r="F5" s="251"/>
      <c r="G5" s="252"/>
    </row>
    <row r="6" spans="1:7" ht="30.75" customHeight="1" thickTop="1" x14ac:dyDescent="0.25">
      <c r="A6" s="253">
        <v>2</v>
      </c>
      <c r="B6" s="254" t="s">
        <v>745</v>
      </c>
      <c r="C6" s="255">
        <v>4647</v>
      </c>
      <c r="D6" s="255">
        <v>41</v>
      </c>
      <c r="E6" s="256">
        <f>C6+D6</f>
        <v>4688</v>
      </c>
      <c r="F6" s="257"/>
      <c r="G6" s="257"/>
    </row>
    <row r="7" spans="1:7" ht="31.5" customHeight="1" thickBot="1" x14ac:dyDescent="0.3">
      <c r="A7" s="258">
        <v>3</v>
      </c>
      <c r="B7" s="259" t="s">
        <v>265</v>
      </c>
      <c r="C7" s="260">
        <f>IF(C6=0,0,+C5/C6)</f>
        <v>478.32014417904026</v>
      </c>
      <c r="D7" s="260">
        <f t="shared" ref="D7:E7" si="0">IF(D6=0,0,+D5/D6)</f>
        <v>337.07317073170731</v>
      </c>
      <c r="E7" s="261">
        <f t="shared" si="0"/>
        <v>477.08483575085324</v>
      </c>
    </row>
    <row r="9" spans="1:7" ht="51" customHeight="1" x14ac:dyDescent="0.25">
      <c r="A9" s="540" t="s">
        <v>744</v>
      </c>
      <c r="B9" s="540"/>
    </row>
    <row r="11" spans="1:7" x14ac:dyDescent="0.25">
      <c r="A11" s="90" t="s">
        <v>779</v>
      </c>
    </row>
    <row r="12" spans="1:7" x14ac:dyDescent="0.25">
      <c r="A12" s="90" t="s">
        <v>780</v>
      </c>
    </row>
  </sheetData>
  <mergeCells count="3">
    <mergeCell ref="A1:E1"/>
    <mergeCell ref="A2:E2"/>
    <mergeCell ref="A9:B9"/>
  </mergeCells>
  <pageMargins left="0.45" right="0.33" top="0.74803149606299213" bottom="0.74803149606299213" header="0.31496062992125984" footer="0.31496062992125984"/>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tabColor indexed="42"/>
    <pageSetUpPr fitToPage="1"/>
  </sheetPr>
  <dimension ref="A1:H15"/>
  <sheetViews>
    <sheetView workbookViewId="0">
      <pane xSplit="2" ySplit="5" topLeftCell="C6" activePane="bottomRight" state="frozen"/>
      <selection pane="topRight" activeCell="C1" sqref="C1"/>
      <selection pane="bottomLeft" activeCell="A6" sqref="A6"/>
      <selection pane="bottomRight" activeCell="G6" sqref="G6"/>
    </sheetView>
  </sheetViews>
  <sheetFormatPr defaultRowHeight="15.75" x14ac:dyDescent="0.2"/>
  <cols>
    <col min="1" max="1" width="8.140625" style="22" customWidth="1"/>
    <col min="2" max="2" width="93.140625" style="273" customWidth="1"/>
    <col min="3" max="3" width="17.28515625" style="22" customWidth="1"/>
    <col min="4" max="4" width="17.140625" style="22" customWidth="1"/>
    <col min="5" max="5" width="15.7109375" style="22" customWidth="1"/>
    <col min="6" max="6" width="18" style="22" customWidth="1"/>
    <col min="7" max="7" width="7.5703125" style="22" customWidth="1"/>
    <col min="8" max="16384" width="9.140625" style="22"/>
  </cols>
  <sheetData>
    <row r="1" spans="1:8" ht="50.1" customHeight="1" thickBot="1" x14ac:dyDescent="0.25">
      <c r="A1" s="547" t="s">
        <v>712</v>
      </c>
      <c r="B1" s="548"/>
      <c r="C1" s="548"/>
      <c r="D1" s="548"/>
      <c r="E1" s="548"/>
      <c r="F1" s="549"/>
      <c r="G1" s="262"/>
      <c r="H1" s="144"/>
    </row>
    <row r="2" spans="1:8" ht="36.75" customHeight="1" x14ac:dyDescent="0.2">
      <c r="A2" s="467" t="s">
        <v>792</v>
      </c>
      <c r="B2" s="558"/>
      <c r="C2" s="559" t="s">
        <v>615</v>
      </c>
      <c r="D2" s="559"/>
      <c r="E2" s="559"/>
      <c r="F2" s="560"/>
      <c r="G2" s="263"/>
    </row>
    <row r="3" spans="1:8" ht="33" customHeight="1" x14ac:dyDescent="0.2">
      <c r="A3" s="556" t="s">
        <v>134</v>
      </c>
      <c r="B3" s="554" t="s">
        <v>213</v>
      </c>
      <c r="C3" s="550">
        <v>2016</v>
      </c>
      <c r="D3" s="551"/>
      <c r="E3" s="552">
        <v>2017</v>
      </c>
      <c r="F3" s="553"/>
      <c r="G3" s="263"/>
    </row>
    <row r="4" spans="1:8" ht="69" customHeight="1" x14ac:dyDescent="0.2">
      <c r="A4" s="557"/>
      <c r="B4" s="555"/>
      <c r="C4" s="127" t="s">
        <v>571</v>
      </c>
      <c r="D4" s="127" t="s">
        <v>123</v>
      </c>
      <c r="E4" s="127" t="s">
        <v>571</v>
      </c>
      <c r="F4" s="130" t="s">
        <v>169</v>
      </c>
      <c r="G4" s="263"/>
    </row>
    <row r="5" spans="1:8" x14ac:dyDescent="0.2">
      <c r="A5" s="264"/>
      <c r="B5" s="265"/>
      <c r="C5" s="1" t="s">
        <v>178</v>
      </c>
      <c r="D5" s="1" t="s">
        <v>179</v>
      </c>
      <c r="E5" s="15" t="s">
        <v>180</v>
      </c>
      <c r="F5" s="214" t="s">
        <v>186</v>
      </c>
      <c r="G5" s="263"/>
    </row>
    <row r="6" spans="1:8" ht="38.25" customHeight="1" x14ac:dyDescent="0.2">
      <c r="A6" s="7">
        <v>1</v>
      </c>
      <c r="B6" s="17" t="s">
        <v>34</v>
      </c>
      <c r="C6" s="266">
        <v>1089585</v>
      </c>
      <c r="D6" s="267" t="s">
        <v>200</v>
      </c>
      <c r="E6" s="266">
        <v>865055</v>
      </c>
      <c r="F6" s="268" t="s">
        <v>200</v>
      </c>
      <c r="G6" s="263"/>
    </row>
    <row r="7" spans="1:8" ht="38.25" customHeight="1" x14ac:dyDescent="0.2">
      <c r="A7" s="7">
        <f>A6+1</f>
        <v>2</v>
      </c>
      <c r="B7" s="17" t="s">
        <v>223</v>
      </c>
      <c r="C7" s="267" t="s">
        <v>200</v>
      </c>
      <c r="D7" s="149">
        <v>5195</v>
      </c>
      <c r="E7" s="267" t="s">
        <v>200</v>
      </c>
      <c r="F7" s="150">
        <v>4189</v>
      </c>
      <c r="G7" s="263"/>
    </row>
    <row r="8" spans="1:8" ht="38.25" customHeight="1" x14ac:dyDescent="0.2">
      <c r="A8" s="7">
        <f>A7+1</f>
        <v>3</v>
      </c>
      <c r="B8" s="17" t="s">
        <v>580</v>
      </c>
      <c r="C8" s="267" t="s">
        <v>200</v>
      </c>
      <c r="D8" s="149">
        <v>707</v>
      </c>
      <c r="E8" s="267" t="s">
        <v>200</v>
      </c>
      <c r="F8" s="150">
        <v>493</v>
      </c>
      <c r="G8" s="263"/>
    </row>
    <row r="9" spans="1:8" ht="35.25" customHeight="1" x14ac:dyDescent="0.2">
      <c r="A9" s="7">
        <f>A8+1</f>
        <v>4</v>
      </c>
      <c r="B9" s="17" t="s">
        <v>549</v>
      </c>
      <c r="C9" s="266">
        <v>190217</v>
      </c>
      <c r="D9" s="267" t="s">
        <v>200</v>
      </c>
      <c r="E9" s="269">
        <f>+C11</f>
        <v>279929</v>
      </c>
      <c r="F9" s="268" t="s">
        <v>200</v>
      </c>
      <c r="G9" s="263"/>
    </row>
    <row r="10" spans="1:8" ht="37.5" customHeight="1" x14ac:dyDescent="0.2">
      <c r="A10" s="7">
        <f>A9+1</f>
        <v>5</v>
      </c>
      <c r="B10" s="17" t="s">
        <v>577</v>
      </c>
      <c r="C10" s="266">
        <v>1179297</v>
      </c>
      <c r="D10" s="267" t="s">
        <v>200</v>
      </c>
      <c r="E10" s="269">
        <v>791989</v>
      </c>
      <c r="F10" s="268" t="s">
        <v>200</v>
      </c>
      <c r="G10" s="263"/>
    </row>
    <row r="11" spans="1:8" ht="33" customHeight="1" x14ac:dyDescent="0.2">
      <c r="A11" s="7">
        <v>6</v>
      </c>
      <c r="B11" s="17" t="s">
        <v>155</v>
      </c>
      <c r="C11" s="266">
        <f>+C9+C10-C6</f>
        <v>279929</v>
      </c>
      <c r="D11" s="267" t="s">
        <v>200</v>
      </c>
      <c r="E11" s="269">
        <f>+E9+E10-E6</f>
        <v>206863</v>
      </c>
      <c r="F11" s="268" t="s">
        <v>200</v>
      </c>
      <c r="G11" s="263"/>
    </row>
    <row r="12" spans="1:8" ht="36" customHeight="1" thickBot="1" x14ac:dyDescent="0.25">
      <c r="A12" s="47">
        <v>7</v>
      </c>
      <c r="B12" s="21" t="s">
        <v>156</v>
      </c>
      <c r="C12" s="270">
        <f>IF(C6=0,0,C6/D7)</f>
        <v>209.73724735322426</v>
      </c>
      <c r="D12" s="271" t="s">
        <v>200</v>
      </c>
      <c r="E12" s="270">
        <f>IF(E6=0,0,E6/F7)</f>
        <v>206.50632609214611</v>
      </c>
      <c r="F12" s="272" t="s">
        <v>200</v>
      </c>
      <c r="G12" s="263"/>
    </row>
    <row r="13" spans="1:8" x14ac:dyDescent="0.2">
      <c r="B13" s="221"/>
      <c r="G13" s="263"/>
    </row>
    <row r="14" spans="1:8" x14ac:dyDescent="0.2">
      <c r="A14" s="541" t="s">
        <v>39</v>
      </c>
      <c r="B14" s="542"/>
      <c r="C14" s="542"/>
      <c r="D14" s="542"/>
      <c r="E14" s="542"/>
      <c r="F14" s="543"/>
      <c r="G14" s="263"/>
    </row>
    <row r="15" spans="1:8" x14ac:dyDescent="0.2">
      <c r="A15" s="544" t="s">
        <v>248</v>
      </c>
      <c r="B15" s="545"/>
      <c r="C15" s="545"/>
      <c r="D15" s="545"/>
      <c r="E15" s="545"/>
      <c r="F15" s="546"/>
      <c r="G15" s="263"/>
    </row>
  </sheetData>
  <mergeCells count="9">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8802F3-CAF1-414B-986B-3ACC0176C017}">
  <ds:schemaRefs>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2E69B052-6B58-40C2-8603-8925FD48797D}">
  <ds:schemaRefs>
    <ds:schemaRef ds:uri="http://schemas.microsoft.com/sharepoint/v3/contenttype/forms"/>
  </ds:schemaRefs>
</ds:datastoreItem>
</file>

<file path=customXml/itemProps3.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23</vt:i4>
      </vt:variant>
      <vt:variant>
        <vt:lpstr>Pomenované rozsahy</vt:lpstr>
      </vt:variant>
      <vt:variant>
        <vt:i4>21</vt:i4>
      </vt:variant>
    </vt:vector>
  </HeadingPairs>
  <TitlesOfParts>
    <vt:vector size="44" baseType="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T9_ŠD </vt:lpstr>
      <vt:lpstr>T10-ŠJ </vt:lpstr>
      <vt:lpstr>T11-Zdroje KV</vt:lpstr>
      <vt:lpstr>T12-KV</vt:lpstr>
      <vt:lpstr>T13-Fondy</vt:lpstr>
      <vt:lpstr>T16 - Štruktúra hotovosti</vt:lpstr>
      <vt:lpstr>T17-Dotácie zo ŠF EU</vt:lpstr>
      <vt:lpstr>T18-Ostatné dotacie z kap MŠ SR</vt:lpstr>
      <vt:lpstr>T19-Štip_ z vlastných </vt:lpstr>
      <vt:lpstr>T20_motivačné štipendiá_nová</vt:lpstr>
      <vt:lpstr>T21-štruktúra_384</vt:lpstr>
      <vt:lpstr>T22_Výnosy_soc_oblasť</vt:lpstr>
      <vt:lpstr>T23_Náklady_soc_oblasť</vt:lpstr>
      <vt:lpstr>T24__Aktíva</vt:lpstr>
      <vt:lpstr>'T10-ŠJ '!Oblasť_tlače</vt:lpstr>
      <vt:lpstr>'T11-Zdroje KV'!Oblasť_tlače</vt:lpstr>
      <vt:lpstr>'T12-KV'!Oblasť_tlače</vt:lpstr>
      <vt:lpstr>'T13-Fondy'!Oblasť_tlače</vt:lpstr>
      <vt:lpstr>'T16 - Štruktúra hotovosti'!Oblasť_tlače</vt:lpstr>
      <vt:lpstr>'T17-Dotácie zo ŠF EU'!Oblasť_tlače</vt:lpstr>
      <vt:lpstr>'T18-Ostatné dotacie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'T8-Soc_štipendiá'!Oblasť_tlače</vt:lpstr>
      <vt:lpstr>'T9_ŠD '!Oblasť_tlače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Používateľ systému Windows</cp:lastModifiedBy>
  <cp:lastPrinted>2018-05-18T11:10:11Z</cp:lastPrinted>
  <dcterms:created xsi:type="dcterms:W3CDTF">2002-06-05T18:53:25Z</dcterms:created>
  <dcterms:modified xsi:type="dcterms:W3CDTF">2018-05-21T07:26:09Z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ies>
</file>