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renata.lucanska\AppData\Local\Microsoft\Windows\INetCache\Content.Outlook\A2BI4IZP\"/>
    </mc:Choice>
  </mc:AlternateContent>
  <bookViews>
    <workbookView xWindow="0" yWindow="0" windowWidth="28800" windowHeight="11730" tabRatio="896" firstSheet="13" activeTab="21"/>
  </bookViews>
  <sheets>
    <sheet name="T1-Dotácie podľa DZ" sheetId="23" r:id="rId1"/>
    <sheet name="T2-Ostatné dot mimo MŠ SR" sheetId="3" r:id="rId2"/>
    <sheet name="T3-Výnosy" sheetId="142" r:id="rId3"/>
    <sheet name="T4-Výnosy zo školného" sheetId="154" r:id="rId4"/>
    <sheet name="T5 - Analýza nákladov" sheetId="150" r:id="rId5"/>
    <sheet name="T6-Zamestnanci_a_mzdy" sheetId="76" r:id="rId6"/>
    <sheet name="T6a-Zamestnanci_a_mzdy (ženy)" sheetId="155" r:id="rId7"/>
    <sheet name="T7_Doktorandi " sheetId="159" r:id="rId8"/>
    <sheet name="T8-Soc_štipendiá" sheetId="109" r:id="rId9"/>
    <sheet name="T9_ŠD " sheetId="116" r:id="rId10"/>
    <sheet name="T10-ŠJ " sheetId="146" r:id="rId11"/>
    <sheet name="T11-Zdroje KV" sheetId="90" r:id="rId12"/>
    <sheet name="T12-KV" sheetId="91" r:id="rId13"/>
    <sheet name="T13-Fondy" sheetId="145" r:id="rId14"/>
    <sheet name="T16 - Štruktúra hotovosti" sheetId="64" r:id="rId15"/>
    <sheet name="T17-Dotácie zo ŠF EU" sheetId="149" r:id="rId16"/>
    <sheet name="T18-Ostatné dotacie z kap MŠ SR" sheetId="61" r:id="rId17"/>
    <sheet name="T19-Štip_ z vlastných " sheetId="144" r:id="rId18"/>
    <sheet name="T20_motivačné štipendiá_nová" sheetId="157" r:id="rId19"/>
    <sheet name="T21-štruktúra_384" sheetId="97" r:id="rId20"/>
    <sheet name="T22_Výnosy_soc_oblasť" sheetId="133" r:id="rId21"/>
    <sheet name="T23_Náklady_soc_oblasť" sheetId="134" r:id="rId22"/>
    <sheet name="T24__Aktíva" sheetId="135" state="hidden" r:id="rId23"/>
  </sheets>
  <externalReferences>
    <externalReference r:id="rId24"/>
    <externalReference r:id="rId25"/>
    <externalReference r:id="rId26"/>
  </externalReferences>
  <definedNames>
    <definedName name="_kmp1" localSheetId="4">#REF!</definedName>
    <definedName name="_kmp1" localSheetId="7">#REF!</definedName>
    <definedName name="_kmp1">#REF!</definedName>
    <definedName name="_kmp2" localSheetId="7">#REF!</definedName>
    <definedName name="_kmp2">#REF!</definedName>
    <definedName name="_kmt1" localSheetId="4">#REF!</definedName>
    <definedName name="_kmt1" localSheetId="7">#REF!</definedName>
    <definedName name="_kmt1">#REF!</definedName>
    <definedName name="_T1" localSheetId="7">#REF!</definedName>
    <definedName name="_T1">#REF!</definedName>
    <definedName name="_wd1" localSheetId="18">[1]vahy!$B$1</definedName>
    <definedName name="_wd1">[1]vahy!$B$1</definedName>
    <definedName name="_wd3" localSheetId="18">[1]vahy!$B$3</definedName>
    <definedName name="_wd3">[1]vahy!$B$3</definedName>
    <definedName name="_we1" localSheetId="18">[1]vahy!$B$2</definedName>
    <definedName name="_we1">[1]vahy!$B$2</definedName>
    <definedName name="_we3" localSheetId="18">[1]vahy!$B$4</definedName>
    <definedName name="_we3">[1]vahy!$B$4</definedName>
    <definedName name="aaa" hidden="1">3</definedName>
    <definedName name="denní" localSheetId="4">#REF!</definedName>
    <definedName name="denní" localSheetId="7">#REF!</definedName>
    <definedName name="denní">#REF!</definedName>
    <definedName name="dokpo" localSheetId="4">#REF!</definedName>
    <definedName name="dokpo" localSheetId="7">#REF!</definedName>
    <definedName name="dokpo">#REF!</definedName>
    <definedName name="dokpred" localSheetId="4">#REF!</definedName>
    <definedName name="dokpred" localSheetId="7">#REF!</definedName>
    <definedName name="dokpred">#REF!</definedName>
    <definedName name="druhý" localSheetId="4">#REF!</definedName>
    <definedName name="druhý" localSheetId="7">#REF!</definedName>
    <definedName name="druhý">#REF!</definedName>
    <definedName name="exterdruhý" localSheetId="4">#REF!</definedName>
    <definedName name="exterdruhý" localSheetId="7">#REF!</definedName>
    <definedName name="exterdruhý">#REF!</definedName>
    <definedName name="externeplat" localSheetId="4">#REF!</definedName>
    <definedName name="externeplat" localSheetId="7">#REF!</definedName>
    <definedName name="externeplat">#REF!</definedName>
    <definedName name="exterplat" localSheetId="4">#REF!</definedName>
    <definedName name="exterplat" localSheetId="7">#REF!</definedName>
    <definedName name="exterplat">#REF!</definedName>
    <definedName name="KKS_doc" localSheetId="4">#REF!</definedName>
    <definedName name="KKS_doc" localSheetId="7">#REF!</definedName>
    <definedName name="KKS_doc">#REF!</definedName>
    <definedName name="KKS_ost" localSheetId="4">#REF!</definedName>
    <definedName name="KKS_ost" localSheetId="7">#REF!</definedName>
    <definedName name="KKS_ost">#REF!</definedName>
    <definedName name="KKS_phd" localSheetId="4">#REF!</definedName>
    <definedName name="KKS_phd" localSheetId="7">#REF!</definedName>
    <definedName name="KKS_phd">#REF!</definedName>
    <definedName name="KKS_prof" localSheetId="4">#REF!</definedName>
    <definedName name="KKS_prof" localSheetId="7">#REF!</definedName>
    <definedName name="KKS_prof">#REF!</definedName>
    <definedName name="koef_gm_mzdy" localSheetId="4">#REF!</definedName>
    <definedName name="koef_gm_mzdy" localSheetId="7">#REF!</definedName>
    <definedName name="koef_gm_mzdy">#REF!</definedName>
    <definedName name="koef_kpn" localSheetId="4">#REF!</definedName>
    <definedName name="koef_kpn" localSheetId="7">#REF!</definedName>
    <definedName name="koef_kpn">#REF!</definedName>
    <definedName name="koef_prer_nad_gm_mzdy" localSheetId="4">#REF!</definedName>
    <definedName name="koef_prer_nad_gm_mzdy" localSheetId="7">#REF!</definedName>
    <definedName name="koef_prer_nad_gm_mzdy">#REF!</definedName>
    <definedName name="koef_PV" localSheetId="4">#REF!</definedName>
    <definedName name="koef_PV" localSheetId="7">#REF!</definedName>
    <definedName name="koef_PV">#REF!</definedName>
    <definedName name="koef_udr_kat1" localSheetId="15">#REF!</definedName>
    <definedName name="koef_udr_kat1" localSheetId="4">#REF!</definedName>
    <definedName name="koef_udr_kat1" localSheetId="6">#REF!</definedName>
    <definedName name="koef_udr_kat1" localSheetId="7">#REF!</definedName>
    <definedName name="koef_udr_kat1">#REF!</definedName>
    <definedName name="koef_udr_kat2" localSheetId="15">#REF!</definedName>
    <definedName name="koef_udr_kat2" localSheetId="4">#REF!</definedName>
    <definedName name="koef_udr_kat2" localSheetId="6">#REF!</definedName>
    <definedName name="koef_udr_kat2" localSheetId="7">#REF!</definedName>
    <definedName name="koef_udr_kat2">#REF!</definedName>
    <definedName name="koef_udr_kat3" localSheetId="15">#REF!</definedName>
    <definedName name="koef_udr_kat3" localSheetId="4">#REF!</definedName>
    <definedName name="koef_udr_kat3" localSheetId="6">#REF!</definedName>
    <definedName name="koef_udr_kat3" localSheetId="7">#REF!</definedName>
    <definedName name="koef_udr_kat3">#REF!</definedName>
    <definedName name="koef_VV" localSheetId="4">#REF!</definedName>
    <definedName name="koef_VV" localSheetId="7">#REF!</definedName>
    <definedName name="koef_VV">#REF!</definedName>
    <definedName name="kpn_ca_do" localSheetId="4">#REF!</definedName>
    <definedName name="kpn_ca_do" localSheetId="7">#REF!</definedName>
    <definedName name="kpn_ca_do">#REF!</definedName>
    <definedName name="kpn_ca_nad" localSheetId="4">#REF!</definedName>
    <definedName name="kpn_ca_nad" localSheetId="7">#REF!</definedName>
    <definedName name="kpn_ca_nad">#REF!</definedName>
    <definedName name="kzk" localSheetId="4">#REF!</definedName>
    <definedName name="kzk" localSheetId="7">#REF!</definedName>
    <definedName name="kzk">#REF!</definedName>
    <definedName name="kzspp" localSheetId="4">#REF!</definedName>
    <definedName name="kzspp" localSheetId="7">#REF!</definedName>
    <definedName name="kzspp">#REF!</definedName>
    <definedName name="nefinanc">1</definedName>
    <definedName name="_xlnm.Print_Area" localSheetId="10">'T10-ŠJ '!$A$1:$D$26</definedName>
    <definedName name="_xlnm.Print_Area" localSheetId="11">'T11-Zdroje KV'!$A$1:$D$23</definedName>
    <definedName name="_xlnm.Print_Area" localSheetId="12">'T12-KV'!$A$1:$I$25</definedName>
    <definedName name="_xlnm.Print_Area" localSheetId="13">'T13-Fondy'!$A$1:$N$22</definedName>
    <definedName name="_xlnm.Print_Area" localSheetId="14">'T16 - Štruktúra hotovosti'!$A$1:$D$22</definedName>
    <definedName name="_xlnm.Print_Area" localSheetId="15">'T17-Dotácie zo ŠF EU'!$A$1:$H$16</definedName>
    <definedName name="_xlnm.Print_Area" localSheetId="16">'T18-Ostatné dotacie z kap MŠ SR'!$A$1:$E$18</definedName>
    <definedName name="_xlnm.Print_Area" localSheetId="17">'T19-Štip_ z vlastných '!$A$1:$F$26</definedName>
    <definedName name="_xlnm.Print_Area" localSheetId="0">'T1-Dotácie podľa DZ'!$A$1:$E$19</definedName>
    <definedName name="_xlnm.Print_Area" localSheetId="18">'T20_motivačné štipendiá_nová'!$A$1:$F$14</definedName>
    <definedName name="_xlnm.Print_Area" localSheetId="19">'T21-štruktúra_384'!$A$1:$M$7</definedName>
    <definedName name="_xlnm.Print_Area" localSheetId="20">T22_Výnosy_soc_oblasť!$A$1:$F$44</definedName>
    <definedName name="_xlnm.Print_Area" localSheetId="21">T23_Náklady_soc_oblasť!$A$1:$F$42</definedName>
    <definedName name="_xlnm.Print_Area" localSheetId="2">'T3-Výnosy'!$A$1:$H$69</definedName>
    <definedName name="_xlnm.Print_Area" localSheetId="3">'T4-Výnosy zo školného'!$A$1:$E$23</definedName>
    <definedName name="_xlnm.Print_Area" localSheetId="4">'T5 - Analýza nákladov'!$A$1:$H$102</definedName>
    <definedName name="_xlnm.Print_Area" localSheetId="6">'T6a-Zamestnanci_a_mzdy (ženy)'!$A$1:$L$37</definedName>
    <definedName name="_xlnm.Print_Area" localSheetId="5">'T6-Zamestnanci_a_mzdy'!$A$1:$K$39</definedName>
    <definedName name="_xlnm.Print_Area" localSheetId="7">'T7_Doktorandi '!$A$1:$E$9</definedName>
    <definedName name="_xlnm.Print_Area" localSheetId="8">'T8-Soc_štipendiá'!$A$1:$F$15</definedName>
    <definedName name="_xlnm.Print_Area" localSheetId="9">'T9_ŠD '!$A$1:$F$21</definedName>
    <definedName name="pocet_jedal" localSheetId="15">#REF!</definedName>
    <definedName name="pocet_jedal" localSheetId="4">#REF!</definedName>
    <definedName name="pocet_jedal" localSheetId="6">#REF!</definedName>
    <definedName name="pocet_jedal" localSheetId="7">#REF!</definedName>
    <definedName name="pocet_jedal">#REF!</definedName>
    <definedName name="podiel" localSheetId="4">#REF!</definedName>
    <definedName name="podiel" localSheetId="7">#REF!</definedName>
    <definedName name="podiel">#REF!</definedName>
    <definedName name="poistné" localSheetId="4">#REF!</definedName>
    <definedName name="poistné" localSheetId="7">#REF!</definedName>
    <definedName name="poistné">#REF!</definedName>
    <definedName name="Pp_DrŠ_exist" localSheetId="15">#REF!</definedName>
    <definedName name="Pp_DrŠ_exist" localSheetId="4">#REF!</definedName>
    <definedName name="Pp_DrŠ_exist" localSheetId="6">#REF!</definedName>
    <definedName name="Pp_DrŠ_exist" localSheetId="7">#REF!</definedName>
    <definedName name="Pp_DrŠ_exist">#REF!</definedName>
    <definedName name="Pp_DrŠ_noví" localSheetId="15">#REF!</definedName>
    <definedName name="Pp_DrŠ_noví" localSheetId="4">#REF!</definedName>
    <definedName name="Pp_DrŠ_noví" localSheetId="6">#REF!</definedName>
    <definedName name="Pp_DrŠ_noví" localSheetId="7">#REF!</definedName>
    <definedName name="Pp_DrŠ_noví">#REF!</definedName>
    <definedName name="Pp_DrŠ_spolu" localSheetId="15">#REF!</definedName>
    <definedName name="Pp_DrŠ_spolu" localSheetId="4">#REF!</definedName>
    <definedName name="Pp_DrŠ_spolu" localSheetId="6">#REF!</definedName>
    <definedName name="Pp_DrŠ_spolu" localSheetId="7">#REF!</definedName>
    <definedName name="Pp_DrŠ_spolu">#REF!</definedName>
    <definedName name="Pp_klinické_TaS" localSheetId="15">#REF!</definedName>
    <definedName name="Pp_klinické_TaS" localSheetId="4">#REF!</definedName>
    <definedName name="Pp_klinické_TaS" localSheetId="6">#REF!</definedName>
    <definedName name="Pp_klinické_TaS" localSheetId="7">#REF!</definedName>
    <definedName name="Pp_klinické_TaS">#REF!</definedName>
    <definedName name="Pp_klinické_TaS_rozpísaný" localSheetId="15">#REF!</definedName>
    <definedName name="Pp_klinické_TaS_rozpísaný" localSheetId="4">#REF!</definedName>
    <definedName name="Pp_klinické_TaS_rozpísaný" localSheetId="6">#REF!</definedName>
    <definedName name="Pp_klinické_TaS_rozpísaný" localSheetId="7">#REF!</definedName>
    <definedName name="Pp_klinické_TaS_rozpísaný">#REF!</definedName>
    <definedName name="Pp_Rozvoj_BD" localSheetId="4">#REF!</definedName>
    <definedName name="Pp_Rozvoj_BD" localSheetId="7">#REF!</definedName>
    <definedName name="Pp_Rozvoj_BD">#REF!</definedName>
    <definedName name="Pp_Soc_BD" localSheetId="4">#REF!</definedName>
    <definedName name="Pp_Soc_BD" localSheetId="7">#REF!</definedName>
    <definedName name="Pp_Soc_BD">#REF!</definedName>
    <definedName name="Pp_VaT_BD" localSheetId="4">#REF!</definedName>
    <definedName name="Pp_VaT_BD" localSheetId="7">#REF!</definedName>
    <definedName name="Pp_VaT_BD">#REF!</definedName>
    <definedName name="Pp_VaT_mzdy" localSheetId="4">#REF!</definedName>
    <definedName name="Pp_VaT_mzdy" localSheetId="7">#REF!</definedName>
    <definedName name="Pp_VaT_mzdy">#REF!</definedName>
    <definedName name="Pp_VaT_mzdy_rezerva" localSheetId="4">#REF!</definedName>
    <definedName name="Pp_VaT_mzdy_rezerva" localSheetId="7">#REF!</definedName>
    <definedName name="Pp_VaT_mzdy_rezerva">#REF!</definedName>
    <definedName name="Pp_VaT_mzdy_zac_roka" localSheetId="4">#REF!</definedName>
    <definedName name="Pp_VaT_mzdy_zac_roka" localSheetId="7">#REF!</definedName>
    <definedName name="Pp_VaT_mzdy_zac_roka">#REF!</definedName>
    <definedName name="Pp_Vzdel_BD" localSheetId="4">#REF!</definedName>
    <definedName name="Pp_Vzdel_BD" localSheetId="7">#REF!</definedName>
    <definedName name="Pp_Vzdel_BD">#REF!</definedName>
    <definedName name="Pp_Vzdel_mzdy" localSheetId="4">#REF!</definedName>
    <definedName name="Pp_Vzdel_mzdy" localSheetId="7">#REF!</definedName>
    <definedName name="Pp_Vzdel_mzdy">#REF!</definedName>
    <definedName name="Pp_Vzdel_mzdy_kontr" localSheetId="4">#REF!</definedName>
    <definedName name="Pp_Vzdel_mzdy_kontr" localSheetId="7">#REF!</definedName>
    <definedName name="Pp_Vzdel_mzdy_kontr">#REF!</definedName>
    <definedName name="Pp_Vzdel_mzdy_na_prer_modif" localSheetId="15">#REF!</definedName>
    <definedName name="Pp_Vzdel_mzdy_na_prer_modif" localSheetId="4">#REF!</definedName>
    <definedName name="Pp_Vzdel_mzdy_na_prer_modif" localSheetId="6">#REF!</definedName>
    <definedName name="Pp_Vzdel_mzdy_na_prer_modif" localSheetId="7">#REF!</definedName>
    <definedName name="Pp_Vzdel_mzdy_na_prer_modif">#REF!</definedName>
    <definedName name="Pp_Vzdel_mzdy_na_prer_nemodif" localSheetId="15">#REF!</definedName>
    <definedName name="Pp_Vzdel_mzdy_na_prer_nemodif" localSheetId="4">#REF!</definedName>
    <definedName name="Pp_Vzdel_mzdy_na_prer_nemodif" localSheetId="6">#REF!</definedName>
    <definedName name="Pp_Vzdel_mzdy_na_prer_nemodif" localSheetId="7">#REF!</definedName>
    <definedName name="Pp_Vzdel_mzdy_na_prer_nemodif">#REF!</definedName>
    <definedName name="Pp_Vzdel_mzdy_prevádz" localSheetId="4">#REF!</definedName>
    <definedName name="Pp_Vzdel_mzdy_prevádz" localSheetId="7">#REF!</definedName>
    <definedName name="Pp_Vzdel_mzdy_prevádz">#REF!</definedName>
    <definedName name="Pp_Vzdel_mzdy_rezerva" localSheetId="4">#REF!</definedName>
    <definedName name="Pp_Vzdel_mzdy_rezerva" localSheetId="7">#REF!</definedName>
    <definedName name="Pp_Vzdel_mzdy_rezerva">#REF!</definedName>
    <definedName name="Pp_Vzdel_mzdy_spec" localSheetId="4">#REF!</definedName>
    <definedName name="Pp_Vzdel_mzdy_spec" localSheetId="7">#REF!</definedName>
    <definedName name="Pp_Vzdel_mzdy_spec">#REF!</definedName>
    <definedName name="Pp_Vzdel_mzdy_výkon" localSheetId="4">#REF!</definedName>
    <definedName name="Pp_Vzdel_mzdy_výkon" localSheetId="7">#REF!</definedName>
    <definedName name="Pp_Vzdel_mzdy_výkon">#REF!</definedName>
    <definedName name="Pp_Vzdel_mzdy_výkon_PV" localSheetId="4">#REF!</definedName>
    <definedName name="Pp_Vzdel_mzdy_výkon_PV" localSheetId="7">#REF!</definedName>
    <definedName name="Pp_Vzdel_mzdy_výkon_PV">#REF!</definedName>
    <definedName name="Pp_Vzdel_mzdy_výkon_PV_bez" localSheetId="4">#REF!</definedName>
    <definedName name="Pp_Vzdel_mzdy_výkon_PV_bez" localSheetId="7">#REF!</definedName>
    <definedName name="Pp_Vzdel_mzdy_výkon_PV_bez">#REF!</definedName>
    <definedName name="Pp_Vzdel_mzdy_výkon_PV_um" localSheetId="4">#REF!</definedName>
    <definedName name="Pp_Vzdel_mzdy_výkon_PV_um" localSheetId="7">#REF!</definedName>
    <definedName name="Pp_Vzdel_mzdy_výkon_PV_um">#REF!</definedName>
    <definedName name="Pp_Vzdel_mzdy_výkon_VV" localSheetId="4">#REF!</definedName>
    <definedName name="Pp_Vzdel_mzdy_výkon_VV" localSheetId="7">#REF!</definedName>
    <definedName name="Pp_Vzdel_mzdy_výkon_VV">#REF!</definedName>
    <definedName name="Pp_Vzdel_mzdy_výkon_VV_bez" localSheetId="4">#REF!</definedName>
    <definedName name="Pp_Vzdel_mzdy_výkon_VV_bez" localSheetId="7">#REF!</definedName>
    <definedName name="Pp_Vzdel_mzdy_výkon_VV_bez">#REF!</definedName>
    <definedName name="Pp_Vzdel_mzdy_výkon_VV_um" localSheetId="4">#REF!</definedName>
    <definedName name="Pp_Vzdel_mzdy_výkon_VV_um" localSheetId="7">#REF!</definedName>
    <definedName name="Pp_Vzdel_mzdy_výkon_VV_um">#REF!</definedName>
    <definedName name="Pp_Vzdel_spec_prax" localSheetId="15">#REF!</definedName>
    <definedName name="Pp_Vzdel_spec_prax" localSheetId="4">#REF!</definedName>
    <definedName name="Pp_Vzdel_spec_prax" localSheetId="6">#REF!</definedName>
    <definedName name="Pp_Vzdel_spec_prax" localSheetId="7">#REF!</definedName>
    <definedName name="Pp_Vzdel_spec_prax">#REF!</definedName>
    <definedName name="Pp_Vzdel_TaS" localSheetId="4">#REF!</definedName>
    <definedName name="Pp_Vzdel_TaS" localSheetId="7">#REF!</definedName>
    <definedName name="Pp_Vzdel_TaS">#REF!</definedName>
    <definedName name="Pp_Vzdel_TaS_rezerva" localSheetId="4">#REF!</definedName>
    <definedName name="Pp_Vzdel_TaS_rezerva" localSheetId="7">#REF!</definedName>
    <definedName name="Pp_Vzdel_TaS_rezerva">#REF!</definedName>
    <definedName name="Pp_Vzdel_TaS_spec" localSheetId="15">#REF!</definedName>
    <definedName name="Pp_Vzdel_TaS_spec" localSheetId="4">#REF!</definedName>
    <definedName name="Pp_Vzdel_TaS_spec" localSheetId="6">#REF!</definedName>
    <definedName name="Pp_Vzdel_TaS_spec" localSheetId="7">#REF!</definedName>
    <definedName name="Pp_Vzdel_TaS_spec">#REF!</definedName>
    <definedName name="Pp_Vzdel_TaS_stav" localSheetId="4">#REF!</definedName>
    <definedName name="Pp_Vzdel_TaS_stav" localSheetId="7">#REF!</definedName>
    <definedName name="Pp_Vzdel_TaS_stav">#REF!</definedName>
    <definedName name="Pp_Vzdel_TaS_výkon" localSheetId="15">#REF!</definedName>
    <definedName name="Pp_Vzdel_TaS_výkon" localSheetId="4">#REF!</definedName>
    <definedName name="Pp_Vzdel_TaS_výkon" localSheetId="6">#REF!</definedName>
    <definedName name="Pp_Vzdel_TaS_výkon" localSheetId="7">#REF!</definedName>
    <definedName name="Pp_Vzdel_TaS_výkon">#REF!</definedName>
    <definedName name="Pp_Vzdel_TaS_výkon_PPŠ" localSheetId="15">#REF!</definedName>
    <definedName name="Pp_Vzdel_TaS_výkon_PPŠ" localSheetId="4">#REF!</definedName>
    <definedName name="Pp_Vzdel_TaS_výkon_PPŠ" localSheetId="6">#REF!</definedName>
    <definedName name="Pp_Vzdel_TaS_výkon_PPŠ" localSheetId="7">#REF!</definedName>
    <definedName name="Pp_Vzdel_TaS_výkon_PPŠ">#REF!</definedName>
    <definedName name="Pp_Vzdel_TaS_výkon_PPŠ_a_zákl" localSheetId="15">#REF!</definedName>
    <definedName name="Pp_Vzdel_TaS_výkon_PPŠ_a_zákl" localSheetId="4">#REF!</definedName>
    <definedName name="Pp_Vzdel_TaS_výkon_PPŠ_a_zákl" localSheetId="6">#REF!</definedName>
    <definedName name="Pp_Vzdel_TaS_výkon_PPŠ_a_zákl" localSheetId="7">#REF!</definedName>
    <definedName name="Pp_Vzdel_TaS_výkon_PPŠ_a_zákl">#REF!</definedName>
    <definedName name="Pp_Vzdel_TaS_výkon_PPŠ_KEN" localSheetId="15">#REF!</definedName>
    <definedName name="Pp_Vzdel_TaS_výkon_PPŠ_KEN" localSheetId="4">#REF!</definedName>
    <definedName name="Pp_Vzdel_TaS_výkon_PPŠ_KEN" localSheetId="6">#REF!</definedName>
    <definedName name="Pp_Vzdel_TaS_výkon_PPŠ_KEN" localSheetId="7">#REF!</definedName>
    <definedName name="Pp_Vzdel_TaS_výkon_PPŠ_KEN">#REF!</definedName>
    <definedName name="Pp_Vzdel_TaS_zahr_granty" localSheetId="4">#REF!</definedName>
    <definedName name="Pp_Vzdel_TaS_zahr_granty" localSheetId="7">#REF!</definedName>
    <definedName name="Pp_Vzdel_TaS_zahr_granty">#REF!</definedName>
    <definedName name="Pp_Vzdel_TaS_zákl" localSheetId="15">#REF!</definedName>
    <definedName name="Pp_Vzdel_TaS_zákl" localSheetId="4">#REF!</definedName>
    <definedName name="Pp_Vzdel_TaS_zákl" localSheetId="6">#REF!</definedName>
    <definedName name="Pp_Vzdel_TaS_zákl" localSheetId="7">#REF!</definedName>
    <definedName name="Pp_Vzdel_TaS_zákl">#REF!</definedName>
    <definedName name="Pr_AV_BD" localSheetId="4">#REF!</definedName>
    <definedName name="Pr_AV_BD" localSheetId="7">#REF!</definedName>
    <definedName name="Pr_AV_BD">#REF!</definedName>
    <definedName name="Pr_IV_BD" localSheetId="4">#REF!</definedName>
    <definedName name="Pr_IV_BD" localSheetId="7">#REF!</definedName>
    <definedName name="Pr_IV_BD">#REF!</definedName>
    <definedName name="Pr_IV_KV" localSheetId="4">#REF!</definedName>
    <definedName name="Pr_IV_KV" localSheetId="7">#REF!</definedName>
    <definedName name="Pr_IV_KV">#REF!</definedName>
    <definedName name="Pr_IV_KV_rezerva" localSheetId="4">#REF!</definedName>
    <definedName name="Pr_IV_KV_rezerva" localSheetId="7">#REF!</definedName>
    <definedName name="Pr_IV_KV_rezerva">#REF!</definedName>
    <definedName name="Pr_KEGA_BD" localSheetId="4">#REF!</definedName>
    <definedName name="Pr_KEGA_BD" localSheetId="7">#REF!</definedName>
    <definedName name="Pr_KEGA_BD">#REF!</definedName>
    <definedName name="Pr_klinické" localSheetId="4">#REF!</definedName>
    <definedName name="Pr_klinické" localSheetId="7">#REF!</definedName>
    <definedName name="Pr_klinické">#REF!</definedName>
    <definedName name="Pr_KŠ" localSheetId="15">#REF!</definedName>
    <definedName name="Pr_KŠ" localSheetId="4">#REF!</definedName>
    <definedName name="Pr_KŠ" localSheetId="6">#REF!</definedName>
    <definedName name="Pr_KŠ" localSheetId="7">#REF!</definedName>
    <definedName name="Pr_KŠ">#REF!</definedName>
    <definedName name="Pr_motštip_BD" localSheetId="4">#REF!</definedName>
    <definedName name="Pr_motštip_BD" localSheetId="7">#REF!</definedName>
    <definedName name="Pr_motštip_BD">#REF!</definedName>
    <definedName name="Pr_MVTS_BD" localSheetId="4">#REF!</definedName>
    <definedName name="Pr_MVTS_BD" localSheetId="7">#REF!</definedName>
    <definedName name="Pr_MVTS_BD">#REF!</definedName>
    <definedName name="Pr_socštip_BD" localSheetId="4">#REF!</definedName>
    <definedName name="Pr_socštip_BD" localSheetId="7">#REF!</definedName>
    <definedName name="Pr_socštip_BD">#REF!</definedName>
    <definedName name="Pr_ŠD" localSheetId="15">#REF!</definedName>
    <definedName name="Pr_ŠD" localSheetId="4">#REF!</definedName>
    <definedName name="Pr_ŠD" localSheetId="6">#REF!</definedName>
    <definedName name="Pr_ŠD" localSheetId="7">#REF!</definedName>
    <definedName name="Pr_ŠD">#REF!</definedName>
    <definedName name="Pr_ŠDaJKŠPC_BD" localSheetId="4">#REF!</definedName>
    <definedName name="Pr_ŠDaJKŠPC_BD" localSheetId="7">#REF!</definedName>
    <definedName name="Pr_ŠDaJKŠPC_BD">#REF!</definedName>
    <definedName name="Pr_VaT_KV_zac_roka" localSheetId="4">#REF!</definedName>
    <definedName name="Pr_VaT_KV_zac_roka" localSheetId="7">#REF!</definedName>
    <definedName name="Pr_VaT_KV_zac_roka">#REF!</definedName>
    <definedName name="Pr_VaT_TaS" localSheetId="4">#REF!</definedName>
    <definedName name="Pr_VaT_TaS" localSheetId="7">#REF!</definedName>
    <definedName name="Pr_VaT_TaS">#REF!</definedName>
    <definedName name="Pr_VaT_TaS_rezerva" localSheetId="4">#REF!</definedName>
    <definedName name="Pr_VaT_TaS_rezerva" localSheetId="7">#REF!</definedName>
    <definedName name="Pr_VaT_TaS_rezerva">#REF!</definedName>
    <definedName name="Pr_VaT_TaS_zac_roka" localSheetId="4">#REF!</definedName>
    <definedName name="Pr_VaT_TaS_zac_roka" localSheetId="7">#REF!</definedName>
    <definedName name="Pr_VaT_TaS_zac_roka">#REF!</definedName>
    <definedName name="Pr_VEGA_BD" localSheetId="4">#REF!</definedName>
    <definedName name="Pr_VEGA_BD" localSheetId="7">#REF!</definedName>
    <definedName name="Pr_VEGA_BD">#REF!</definedName>
    <definedName name="predmety" localSheetId="4">#REF!</definedName>
    <definedName name="predmety" localSheetId="7">#REF!</definedName>
    <definedName name="predmety">#REF!</definedName>
    <definedName name="prisp_na_1_jedlo" localSheetId="15">#REF!</definedName>
    <definedName name="prisp_na_1_jedlo" localSheetId="4">#REF!</definedName>
    <definedName name="prisp_na_1_jedlo" localSheetId="6">#REF!</definedName>
    <definedName name="prisp_na_1_jedlo" localSheetId="7">#REF!</definedName>
    <definedName name="prisp_na_1_jedlo">#REF!</definedName>
    <definedName name="prisp_na_ubyt_stud_SD" localSheetId="15">#REF!</definedName>
    <definedName name="prisp_na_ubyt_stud_SD" localSheetId="4">#REF!</definedName>
    <definedName name="prisp_na_ubyt_stud_SD" localSheetId="6">#REF!</definedName>
    <definedName name="prisp_na_ubyt_stud_SD" localSheetId="7">#REF!</definedName>
    <definedName name="prisp_na_ubyt_stud_SD">#REF!</definedName>
    <definedName name="prisp_na_ubyt_stud_ZZ" localSheetId="15">#REF!</definedName>
    <definedName name="prisp_na_ubyt_stud_ZZ" localSheetId="4">#REF!</definedName>
    <definedName name="prisp_na_ubyt_stud_ZZ" localSheetId="6">#REF!</definedName>
    <definedName name="prisp_na_ubyt_stud_ZZ" localSheetId="7">#REF!</definedName>
    <definedName name="prisp_na_ubyt_stud_ZZ">#REF!</definedName>
    <definedName name="prísp_zákl_prev" localSheetId="4">#REF!</definedName>
    <definedName name="prísp_zákl_prev" localSheetId="7">#REF!</definedName>
    <definedName name="prísp_zákl_prev">#REF!</definedName>
    <definedName name="R_vvs" localSheetId="4">#REF!</definedName>
    <definedName name="R_vvs" localSheetId="7">#REF!</definedName>
    <definedName name="R_vvs">#REF!</definedName>
    <definedName name="R_vvs_BD" localSheetId="4">#REF!</definedName>
    <definedName name="R_vvs_BD" localSheetId="7">#REF!</definedName>
    <definedName name="R_vvs_BD">#REF!</definedName>
    <definedName name="R_vvs_VaT_BD" localSheetId="4">#REF!</definedName>
    <definedName name="R_vvs_VaT_BD" localSheetId="7">#REF!</definedName>
    <definedName name="R_vvs_VaT_BD">#REF!</definedName>
    <definedName name="Sanet" localSheetId="4">#REF!</definedName>
    <definedName name="Sanet" localSheetId="7">#REF!</definedName>
    <definedName name="Sanet">#REF!</definedName>
    <definedName name="SAPBEXrevision" hidden="1">7</definedName>
    <definedName name="SAPBEXsysID" hidden="1">"BS1"</definedName>
    <definedName name="SAPBEXwbID" hidden="1">"3TG3S316PX9BHXMQEBSXSYZZO"</definedName>
    <definedName name="stavba_ucelova" localSheetId="4">#REF!</definedName>
    <definedName name="stavba_ucelova" localSheetId="7">#REF!</definedName>
    <definedName name="stavba_ucelova">#REF!</definedName>
    <definedName name="studenti_vstup" localSheetId="4">#REF!</definedName>
    <definedName name="studenti_vstup" localSheetId="7">#REF!</definedName>
    <definedName name="studenti_vstup">#REF!</definedName>
    <definedName name="sustava" localSheetId="4">#REF!</definedName>
    <definedName name="sustava" localSheetId="7">#REF!</definedName>
    <definedName name="sustava">#REF!</definedName>
    <definedName name="T_1" localSheetId="7">#REF!</definedName>
    <definedName name="T_1">#REF!</definedName>
    <definedName name="T_25_so_štip_2007" localSheetId="7">#REF!</definedName>
    <definedName name="T_25_so_štip_2007">#REF!</definedName>
    <definedName name="T_M" localSheetId="7">#REF!</definedName>
    <definedName name="T_M">#REF!</definedName>
    <definedName name="váha_absDrš" localSheetId="4">#REF!</definedName>
    <definedName name="váha_absDrš" localSheetId="7">#REF!</definedName>
    <definedName name="váha_absDrš">#REF!</definedName>
    <definedName name="váha_DG" localSheetId="4">#REF!</definedName>
    <definedName name="váha_DG" localSheetId="7">#REF!</definedName>
    <definedName name="váha_DG">#REF!</definedName>
    <definedName name="váha_poDs" localSheetId="4">#REF!</definedName>
    <definedName name="váha_poDs" localSheetId="7">#REF!</definedName>
    <definedName name="váha_poDs">#REF!</definedName>
    <definedName name="váha_Pub" localSheetId="4">#REF!</definedName>
    <definedName name="váha_Pub" localSheetId="7">#REF!</definedName>
    <definedName name="váha_Pub">#REF!</definedName>
    <definedName name="váha_ZG" localSheetId="4">#REF!</definedName>
    <definedName name="váha_ZG" localSheetId="7">#REF!</definedName>
    <definedName name="váha_ZG">#REF!</definedName>
    <definedName name="výkon_um" localSheetId="4">#REF!</definedName>
    <definedName name="výkon_um" localSheetId="7">#REF!</definedName>
    <definedName name="výkon_um">#REF!</definedName>
    <definedName name="x" localSheetId="7">#REF!</definedName>
    <definedName name="x">#REF!</definedName>
    <definedName name="xxx" hidden="1">"3TGMUFSSIAIMK2KTNC9DELQD0"</definedName>
    <definedName name="zakl_prisp_na_prev_SD" localSheetId="15">#REF!</definedName>
    <definedName name="zakl_prisp_na_prev_SD" localSheetId="4">#REF!</definedName>
    <definedName name="zakl_prisp_na_prev_SD" localSheetId="6">#REF!</definedName>
    <definedName name="zakl_prisp_na_prev_SD" localSheetId="7">#REF!</definedName>
    <definedName name="zakl_prisp_na_prev_SD">#REF!</definedName>
    <definedName name="záloha" localSheetId="15">#REF!</definedName>
    <definedName name="záloha" localSheetId="4">#REF!</definedName>
    <definedName name="záloha" localSheetId="6">#REF!</definedName>
    <definedName name="záloha" localSheetId="7">#REF!</definedName>
    <definedName name="záloha">#REF!</definedName>
  </definedNames>
  <calcPr calcId="162913"/>
</workbook>
</file>

<file path=xl/calcChain.xml><?xml version="1.0" encoding="utf-8"?>
<calcChain xmlns="http://schemas.openxmlformats.org/spreadsheetml/2006/main">
  <c r="E28" i="134" l="1"/>
  <c r="D28" i="134"/>
  <c r="E24" i="133"/>
  <c r="D24" i="133"/>
  <c r="D10" i="146" l="1"/>
  <c r="F9" i="145" l="1"/>
  <c r="H6" i="97" l="1"/>
  <c r="F41" i="134" l="1"/>
  <c r="F40" i="134"/>
  <c r="F39" i="134"/>
  <c r="F38" i="134"/>
  <c r="F37" i="134"/>
  <c r="F36" i="134"/>
  <c r="F35" i="134"/>
  <c r="F34" i="134"/>
  <c r="F33" i="134"/>
  <c r="F32" i="134"/>
  <c r="F31" i="134"/>
  <c r="F30" i="134"/>
  <c r="F29" i="134"/>
  <c r="E42" i="134"/>
  <c r="D42" i="134"/>
  <c r="F27" i="134"/>
  <c r="F26" i="134"/>
  <c r="F25" i="134"/>
  <c r="F24" i="134"/>
  <c r="F23" i="134"/>
  <c r="F22" i="134"/>
  <c r="F21" i="134"/>
  <c r="F20" i="134"/>
  <c r="F19" i="134"/>
  <c r="F18" i="134"/>
  <c r="F17" i="134"/>
  <c r="F16" i="134"/>
  <c r="F15" i="134"/>
  <c r="F14" i="134"/>
  <c r="F13" i="134"/>
  <c r="F12" i="134"/>
  <c r="F11" i="134"/>
  <c r="F10" i="134"/>
  <c r="F9" i="134"/>
  <c r="F8" i="134"/>
  <c r="F7" i="134"/>
  <c r="F6" i="134"/>
  <c r="F5" i="134"/>
  <c r="F43" i="133"/>
  <c r="F42" i="133"/>
  <c r="F39" i="133"/>
  <c r="F38" i="133"/>
  <c r="F37" i="133"/>
  <c r="F36" i="133"/>
  <c r="F35" i="133"/>
  <c r="F34" i="133"/>
  <c r="F33" i="133"/>
  <c r="F32" i="133"/>
  <c r="F31" i="133"/>
  <c r="F30" i="133"/>
  <c r="F29" i="133"/>
  <c r="F28" i="133"/>
  <c r="F27" i="133"/>
  <c r="F26" i="133"/>
  <c r="F25" i="133"/>
  <c r="F24" i="133"/>
  <c r="D40" i="133"/>
  <c r="D41" i="133" s="1"/>
  <c r="D44" i="133" s="1"/>
  <c r="F23" i="133"/>
  <c r="F22" i="133"/>
  <c r="F21" i="133"/>
  <c r="F20" i="133"/>
  <c r="F19" i="133"/>
  <c r="F18" i="133"/>
  <c r="F17" i="133"/>
  <c r="F16" i="133"/>
  <c r="F15" i="133"/>
  <c r="F14" i="133"/>
  <c r="F13" i="133"/>
  <c r="F12" i="133"/>
  <c r="F11" i="133"/>
  <c r="F10" i="133"/>
  <c r="F9" i="133"/>
  <c r="F8" i="133"/>
  <c r="F7" i="133"/>
  <c r="F6" i="133"/>
  <c r="F5" i="133"/>
  <c r="I6" i="97"/>
  <c r="G6" i="97"/>
  <c r="M6" i="97" l="1"/>
  <c r="E40" i="133"/>
  <c r="E41" i="133" s="1"/>
  <c r="E44" i="133" s="1"/>
  <c r="F44" i="133" s="1"/>
  <c r="F40" i="133"/>
  <c r="F41" i="133" s="1"/>
  <c r="F28" i="134"/>
  <c r="F42" i="134" s="1"/>
  <c r="F16" i="149" l="1"/>
  <c r="D17" i="149"/>
  <c r="D16" i="149" s="1"/>
  <c r="E17" i="149"/>
  <c r="E16" i="149" s="1"/>
  <c r="F17" i="149"/>
  <c r="C17" i="149"/>
  <c r="C16" i="149" s="1"/>
  <c r="F12" i="149"/>
  <c r="F15" i="149" s="1"/>
  <c r="E12" i="149"/>
  <c r="E15" i="149" s="1"/>
  <c r="E20" i="149" s="1"/>
  <c r="D12" i="149"/>
  <c r="D15" i="149" s="1"/>
  <c r="C12" i="149"/>
  <c r="C15" i="149" s="1"/>
  <c r="F20" i="149" l="1"/>
  <c r="D20" i="149"/>
  <c r="C20" i="149"/>
  <c r="D21" i="146" l="1"/>
  <c r="C21" i="146"/>
  <c r="D20" i="146"/>
  <c r="C20" i="146"/>
  <c r="D17" i="146"/>
  <c r="C17" i="146"/>
  <c r="D12" i="146"/>
  <c r="C12" i="146"/>
  <c r="C9" i="146" s="1"/>
  <c r="D9" i="146"/>
  <c r="A7" i="146"/>
  <c r="A8" i="146" s="1"/>
  <c r="A9" i="146" s="1"/>
  <c r="A10" i="146" s="1"/>
  <c r="A11" i="146" s="1"/>
  <c r="A12" i="146" s="1"/>
  <c r="A13" i="146" s="1"/>
  <c r="A15" i="146" s="1"/>
  <c r="A16" i="146" s="1"/>
  <c r="A17" i="146" s="1"/>
  <c r="A18" i="146" s="1"/>
  <c r="A19" i="146" s="1"/>
  <c r="A20" i="146" s="1"/>
  <c r="A21" i="146" s="1"/>
  <c r="D6" i="146"/>
  <c r="C6" i="146"/>
  <c r="A6" i="146"/>
  <c r="D5" i="146"/>
  <c r="D16" i="146" s="1"/>
  <c r="C5" i="146" l="1"/>
  <c r="C16" i="146" s="1"/>
  <c r="E89" i="150"/>
  <c r="I20" i="91"/>
  <c r="I19" i="91"/>
  <c r="E18" i="91"/>
  <c r="I18" i="91" s="1"/>
  <c r="I17" i="91"/>
  <c r="I16" i="91"/>
  <c r="I15" i="91"/>
  <c r="I14" i="91"/>
  <c r="I13" i="91"/>
  <c r="I12" i="91"/>
  <c r="I11" i="91"/>
  <c r="H10" i="91"/>
  <c r="H21" i="91" s="1"/>
  <c r="G10" i="91"/>
  <c r="G21" i="91" s="1"/>
  <c r="F10" i="91"/>
  <c r="F21" i="91" s="1"/>
  <c r="E10" i="91"/>
  <c r="D10" i="91"/>
  <c r="D21" i="91" s="1"/>
  <c r="C10" i="91"/>
  <c r="C21" i="91" s="1"/>
  <c r="I9" i="91"/>
  <c r="I8" i="91"/>
  <c r="E6" i="91"/>
  <c r="E21" i="91" s="1"/>
  <c r="D17" i="90"/>
  <c r="D7" i="90"/>
  <c r="D14" i="90" s="1"/>
  <c r="D20" i="90" s="1"/>
  <c r="C7" i="90"/>
  <c r="C14" i="90" s="1"/>
  <c r="C20" i="90" s="1"/>
  <c r="A7" i="90"/>
  <c r="A8" i="90" s="1"/>
  <c r="A9" i="90" s="1"/>
  <c r="A10" i="90" s="1"/>
  <c r="A11" i="90" s="1"/>
  <c r="A12" i="90" s="1"/>
  <c r="A13" i="90" s="1"/>
  <c r="A14" i="90" s="1"/>
  <c r="A15" i="90" s="1"/>
  <c r="A17" i="90" s="1"/>
  <c r="A18" i="90" s="1"/>
  <c r="A19" i="90" s="1"/>
  <c r="A20" i="90" s="1"/>
  <c r="D14" i="116"/>
  <c r="C14" i="116"/>
  <c r="C13" i="116"/>
  <c r="C17" i="116" s="1"/>
  <c r="D9" i="116"/>
  <c r="D13" i="116" s="1"/>
  <c r="A9" i="116"/>
  <c r="A10" i="116" s="1"/>
  <c r="A11" i="116" s="1"/>
  <c r="A12" i="116" s="1"/>
  <c r="A13" i="116" s="1"/>
  <c r="A14" i="116" s="1"/>
  <c r="A15" i="116" s="1"/>
  <c r="A16" i="116" s="1"/>
  <c r="A17" i="116" s="1"/>
  <c r="A18" i="116" s="1"/>
  <c r="F8" i="116"/>
  <c r="E8" i="116"/>
  <c r="A7" i="116"/>
  <c r="D7" i="159"/>
  <c r="C7" i="159"/>
  <c r="E6" i="159"/>
  <c r="E5" i="159"/>
  <c r="D18" i="116" l="1"/>
  <c r="D17" i="116"/>
  <c r="C18" i="116"/>
  <c r="E7" i="159"/>
  <c r="I6" i="91"/>
  <c r="I21" i="91"/>
  <c r="I10" i="91"/>
  <c r="E8" i="144" l="1"/>
  <c r="E14" i="144"/>
  <c r="J29" i="155" l="1"/>
  <c r="F29" i="155"/>
  <c r="J28" i="155"/>
  <c r="F28" i="155"/>
  <c r="K28" i="155" s="1"/>
  <c r="F27" i="155"/>
  <c r="F22" i="155" s="1"/>
  <c r="K22" i="155" s="1"/>
  <c r="J26" i="155"/>
  <c r="F26" i="155"/>
  <c r="K26" i="155" s="1"/>
  <c r="J25" i="155"/>
  <c r="F25" i="155"/>
  <c r="K25" i="155" s="1"/>
  <c r="J24" i="155"/>
  <c r="F24" i="155"/>
  <c r="K24" i="155" s="1"/>
  <c r="J23" i="155"/>
  <c r="J22" i="155" s="1"/>
  <c r="F23" i="155"/>
  <c r="I22" i="155"/>
  <c r="H22" i="155"/>
  <c r="G22" i="155"/>
  <c r="E22" i="155"/>
  <c r="D22" i="155"/>
  <c r="C22" i="155"/>
  <c r="J21" i="155"/>
  <c r="F21" i="155"/>
  <c r="J20" i="155"/>
  <c r="F20" i="155"/>
  <c r="J19" i="155"/>
  <c r="F19" i="155"/>
  <c r="J18" i="155"/>
  <c r="F18" i="155"/>
  <c r="J17" i="155"/>
  <c r="F17" i="155"/>
  <c r="I16" i="155"/>
  <c r="H16" i="155"/>
  <c r="G16" i="155"/>
  <c r="E16" i="155"/>
  <c r="D16" i="155"/>
  <c r="C16" i="155"/>
  <c r="J15" i="155"/>
  <c r="F15" i="155"/>
  <c r="F14" i="155"/>
  <c r="J13" i="155"/>
  <c r="F13" i="155"/>
  <c r="J12" i="155"/>
  <c r="F12" i="155"/>
  <c r="J11" i="155"/>
  <c r="F11" i="155"/>
  <c r="J10" i="155"/>
  <c r="F10" i="155"/>
  <c r="J9" i="155"/>
  <c r="F9" i="155"/>
  <c r="J8" i="155"/>
  <c r="F8" i="155"/>
  <c r="I7" i="155"/>
  <c r="H7" i="155"/>
  <c r="H30" i="155" s="1"/>
  <c r="G7" i="155"/>
  <c r="E7" i="155"/>
  <c r="D7" i="155"/>
  <c r="C7" i="155"/>
  <c r="C30" i="155" s="1"/>
  <c r="J29" i="76"/>
  <c r="F29" i="76"/>
  <c r="K29" i="76" s="1"/>
  <c r="J28" i="76"/>
  <c r="F28" i="76"/>
  <c r="F27" i="76"/>
  <c r="F22" i="76" s="1"/>
  <c r="J26" i="76"/>
  <c r="F26" i="76"/>
  <c r="L26" i="155" s="1"/>
  <c r="J25" i="76"/>
  <c r="F25" i="76"/>
  <c r="K25" i="76" s="1"/>
  <c r="J24" i="76"/>
  <c r="F24" i="76"/>
  <c r="K24" i="76" s="1"/>
  <c r="J23" i="76"/>
  <c r="F23" i="76"/>
  <c r="I22" i="76"/>
  <c r="H22" i="76"/>
  <c r="G22" i="76"/>
  <c r="E22" i="76"/>
  <c r="D22" i="76"/>
  <c r="C22" i="76"/>
  <c r="J21" i="76"/>
  <c r="F21" i="76"/>
  <c r="J20" i="76"/>
  <c r="F20" i="76"/>
  <c r="J19" i="76"/>
  <c r="F19" i="76"/>
  <c r="J18" i="76"/>
  <c r="F18" i="76"/>
  <c r="J17" i="76"/>
  <c r="F17" i="76"/>
  <c r="I16" i="76"/>
  <c r="H16" i="76"/>
  <c r="G16" i="76"/>
  <c r="E16" i="76"/>
  <c r="D16" i="76"/>
  <c r="C16" i="76"/>
  <c r="J15" i="76"/>
  <c r="F15" i="76"/>
  <c r="J13" i="76"/>
  <c r="F13" i="76"/>
  <c r="J12" i="76"/>
  <c r="F12" i="76"/>
  <c r="J11" i="76"/>
  <c r="F11" i="76"/>
  <c r="J10" i="76"/>
  <c r="F10" i="76"/>
  <c r="J9" i="76"/>
  <c r="F9" i="76"/>
  <c r="J8" i="76"/>
  <c r="K8" i="76" s="1"/>
  <c r="F8" i="76"/>
  <c r="I7" i="76"/>
  <c r="H7" i="76"/>
  <c r="G7" i="76"/>
  <c r="G30" i="76" s="1"/>
  <c r="E7" i="76"/>
  <c r="D7" i="76"/>
  <c r="C7" i="76"/>
  <c r="K13" i="76" l="1"/>
  <c r="K15" i="76"/>
  <c r="K17" i="76"/>
  <c r="K21" i="76"/>
  <c r="K23" i="76"/>
  <c r="K26" i="76"/>
  <c r="L9" i="155"/>
  <c r="L11" i="155"/>
  <c r="L13" i="155"/>
  <c r="J16" i="155"/>
  <c r="L29" i="155"/>
  <c r="C30" i="76"/>
  <c r="H30" i="76"/>
  <c r="K9" i="76"/>
  <c r="K10" i="76"/>
  <c r="K11" i="76"/>
  <c r="K20" i="76"/>
  <c r="K28" i="76"/>
  <c r="D30" i="155"/>
  <c r="F16" i="155"/>
  <c r="K23" i="155"/>
  <c r="K22" i="76"/>
  <c r="L22" i="155"/>
  <c r="K12" i="76"/>
  <c r="I30" i="155"/>
  <c r="L15" i="155"/>
  <c r="L18" i="155"/>
  <c r="L20" i="155"/>
  <c r="L25" i="155"/>
  <c r="D30" i="76"/>
  <c r="J7" i="76"/>
  <c r="J16" i="76"/>
  <c r="K19" i="76"/>
  <c r="F7" i="155"/>
  <c r="F30" i="155" s="1"/>
  <c r="L8" i="155"/>
  <c r="L10" i="155"/>
  <c r="L12" i="155"/>
  <c r="L24" i="155"/>
  <c r="L28" i="155"/>
  <c r="E30" i="76"/>
  <c r="F16" i="76"/>
  <c r="K18" i="76"/>
  <c r="J22" i="76"/>
  <c r="G30" i="155"/>
  <c r="K15" i="155"/>
  <c r="L17" i="155"/>
  <c r="L19" i="155"/>
  <c r="L21" i="155"/>
  <c r="L23" i="155"/>
  <c r="K29" i="155"/>
  <c r="E30" i="155"/>
  <c r="J7" i="155"/>
  <c r="K16" i="155"/>
  <c r="K17" i="155"/>
  <c r="K18" i="155"/>
  <c r="K19" i="155"/>
  <c r="K20" i="155"/>
  <c r="K21" i="155"/>
  <c r="K8" i="155"/>
  <c r="K9" i="155"/>
  <c r="K10" i="155"/>
  <c r="K11" i="155"/>
  <c r="K12" i="155"/>
  <c r="K13" i="155"/>
  <c r="F7" i="76"/>
  <c r="I30" i="76"/>
  <c r="C19" i="64"/>
  <c r="J30" i="155" l="1"/>
  <c r="K16" i="76"/>
  <c r="L16" i="155"/>
  <c r="J30" i="76"/>
  <c r="K30" i="155"/>
  <c r="K7" i="155"/>
  <c r="L7" i="155"/>
  <c r="F30" i="76"/>
  <c r="K30" i="76" s="1"/>
  <c r="K7" i="76"/>
  <c r="G61" i="150"/>
  <c r="G7" i="150"/>
  <c r="G8" i="150"/>
  <c r="G9" i="150"/>
  <c r="G10" i="150"/>
  <c r="G11" i="150"/>
  <c r="G12" i="150"/>
  <c r="G13" i="150"/>
  <c r="G14" i="150"/>
  <c r="G15" i="150"/>
  <c r="G16" i="150"/>
  <c r="G17" i="150"/>
  <c r="G18" i="150"/>
  <c r="E48" i="142"/>
  <c r="E39" i="142"/>
  <c r="E30" i="142"/>
  <c r="E25" i="142"/>
  <c r="F48" i="142"/>
  <c r="F15" i="142"/>
  <c r="C48" i="142"/>
  <c r="C34" i="142"/>
  <c r="C27" i="142"/>
  <c r="L30" i="155" l="1"/>
  <c r="C20" i="3"/>
  <c r="E24" i="3" l="1"/>
  <c r="E25" i="3"/>
  <c r="E26" i="3"/>
  <c r="E27" i="3"/>
  <c r="E28" i="3"/>
  <c r="E29" i="3"/>
  <c r="E30" i="3"/>
  <c r="C16" i="3" l="1"/>
  <c r="C11" i="3"/>
  <c r="C5" i="3"/>
  <c r="E9" i="3"/>
  <c r="G47" i="142" l="1"/>
  <c r="H47" i="142"/>
  <c r="D30" i="142"/>
  <c r="F30" i="142"/>
  <c r="D25" i="142"/>
  <c r="F25" i="142"/>
  <c r="D5" i="154" l="1"/>
  <c r="C5" i="154"/>
  <c r="C30" i="142" l="1"/>
  <c r="G35" i="142" l="1"/>
  <c r="H35" i="142"/>
  <c r="G36" i="142"/>
  <c r="H36" i="142"/>
  <c r="G30" i="142" l="1"/>
  <c r="H30" i="142"/>
  <c r="H37" i="142"/>
  <c r="G37" i="142"/>
  <c r="D9" i="157" l="1"/>
  <c r="F6" i="157" s="1"/>
  <c r="F9" i="157" s="1"/>
  <c r="C5" i="64" l="1"/>
  <c r="C22" i="64" s="1"/>
  <c r="D19" i="144" l="1"/>
  <c r="E19" i="144"/>
  <c r="F19" i="144"/>
  <c r="D16" i="144"/>
  <c r="E16" i="144"/>
  <c r="F16" i="144"/>
  <c r="D13" i="144"/>
  <c r="E13" i="144"/>
  <c r="F13" i="144"/>
  <c r="D10" i="144"/>
  <c r="E10" i="144"/>
  <c r="F10" i="144"/>
  <c r="D7" i="144"/>
  <c r="E7" i="144"/>
  <c r="F7" i="144"/>
  <c r="E6" i="144" l="1"/>
  <c r="F6" i="144"/>
  <c r="D6" i="144"/>
  <c r="E6" i="23"/>
  <c r="E14" i="23"/>
  <c r="E16" i="23"/>
  <c r="E17" i="23"/>
  <c r="E18" i="23"/>
  <c r="E8" i="23"/>
  <c r="E9" i="23"/>
  <c r="E10" i="23"/>
  <c r="E11" i="23"/>
  <c r="E12" i="23"/>
  <c r="D7" i="23"/>
  <c r="C7" i="23"/>
  <c r="E7" i="23" l="1"/>
  <c r="G63" i="142"/>
  <c r="H63" i="142"/>
  <c r="G65" i="142"/>
  <c r="H65" i="142"/>
  <c r="G87" i="150" l="1"/>
  <c r="H87" i="150"/>
  <c r="G55" i="142" l="1"/>
  <c r="G56" i="142"/>
  <c r="G57" i="142"/>
  <c r="G58" i="142"/>
  <c r="G59" i="142"/>
  <c r="G60" i="142"/>
  <c r="G61" i="142"/>
  <c r="G7" i="142"/>
  <c r="H7" i="142"/>
  <c r="G8" i="142"/>
  <c r="H8" i="142"/>
  <c r="G9" i="142"/>
  <c r="H9" i="142"/>
  <c r="G10" i="142"/>
  <c r="H10" i="142"/>
  <c r="G12" i="142"/>
  <c r="H12" i="142"/>
  <c r="G13" i="142"/>
  <c r="H13" i="142"/>
  <c r="G14" i="142"/>
  <c r="H14" i="142"/>
  <c r="G15" i="142"/>
  <c r="H15" i="142"/>
  <c r="G16" i="142"/>
  <c r="H16" i="142"/>
  <c r="G17" i="142"/>
  <c r="H17" i="142"/>
  <c r="G18" i="142"/>
  <c r="H18" i="142"/>
  <c r="G19" i="142"/>
  <c r="H19" i="142"/>
  <c r="G20" i="142"/>
  <c r="G22" i="142"/>
  <c r="H22" i="142"/>
  <c r="G23" i="142"/>
  <c r="H23" i="142"/>
  <c r="G24" i="142"/>
  <c r="H24" i="142"/>
  <c r="G26" i="142"/>
  <c r="H26" i="142"/>
  <c r="G27" i="142"/>
  <c r="H27" i="142"/>
  <c r="G28" i="142"/>
  <c r="H28" i="142"/>
  <c r="G29" i="142"/>
  <c r="H29" i="142"/>
  <c r="G31" i="142"/>
  <c r="H31" i="142"/>
  <c r="G32" i="142"/>
  <c r="H32" i="142"/>
  <c r="G33" i="142"/>
  <c r="H33" i="142"/>
  <c r="G34" i="142"/>
  <c r="H34" i="142"/>
  <c r="G39" i="142"/>
  <c r="H39" i="142"/>
  <c r="G40" i="142"/>
  <c r="H40" i="142"/>
  <c r="G41" i="142"/>
  <c r="H41" i="142"/>
  <c r="G42" i="142"/>
  <c r="H42" i="142"/>
  <c r="G43" i="142"/>
  <c r="H43" i="142"/>
  <c r="G44" i="142"/>
  <c r="H44" i="142"/>
  <c r="G45" i="142"/>
  <c r="H45" i="142"/>
  <c r="G46" i="142"/>
  <c r="H46" i="142"/>
  <c r="G48" i="142"/>
  <c r="H48" i="142"/>
  <c r="G49" i="142"/>
  <c r="H49" i="142"/>
  <c r="G50" i="142"/>
  <c r="H50" i="142"/>
  <c r="G51" i="142"/>
  <c r="H51" i="142"/>
  <c r="G52" i="142"/>
  <c r="H52" i="142"/>
  <c r="G53" i="142"/>
  <c r="H53" i="142"/>
  <c r="H60" i="142"/>
  <c r="H61" i="142"/>
  <c r="G62" i="142"/>
  <c r="H62" i="142"/>
  <c r="G64" i="142"/>
  <c r="H64" i="142"/>
  <c r="G66" i="142"/>
  <c r="H66" i="142"/>
  <c r="G67" i="142"/>
  <c r="H67" i="142"/>
  <c r="G68" i="142"/>
  <c r="H68" i="142"/>
  <c r="D6" i="142"/>
  <c r="E6" i="142"/>
  <c r="F6" i="142"/>
  <c r="D11" i="142"/>
  <c r="E11" i="142"/>
  <c r="F11" i="142"/>
  <c r="D21" i="142"/>
  <c r="E21" i="142"/>
  <c r="F21" i="142"/>
  <c r="D38" i="142"/>
  <c r="E38" i="142"/>
  <c r="F38" i="142"/>
  <c r="D54" i="142"/>
  <c r="E54" i="142"/>
  <c r="F54" i="142"/>
  <c r="H21" i="142" l="1"/>
  <c r="H38" i="142"/>
  <c r="E69" i="142"/>
  <c r="D69" i="142"/>
  <c r="H54" i="142"/>
  <c r="F69" i="142"/>
  <c r="H11" i="142"/>
  <c r="H25" i="142"/>
  <c r="H69" i="142" l="1"/>
  <c r="C38" i="142"/>
  <c r="G38" i="142" s="1"/>
  <c r="C25" i="142" l="1"/>
  <c r="G25" i="142" l="1"/>
  <c r="C13" i="144" l="1"/>
  <c r="G98" i="150" l="1"/>
  <c r="H98" i="150"/>
  <c r="C9" i="157" l="1"/>
  <c r="E6" i="157" s="1"/>
  <c r="E9" i="157" s="1"/>
  <c r="D18" i="154"/>
  <c r="C18" i="154"/>
  <c r="D11" i="154"/>
  <c r="C11" i="154"/>
  <c r="D16" i="3"/>
  <c r="D20" i="3"/>
  <c r="H101" i="150"/>
  <c r="G101" i="150"/>
  <c r="H100" i="150"/>
  <c r="G100" i="150"/>
  <c r="H99" i="150"/>
  <c r="G99" i="150"/>
  <c r="H97" i="150"/>
  <c r="G97" i="150"/>
  <c r="H96" i="150"/>
  <c r="G96" i="150"/>
  <c r="H95" i="150"/>
  <c r="G95" i="150"/>
  <c r="H94" i="150"/>
  <c r="G94" i="150"/>
  <c r="H93" i="150"/>
  <c r="G93" i="150"/>
  <c r="H92" i="150"/>
  <c r="G92" i="150"/>
  <c r="H91" i="150"/>
  <c r="G91" i="150"/>
  <c r="F90" i="150"/>
  <c r="E90" i="150"/>
  <c r="D90" i="150"/>
  <c r="C90" i="150"/>
  <c r="H89" i="150"/>
  <c r="G89" i="150"/>
  <c r="H88" i="150"/>
  <c r="G88" i="150"/>
  <c r="H86" i="150"/>
  <c r="G86" i="150"/>
  <c r="H85" i="150"/>
  <c r="G85" i="150"/>
  <c r="H84" i="150"/>
  <c r="G84" i="150"/>
  <c r="H83" i="150"/>
  <c r="G83" i="150"/>
  <c r="H82" i="150"/>
  <c r="G82" i="150"/>
  <c r="F81" i="150"/>
  <c r="F79" i="150" s="1"/>
  <c r="E81" i="150"/>
  <c r="E79" i="150" s="1"/>
  <c r="D81" i="150"/>
  <c r="D79" i="150" s="1"/>
  <c r="C81" i="150"/>
  <c r="H80" i="150"/>
  <c r="G80" i="150"/>
  <c r="C79" i="150"/>
  <c r="H78" i="150"/>
  <c r="G78" i="150"/>
  <c r="H77" i="150"/>
  <c r="G77" i="150"/>
  <c r="H76" i="150"/>
  <c r="G76" i="150"/>
  <c r="H75" i="150"/>
  <c r="G75" i="150"/>
  <c r="H74" i="150"/>
  <c r="G74" i="150"/>
  <c r="H73" i="150"/>
  <c r="G73" i="150"/>
  <c r="H72" i="150"/>
  <c r="G72" i="150"/>
  <c r="H71" i="150"/>
  <c r="G71" i="150"/>
  <c r="H70" i="150"/>
  <c r="G70" i="150"/>
  <c r="H69" i="150"/>
  <c r="G69" i="150"/>
  <c r="F68" i="150"/>
  <c r="E68" i="150"/>
  <c r="D68" i="150"/>
  <c r="C68" i="150"/>
  <c r="H67" i="150"/>
  <c r="G67" i="150"/>
  <c r="H66" i="150"/>
  <c r="G66" i="150"/>
  <c r="H65" i="150"/>
  <c r="G65" i="150"/>
  <c r="H64" i="150"/>
  <c r="G64" i="150"/>
  <c r="H63" i="150"/>
  <c r="G63" i="150"/>
  <c r="F62" i="150"/>
  <c r="F60" i="150" s="1"/>
  <c r="E62" i="150"/>
  <c r="E60" i="150" s="1"/>
  <c r="D62" i="150"/>
  <c r="D60" i="150" s="1"/>
  <c r="C62" i="150"/>
  <c r="C60" i="150" s="1"/>
  <c r="H61" i="150"/>
  <c r="H59" i="150"/>
  <c r="G59" i="150"/>
  <c r="H58" i="150"/>
  <c r="G58" i="150"/>
  <c r="H57" i="150"/>
  <c r="G57" i="150"/>
  <c r="H56" i="150"/>
  <c r="G56" i="150"/>
  <c r="H55" i="150"/>
  <c r="G55" i="150"/>
  <c r="H54" i="150"/>
  <c r="G54" i="150"/>
  <c r="H53" i="150"/>
  <c r="G53" i="150"/>
  <c r="H52" i="150"/>
  <c r="G52" i="150"/>
  <c r="H51" i="150"/>
  <c r="G51" i="150"/>
  <c r="H50" i="150"/>
  <c r="G50" i="150"/>
  <c r="H49" i="150"/>
  <c r="G49" i="150"/>
  <c r="H48" i="150"/>
  <c r="G48" i="150"/>
  <c r="H47" i="150"/>
  <c r="G47" i="150"/>
  <c r="H46" i="150"/>
  <c r="G46" i="150"/>
  <c r="H45" i="150"/>
  <c r="G45" i="150"/>
  <c r="F44" i="150"/>
  <c r="E44" i="150"/>
  <c r="D44" i="150"/>
  <c r="H44" i="150" s="1"/>
  <c r="C44" i="150"/>
  <c r="H43" i="150"/>
  <c r="G43" i="150"/>
  <c r="H42" i="150"/>
  <c r="G42" i="150"/>
  <c r="H41" i="150"/>
  <c r="G41" i="150"/>
  <c r="F40" i="150"/>
  <c r="E40" i="150"/>
  <c r="D40" i="150"/>
  <c r="C40" i="150"/>
  <c r="G40" i="150" s="1"/>
  <c r="H39" i="150"/>
  <c r="G39" i="150"/>
  <c r="H38" i="150"/>
  <c r="G38" i="150"/>
  <c r="H37" i="150"/>
  <c r="G37" i="150"/>
  <c r="H36" i="150"/>
  <c r="G36" i="150"/>
  <c r="H35" i="150"/>
  <c r="G35" i="150"/>
  <c r="H34" i="150"/>
  <c r="G34" i="150"/>
  <c r="H33" i="150"/>
  <c r="G33" i="150"/>
  <c r="F32" i="150"/>
  <c r="E32" i="150"/>
  <c r="D32" i="150"/>
  <c r="C32" i="150"/>
  <c r="H31" i="150"/>
  <c r="H30" i="150"/>
  <c r="G30" i="150"/>
  <c r="H29" i="150"/>
  <c r="G29" i="150"/>
  <c r="H28" i="150"/>
  <c r="G28" i="150"/>
  <c r="F27" i="150"/>
  <c r="E27" i="150"/>
  <c r="D27" i="150"/>
  <c r="C27" i="150"/>
  <c r="H25" i="150"/>
  <c r="G25" i="150"/>
  <c r="H24" i="150"/>
  <c r="G24" i="150"/>
  <c r="H23" i="150"/>
  <c r="G23" i="150"/>
  <c r="H22" i="150"/>
  <c r="G22" i="150"/>
  <c r="H21" i="150"/>
  <c r="G21" i="150"/>
  <c r="H20" i="150"/>
  <c r="G20" i="150"/>
  <c r="F19" i="150"/>
  <c r="E19" i="150"/>
  <c r="D19" i="150"/>
  <c r="C19" i="150"/>
  <c r="H18" i="150"/>
  <c r="H17" i="150"/>
  <c r="H16" i="150"/>
  <c r="H15" i="150"/>
  <c r="H14" i="150"/>
  <c r="H13" i="150"/>
  <c r="H12" i="150"/>
  <c r="H11" i="150"/>
  <c r="H10" i="150"/>
  <c r="H9" i="150"/>
  <c r="H8" i="150"/>
  <c r="H7" i="150"/>
  <c r="A7" i="150"/>
  <c r="A8" i="150" s="1"/>
  <c r="A9" i="150" s="1"/>
  <c r="A10" i="150" s="1"/>
  <c r="A11" i="150" s="1"/>
  <c r="A12" i="150" s="1"/>
  <c r="A13" i="150" s="1"/>
  <c r="A14" i="150" s="1"/>
  <c r="A15" i="150" s="1"/>
  <c r="A16" i="150" s="1"/>
  <c r="A17" i="150" s="1"/>
  <c r="A18" i="150" s="1"/>
  <c r="A19" i="150" s="1"/>
  <c r="A20" i="150" s="1"/>
  <c r="A21" i="150" s="1"/>
  <c r="A22" i="150" s="1"/>
  <c r="A23" i="150" s="1"/>
  <c r="A24" i="150" s="1"/>
  <c r="A25" i="150" s="1"/>
  <c r="A26" i="150" s="1"/>
  <c r="A27" i="150" s="1"/>
  <c r="A28" i="150" s="1"/>
  <c r="A29" i="150" s="1"/>
  <c r="A30" i="150" s="1"/>
  <c r="A31" i="150" s="1"/>
  <c r="A32" i="150" s="1"/>
  <c r="A33" i="150" s="1"/>
  <c r="A34" i="150" s="1"/>
  <c r="A35" i="150" s="1"/>
  <c r="A36" i="150" s="1"/>
  <c r="A37" i="150" s="1"/>
  <c r="A38" i="150" s="1"/>
  <c r="A39" i="150" s="1"/>
  <c r="A40" i="150" s="1"/>
  <c r="A41" i="150" s="1"/>
  <c r="A42" i="150" s="1"/>
  <c r="A43" i="150" s="1"/>
  <c r="A44" i="150" s="1"/>
  <c r="A45" i="150" s="1"/>
  <c r="A46" i="150" s="1"/>
  <c r="A47" i="150" s="1"/>
  <c r="A48" i="150" s="1"/>
  <c r="A49" i="150" s="1"/>
  <c r="A50" i="150" s="1"/>
  <c r="A51" i="150" s="1"/>
  <c r="A52" i="150" s="1"/>
  <c r="A53" i="150" s="1"/>
  <c r="A54" i="150" s="1"/>
  <c r="A55" i="150" s="1"/>
  <c r="A56" i="150" s="1"/>
  <c r="A57" i="150" s="1"/>
  <c r="A58" i="150" s="1"/>
  <c r="A59" i="150" s="1"/>
  <c r="A60" i="150" s="1"/>
  <c r="A61" i="150" s="1"/>
  <c r="A62" i="150" s="1"/>
  <c r="A63" i="150" s="1"/>
  <c r="A64" i="150" s="1"/>
  <c r="A65" i="150" s="1"/>
  <c r="A66" i="150" s="1"/>
  <c r="A67" i="150" s="1"/>
  <c r="A68" i="150" s="1"/>
  <c r="A69" i="150" s="1"/>
  <c r="A70" i="150" s="1"/>
  <c r="A71" i="150" s="1"/>
  <c r="A72" i="150" s="1"/>
  <c r="A73" i="150" s="1"/>
  <c r="A74" i="150" s="1"/>
  <c r="A75" i="150" s="1"/>
  <c r="A76" i="150" s="1"/>
  <c r="A77" i="150" s="1"/>
  <c r="A78" i="150" s="1"/>
  <c r="A79" i="150" s="1"/>
  <c r="A80" i="150" s="1"/>
  <c r="A81" i="150" s="1"/>
  <c r="A82" i="150" s="1"/>
  <c r="A83" i="150" s="1"/>
  <c r="A84" i="150" s="1"/>
  <c r="A85" i="150" s="1"/>
  <c r="A86" i="150" s="1"/>
  <c r="A88" i="150" s="1"/>
  <c r="A89" i="150" s="1"/>
  <c r="A90" i="150" s="1"/>
  <c r="A91" i="150" s="1"/>
  <c r="A92" i="150" s="1"/>
  <c r="A94" i="150" s="1"/>
  <c r="A95" i="150" s="1"/>
  <c r="A96" i="150" s="1"/>
  <c r="A97" i="150" s="1"/>
  <c r="A98" i="150" s="1"/>
  <c r="A99" i="150" s="1"/>
  <c r="A100" i="150" s="1"/>
  <c r="A101" i="150" s="1"/>
  <c r="A102" i="150" s="1"/>
  <c r="F6" i="150"/>
  <c r="E6" i="150"/>
  <c r="D6" i="150"/>
  <c r="C6" i="150"/>
  <c r="N15" i="145"/>
  <c r="M15" i="145"/>
  <c r="M18" i="145"/>
  <c r="N18" i="145"/>
  <c r="N16" i="145"/>
  <c r="M16" i="145"/>
  <c r="N12" i="145"/>
  <c r="M12" i="145"/>
  <c r="N11" i="145"/>
  <c r="M11" i="145"/>
  <c r="M8" i="145"/>
  <c r="N8" i="145"/>
  <c r="M6" i="145"/>
  <c r="H20" i="142"/>
  <c r="H7" i="145"/>
  <c r="G7" i="145"/>
  <c r="G17" i="145" s="1"/>
  <c r="H6" i="145" s="1"/>
  <c r="N14" i="145"/>
  <c r="M14" i="145"/>
  <c r="N13" i="145"/>
  <c r="M13" i="145"/>
  <c r="N10" i="145"/>
  <c r="M10" i="145"/>
  <c r="N9" i="145"/>
  <c r="M9" i="145"/>
  <c r="L7" i="145"/>
  <c r="K7" i="145"/>
  <c r="K17" i="145" s="1"/>
  <c r="L6" i="145" s="1"/>
  <c r="J7" i="145"/>
  <c r="I7" i="145"/>
  <c r="I17" i="145" s="1"/>
  <c r="J6" i="145" s="1"/>
  <c r="J17" i="145" s="1"/>
  <c r="F7" i="145"/>
  <c r="F17" i="145" s="1"/>
  <c r="E7" i="145"/>
  <c r="D7" i="145"/>
  <c r="C7" i="145"/>
  <c r="C17" i="145" s="1"/>
  <c r="D6" i="145" s="1"/>
  <c r="D17" i="145" s="1"/>
  <c r="C19" i="144"/>
  <c r="C16" i="144"/>
  <c r="C10" i="144"/>
  <c r="C7" i="144"/>
  <c r="C54" i="142"/>
  <c r="G54" i="142" s="1"/>
  <c r="C21" i="142"/>
  <c r="G21" i="142" s="1"/>
  <c r="C11" i="142"/>
  <c r="G11" i="142" s="1"/>
  <c r="A7" i="142"/>
  <c r="A8" i="142" s="1"/>
  <c r="A9" i="142" s="1"/>
  <c r="A10" i="142" s="1"/>
  <c r="A11" i="142" s="1"/>
  <c r="A12" i="142" s="1"/>
  <c r="A13" i="142" s="1"/>
  <c r="A14" i="142" s="1"/>
  <c r="A15" i="142" s="1"/>
  <c r="A16" i="142" s="1"/>
  <c r="A17" i="142" s="1"/>
  <c r="A18" i="142" s="1"/>
  <c r="A19" i="142" s="1"/>
  <c r="A20" i="142" s="1"/>
  <c r="A21" i="142" s="1"/>
  <c r="A22" i="142" s="1"/>
  <c r="A23" i="142" s="1"/>
  <c r="A24" i="142" s="1"/>
  <c r="C6" i="142"/>
  <c r="C6" i="61"/>
  <c r="E6" i="61" s="1"/>
  <c r="D6" i="61"/>
  <c r="A7" i="61"/>
  <c r="A8" i="61" s="1"/>
  <c r="A9" i="61" s="1"/>
  <c r="A10" i="61" s="1"/>
  <c r="E7" i="61"/>
  <c r="E8" i="61"/>
  <c r="E10" i="61"/>
  <c r="E12" i="61"/>
  <c r="E13" i="61"/>
  <c r="C15" i="61"/>
  <c r="E15" i="61" s="1"/>
  <c r="D15" i="61"/>
  <c r="E16" i="61"/>
  <c r="A7" i="109"/>
  <c r="A8" i="109" s="1"/>
  <c r="A9" i="109" s="1"/>
  <c r="A10" i="109" s="1"/>
  <c r="C11" i="109"/>
  <c r="E9" i="109" s="1"/>
  <c r="E11" i="109" s="1"/>
  <c r="C12" i="109"/>
  <c r="E12" i="109"/>
  <c r="D5" i="3"/>
  <c r="E5" i="3" s="1"/>
  <c r="E6" i="3"/>
  <c r="E7" i="3"/>
  <c r="E8" i="3"/>
  <c r="D11" i="3"/>
  <c r="E11" i="3" s="1"/>
  <c r="E12" i="3"/>
  <c r="E13" i="3"/>
  <c r="E14" i="3"/>
  <c r="E16" i="3"/>
  <c r="E17" i="3"/>
  <c r="E18" i="3"/>
  <c r="E19" i="3"/>
  <c r="E21" i="3"/>
  <c r="E22" i="3"/>
  <c r="E23" i="3"/>
  <c r="C5" i="23"/>
  <c r="D5" i="23"/>
  <c r="A6" i="23"/>
  <c r="A7" i="23" s="1"/>
  <c r="A8" i="23" s="1"/>
  <c r="A9" i="23" s="1"/>
  <c r="A10" i="23" s="1"/>
  <c r="A11" i="23" s="1"/>
  <c r="A12" i="23" s="1"/>
  <c r="A13" i="23" s="1"/>
  <c r="A14" i="23" s="1"/>
  <c r="A15" i="23" s="1"/>
  <c r="A16" i="23" s="1"/>
  <c r="A17" i="23" s="1"/>
  <c r="A18" i="23" s="1"/>
  <c r="A19" i="23" s="1"/>
  <c r="C13" i="23"/>
  <c r="D13" i="23"/>
  <c r="C15" i="23"/>
  <c r="D15" i="23"/>
  <c r="D19" i="23" s="1"/>
  <c r="H6" i="150"/>
  <c r="D31" i="3"/>
  <c r="H90" i="150"/>
  <c r="E5" i="23" l="1"/>
  <c r="H17" i="145"/>
  <c r="M7" i="145"/>
  <c r="E17" i="145"/>
  <c r="E102" i="150"/>
  <c r="G68" i="150"/>
  <c r="H79" i="150"/>
  <c r="G62" i="150"/>
  <c r="N7" i="145"/>
  <c r="L17" i="145"/>
  <c r="C102" i="150"/>
  <c r="G44" i="150"/>
  <c r="G32" i="150"/>
  <c r="C69" i="142"/>
  <c r="E20" i="3"/>
  <c r="N6" i="145"/>
  <c r="E18" i="61"/>
  <c r="M17" i="145"/>
  <c r="C18" i="61"/>
  <c r="D18" i="61"/>
  <c r="C31" i="3"/>
  <c r="E31" i="3" s="1"/>
  <c r="C6" i="144"/>
  <c r="D102" i="150"/>
  <c r="G19" i="150"/>
  <c r="H60" i="150"/>
  <c r="E15" i="23"/>
  <c r="E13" i="23"/>
  <c r="H62" i="150"/>
  <c r="G81" i="150"/>
  <c r="G90" i="150"/>
  <c r="G6" i="150"/>
  <c r="H19" i="150"/>
  <c r="H27" i="150"/>
  <c r="G27" i="150"/>
  <c r="F102" i="150"/>
  <c r="H68" i="150"/>
  <c r="H81" i="150"/>
  <c r="H40" i="150"/>
  <c r="G79" i="150"/>
  <c r="H32" i="150"/>
  <c r="C19" i="23"/>
  <c r="E19" i="23" s="1"/>
  <c r="G60" i="150"/>
  <c r="A25" i="142"/>
  <c r="A26" i="142" s="1"/>
  <c r="A27" i="142" s="1"/>
  <c r="A28" i="142" s="1"/>
  <c r="A29" i="142" s="1"/>
  <c r="A30" i="142" s="1"/>
  <c r="A31" i="142" s="1"/>
  <c r="A32" i="142" s="1"/>
  <c r="A33" i="142" s="1"/>
  <c r="A34" i="142" s="1"/>
  <c r="A35" i="142" s="1"/>
  <c r="A36" i="142" s="1"/>
  <c r="A42" i="142" s="1"/>
  <c r="A43" i="142" s="1"/>
  <c r="A44" i="142" s="1"/>
  <c r="A45" i="142" s="1"/>
  <c r="A46" i="142" s="1"/>
  <c r="A47" i="142" s="1"/>
  <c r="A48" i="142" s="1"/>
  <c r="A49" i="142" s="1"/>
  <c r="A50" i="142" s="1"/>
  <c r="A51" i="142" s="1"/>
  <c r="A52" i="142" s="1"/>
  <c r="A53" i="142" s="1"/>
  <c r="A54" i="142" s="1"/>
  <c r="A55" i="142" s="1"/>
  <c r="A56" i="142" s="1"/>
  <c r="A57" i="142" s="1"/>
  <c r="A58" i="142" s="1"/>
  <c r="A59" i="142" s="1"/>
  <c r="A60" i="142" s="1"/>
  <c r="A61" i="142" s="1"/>
  <c r="A62" i="142" s="1"/>
  <c r="A63" i="142" s="1"/>
  <c r="A64" i="142" s="1"/>
  <c r="A65" i="142" s="1"/>
  <c r="A66" i="142" s="1"/>
  <c r="A67" i="142" s="1"/>
  <c r="A68" i="142" s="1"/>
  <c r="A69" i="142" s="1"/>
  <c r="H6" i="142"/>
  <c r="G6" i="142"/>
  <c r="N17" i="145" l="1"/>
  <c r="H102" i="150"/>
  <c r="G69" i="142"/>
  <c r="G102" i="150"/>
</calcChain>
</file>

<file path=xl/comments1.xml><?xml version="1.0" encoding="utf-8"?>
<comments xmlns="http://schemas.openxmlformats.org/spreadsheetml/2006/main">
  <authors>
    <author>anna.horvathova</author>
  </authors>
  <commentList>
    <comment ref="B23" authorId="0" shapeId="0">
      <text>
        <r>
          <rPr>
            <b/>
            <sz val="9"/>
            <color indexed="81"/>
            <rFont val="Segoe UI"/>
            <family val="2"/>
            <charset val="238"/>
          </rPr>
          <t>anna.horvathova:</t>
        </r>
        <r>
          <rPr>
            <sz val="9"/>
            <color indexed="81"/>
            <rFont val="Segoe UI"/>
            <family val="2"/>
            <charset val="238"/>
          </rPr>
          <t xml:space="preserve">
SPS = Science for Peace and Security</t>
        </r>
      </text>
    </comment>
  </commentList>
</comments>
</file>

<file path=xl/sharedStrings.xml><?xml version="1.0" encoding="utf-8"?>
<sst xmlns="http://schemas.openxmlformats.org/spreadsheetml/2006/main" count="1313" uniqueCount="880">
  <si>
    <t xml:space="preserve">pozn.1): rozdiel medzi údajom, vykazovaným v stĺpci T6_R18_SH a údajom v T5_R56_(SC+SD) uviesť v komentári  </t>
  </si>
  <si>
    <t xml:space="preserve">  - tvorba fondu z predaja alebo likvidácie majetku</t>
  </si>
  <si>
    <t xml:space="preserve">      - dohody o vykonaní práce - externí účitelia (účet 521 009)</t>
  </si>
  <si>
    <t xml:space="preserve">      - dohody o vykonaní práce, dohody o pracovnej činnosti
        (účet 521 010)</t>
  </si>
  <si>
    <t>- Iné ostatné  náklady (účet 549) [SUM(R77:R83)]</t>
  </si>
  <si>
    <t xml:space="preserve"> - Prvok 021 02 03  </t>
  </si>
  <si>
    <t xml:space="preserve"> - Podprogram 05T 08 </t>
  </si>
  <si>
    <t>2) ostatná tvorba fondu reprodukcie v zmysle § 16a ods. 8 zákona č. 131/2002 Z. z.o vysokých školách v znení neskorších predpisov (kreditné úroky a kurzové zisky)</t>
  </si>
  <si>
    <t xml:space="preserve">- tvorba fondu z výnosov zo školného </t>
  </si>
  <si>
    <r>
      <t>Stav fondu k 31.12. kalendárneho roku</t>
    </r>
    <r>
      <rPr>
        <sz val="12"/>
        <rFont val="Times New Roman"/>
        <family val="1"/>
      </rPr>
      <t xml:space="preserve"> [R1+R2-R11]</t>
    </r>
  </si>
  <si>
    <t>Účty v Štátnej pokladnici spolu [SUM(R2:R15)]</t>
  </si>
  <si>
    <t>Tržby za predaný tovar (účet 604)</t>
  </si>
  <si>
    <t xml:space="preserve">Ostatné sociálne poistenia (účet 525) </t>
  </si>
  <si>
    <t>C=A+B</t>
  </si>
  <si>
    <t>E=C-A</t>
  </si>
  <si>
    <t>F=D-B</t>
  </si>
  <si>
    <t>E=A+C</t>
  </si>
  <si>
    <t>F=B+D</t>
  </si>
  <si>
    <t>Náklady na štipendiá</t>
  </si>
  <si>
    <t xml:space="preserve">Ostatné sociálne náklady (účet 528)  </t>
  </si>
  <si>
    <t>Stav bankových účtov spolu [R1+R16+R17]</t>
  </si>
  <si>
    <t xml:space="preserve">  - poskytnuté jednorázovo</t>
  </si>
  <si>
    <r>
      <t>Zdroje na obstaranie a technické zhodnotenie majetku  z fondu reprodukcie</t>
    </r>
    <r>
      <rPr>
        <sz val="12"/>
        <rFont val="Times New Roman"/>
        <family val="1"/>
      </rPr>
      <t xml:space="preserve"> [R1+R2]</t>
    </r>
  </si>
  <si>
    <t>- nákup softvéru</t>
  </si>
  <si>
    <t>Výdavky na obstaranie a technické zhodnotenie dlhobého majetku spolu [R1+SUM(R3:R4)+SUM(R10:R14)]</t>
  </si>
  <si>
    <t>- náklady študentských domovov (bez zmluvných zariadení)- mzdy a odvody</t>
  </si>
  <si>
    <t>- náklady študentských domovov  (bez zmluvných zariadení) - ostatné</t>
  </si>
  <si>
    <t>- študentské jedálne</t>
  </si>
  <si>
    <t>- ostatný predaný tovar</t>
  </si>
  <si>
    <t xml:space="preserve">Odborní zamestnanci </t>
  </si>
  <si>
    <t>Prevádzkoví zamestnanci okrem zamestnancov študentských domovov a jedální</t>
  </si>
  <si>
    <t>Zamestnanci študentských domovov</t>
  </si>
  <si>
    <t>Zamestnanci študentských jedální</t>
  </si>
  <si>
    <t>- na oblasť IT</t>
  </si>
  <si>
    <t xml:space="preserve">Výdavky na sociálne štipendiá (§ 96 zákona) za kalendárny rok </t>
  </si>
  <si>
    <t>z EÚ</t>
  </si>
  <si>
    <r>
      <t>Dotácie z rozpočtov obcí a z rozpočtov vyšších územných celkov</t>
    </r>
    <r>
      <rPr>
        <sz val="12"/>
        <rFont val="Times New Roman"/>
        <family val="1"/>
      </rPr>
      <t xml:space="preserve"> [SUM(R2a:R2...)]</t>
    </r>
  </si>
  <si>
    <t>Prostriedky zo zahraničných projektov na budúce aktivity</t>
  </si>
  <si>
    <t>Ostatné</t>
  </si>
  <si>
    <t xml:space="preserve">1) V stĺpcoch B a D sa uvádza prepočítaný počet študentov určený ako počet osobomesiacov, počas ktorých bolo poskytované sociálne štipendium </t>
  </si>
  <si>
    <t>2) uvádzajte počet denných študentov I. a II. stupňa štúdia počas výučbového obdobia, najviac však 10 mesiacov  a denných študentov III. stupňa štúdia (doktorandov)  vrátane hlavných prázdnin maximálne 12 mesiacov</t>
  </si>
  <si>
    <t xml:space="preserve"> - tvorba sociálneho fondu  (účet 527 001)</t>
  </si>
  <si>
    <r>
      <t>Zdroje na obstaranie a technické zhodnotenie dlhodobého majetku spolu</t>
    </r>
    <r>
      <rPr>
        <sz val="12"/>
        <rFont val="Times New Roman"/>
        <family val="1"/>
      </rPr>
      <t xml:space="preserve"> [SUM(R9:R13)]</t>
    </r>
  </si>
  <si>
    <r>
      <t xml:space="preserve">- tvorba fondu z výsledku hospodárenia </t>
    </r>
    <r>
      <rPr>
        <vertAlign val="superscript"/>
        <sz val="12"/>
        <rFont val="Times New Roman"/>
        <family val="1"/>
        <charset val="238"/>
      </rPr>
      <t>1)</t>
    </r>
  </si>
  <si>
    <r>
      <t xml:space="preserve">- tvorba fondu z dotácie </t>
    </r>
    <r>
      <rPr>
        <vertAlign val="superscript"/>
        <sz val="12"/>
        <rFont val="Times New Roman"/>
        <family val="1"/>
        <charset val="238"/>
      </rPr>
      <t>2)</t>
    </r>
  </si>
  <si>
    <r>
      <t xml:space="preserve">- ostatná tvorba </t>
    </r>
    <r>
      <rPr>
        <vertAlign val="superscript"/>
        <sz val="12"/>
        <rFont val="Times New Roman"/>
        <family val="1"/>
        <charset val="238"/>
      </rPr>
      <t>2)</t>
    </r>
  </si>
  <si>
    <t>1) vrátane tvorby z nerozdeleného zisku z minulých rokov</t>
  </si>
  <si>
    <t>2) len ak umožňuje zákon</t>
  </si>
  <si>
    <t>3) uvádza sa v prípade, ak si vysoká škola vytvorila osobitný bankový účet na krytie fondu - napríklad  fondu reprodukcie</t>
  </si>
  <si>
    <t>- z ubytovania študentov (účet 602 001)</t>
  </si>
  <si>
    <t>- zo stravných lístkov študentov a doktorandov (účet 602 009)</t>
  </si>
  <si>
    <t>- z ubytovania a stravovania iných fyzických osôb (účet 602 008 a 602 010)</t>
  </si>
  <si>
    <t>- drobný nehmotný majetok  (účet 518 014)</t>
  </si>
  <si>
    <t>- používanie plavárne (účet 518 019)</t>
  </si>
  <si>
    <t>- z dotačného účtu  (účet 644 001)</t>
  </si>
  <si>
    <t>- z ostatných účtov  (účet 644 002)</t>
  </si>
  <si>
    <t>- výnosy z dedičstva  (účet 649 010)</t>
  </si>
  <si>
    <t>- výnosy z duševného vlastníctva (účet 649 011)</t>
  </si>
  <si>
    <t>- oprava výnosov minulých účtovných období (účet 649 013)</t>
  </si>
  <si>
    <t>- použitie prostriedkov fondov (účet 649 014)</t>
  </si>
  <si>
    <t>- použitie prostriedkov výnosov budúcich období - projekty  (účet 649 015)</t>
  </si>
  <si>
    <t>- dobropisy minulých období (účet 649 017)</t>
  </si>
  <si>
    <t>- štipendijného fondu (účet 656 200)</t>
  </si>
  <si>
    <t>- stavebný, vodoinštalačný a elektroinštalačný materiál
 (účet 501 009)</t>
  </si>
  <si>
    <t>- potraviny (účet 501 010)</t>
  </si>
  <si>
    <t>- DHM - prístroje a zariadenia laboratórií, výpočtová technika  (účet 501 011)</t>
  </si>
  <si>
    <t>- DHM - nábytok (účet 501 012)</t>
  </si>
  <si>
    <t>- opravy a udržiavanie stavieb  (účet 511 001)</t>
  </si>
  <si>
    <t>- opravy a udržiavanie strojov, prístrojov, zariadení a inventára  (účet 511 002)</t>
  </si>
  <si>
    <t>- opravy a udržiavanie dopravných prostriedkov  (účet 511 003)</t>
  </si>
  <si>
    <t>- opravy a udržiavanie prostriedkov IT  (účet 511 004)</t>
  </si>
  <si>
    <r>
      <t xml:space="preserve">- prospechové </t>
    </r>
    <r>
      <rPr>
        <sz val="12"/>
        <rFont val="Times New Roman"/>
        <family val="1"/>
        <charset val="238"/>
      </rPr>
      <t xml:space="preserve">[R3+R4] </t>
    </r>
  </si>
  <si>
    <t>- údržba a opravy meracej techniky, telovýchovných  zariadení ...(účet 511 005)</t>
  </si>
  <si>
    <t>- ostatná údržba a opravy (účet 511 099)</t>
  </si>
  <si>
    <t>- prenájom zariadení (účet 518 002)</t>
  </si>
  <si>
    <t>- prenájom priestorov  (účet 518 001)</t>
  </si>
  <si>
    <t>- vložné na konferencie  (účet 518 004)</t>
  </si>
  <si>
    <t>- ďalšie vzdelávanie zamestnancov  (účet 518 005)</t>
  </si>
  <si>
    <t>- počítačové siete a prenosy údajov  (účet 518 007)</t>
  </si>
  <si>
    <t>- revízie zariadení (účet 518 010)</t>
  </si>
  <si>
    <t>- čistenie verejných priestranstiev (účet 518 011)</t>
  </si>
  <si>
    <t xml:space="preserve"> - zákonné odstupné, odchodné  (účet 527 003)</t>
  </si>
  <si>
    <t xml:space="preserve"> - náhrada príjmu pri PN (účet 527 004)</t>
  </si>
  <si>
    <t xml:space="preserve"> - ochranné pracovné pomôcky podľa Zákonníka práce (účet 527 005) </t>
  </si>
  <si>
    <t xml:space="preserve"> - ostatné zákonné sociálne náklady (účet 527 099)</t>
  </si>
  <si>
    <t xml:space="preserve"> - bankové poplatky (účet 549 002)</t>
  </si>
  <si>
    <t xml:space="preserve"> - úhrada výnosov z úrokov na dotačnom účte (účet 549 003)</t>
  </si>
  <si>
    <t xml:space="preserve"> - Podprogram 06K 11</t>
  </si>
  <si>
    <t>Tržby z predaja cenných papierov a podielov (účet 653)</t>
  </si>
  <si>
    <t>Výnosy z nájmu majetku  (účet 658)</t>
  </si>
  <si>
    <r>
      <t xml:space="preserve">  - poskytované mesačne </t>
    </r>
    <r>
      <rPr>
        <vertAlign val="superscript"/>
        <sz val="12"/>
        <rFont val="Times New Roman"/>
        <family val="1"/>
        <charset val="238"/>
      </rPr>
      <t>1)</t>
    </r>
  </si>
  <si>
    <t>Výnosy z dlhodobého finančného majetku (účet 652)</t>
  </si>
  <si>
    <t>Prijaté príspevky od iných organizácií (účet 662)</t>
  </si>
  <si>
    <t>Prevádzkové dotácie (účet 691)</t>
  </si>
  <si>
    <t xml:space="preserve">   - Prvok 077 12 05</t>
  </si>
  <si>
    <t>- Podprogram 077 13</t>
  </si>
  <si>
    <t xml:space="preserve">   - Prvok 077 15 01</t>
  </si>
  <si>
    <t xml:space="preserve">   - Prvok 077 15 02</t>
  </si>
  <si>
    <t xml:space="preserve">   - Prvok 077 15 03</t>
  </si>
  <si>
    <t xml:space="preserve"> </t>
  </si>
  <si>
    <t>- zúčtovanie dotácie zo ŠR na DN a HM vo výške odpisov</t>
  </si>
  <si>
    <t xml:space="preserve">- náklady na tvorbu rezervného fondu (účet 556 100) </t>
  </si>
  <si>
    <t xml:space="preserve">- náklady na tvorbu štipendijného fondu (účet 556 200) </t>
  </si>
  <si>
    <r>
      <t>Tvorba fondu reprodukcie v kalendárnom roku spolu</t>
    </r>
    <r>
      <rPr>
        <sz val="12"/>
        <rFont val="Times New Roman"/>
        <family val="1"/>
      </rPr>
      <t xml:space="preserve"> [SUM(R3:R8)] </t>
    </r>
  </si>
  <si>
    <t>- zamestnanci zaradení na ostatných pracoviskách</t>
  </si>
  <si>
    <t>- bežný účet okrem účtov uvedených v 
  R6:R8</t>
  </si>
  <si>
    <t>- devízové účty</t>
  </si>
  <si>
    <t>- účet štipendijného fondu</t>
  </si>
  <si>
    <t>- účet podnikateľskej činnosti</t>
  </si>
  <si>
    <t>- účet sociálneho fondu</t>
  </si>
  <si>
    <t>- účet fondu reprodukcie</t>
  </si>
  <si>
    <t>- bežný účet - zábezpeka</t>
  </si>
  <si>
    <t>- ostatné bankové účty v Štátnej pokladnici 
  mimo účtov uvedených v R2:R14</t>
  </si>
  <si>
    <t xml:space="preserve">Čerpanie ostatných zdrojov prostredníctvom fondu reprodukcie </t>
  </si>
  <si>
    <t>Zákonné sociálne poistenie (účet 524)</t>
  </si>
  <si>
    <t>Daň z nehnuteľnosti (účet 532)</t>
  </si>
  <si>
    <t>Nákup dopravných prostriedkov všetkých druhov</t>
  </si>
  <si>
    <t>Prípravná a projektová dokumentácia</t>
  </si>
  <si>
    <t>Rekonštrukcia a modernizácia strojov a zariadení</t>
  </si>
  <si>
    <t>Počet zamestnancov spolu</t>
  </si>
  <si>
    <t>D=A+C</t>
  </si>
  <si>
    <t>H=E+G</t>
  </si>
  <si>
    <t>- zamestnanci zaradení na dekanátoch</t>
  </si>
  <si>
    <t>Počet študentov poberajúcich sociálne štipendium</t>
  </si>
  <si>
    <t>- dotačný účet</t>
  </si>
  <si>
    <t>- zostatkový účet</t>
  </si>
  <si>
    <t>- distribučný účet</t>
  </si>
  <si>
    <t>spolufinanco-
vanie zo ŠR</t>
  </si>
  <si>
    <t xml:space="preserve">Počet študentov  poberajúcich štipendium </t>
  </si>
  <si>
    <t>Počet študentov  poberajúcich štipendium</t>
  </si>
  <si>
    <r>
      <t xml:space="preserve">Stav fondu k 1.1. kalendárneho roku </t>
    </r>
    <r>
      <rPr>
        <sz val="12"/>
        <rFont val="Times New Roman"/>
        <family val="1"/>
        <charset val="238"/>
      </rPr>
      <t>[R1_SB = R12_SA ...]</t>
    </r>
  </si>
  <si>
    <t>Čerpanie fondu k 31. 12. kalendárneho roku</t>
  </si>
  <si>
    <t>Spolu</t>
  </si>
  <si>
    <t>Dotácia / program</t>
  </si>
  <si>
    <t>Číslo riadku</t>
  </si>
  <si>
    <t>Dotácia spolu</t>
  </si>
  <si>
    <t>Stav fondu reprodukcie k 1.1.</t>
  </si>
  <si>
    <t>Dotácie spolu</t>
  </si>
  <si>
    <t xml:space="preserve">Bežná dotácia na úlohy budúcich období </t>
  </si>
  <si>
    <t>Čerpanie z úveru</t>
  </si>
  <si>
    <t>Celkové výdavky na obstaranie a technické zhodnotenie dlhodobého majetku</t>
  </si>
  <si>
    <t>Počet zamestnancov platených z prostriedkov štátneho rozpočtu</t>
  </si>
  <si>
    <t>Počet zamestnancov platených z iných zdrojov</t>
  </si>
  <si>
    <t xml:space="preserve">Kategória zamestnancov
</t>
  </si>
  <si>
    <t>- vysokoškolskí učitelia s funkčným zaradením "docent"</t>
  </si>
  <si>
    <t>- vysokoškolskí učitelia s funkčným zaradením "odborný asistent"</t>
  </si>
  <si>
    <t>- vysokoškolskí učitelia s funkčným zaradením "asistent"</t>
  </si>
  <si>
    <t>- vysokoškolskí učitelia s funkčným zaradením "lektor"</t>
  </si>
  <si>
    <t>- zamestnanci zaradení na rektorátoch</t>
  </si>
  <si>
    <t xml:space="preserve">- rezervného fondu (účet 656 100) </t>
  </si>
  <si>
    <t xml:space="preserve">2)   Výnosy z Fondu reprodukcie možno účtovať len v súvislosti s krytím nákladov na vedenie príslušného bankového účtu a nákladov vyplývajúcich z kurzových strát
      v zmysle  16a ods. 8 zákona. </t>
  </si>
  <si>
    <t xml:space="preserve">    - dohody o brigádnickej práci študentov (účet 521 011)</t>
  </si>
  <si>
    <t>4a</t>
  </si>
  <si>
    <t xml:space="preserve">Základ pre prídel do štipendijného fondu </t>
  </si>
  <si>
    <t>Nákup strojov, prístrojov, zariadení, techniky a náradia [SUM(R5:R9)]</t>
  </si>
  <si>
    <r>
      <t>Nevyčerpaná dotácia (+) / nedoplatok dotácie (-) k 31. 12. bežného roka</t>
    </r>
    <r>
      <rPr>
        <sz val="12"/>
        <rFont val="Times New Roman"/>
        <family val="1"/>
        <charset val="238"/>
      </rPr>
      <t xml:space="preserve"> [R4+R5-R1]          </t>
    </r>
    <r>
      <rPr>
        <b/>
        <sz val="12"/>
        <rFont val="Times New Roman"/>
        <family val="1"/>
        <charset val="238"/>
      </rPr>
      <t xml:space="preserve">               </t>
    </r>
  </si>
  <si>
    <r>
      <t xml:space="preserve">Priemerné štipendium na 1 študenta na mesiac </t>
    </r>
    <r>
      <rPr>
        <sz val="12"/>
        <rFont val="Times New Roman"/>
        <family val="1"/>
        <charset val="238"/>
      </rPr>
      <t xml:space="preserve"> [R1_SA/R2_SB resp. R1_SC/R2_SD] </t>
    </r>
  </si>
  <si>
    <r>
      <t xml:space="preserve">Tržby za vlastné výrobky (účet 601) </t>
    </r>
    <r>
      <rPr>
        <sz val="12"/>
        <rFont val="Times New Roman"/>
        <family val="1"/>
      </rPr>
      <t>[SUM(R2:R5)]</t>
    </r>
  </si>
  <si>
    <t>Výnosy z krátkodobého finančného majetku  (účet 655)</t>
  </si>
  <si>
    <t>Zdroje na obstaranie a technické zhodnotenie dlhodobého majetku z úverov</t>
  </si>
  <si>
    <t xml:space="preserve">Dotácia na kapitálové výdavky zo štátneho rozpočtu </t>
  </si>
  <si>
    <r>
      <t>Ostatné domáce príjmy s charakterom dotácie</t>
    </r>
    <r>
      <rPr>
        <sz val="12"/>
        <rFont val="Times New Roman"/>
        <family val="1"/>
      </rPr>
      <t xml:space="preserve"> [SUM(R3a:R3...)]</t>
    </r>
  </si>
  <si>
    <r>
      <t>Príjmy zo zahraničia majúce charakter dotácie</t>
    </r>
    <r>
      <rPr>
        <sz val="12"/>
        <rFont val="Times New Roman"/>
        <family val="1"/>
      </rPr>
      <t xml:space="preserve"> [SUM(R4a:R4...)]</t>
    </r>
  </si>
  <si>
    <t>- Podprogram 077 11</t>
  </si>
  <si>
    <t xml:space="preserve">   - Prvok 077 12 01</t>
  </si>
  <si>
    <t xml:space="preserve">   - Prvok 077 12 02</t>
  </si>
  <si>
    <t xml:space="preserve">   - Prvok 077 12 03</t>
  </si>
  <si>
    <t xml:space="preserve">   - Prvok 077 12 04</t>
  </si>
  <si>
    <r>
      <t xml:space="preserve">Priemerný  prepočítaný počet ubytovaných študentov </t>
    </r>
    <r>
      <rPr>
        <sz val="12"/>
        <rFont val="Times New Roman"/>
        <family val="1"/>
        <charset val="238"/>
      </rPr>
      <t>[(R2</t>
    </r>
    <r>
      <rPr>
        <sz val="12"/>
        <rFont val="Times New Roman"/>
        <family val="1"/>
        <charset val="238"/>
      </rPr>
      <t>/12]</t>
    </r>
  </si>
  <si>
    <t xml:space="preserve">Počet študentov poberajúcich sociálne štipendium </t>
  </si>
  <si>
    <t xml:space="preserve">    - bežný účet pre študentské domovy</t>
  </si>
  <si>
    <t xml:space="preserve">    - bežný účet pre študentské jedálne</t>
  </si>
  <si>
    <t>- vysokoškolské podniky</t>
  </si>
  <si>
    <t>Výskumní pracovníci alebo umeleckí pracovníci</t>
  </si>
  <si>
    <t>15a</t>
  </si>
  <si>
    <r>
      <t>Vysokoškolskí učitelia spolu</t>
    </r>
    <r>
      <rPr>
        <sz val="12"/>
        <rFont val="Times New Roman"/>
        <family val="1"/>
      </rPr>
      <t xml:space="preserve"> [SUM(R2:</t>
    </r>
    <r>
      <rPr>
        <sz val="12"/>
        <rFont val="Times New Roman"/>
        <family val="1"/>
        <charset val="238"/>
      </rPr>
      <t>R6</t>
    </r>
    <r>
      <rPr>
        <sz val="12"/>
        <rFont val="Times New Roman"/>
        <family val="1"/>
      </rPr>
      <t>)]</t>
    </r>
  </si>
  <si>
    <r>
      <t>Administratívni zamestnanci spolu</t>
    </r>
    <r>
      <rPr>
        <sz val="12"/>
        <rFont val="Times New Roman"/>
        <family val="1"/>
      </rPr>
      <t xml:space="preserve"> [SUM(R10:R12)]                         </t>
    </r>
  </si>
  <si>
    <t>Nákup budov a stavieb</t>
  </si>
  <si>
    <t>A</t>
  </si>
  <si>
    <t>B</t>
  </si>
  <si>
    <t>C</t>
  </si>
  <si>
    <t>E</t>
  </si>
  <si>
    <t>F</t>
  </si>
  <si>
    <t>G</t>
  </si>
  <si>
    <t>H</t>
  </si>
  <si>
    <t>I</t>
  </si>
  <si>
    <t>D</t>
  </si>
  <si>
    <t>Bankový účet</t>
  </si>
  <si>
    <t xml:space="preserve">Ostatné dane a poplatky (účet 538) </t>
  </si>
  <si>
    <t>Realizácia stavieb a ich technického zhodnotenia</t>
  </si>
  <si>
    <t>- ostatné tržby za vlastné výrobky</t>
  </si>
  <si>
    <t>- študentské domovy</t>
  </si>
  <si>
    <t>z toho:</t>
  </si>
  <si>
    <t>Bežné dotácie</t>
  </si>
  <si>
    <t>Kapitálové dotácie</t>
  </si>
  <si>
    <r>
      <t>Spolu</t>
    </r>
    <r>
      <rPr>
        <sz val="12"/>
        <rFont val="Times New Roman"/>
        <family val="1"/>
      </rPr>
      <t xml:space="preserve"> [R1+R2+R3+R4]</t>
    </r>
  </si>
  <si>
    <t>Objem zdrojov</t>
  </si>
  <si>
    <t xml:space="preserve">Nákup ostatného dlhodobého majetku </t>
  </si>
  <si>
    <t>Ostatné fondy</t>
  </si>
  <si>
    <t>Účty mimo Štátnej pokladnice spolu</t>
  </si>
  <si>
    <t>X</t>
  </si>
  <si>
    <t>- tvorba fondu z odpisov</t>
  </si>
  <si>
    <t>- tvorba fondu prevodom z rezervného fondu</t>
  </si>
  <si>
    <t>- tvorba fondu z darov a z dedičstva</t>
  </si>
  <si>
    <t>1a</t>
  </si>
  <si>
    <t>2a</t>
  </si>
  <si>
    <t>3a</t>
  </si>
  <si>
    <r>
      <t>Zamestnanci osobitne financovaných súčastí verejnej vysokej školy (špecifiká) z R1, R7, R9, R13, R14  spolu</t>
    </r>
    <r>
      <rPr>
        <sz val="12"/>
        <rFont val="Times New Roman"/>
        <family val="1"/>
      </rPr>
      <t xml:space="preserve"> [SUM(R15a:R15...)]                                                </t>
    </r>
  </si>
  <si>
    <r>
      <t xml:space="preserve">Spolu </t>
    </r>
    <r>
      <rPr>
        <sz val="12"/>
        <rFont val="Times New Roman"/>
        <family val="1"/>
      </rPr>
      <t>[R1+R7+R9+R13+R14+R16+R17]</t>
    </r>
  </si>
  <si>
    <t>Tržby z predaja materiálu (účet 654)</t>
  </si>
  <si>
    <t>Spotreba ostatných neskladovateľných dodávok (účet 503)</t>
  </si>
  <si>
    <t>Náklady na reprezentáciu (účet 513)</t>
  </si>
  <si>
    <t>Fondy spolu</t>
  </si>
  <si>
    <t>Položka</t>
  </si>
  <si>
    <t>Hlavná činnosť</t>
  </si>
  <si>
    <t>Podnikateľská činnosť</t>
  </si>
  <si>
    <t>Rezervný fond</t>
  </si>
  <si>
    <t>Fond reprodukcie</t>
  </si>
  <si>
    <t>Štipendijný fond</t>
  </si>
  <si>
    <t>Návrh na prídel do štipendijného fondu</t>
  </si>
  <si>
    <t>Pokuty a penále (účet 641+642)</t>
  </si>
  <si>
    <t>Platby za odpísané pohľadávky  (účet 643)</t>
  </si>
  <si>
    <t>Kurzové zisky  (účet 645)</t>
  </si>
  <si>
    <r>
      <t>Počet študentov poberajúcich sociálne štipendiá v osobomesiacoch</t>
    </r>
    <r>
      <rPr>
        <b/>
        <sz val="9"/>
        <rFont val="Times New Roman"/>
        <family val="1"/>
        <charset val="238"/>
      </rPr>
      <t xml:space="preserve"> </t>
    </r>
    <r>
      <rPr>
        <b/>
        <vertAlign val="superscript"/>
        <sz val="14"/>
        <rFont val="Times New Roman"/>
        <family val="1"/>
        <charset val="238"/>
      </rPr>
      <t>1)</t>
    </r>
  </si>
  <si>
    <r>
      <t>Počet ubytovaných študentov (vrátane interných doktorandov)</t>
    </r>
    <r>
      <rPr>
        <b/>
        <vertAlign val="superscript"/>
        <sz val="14"/>
        <rFont val="Times New Roman"/>
        <family val="1"/>
        <charset val="238"/>
      </rPr>
      <t>2)</t>
    </r>
    <r>
      <rPr>
        <b/>
        <sz val="14"/>
        <rFont val="Times New Roman"/>
        <family val="1"/>
        <charset val="238"/>
      </rPr>
      <t xml:space="preserve"> </t>
    </r>
    <r>
      <rPr>
        <b/>
        <sz val="12"/>
        <rFont val="Times New Roman"/>
        <family val="1"/>
      </rPr>
      <t xml:space="preserve"> v osobomesiacoch</t>
    </r>
  </si>
  <si>
    <t>Tržby z predaja dlhodobého NM a HM (účet 651)</t>
  </si>
  <si>
    <t>Výnosy z precenenia cenných papierov (účet 657)</t>
  </si>
  <si>
    <t>- interiérové vybavenie  (713 001)</t>
  </si>
  <si>
    <t>-  výpočtová technika  (713 002)</t>
  </si>
  <si>
    <t xml:space="preserve"> - prevádzkové stroje, prístroje, zariadenia, technika a náradie (713 004)</t>
  </si>
  <si>
    <t xml:space="preserve">  - špeciálne stroje, prístroje, zariadenia, technika, náradie a materiál  (713 005)</t>
  </si>
  <si>
    <t>Počty ubytovaných</t>
  </si>
  <si>
    <t>Ostatné výnosy zo študentských domovov</t>
  </si>
  <si>
    <t>1) výnosy a náklady z podnikateľskej činnosti sa neuvádzajú</t>
  </si>
  <si>
    <t>Výnosy z poplatkov za ubytovanie od študentov počas výučbového obdobia (10 mesiacov)</t>
  </si>
  <si>
    <r>
      <t>Dotácia na uskutočňovanie akreditovaných študijných programov</t>
    </r>
    <r>
      <rPr>
        <sz val="12"/>
        <rFont val="Times New Roman"/>
        <family val="1"/>
      </rPr>
      <t xml:space="preserve"> [R2]</t>
    </r>
  </si>
  <si>
    <r>
      <t>Dotácia na výskumnú, vývojovú alebo umeleckú činnosť</t>
    </r>
    <r>
      <rPr>
        <sz val="12"/>
        <rFont val="Times New Roman"/>
        <family val="1"/>
      </rPr>
      <t xml:space="preserve"> [R4+R5+R6+R7+R8]</t>
    </r>
  </si>
  <si>
    <r>
      <t>Dotácia na rozvoj vysokej školy</t>
    </r>
    <r>
      <rPr>
        <sz val="12"/>
        <rFont val="Times New Roman"/>
        <family val="1"/>
      </rPr>
      <t xml:space="preserve"> [R10]</t>
    </r>
  </si>
  <si>
    <r>
      <t>Dotácia na sociálnu podporu študentov</t>
    </r>
    <r>
      <rPr>
        <sz val="12"/>
        <rFont val="Times New Roman"/>
        <family val="1"/>
      </rPr>
      <t xml:space="preserve"> [R12+R13+R14]</t>
    </r>
  </si>
  <si>
    <r>
      <t>Spolu</t>
    </r>
    <r>
      <rPr>
        <sz val="12"/>
        <rFont val="Times New Roman"/>
        <family val="1"/>
      </rPr>
      <t xml:space="preserve"> [R1+R3+R9+R11]</t>
    </r>
  </si>
  <si>
    <t>nadrezortná veda a technika</t>
  </si>
  <si>
    <t>Výnosy z poplatkov za ubytovanie od študentov počas hlavných prázdnin (od interných doktorandov) a počty ubytovaných študentov</t>
  </si>
  <si>
    <r>
      <t xml:space="preserve">Výnosy zo študentských domovov v kalendárnom roku spolu </t>
    </r>
    <r>
      <rPr>
        <sz val="12"/>
        <rFont val="Times New Roman"/>
        <family val="1"/>
      </rPr>
      <t>[SUM(R4:R7)]</t>
    </r>
  </si>
  <si>
    <r>
      <t xml:space="preserve">Náklady študentských domovov  spolu </t>
    </r>
    <r>
      <rPr>
        <sz val="12"/>
        <rFont val="Times New Roman"/>
        <family val="1"/>
      </rPr>
      <t>[R10+R11]</t>
    </r>
  </si>
  <si>
    <r>
      <t xml:space="preserve">Rozdiel výnosov a nákladov na študentské domovy v kalendárnom roku  </t>
    </r>
    <r>
      <rPr>
        <sz val="12"/>
        <rFont val="Times New Roman"/>
        <family val="1"/>
      </rPr>
      <t>[R8-R9]</t>
    </r>
  </si>
  <si>
    <r>
      <t xml:space="preserve">Priemerné ročné náklady na jedného ubytovaného študenta </t>
    </r>
    <r>
      <rPr>
        <sz val="12"/>
        <rFont val="Times New Roman"/>
        <family val="1"/>
        <charset val="238"/>
      </rPr>
      <t>[R9/R3]</t>
    </r>
  </si>
  <si>
    <t xml:space="preserve">Daň z motorových vozidiel (účet 531) </t>
  </si>
  <si>
    <t>Nákup pozemkov a nehmotných aktív</t>
  </si>
  <si>
    <t xml:space="preserve">2) V stĺpcoch B a D sa uvádza celkový (fyzický) počet študentov, ktorým bolo v príslušnom kalendárnom roku poskytnuté sociálne štipendium bez ohľadu na počet mesiacov. </t>
  </si>
  <si>
    <t xml:space="preserve">                                                                                                                                                                                                                                                                                                                                                                                                                                                                                                                                                                                                                                                                                                                                                                                                                                                                                                                                                                                                                                                                                                                                                                                                                                                                                                                                                                                                                                                                                                                                                                                                                                                                                                                                                                                                                                                                                                                                                                                                                                                                                                                                                                                                                                                                                                                                                                                                                                                                                                                                                                                                                                                                                                                                                                                                                                                                                                                                                                                                                                                                                                                                                                                                                                                                                                                                                                                                                                                                                                                                                                                                                                                                                                                                                                                                                                                                                                                                                                                                                                                                                                                                                                                                                                                                                                                                                                                                                                                                                                                                                                                          </t>
  </si>
  <si>
    <t xml:space="preserve">  </t>
  </si>
  <si>
    <r>
      <t xml:space="preserve">- tvorba fondu z hospodárskeho výsledku (účet 413  111)  </t>
    </r>
    <r>
      <rPr>
        <vertAlign val="superscript"/>
        <sz val="12"/>
        <rFont val="Times New Roman"/>
        <family val="1"/>
        <charset val="238"/>
      </rPr>
      <t xml:space="preserve">1) </t>
    </r>
  </si>
  <si>
    <t>- tvorba fondu prevodom z rezervného fondu (účet  413 114)</t>
  </si>
  <si>
    <t>- tvorba fondu z darov a z dedičstva (účet 413 112)</t>
  </si>
  <si>
    <t>- tvorba fondu z odpisov (účet 413 116)</t>
  </si>
  <si>
    <r>
      <t xml:space="preserve">- ostatná tvorba (účet 413 113) </t>
    </r>
    <r>
      <rPr>
        <vertAlign val="superscript"/>
        <sz val="12"/>
        <rFont val="Times New Roman"/>
        <family val="1"/>
        <charset val="238"/>
      </rPr>
      <t xml:space="preserve">2) </t>
    </r>
  </si>
  <si>
    <t>1b</t>
  </si>
  <si>
    <t>2b</t>
  </si>
  <si>
    <t>3b</t>
  </si>
  <si>
    <t>4b</t>
  </si>
  <si>
    <t>15b</t>
  </si>
  <si>
    <t>15c</t>
  </si>
  <si>
    <t>15d</t>
  </si>
  <si>
    <t xml:space="preserve">Názov verejnej vysokej školy: </t>
  </si>
  <si>
    <t xml:space="preserve">    - bežný účet na riešenie úloh vedy a
      výskumu  zo SR, resp.zahraničia </t>
  </si>
  <si>
    <t>Priemerný mesačný náklad na doktoranda</t>
  </si>
  <si>
    <t xml:space="preserve"> - Podprogram 06K 12            </t>
  </si>
  <si>
    <t>8a</t>
  </si>
  <si>
    <r>
      <t xml:space="preserve">Program 06K </t>
    </r>
    <r>
      <rPr>
        <sz val="12"/>
        <rFont val="Times New Roman"/>
        <family val="1"/>
        <charset val="238"/>
      </rPr>
      <t>[SUM(R2+R3+R4+R5)]</t>
    </r>
  </si>
  <si>
    <t>Ostatné dotácie [SUM(R8a..R8x)]</t>
  </si>
  <si>
    <t>Účet</t>
  </si>
  <si>
    <t>Polož. výkaz. NUJ</t>
  </si>
  <si>
    <t>Čislo riadku</t>
  </si>
  <si>
    <t>A. NEOBEŽNÝ MAJETOK SPOLU r.002+r.009+r.021</t>
  </si>
  <si>
    <t>001</t>
  </si>
  <si>
    <t>1. Dlhodobý nehmotný majetok r.003 až r.008</t>
  </si>
  <si>
    <t>002</t>
  </si>
  <si>
    <t>Nehmotné výsledky z vývojovej a obdob.činnosti 012-(072+091A</t>
  </si>
  <si>
    <t>003</t>
  </si>
  <si>
    <t>Softvér 013-(073+091AÚ)</t>
  </si>
  <si>
    <t>004</t>
  </si>
  <si>
    <t>005</t>
  </si>
  <si>
    <t>Ostatný.dlhodob.nehmot.majetok(018+019)-(078+079+091AÚ)</t>
  </si>
  <si>
    <t>006</t>
  </si>
  <si>
    <t>Obstaranie dlhodobého nehmotného majetku (041-093)</t>
  </si>
  <si>
    <t>007</t>
  </si>
  <si>
    <t>Poskytnut.preddavky na dlhodob.nehmot.majetok (051-095AÚ)</t>
  </si>
  <si>
    <t>008</t>
  </si>
  <si>
    <t>2. Dlhodobý hmotný majetok (r. 010 až r. 020)</t>
  </si>
  <si>
    <t>009</t>
  </si>
  <si>
    <t>Pozemky (031)</t>
  </si>
  <si>
    <t>010</t>
  </si>
  <si>
    <t>Umelecké diela a zbierky (032)</t>
  </si>
  <si>
    <t>011</t>
  </si>
  <si>
    <t>Stavby 021-(081-092AÚ)</t>
  </si>
  <si>
    <t>012</t>
  </si>
  <si>
    <t>Samostatné hnuteľné veci a súbory hnuteľných vecí (022 - (08</t>
  </si>
  <si>
    <t>013</t>
  </si>
  <si>
    <t>Dopravné prostriedky (023 - (083+092AÚ))</t>
  </si>
  <si>
    <t>014</t>
  </si>
  <si>
    <t>Pestovateľské celky trvalých porastov (025 - (085 + 092AÚ))</t>
  </si>
  <si>
    <t>015</t>
  </si>
  <si>
    <t>Základné stádo a ťažné zvieratá (026 - (086 + 092AÚ))</t>
  </si>
  <si>
    <t>016</t>
  </si>
  <si>
    <t>Drobný dlhodobý hmotný majetok (028 - (088 + 092AÚ))</t>
  </si>
  <si>
    <t>017</t>
  </si>
  <si>
    <t>Ostatný dlhodobý hmotný majetok (029 - (089 +092AÚ))</t>
  </si>
  <si>
    <t>018</t>
  </si>
  <si>
    <t>Obstaranie dlhodobého hmotného majetku (042 - 094)</t>
  </si>
  <si>
    <t>019</t>
  </si>
  <si>
    <t>Poskytnuté preddavky na dlhodob.hmot.majetok (052-095AÚ)</t>
  </si>
  <si>
    <t>020</t>
  </si>
  <si>
    <t>3. Dlhodobý finančný majetok r.022 až r.028</t>
  </si>
  <si>
    <t>021</t>
  </si>
  <si>
    <t>Podiel.cen.papier.a podiely v obchod.spol.v ovládan.osobe (0</t>
  </si>
  <si>
    <t>022</t>
  </si>
  <si>
    <t>Podiel.cen.papiere a podiely v obchod.spol.s podstat.vplyvom</t>
  </si>
  <si>
    <t>023</t>
  </si>
  <si>
    <t>Dlhové cenné papiere držané do splatnosti (065 - 096 AÚ)</t>
  </si>
  <si>
    <t>024</t>
  </si>
  <si>
    <t>Pôžičky podnikom v skup.a ostat.pôžičky (066+067)-096AÚ</t>
  </si>
  <si>
    <t>025</t>
  </si>
  <si>
    <t>Ostatný dlhodobý finančný majetok (069-096AÚ)</t>
  </si>
  <si>
    <t>026</t>
  </si>
  <si>
    <t>Obstaranie dlhodobého finančného majetku (043 - 096AÚ)</t>
  </si>
  <si>
    <t>027</t>
  </si>
  <si>
    <t>Poskytnuté preddavky na dlhodobý finančný majetok (053 - 096</t>
  </si>
  <si>
    <t>028</t>
  </si>
  <si>
    <t>B. OBEŽNÝ MAJETOK SPOLU r.030+r.037+r.042+r.051</t>
  </si>
  <si>
    <t>029</t>
  </si>
  <si>
    <t>1. Zásoby r.031 až r.036</t>
  </si>
  <si>
    <t>030</t>
  </si>
  <si>
    <t>Materiál (112+119) -191</t>
  </si>
  <si>
    <t>031</t>
  </si>
  <si>
    <t>Nedokonč.výroba a polotovary vlast.výroby (121+122)-(192+193</t>
  </si>
  <si>
    <t>032</t>
  </si>
  <si>
    <t>Výrobky (123-194)</t>
  </si>
  <si>
    <t>033</t>
  </si>
  <si>
    <t>Zvieratá (124-195)</t>
  </si>
  <si>
    <t>034</t>
  </si>
  <si>
    <t>Tovar (132+139)-196</t>
  </si>
  <si>
    <t>035</t>
  </si>
  <si>
    <t>Poskytnuté prevádzkové preddavky na zásoby (314AÚ-391AÚ)</t>
  </si>
  <si>
    <t>036</t>
  </si>
  <si>
    <t>2. Dlhodobé pohľadávky (r.038 až 041)</t>
  </si>
  <si>
    <t>037</t>
  </si>
  <si>
    <t>Pohľadávky z obchod.styku (311AÚ až 314AÚ) - 391AÚ</t>
  </si>
  <si>
    <t>038</t>
  </si>
  <si>
    <t>Ostatné pohľadávky (315AÚ - 391AÚ)</t>
  </si>
  <si>
    <t>039</t>
  </si>
  <si>
    <t>Pohľadávky voči účastníkom združení (358AÚ - 391AÚ)</t>
  </si>
  <si>
    <t>040</t>
  </si>
  <si>
    <t>Iné pohľadávky (335AÚ+373AÚ+375AÚ+378AÚ) -391AÚ</t>
  </si>
  <si>
    <t>041</t>
  </si>
  <si>
    <t>3. Krátkodobé pohľadávky r.043 až r.050</t>
  </si>
  <si>
    <t>042</t>
  </si>
  <si>
    <t>Pohľadávky z obchodného styku (311AÚ až 314AÚ) - 391AÚ</t>
  </si>
  <si>
    <t>043</t>
  </si>
  <si>
    <t>044</t>
  </si>
  <si>
    <t>Zúčtovanie zo Sociálnou poisť. a zdravot.poisťovňami (336)</t>
  </si>
  <si>
    <t>045</t>
  </si>
  <si>
    <t>Daňové pohľadávky (341 až 345)</t>
  </si>
  <si>
    <t>046</t>
  </si>
  <si>
    <t>Pohľ.z dôvodu fin.vzťahov k ŠR a rozpočtom úz.správ (346+348</t>
  </si>
  <si>
    <t>047</t>
  </si>
  <si>
    <t>048</t>
  </si>
  <si>
    <t>Spojovací účet pri združení (396-391AÚ)</t>
  </si>
  <si>
    <t>049</t>
  </si>
  <si>
    <t>050</t>
  </si>
  <si>
    <t>4. Finančné účty r.052 až 056</t>
  </si>
  <si>
    <t>051</t>
  </si>
  <si>
    <t>Pokladnica (211+213)</t>
  </si>
  <si>
    <t>052</t>
  </si>
  <si>
    <t>Bankové účty (221AÚ+261)</t>
  </si>
  <si>
    <t>053</t>
  </si>
  <si>
    <t>Bankové účty s dobou viazanosti dlhšou ako jeden rok (221AÚ)</t>
  </si>
  <si>
    <t>054</t>
  </si>
  <si>
    <t>Krátkodobý finančný majetok (251+253+255+256+257)-291AÚ</t>
  </si>
  <si>
    <t>055</t>
  </si>
  <si>
    <t>Obstaranie krátkodobého finančného majetku (259 -291AÚ)</t>
  </si>
  <si>
    <t>056</t>
  </si>
  <si>
    <t>C. ČASOVÉ ROZLÍŠENIE SPOLU r.058 a r.059</t>
  </si>
  <si>
    <t>057</t>
  </si>
  <si>
    <t>1. Náklady budúcich období (381)</t>
  </si>
  <si>
    <t>058</t>
  </si>
  <si>
    <t>Príjmy budúcich období (385)</t>
  </si>
  <si>
    <t>059</t>
  </si>
  <si>
    <t>MAJETOK SPOLU r.001 + r.029 + r.057</t>
  </si>
  <si>
    <t>060</t>
  </si>
  <si>
    <t>Celkový výsledok</t>
  </si>
  <si>
    <t>Korekcia</t>
  </si>
  <si>
    <t>Netto</t>
  </si>
  <si>
    <t>Predch. účt. obdobie</t>
  </si>
  <si>
    <t>Tabuľka č. 24: Súvaha - Strana aktív</t>
  </si>
  <si>
    <t xml:space="preserve">   Oceniteľné práva 014-(074+091AÚ)</t>
  </si>
  <si>
    <t xml:space="preserve"> Brutto
(v Eur)</t>
  </si>
  <si>
    <t>Číslo účtu</t>
  </si>
  <si>
    <t>Spotreba materiálu</t>
  </si>
  <si>
    <t>01</t>
  </si>
  <si>
    <t>Spotreba energie</t>
  </si>
  <si>
    <t>02</t>
  </si>
  <si>
    <t>Predaný tovar</t>
  </si>
  <si>
    <t>03</t>
  </si>
  <si>
    <t>Opravy a udržiavanie</t>
  </si>
  <si>
    <t>04</t>
  </si>
  <si>
    <t>Cestovné</t>
  </si>
  <si>
    <t>05</t>
  </si>
  <si>
    <t>Náklady na reprezentáciu</t>
  </si>
  <si>
    <t>06</t>
  </si>
  <si>
    <t>Ostatné služby</t>
  </si>
  <si>
    <t>07</t>
  </si>
  <si>
    <t>Mzdové náklady</t>
  </si>
  <si>
    <t>08</t>
  </si>
  <si>
    <t>Zákonné soc. poistenie a zdr.pois.</t>
  </si>
  <si>
    <t>09</t>
  </si>
  <si>
    <t>Ostatné sociálne poistenie</t>
  </si>
  <si>
    <t>10</t>
  </si>
  <si>
    <t>Zákonné sociálne náklady</t>
  </si>
  <si>
    <t>11</t>
  </si>
  <si>
    <t>Ostatné sociálne náklady</t>
  </si>
  <si>
    <t>12</t>
  </si>
  <si>
    <t>Daň z motorových vozidiel</t>
  </si>
  <si>
    <t>13</t>
  </si>
  <si>
    <t>Daň z nehnuteľností</t>
  </si>
  <si>
    <t>14</t>
  </si>
  <si>
    <t>Ostatné dane a poplatky</t>
  </si>
  <si>
    <t>15</t>
  </si>
  <si>
    <t>Zmluvné pokuty a penále</t>
  </si>
  <si>
    <t>16</t>
  </si>
  <si>
    <t>Ostatné pokuty a penále</t>
  </si>
  <si>
    <t>17</t>
  </si>
  <si>
    <t>Odpísanie pohľadávky</t>
  </si>
  <si>
    <t>18</t>
  </si>
  <si>
    <t>Úroky</t>
  </si>
  <si>
    <t>19</t>
  </si>
  <si>
    <t>Kurzové straty</t>
  </si>
  <si>
    <t>20</t>
  </si>
  <si>
    <t>Dary</t>
  </si>
  <si>
    <t>21</t>
  </si>
  <si>
    <t>Osobitné náklady</t>
  </si>
  <si>
    <t>22</t>
  </si>
  <si>
    <t>Manká a škody</t>
  </si>
  <si>
    <t>23</t>
  </si>
  <si>
    <t>Iné ostatné náklady</t>
  </si>
  <si>
    <t>24</t>
  </si>
  <si>
    <t>Odpisy DNM a DHM</t>
  </si>
  <si>
    <t>25</t>
  </si>
  <si>
    <t>26</t>
  </si>
  <si>
    <t>Predané cenné papiere</t>
  </si>
  <si>
    <t>27</t>
  </si>
  <si>
    <t>Predaný materiál</t>
  </si>
  <si>
    <t>28</t>
  </si>
  <si>
    <t>Náklady na krátkod. finančný maj.</t>
  </si>
  <si>
    <t>29</t>
  </si>
  <si>
    <t>Tvorba fondov</t>
  </si>
  <si>
    <t>30</t>
  </si>
  <si>
    <t xml:space="preserve">Náklady na precenenie cen.pap. </t>
  </si>
  <si>
    <t>31</t>
  </si>
  <si>
    <t>Tvorba a zúčt. opravných položiek</t>
  </si>
  <si>
    <t>32</t>
  </si>
  <si>
    <t>33</t>
  </si>
  <si>
    <t>Poskytnuté príspevky org. zlož.</t>
  </si>
  <si>
    <t>34</t>
  </si>
  <si>
    <t>Poskyt. príspevky iným účt. jednot.</t>
  </si>
  <si>
    <t>35</t>
  </si>
  <si>
    <t>Poskytnuté príspevky fyz. osobám</t>
  </si>
  <si>
    <t>36</t>
  </si>
  <si>
    <t>Poskyt. príspevky z verejnej zbierky</t>
  </si>
  <si>
    <t>37</t>
  </si>
  <si>
    <t>38</t>
  </si>
  <si>
    <t>Tržby za vlastné výrobky</t>
  </si>
  <si>
    <t>39</t>
  </si>
  <si>
    <t>Tržby z predaja služieb</t>
  </si>
  <si>
    <t>40</t>
  </si>
  <si>
    <t>Tržby za predaný tovar</t>
  </si>
  <si>
    <t>41</t>
  </si>
  <si>
    <t>Zmenaq stavu zásob ned. výroby</t>
  </si>
  <si>
    <t>42</t>
  </si>
  <si>
    <t>Zmena stavu zásob polotovarov</t>
  </si>
  <si>
    <t>43</t>
  </si>
  <si>
    <t>Zmena stavu zásob výrobkov</t>
  </si>
  <si>
    <t>44</t>
  </si>
  <si>
    <t>Zmena stavu zásob zvierat</t>
  </si>
  <si>
    <t>45</t>
  </si>
  <si>
    <t>Aktivácia materiálu a tovaru</t>
  </si>
  <si>
    <t>46</t>
  </si>
  <si>
    <t>Aktivácia vnútroorganizačných služieb</t>
  </si>
  <si>
    <t>47</t>
  </si>
  <si>
    <t>Aktivácia dlhodobého nehmot. majetku</t>
  </si>
  <si>
    <t>48</t>
  </si>
  <si>
    <t>Aktivácia dlhodobého hmotného majet.</t>
  </si>
  <si>
    <t>49</t>
  </si>
  <si>
    <t>50</t>
  </si>
  <si>
    <t>51</t>
  </si>
  <si>
    <t>Platby za odpísané pohľadávky</t>
  </si>
  <si>
    <t>52</t>
  </si>
  <si>
    <t>53</t>
  </si>
  <si>
    <t>Kurzové zisky</t>
  </si>
  <si>
    <t>54</t>
  </si>
  <si>
    <t>Prijaté dary</t>
  </si>
  <si>
    <t>55</t>
  </si>
  <si>
    <t>Osobitné výnosy</t>
  </si>
  <si>
    <t>56</t>
  </si>
  <si>
    <t>Zákonné poplatky</t>
  </si>
  <si>
    <t>57</t>
  </si>
  <si>
    <t>Iné ostatné výnosy</t>
  </si>
  <si>
    <t>58</t>
  </si>
  <si>
    <t>Tržby z predaja dlhodobého majetku</t>
  </si>
  <si>
    <t>59</t>
  </si>
  <si>
    <t>Výnosy z dlhodobého finančného maj.</t>
  </si>
  <si>
    <t>60</t>
  </si>
  <si>
    <t>Tržby z predaja cenných papierov a pod.</t>
  </si>
  <si>
    <t>61</t>
  </si>
  <si>
    <t>Tržby z predaja materiálu</t>
  </si>
  <si>
    <t>62</t>
  </si>
  <si>
    <t>Výnosy z krátkod. finančného majetku</t>
  </si>
  <si>
    <t>63</t>
  </si>
  <si>
    <t>Výnosy z použitia fondu</t>
  </si>
  <si>
    <t>64</t>
  </si>
  <si>
    <t>Výnosy z precenenia cenných papierov</t>
  </si>
  <si>
    <t>65</t>
  </si>
  <si>
    <t>Výnosy z nájmu majetku</t>
  </si>
  <si>
    <t>66</t>
  </si>
  <si>
    <t>Prijaté príspevky od organizačných zložiek</t>
  </si>
  <si>
    <t>67</t>
  </si>
  <si>
    <t>Prijaté príspevky od iných organizácií</t>
  </si>
  <si>
    <t>68</t>
  </si>
  <si>
    <t>Prijaté príspevky od fyzických osôb</t>
  </si>
  <si>
    <t>69</t>
  </si>
  <si>
    <t>Prijaté členské príspevky</t>
  </si>
  <si>
    <t>70</t>
  </si>
  <si>
    <t>Príspevky z podielu zaplatenej dane</t>
  </si>
  <si>
    <t>71</t>
  </si>
  <si>
    <t>Prijaté príspevky z verejných zbierok</t>
  </si>
  <si>
    <t>72</t>
  </si>
  <si>
    <t>Dotácie</t>
  </si>
  <si>
    <t>73</t>
  </si>
  <si>
    <t>Účtová trieda 6 spolu r.39 až r. 73</t>
  </si>
  <si>
    <t>74</t>
  </si>
  <si>
    <t>Výsledok hospodárenia pred zdanením r.74-r.38</t>
  </si>
  <si>
    <t>75</t>
  </si>
  <si>
    <t>Daň z príjmov</t>
  </si>
  <si>
    <t>76</t>
  </si>
  <si>
    <t>Dodatočné odvody dane z príjmov</t>
  </si>
  <si>
    <t>77</t>
  </si>
  <si>
    <t xml:space="preserve">Výsledok hospod.  po zdanení r. 75-(r.76 + r.77) </t>
  </si>
  <si>
    <t>78</t>
  </si>
  <si>
    <r>
      <t>Spolu</t>
    </r>
    <r>
      <rPr>
        <sz val="12"/>
        <rFont val="Times New Roman"/>
        <family val="1"/>
      </rPr>
      <t xml:space="preserve"> [R1+R6+R7+R8]</t>
    </r>
  </si>
  <si>
    <t>Zamestnanci platení z dotácie MŠVVaŠ SR</t>
  </si>
  <si>
    <t xml:space="preserve">Nevyčerpaná dotácia (+) / nedoplatok dotácie (-) k 31. 12. predchádzajúceho roka  
[R4_SC = R6_SA]                         </t>
  </si>
  <si>
    <t>86a</t>
  </si>
  <si>
    <t>Projektovaná lôžková kapacita študentského domova k 31. 12. kalendárneho roka (v počte miest)</t>
  </si>
  <si>
    <t xml:space="preserve">1) V stĺpcoch B a D sa uvádza prepočítaný počet študentov určený ako počet osobomesiacov, počas ktorých bolo poskytované štipendium </t>
  </si>
  <si>
    <t>2) V stĺpcoch B a D sa uvádza celkový (fyzický) počet študentov, ktorým bolo v príslušnom roku poskytované štipendium .</t>
  </si>
  <si>
    <t>F = A+B+C+D+E</t>
  </si>
  <si>
    <t>J</t>
  </si>
  <si>
    <t>K</t>
  </si>
  <si>
    <t>10a</t>
  </si>
  <si>
    <t>G=A+B+C+D+E+F</t>
  </si>
  <si>
    <t>Poskytnuté príspevky z podielu zaplatenej dane</t>
  </si>
  <si>
    <t>Zost. cena predaného DNM a DHM</t>
  </si>
  <si>
    <t xml:space="preserve">zabezpečenie mobilít v súlade s medzinárodnými zmluvami </t>
  </si>
  <si>
    <t>Peniaze na ceste (účet 261)</t>
  </si>
  <si>
    <t xml:space="preserve">- prvýkrát sa započítavajú do evidenčného počtu zamestnancov vo fyzických osobách s plným týždenným pracovným časom, ktorý sa rovná ich prepočítanému počtu, a to pracovným úväzkom v hlavnom zamestnaní; </t>
  </si>
  <si>
    <t xml:space="preserve">- druhýkrát sa započítavajú do evidenčného počtu zamestnancov prepočítaného, a to svojím pracovným úväzkom v ďalšom pracovnom pomere. </t>
  </si>
  <si>
    <t xml:space="preserve">Do evidenčného počtu zamestnancov prepočítaného sa títo zamestnanci započítavajú dvakrát na rozdiel od evidenčného počtu zamestnancov vo fyzických osobách, v ktorom sú započítaní iba raz. </t>
  </si>
  <si>
    <t>Čerpanie z iných zdrojov</t>
  </si>
  <si>
    <t>Náklady na mzdy  poskytované z prostriedkov štátneho rozpočtu   (v Eur)</t>
  </si>
  <si>
    <t>Náklady na mzdy poskytované z dotácie MŠVVaŠ SR  (v Eur)</t>
  </si>
  <si>
    <t>Náklady na mzdy poskytované z iných zdrojov 
 (v Eur)</t>
  </si>
  <si>
    <t>Náklady na mzdy spolu
 (v Eur)</t>
  </si>
  <si>
    <t>Finančné prostriedky  
 (v Eur)</t>
  </si>
  <si>
    <r>
      <t xml:space="preserve">Pre účely výpočtu počtu zamestnancov bola použitá metóda </t>
    </r>
    <r>
      <rPr>
        <sz val="12"/>
        <color indexed="8"/>
        <rFont val="Tahoma"/>
        <family val="2"/>
        <charset val="238"/>
      </rPr>
      <t xml:space="preserve">- </t>
    </r>
    <r>
      <rPr>
        <b/>
        <sz val="10"/>
        <color indexed="8"/>
        <rFont val="Tahoma"/>
        <family val="2"/>
        <charset val="238"/>
      </rPr>
      <t>Priemerný evidenčný počet zamestnancov - prepočítaný počet</t>
    </r>
    <r>
      <rPr>
        <sz val="10"/>
        <color indexed="8"/>
        <rFont val="Tahoma"/>
        <family val="2"/>
        <charset val="238"/>
      </rPr>
      <t xml:space="preserve"> - je aritmetickým priemerom denných evidenčných počtov zamestnancov 
za sledované obdobie prepočítaných na plnú zamestnanosť podľa dĺžky pracovných úväzkov zamestnancov, resp. podľa skutočne odpracovaných hodín. U zamestnancov, ktorí vykonávajú v organizácii činnosť v ďalšom pracovnom pomere, sa výpočet priemerného evidenčného počtu zamestnancov prepočítaného na plne zamestnaných skladá z dvoch častí : </t>
    </r>
  </si>
  <si>
    <r>
      <t>Tvorba fondu v kalendárnom roku spolu</t>
    </r>
    <r>
      <rPr>
        <sz val="12"/>
        <color indexed="8"/>
        <rFont val="Times New Roman"/>
        <family val="1"/>
      </rPr>
      <t xml:space="preserve"> SUM(R3:R10) </t>
    </r>
  </si>
  <si>
    <t>Číslo účtu/Poznámka</t>
  </si>
  <si>
    <t xml:space="preserve"> - štipendiá doktorandov  (účet 549 001, 549 016, 549 017)</t>
  </si>
  <si>
    <r>
      <t xml:space="preserve">Dotácie z kapitol štátneho rozpočtu okrem kapitoly MŠVVaŠ SR </t>
    </r>
    <r>
      <rPr>
        <sz val="12"/>
        <rFont val="Times New Roman"/>
        <family val="1"/>
      </rPr>
      <t xml:space="preserve"> (na zdroji 111) [SUM(R1a:R1...)]</t>
    </r>
  </si>
  <si>
    <t>Príjem z dotácie poskytnutej na sociálne štipendiá v rámci dotačnej zmluvy z kapitoly     MŠVVaŠ k 31.12.</t>
  </si>
  <si>
    <t>Fond na podporu štúdia študentov so špecifickými potrebami</t>
  </si>
  <si>
    <t>Účtová trieda 5 spolu r.01 až r.37</t>
  </si>
  <si>
    <r>
      <t xml:space="preserve">Počet študentov poberajúcich sociálne štipendiá </t>
    </r>
    <r>
      <rPr>
        <b/>
        <sz val="12"/>
        <rFont val="Times New Roman"/>
        <family val="1"/>
        <charset val="238"/>
      </rPr>
      <t xml:space="preserve"> </t>
    </r>
    <r>
      <rPr>
        <b/>
        <vertAlign val="superscript"/>
        <sz val="14"/>
        <rFont val="Times New Roman"/>
        <family val="1"/>
        <charset val="238"/>
      </rPr>
      <t>2)</t>
    </r>
  </si>
  <si>
    <r>
      <t xml:space="preserve">Počet študentov poberajúcich  štipendiá z vlastných zdrojov </t>
    </r>
    <r>
      <rPr>
        <b/>
        <vertAlign val="superscript"/>
        <sz val="12"/>
        <rFont val="Times New Roman"/>
        <family val="1"/>
        <charset val="238"/>
      </rPr>
      <t>2</t>
    </r>
    <r>
      <rPr>
        <b/>
        <sz val="12"/>
        <rFont val="Times New Roman"/>
        <family val="1"/>
        <charset val="238"/>
      </rPr>
      <t>)</t>
    </r>
    <r>
      <rPr>
        <b/>
        <sz val="12"/>
        <color indexed="10"/>
        <rFont val="Times New Roman"/>
        <family val="1"/>
        <charset val="238"/>
      </rPr>
      <t xml:space="preserve"> </t>
    </r>
  </si>
  <si>
    <t>Zvyšok prijatej kapitálovej dotácie zo štátneho rozpočtu používanej na kompenzáciu odpisov majetku z nej obstaraného</t>
  </si>
  <si>
    <r>
      <t xml:space="preserve">Zvyšok prijatej kapitálovej dotácie </t>
    </r>
    <r>
      <rPr>
        <b/>
        <sz val="10"/>
        <color indexed="8"/>
        <rFont val="Times New Roman"/>
        <family val="1"/>
        <charset val="238"/>
      </rPr>
      <t>z prostriedkov EÚ (štrukturálnych fondov)</t>
    </r>
    <r>
      <rPr>
        <b/>
        <sz val="12"/>
        <color indexed="8"/>
        <rFont val="Times New Roman"/>
        <family val="1"/>
        <charset val="238"/>
      </rPr>
      <t xml:space="preserve"> používanej na kompenzáciu odpisov majetku z nej obstaraného</t>
    </r>
  </si>
  <si>
    <t xml:space="preserve">Náklady / Výnosy </t>
  </si>
  <si>
    <r>
      <t>Nevyčerpaná dotácia (+) / nedoplatok dotácie (-) na motivačné štipendiá</t>
    </r>
    <r>
      <rPr>
        <b/>
        <sz val="12"/>
        <rFont val="Times New Roman"/>
        <family val="1"/>
        <charset val="238"/>
      </rPr>
      <t xml:space="preserve"> k 31. 12. predchádzajúceho kalendárneho roka</t>
    </r>
    <r>
      <rPr>
        <sz val="12"/>
        <rFont val="Times New Roman"/>
        <family val="1"/>
        <charset val="238"/>
      </rPr>
      <t xml:space="preserve">     </t>
    </r>
    <r>
      <rPr>
        <b/>
        <sz val="12"/>
        <rFont val="Times New Roman"/>
        <family val="1"/>
        <charset val="238"/>
      </rPr>
      <t xml:space="preserve">     </t>
    </r>
  </si>
  <si>
    <r>
      <t>Výdavky na motivačné štipendiá</t>
    </r>
    <r>
      <rPr>
        <sz val="12"/>
        <rFont val="Times New Roman"/>
        <family val="1"/>
        <charset val="238"/>
      </rPr>
      <t xml:space="preserve"> </t>
    </r>
    <r>
      <rPr>
        <b/>
        <sz val="12"/>
        <rFont val="Times New Roman"/>
        <family val="1"/>
        <charset val="238"/>
      </rPr>
      <t xml:space="preserve">v kalendárnom roku </t>
    </r>
    <r>
      <rPr>
        <b/>
        <vertAlign val="superscript"/>
        <sz val="12"/>
        <rFont val="Times New Roman"/>
        <family val="1"/>
        <charset val="238"/>
      </rPr>
      <t/>
    </r>
  </si>
  <si>
    <t>x</t>
  </si>
  <si>
    <t>Náklady spolu</t>
  </si>
  <si>
    <r>
      <t xml:space="preserve">Dotácie z kapitoly MŠVVaŠ SR spolu </t>
    </r>
    <r>
      <rPr>
        <sz val="12"/>
        <rFont val="Times New Roman"/>
        <family val="1"/>
        <charset val="238"/>
      </rPr>
      <t>[R1+R4]</t>
    </r>
  </si>
  <si>
    <r>
      <t xml:space="preserve">Dotácie z iných kapitol spolu </t>
    </r>
    <r>
      <rPr>
        <sz val="12"/>
        <rFont val="Times New Roman"/>
        <family val="1"/>
        <charset val="238"/>
      </rPr>
      <t>[SUM(R9:Ra...)]</t>
    </r>
  </si>
  <si>
    <r>
      <t>Dotácie z prostriedkov EÚ spolu</t>
    </r>
    <r>
      <rPr>
        <sz val="12"/>
        <color indexed="8"/>
        <rFont val="Times New Roman"/>
        <family val="1"/>
      </rPr>
      <t xml:space="preserve"> [R7+R8]</t>
    </r>
  </si>
  <si>
    <r>
      <t>Dotácia na kapitálové výdavky z prostriedkov EÚ (štrukturálnych fondov</t>
    </r>
    <r>
      <rPr>
        <b/>
        <sz val="12"/>
        <rFont val="Times New Roman"/>
        <family val="1"/>
        <charset val="238"/>
      </rPr>
      <t xml:space="preserve"> vrátane spolufinancovania)</t>
    </r>
  </si>
  <si>
    <r>
      <t>Zostatok kapitálovej dotácie z predchádzajúceho roku</t>
    </r>
    <r>
      <rPr>
        <b/>
        <sz val="10"/>
        <rFont val="Times New Roman"/>
        <family val="1"/>
        <charset val="238"/>
      </rPr>
      <t xml:space="preserve"> </t>
    </r>
    <r>
      <rPr>
        <b/>
        <sz val="12"/>
        <rFont val="Times New Roman"/>
        <family val="1"/>
        <charset val="238"/>
      </rPr>
      <t>(z dotácií na R10 a R10a)</t>
    </r>
  </si>
  <si>
    <r>
      <t>Iné zdroje na obstaranie a technické zhodnotenie dlhodobého majetku</t>
    </r>
    <r>
      <rPr>
        <b/>
        <sz val="12"/>
        <rFont val="Times New Roman"/>
        <family val="1"/>
        <charset val="238"/>
      </rPr>
      <t xml:space="preserve"> (v danom roku vrátane zostatkov na týchto zdrojoch)</t>
    </r>
  </si>
  <si>
    <t xml:space="preserve">  - príspevok na úhradu výdavkov zahraničných študentov/lektorov  (649 016)</t>
  </si>
  <si>
    <t>- knihy, časopisy a noviny  (účet 501 001,501 051)</t>
  </si>
  <si>
    <t>- kancelárske potreby a materiál   (účet 501 003, 501 053)</t>
  </si>
  <si>
    <t>- papier  (účet 501 004, 501 054)</t>
  </si>
  <si>
    <t>- pohonné hmoty a ostatný materiál na dopravu  (účet 501 007, 501 057)</t>
  </si>
  <si>
    <t>- čistiace, hygienické a dezinfekčné potreby (účet 501 008, 501 020)</t>
  </si>
  <si>
    <t>- elektrická energia (účet 502 001, 502 051)</t>
  </si>
  <si>
    <t>- tepelná energia  (účet 502 002, 502 052)</t>
  </si>
  <si>
    <t>- vodné a stočné  (účet 502 003, 502 053)</t>
  </si>
  <si>
    <t>- plyn  (účet 502 004, 502 054)</t>
  </si>
  <si>
    <t>- palivá  (účet 502 005, 502 055)</t>
  </si>
  <si>
    <t>- domáce cestovné  (účet 512 001, 512 051)</t>
  </si>
  <si>
    <t>- telefón, fax  (účet 518 006, 518 056)</t>
  </si>
  <si>
    <t>- poštovné  (účet 518 008, 518 058)</t>
  </si>
  <si>
    <t>- odvoz odpadu  (účet 518 009, 518 059)</t>
  </si>
  <si>
    <t xml:space="preserve"> - odpisy DN a HM nadobudnutého z kapitálových dotácií zo ŠR 
(účet 551 100, 551 121, 551 123, 551 001, 551 003)</t>
  </si>
  <si>
    <r>
      <t>Tržby z predaja služieb (účet 602)</t>
    </r>
    <r>
      <rPr>
        <sz val="12"/>
        <color indexed="8"/>
        <rFont val="Times New Roman"/>
        <family val="1"/>
      </rPr>
      <t xml:space="preserve"> [SUM(R7:R10)] </t>
    </r>
  </si>
  <si>
    <r>
      <t>Úroky (účet 644)</t>
    </r>
    <r>
      <rPr>
        <sz val="12"/>
        <color indexed="8"/>
        <rFont val="Times New Roman"/>
        <family val="1"/>
      </rPr>
      <t xml:space="preserve"> [R17+R18]</t>
    </r>
  </si>
  <si>
    <r>
      <t>- fondu reprodukcie (účet 656 400)</t>
    </r>
    <r>
      <rPr>
        <vertAlign val="superscript"/>
        <sz val="12"/>
        <color indexed="8"/>
        <rFont val="Times New Roman"/>
        <family val="1"/>
      </rPr>
      <t xml:space="preserve"> 2)</t>
    </r>
  </si>
  <si>
    <t>(uviesť zoznam všetkých dotácií, každú na zvláštny riadok, napr. podprogram 026 05)</t>
  </si>
  <si>
    <t>uvádzajú sa štipendiá vyplatené zo štátneho rozpočtu, kód v CRŠ: 1</t>
  </si>
  <si>
    <t>- iné analyticky sledované náklady (účet 511 006-008, 511 056)</t>
  </si>
  <si>
    <t xml:space="preserve"> - poistné náklady (havarijné, majetok, na študentov) (účet 549 004, 549 014, 549 015, 549 054)</t>
  </si>
  <si>
    <r>
      <t>Výnosy z poplatkov spojených so štúdiom</t>
    </r>
    <r>
      <rPr>
        <sz val="12"/>
        <rFont val="Times New Roman"/>
        <family val="1"/>
      </rPr>
      <t xml:space="preserve"> [S</t>
    </r>
    <r>
      <rPr>
        <sz val="12"/>
        <color indexed="8"/>
        <rFont val="Times New Roman"/>
        <family val="1"/>
        <charset val="238"/>
      </rPr>
      <t>UM (R8:R13</t>
    </r>
    <r>
      <rPr>
        <sz val="12"/>
        <rFont val="Times New Roman"/>
        <family val="1"/>
      </rPr>
      <t>)]</t>
    </r>
  </si>
  <si>
    <t>Priemerné platy</t>
  </si>
  <si>
    <t>I=H/D/12</t>
  </si>
  <si>
    <t>- vysokoškolskí učitelia s funkčným zaradením "profesor"                 *)</t>
  </si>
  <si>
    <t>*) medzi profesorov sa započítava aj funkčné zaradenie "hosťujúci profesor"</t>
  </si>
  <si>
    <r>
      <t xml:space="preserve">Kategória zamestnancov - </t>
    </r>
    <r>
      <rPr>
        <b/>
        <sz val="12"/>
        <color indexed="10"/>
        <rFont val="Times New Roman"/>
        <family val="1"/>
        <charset val="238"/>
      </rPr>
      <t>žien</t>
    </r>
    <r>
      <rPr>
        <b/>
        <sz val="12"/>
        <rFont val="Times New Roman"/>
        <family val="1"/>
      </rPr>
      <t xml:space="preserve">
</t>
    </r>
  </si>
  <si>
    <t xml:space="preserve">- náklady na tvorbu ostatných fondov (účty  556 510, 556 520) </t>
  </si>
  <si>
    <t>- ostatných fondov (účet  656 510, 656 520)</t>
  </si>
  <si>
    <t>- náklady na tvorbu fondu na podporu štúdia študentov so špecifickými potrebami 
  (účet 556 300)</t>
  </si>
  <si>
    <t>- fondu na podporu štúdia študentov so špecifickými potrebami 
  (účet 656 300)</t>
  </si>
  <si>
    <r>
      <t xml:space="preserve">zdroj 11S  + </t>
    </r>
    <r>
      <rPr>
        <b/>
        <sz val="12"/>
        <color indexed="10"/>
        <rFont val="Times New Roman"/>
        <family val="1"/>
        <charset val="238"/>
      </rPr>
      <t xml:space="preserve">13S </t>
    </r>
    <r>
      <rPr>
        <b/>
        <sz val="12"/>
        <rFont val="Times New Roman"/>
        <family val="1"/>
        <charset val="238"/>
      </rPr>
      <t>spolu</t>
    </r>
  </si>
  <si>
    <r>
      <t xml:space="preserve">zdroj 11S1; </t>
    </r>
    <r>
      <rPr>
        <b/>
        <sz val="12"/>
        <color indexed="10"/>
        <rFont val="Times New Roman"/>
        <family val="1"/>
        <charset val="238"/>
      </rPr>
      <t>13S1</t>
    </r>
  </si>
  <si>
    <r>
      <t xml:space="preserve">zdroj 11S2; </t>
    </r>
    <r>
      <rPr>
        <b/>
        <sz val="12"/>
        <color indexed="10"/>
        <rFont val="Times New Roman"/>
        <family val="1"/>
        <charset val="238"/>
      </rPr>
      <t>13S2</t>
    </r>
  </si>
  <si>
    <r>
      <t>zdroj 11T  +</t>
    </r>
    <r>
      <rPr>
        <b/>
        <sz val="12"/>
        <color indexed="10"/>
        <rFont val="Times New Roman"/>
        <family val="1"/>
        <charset val="238"/>
      </rPr>
      <t xml:space="preserve"> 13T</t>
    </r>
    <r>
      <rPr>
        <b/>
        <sz val="12"/>
        <rFont val="Times New Roman"/>
        <family val="1"/>
        <charset val="238"/>
      </rPr>
      <t xml:space="preserve"> spolu</t>
    </r>
  </si>
  <si>
    <r>
      <t xml:space="preserve">zdroj 11T1; </t>
    </r>
    <r>
      <rPr>
        <b/>
        <sz val="12"/>
        <color indexed="10"/>
        <rFont val="Times New Roman"/>
        <family val="1"/>
        <charset val="238"/>
      </rPr>
      <t>13T1</t>
    </r>
  </si>
  <si>
    <r>
      <t xml:space="preserve">zdroj 11T2; </t>
    </r>
    <r>
      <rPr>
        <b/>
        <sz val="12"/>
        <color indexed="10"/>
        <rFont val="Times New Roman"/>
        <family val="1"/>
        <charset val="238"/>
      </rPr>
      <t>13T2</t>
    </r>
  </si>
  <si>
    <r>
      <rPr>
        <vertAlign val="superscript"/>
        <sz val="12"/>
        <rFont val="Times New Roman"/>
        <family val="1"/>
        <charset val="238"/>
      </rPr>
      <t>1)</t>
    </r>
    <r>
      <rPr>
        <sz val="12"/>
        <rFont val="Times New Roman"/>
        <family val="1"/>
        <charset val="238"/>
      </rPr>
      <t xml:space="preserve">  v riadku 6 sa uvádzajú len cudzinci, ktorým nevznikla povinnosť uhradiť školné z dôvodov uvedených v riadkoch 2 až 5</t>
    </r>
  </si>
  <si>
    <r>
      <t xml:space="preserve">Spolu </t>
    </r>
    <r>
      <rPr>
        <sz val="12"/>
        <rFont val="Times New Roman"/>
        <family val="1"/>
      </rPr>
      <t>[R1+R14+R21+R22+R27+R35+R38+R39+R55+SUM (R61:R63) +SUM (R70:R74)+R84+R93+R94]</t>
    </r>
  </si>
  <si>
    <r>
      <t xml:space="preserve">Krytie fondu finančnými prostriedkami na osobitnom bankovom účte </t>
    </r>
    <r>
      <rPr>
        <vertAlign val="superscript"/>
        <sz val="12"/>
        <rFont val="Times New Roman"/>
        <family val="1"/>
        <charset val="238"/>
      </rPr>
      <t xml:space="preserve">3) </t>
    </r>
    <r>
      <rPr>
        <sz val="11"/>
        <rFont val="Times New Roman"/>
        <family val="1"/>
        <charset val="238"/>
      </rPr>
      <t>k 31.12.</t>
    </r>
  </si>
  <si>
    <t>Fondy VVŠ</t>
  </si>
  <si>
    <t>uvádzajú sa len štipendiá vyplatené z vlastných zdrojov, v CRŠ kód 9</t>
  </si>
  <si>
    <t>z toho PČ (jednou sumou z R15,SG)</t>
  </si>
  <si>
    <t>Výpočet</t>
  </si>
  <si>
    <t>Priemerné platy mužov</t>
  </si>
  <si>
    <t>Priemerné platy žien</t>
  </si>
  <si>
    <r>
      <t>Počet</t>
    </r>
    <r>
      <rPr>
        <b/>
        <sz val="12"/>
        <rFont val="Times New Roman"/>
        <family val="1"/>
        <charset val="238"/>
      </rPr>
      <t xml:space="preserve"> žien</t>
    </r>
    <r>
      <rPr>
        <b/>
        <sz val="12"/>
        <rFont val="Times New Roman"/>
        <family val="1"/>
      </rPr>
      <t xml:space="preserve"> platených z prostriedkov štátneho rozpočtu</t>
    </r>
  </si>
  <si>
    <r>
      <t>Ženy</t>
    </r>
    <r>
      <rPr>
        <b/>
        <sz val="12"/>
        <rFont val="Times New Roman"/>
        <family val="1"/>
      </rPr>
      <t xml:space="preserve"> platené z dotácie MŠVVaŠ SR</t>
    </r>
  </si>
  <si>
    <r>
      <t xml:space="preserve">Počet </t>
    </r>
    <r>
      <rPr>
        <b/>
        <sz val="12"/>
        <rFont val="Times New Roman"/>
        <family val="1"/>
        <charset val="238"/>
      </rPr>
      <t>žien</t>
    </r>
    <r>
      <rPr>
        <b/>
        <sz val="12"/>
        <rFont val="Times New Roman"/>
        <family val="1"/>
      </rPr>
      <t xml:space="preserve"> platených z iných zdrojov</t>
    </r>
  </si>
  <si>
    <r>
      <t xml:space="preserve">Počet </t>
    </r>
    <r>
      <rPr>
        <b/>
        <sz val="12"/>
        <rFont val="Times New Roman"/>
        <family val="1"/>
        <charset val="238"/>
      </rPr>
      <t>žien</t>
    </r>
    <r>
      <rPr>
        <b/>
        <sz val="12"/>
        <rFont val="Times New Roman"/>
        <family val="1"/>
      </rPr>
      <t xml:space="preserve"> spolu</t>
    </r>
  </si>
  <si>
    <r>
      <t xml:space="preserve">Do tabuľky sa uvádzajú aj </t>
    </r>
    <r>
      <rPr>
        <b/>
        <sz val="10"/>
        <color indexed="10"/>
        <rFont val="Times New Roman"/>
        <family val="1"/>
        <charset val="238"/>
      </rPr>
      <t>motivačné štipendiá doktorandov</t>
    </r>
    <r>
      <rPr>
        <sz val="10"/>
        <color indexed="10"/>
        <rFont val="Times New Roman"/>
        <family val="1"/>
      </rPr>
      <t>, nie však "normálne" štipendiá doktorandov podľa platovej tabuľky!!</t>
    </r>
  </si>
  <si>
    <t>L= G+H+I+J+K</t>
  </si>
  <si>
    <t>-za dosiahnutie vynikajúceho výsledku v oblasti štúdia [R6+R7]</t>
  </si>
  <si>
    <t>-za dosiahnutie vynikajúceho výsledku vo výskume a vývoji [R9+R10]</t>
  </si>
  <si>
    <r>
      <t xml:space="preserve">- za umeleckú alebo športovú činnosť </t>
    </r>
    <r>
      <rPr>
        <sz val="12"/>
        <rFont val="Times New Roman"/>
        <family val="1"/>
        <charset val="238"/>
      </rPr>
      <t xml:space="preserve">[R11+R12]  </t>
    </r>
    <r>
      <rPr>
        <b/>
        <sz val="12"/>
        <rFont val="Times New Roman"/>
        <family val="1"/>
        <charset val="238"/>
      </rPr>
      <t xml:space="preserve">                                                     </t>
    </r>
  </si>
  <si>
    <r>
      <t xml:space="preserve">- na sociálnu podporu </t>
    </r>
    <r>
      <rPr>
        <sz val="12"/>
        <rFont val="Times New Roman"/>
        <family val="1"/>
        <charset val="238"/>
      </rPr>
      <t>[R15+R16]</t>
    </r>
  </si>
  <si>
    <r>
      <t xml:space="preserve">Štipendiá z vlastných zdrojov vysokej školy (§ 97 zákona) spolu </t>
    </r>
    <r>
      <rPr>
        <sz val="12"/>
        <rFont val="Times New Roman"/>
        <family val="1"/>
        <charset val="238"/>
      </rPr>
      <t xml:space="preserve">[R2+R5+R8+R11+R14] </t>
    </r>
  </si>
  <si>
    <r>
      <t xml:space="preserve">Priemerný evidenčný prepočítaný počet </t>
    </r>
    <r>
      <rPr>
        <b/>
        <sz val="12"/>
        <rFont val="Times New Roman"/>
        <family val="1"/>
        <charset val="238"/>
      </rPr>
      <t>žien</t>
    </r>
    <r>
      <rPr>
        <b/>
        <sz val="12"/>
        <rFont val="Times New Roman"/>
        <family val="1"/>
      </rPr>
      <t xml:space="preserve"> za rok 2016</t>
    </r>
  </si>
  <si>
    <t>Stav k 31. 12. 2016</t>
  </si>
  <si>
    <t>Náklady
hlavnej činnosti
2016</t>
  </si>
  <si>
    <t>Zmeny stavu zásob vlastnej výroby (účtová skupina 611-614)</t>
  </si>
  <si>
    <t>Aktivácia (účet 621-624)</t>
  </si>
  <si>
    <t>Príspevky z podielu zaplatenej dane (účet 665)</t>
  </si>
  <si>
    <t>- ostatný materiál (účet 501 099, 501 030, 501 100, 501 599)</t>
  </si>
  <si>
    <t>- ostatné energie (502 099)</t>
  </si>
  <si>
    <t>- dopravné služby (účet 518 012, 518 512)</t>
  </si>
  <si>
    <t>- Náklady účtovnej skupiny 54  okrem nákladov účtu 549 (541 až 548)</t>
  </si>
  <si>
    <t>- ostatné náklady z účtovej skupiny 55 (účty 552, 553, 554, 557, 558, 559)</t>
  </si>
  <si>
    <t>- chemikálie a ostatný materiál pre zabezpečenie experimentálnej výučby  (účet 501 002, 501 052)</t>
  </si>
  <si>
    <t xml:space="preserve">    - Podpora štud. so špecifickými potrebami podľa §100  (549 018) </t>
  </si>
  <si>
    <t>81a</t>
  </si>
  <si>
    <t>- náklady na tvorbu fondu reprodukcie (účet 556 400) (z predaja a likvidácie majetku)</t>
  </si>
  <si>
    <t xml:space="preserve"> - štipendiá z vlastných zdrojov (549 007-010, 549 019, 549 020) </t>
  </si>
  <si>
    <t xml:space="preserve"> - ostatné iné náklady (účet 549 098, 549 099, 549 011, 549 013)</t>
  </si>
  <si>
    <t xml:space="preserve"> - iné analyticky sledované náklady (účet 549 005-006, 549 012)</t>
  </si>
  <si>
    <t>- tvorba fondu z výnosov z predaja (a likvidácie) majetku (účet 413 117)</t>
  </si>
  <si>
    <t>- iné analyticky sledované výnosy (účty 602 002-007, 602 011-019, 602 099, 602 199)</t>
  </si>
  <si>
    <r>
      <t xml:space="preserve">1) V </t>
    </r>
    <r>
      <rPr>
        <sz val="12"/>
        <color rgb="FF0000FF"/>
        <rFont val="Times New Roman"/>
        <family val="1"/>
        <charset val="238"/>
      </rPr>
      <t xml:space="preserve">R50-54 </t>
    </r>
    <r>
      <rPr>
        <sz val="12"/>
        <color rgb="FFFF0000"/>
        <rFont val="Times New Roman"/>
        <family val="1"/>
      </rPr>
      <t xml:space="preserve">sa uvedú výnosy účtované v súvislosti s použitím  príslušného fondu.  </t>
    </r>
  </si>
  <si>
    <t>- vložné na konferencie (649 018)</t>
  </si>
  <si>
    <t>Prijaté príspevky z verejných zbierok (667)</t>
  </si>
  <si>
    <r>
      <t xml:space="preserve"> - MZDY (účty 521 001-008, 521 012, 521 013, </t>
    </r>
    <r>
      <rPr>
        <sz val="12"/>
        <rFont val="Times New Roman"/>
        <family val="1"/>
        <charset val="238"/>
      </rPr>
      <t>581 003</t>
    </r>
    <r>
      <rPr>
        <sz val="12"/>
        <color theme="1"/>
        <rFont val="Times New Roman"/>
        <family val="1"/>
      </rPr>
      <t>)</t>
    </r>
  </si>
  <si>
    <r>
      <t>Spotreba materiálu (účet 501)</t>
    </r>
    <r>
      <rPr>
        <sz val="12"/>
        <color indexed="8"/>
        <rFont val="Times New Roman"/>
        <family val="1"/>
      </rPr>
      <t xml:space="preserve"> </t>
    </r>
    <r>
      <rPr>
        <sz val="12"/>
        <color rgb="FF0000FF"/>
        <rFont val="Times New Roman"/>
        <family val="1"/>
        <charset val="238"/>
      </rPr>
      <t>[SUM(R2:R13)]</t>
    </r>
  </si>
  <si>
    <r>
      <t>Spotreba energie (účet 502)</t>
    </r>
    <r>
      <rPr>
        <sz val="12"/>
        <color indexed="8"/>
        <rFont val="Times New Roman"/>
        <family val="1"/>
      </rPr>
      <t xml:space="preserve"> </t>
    </r>
    <r>
      <rPr>
        <sz val="12"/>
        <color rgb="FF0000FF"/>
        <rFont val="Times New Roman"/>
        <family val="1"/>
        <charset val="238"/>
      </rPr>
      <t>[SUM(R15:R20)]</t>
    </r>
  </si>
  <si>
    <r>
      <t>Predaný tovar (účet 504)</t>
    </r>
    <r>
      <rPr>
        <sz val="12"/>
        <color rgb="FF0000FF"/>
        <rFont val="Times New Roman"/>
        <family val="1"/>
        <charset val="238"/>
      </rPr>
      <t xml:space="preserve"> [SUM(R23:R26)]</t>
    </r>
  </si>
  <si>
    <r>
      <t>Opravy a udržiavanie (účet 511)</t>
    </r>
    <r>
      <rPr>
        <sz val="12"/>
        <color indexed="8"/>
        <rFont val="Times New Roman"/>
        <family val="1"/>
      </rPr>
      <t xml:space="preserve"> </t>
    </r>
    <r>
      <rPr>
        <sz val="12"/>
        <color rgb="FF0000FF"/>
        <rFont val="Times New Roman"/>
        <family val="1"/>
        <charset val="238"/>
      </rPr>
      <t>[SUM(R28:R34)]</t>
    </r>
  </si>
  <si>
    <r>
      <t>Cestovné (účet 512)</t>
    </r>
    <r>
      <rPr>
        <sz val="12"/>
        <color indexed="8"/>
        <rFont val="Times New Roman"/>
        <family val="1"/>
      </rPr>
      <t xml:space="preserve"> [</t>
    </r>
    <r>
      <rPr>
        <sz val="12"/>
        <color rgb="FF0000FF"/>
        <rFont val="Times New Roman"/>
        <family val="1"/>
        <charset val="238"/>
      </rPr>
      <t>SUM(R36:R37)]</t>
    </r>
  </si>
  <si>
    <r>
      <t>Mzdové náklady (účet 521)</t>
    </r>
    <r>
      <rPr>
        <sz val="12"/>
        <color indexed="8"/>
        <rFont val="Times New Roman"/>
        <family val="1"/>
      </rPr>
      <t xml:space="preserve">  </t>
    </r>
    <r>
      <rPr>
        <sz val="12"/>
        <color rgb="FF0000FF"/>
        <rFont val="Times New Roman"/>
        <family val="1"/>
        <charset val="238"/>
      </rPr>
      <t>[SUM(R56:R57)]</t>
    </r>
  </si>
  <si>
    <r>
      <t xml:space="preserve"> - OON </t>
    </r>
    <r>
      <rPr>
        <sz val="12"/>
        <color rgb="FF0000FF"/>
        <rFont val="Times New Roman"/>
        <family val="1"/>
        <charset val="238"/>
      </rPr>
      <t>[SUM(R58:R60)]</t>
    </r>
  </si>
  <si>
    <r>
      <t xml:space="preserve">Zákonné sociálne náklady (účet 527) </t>
    </r>
    <r>
      <rPr>
        <sz val="12"/>
        <color rgb="FF0000FF"/>
        <rFont val="Times New Roman"/>
        <family val="1"/>
        <charset val="238"/>
      </rPr>
      <t>[SUM(R64:R69)]</t>
    </r>
  </si>
  <si>
    <r>
      <t>Ostatné náklady (účtová skupina 54)</t>
    </r>
    <r>
      <rPr>
        <sz val="12"/>
        <color indexed="8"/>
        <rFont val="Times New Roman"/>
        <family val="1"/>
      </rPr>
      <t xml:space="preserve"> </t>
    </r>
    <r>
      <rPr>
        <sz val="12"/>
        <color rgb="FF0000FF"/>
        <rFont val="Times New Roman"/>
        <family val="1"/>
        <charset val="238"/>
      </rPr>
      <t>[R75+ R76]</t>
    </r>
  </si>
  <si>
    <r>
      <t xml:space="preserve">Odpisy, predaný majetok a opravné položky (účtová skupina 55: 551 až 558) </t>
    </r>
    <r>
      <rPr>
        <sz val="12"/>
        <color rgb="FF0000FF"/>
        <rFont val="Times New Roman"/>
        <family val="1"/>
        <charset val="238"/>
      </rPr>
      <t>[SUM(R85:R92)]</t>
    </r>
  </si>
  <si>
    <t>chýba 713006 - komunikačná infraštruktúra</t>
  </si>
  <si>
    <t>- telekomunikačná technika  (713 003), komunikačná infraštruktúra (713 006)</t>
  </si>
  <si>
    <r>
      <t xml:space="preserve">Príjem z dotácie na motivačné štipendiá z kapitoly MŠVVaŠ SR v kalendárnom roku </t>
    </r>
    <r>
      <rPr>
        <sz val="12"/>
        <rFont val="Times New Roman"/>
        <family val="1"/>
        <charset val="238"/>
      </rPr>
      <t xml:space="preserve"> </t>
    </r>
  </si>
  <si>
    <r>
      <t>Nevyčerpaná dotácia (+) / nedoplatok dotácie (-) k 31. 12. kalendárneho roka</t>
    </r>
    <r>
      <rPr>
        <b/>
        <vertAlign val="superscript"/>
        <sz val="12"/>
        <rFont val="Times New Roman"/>
        <family val="1"/>
        <charset val="238"/>
      </rPr>
      <t xml:space="preserve"> </t>
    </r>
    <r>
      <rPr>
        <b/>
        <sz val="12"/>
        <rFont val="Times New Roman"/>
        <family val="1"/>
        <charset val="238"/>
      </rPr>
      <t xml:space="preserve">  [R1+R2-R3]                       </t>
    </r>
  </si>
  <si>
    <r>
      <t>Počet študentov, ktorým bolo priznané motivačné štipendium</t>
    </r>
    <r>
      <rPr>
        <b/>
        <vertAlign val="superscript"/>
        <sz val="12"/>
        <rFont val="Times New Roman"/>
        <family val="1"/>
        <charset val="238"/>
      </rPr>
      <t xml:space="preserve"> 1)</t>
    </r>
  </si>
  <si>
    <t xml:space="preserve">1) v riadku 5 sa uvedie celkový fyzický počet študentov (pričom 1 študent sa počíta za 1 fyzickú osobu), ktorým bolo vyplatené motivačné štipendium v kalendárnom roku </t>
  </si>
  <si>
    <t>2) uvádzajú sa len motivačné štipendiá vyplatené podľa § 96a, ods.1, písm. a) (kód CRŠ 19)</t>
  </si>
  <si>
    <t>3) uvádzajú sa len motivačné štipendiá vyplatené podľa § 96a, ods.1, písm. b) (kódy v  CRŠ: 4, 5, 6, 7, 8)</t>
  </si>
  <si>
    <r>
      <t xml:space="preserve">mot. štipendiá podľa 
§ 96a, ods.1, písm. a)
</t>
    </r>
    <r>
      <rPr>
        <b/>
        <sz val="12"/>
        <rFont val="Times New Roman"/>
        <family val="1"/>
        <charset val="238"/>
      </rPr>
      <t>(kód v CRŠ: 19)</t>
    </r>
    <r>
      <rPr>
        <vertAlign val="superscript"/>
        <sz val="12"/>
        <rFont val="Times New Roman"/>
        <family val="1"/>
        <charset val="238"/>
      </rPr>
      <t>2)</t>
    </r>
  </si>
  <si>
    <r>
      <t xml:space="preserve">mot. štipendiá podľa 
§ 96a, ods.1, písm. b)
</t>
    </r>
    <r>
      <rPr>
        <b/>
        <sz val="12"/>
        <rFont val="Times New Roman"/>
        <family val="1"/>
        <charset val="238"/>
      </rPr>
      <t>(kódy v  CRŠ: 4, 5, 6, 7, 8)</t>
    </r>
    <r>
      <rPr>
        <vertAlign val="superscript"/>
        <sz val="12"/>
        <rFont val="Times New Roman"/>
        <family val="1"/>
        <charset val="238"/>
      </rPr>
      <t>3)</t>
    </r>
  </si>
  <si>
    <t>- dary (účet 649 009) (646 001) (646 002)</t>
  </si>
  <si>
    <t>- iné analyticky sledované náklady (účty 501 005-006, 501 013-018, 501 077, 501 515)</t>
  </si>
  <si>
    <t>- zahraničné cestovné  (účet 512 002, 512 003,512 004, 512 052)</t>
  </si>
  <si>
    <t xml:space="preserve"> - odpisy ostatného DN a HM (účet 551 200, 551 221, 551 223, 551 400, 551 500, 551 900, 551 921, 551 923)</t>
  </si>
  <si>
    <t xml:space="preserve"> - odpisy DN a HM nadobudnutého z kapitálových dotácií z EÚ (zo štrukturálnych fondov) (účet 551 300, 551 321, 551 323 )</t>
  </si>
  <si>
    <r>
      <t>Tabuľka č. 1: Príjmy z dotácií verejnej vysokej škole zo štátneho rozpočtu z kapitoly MŠVVaŠ SR
 poskytnuté na základe Zmluvy o poskytnutí dotácie zo štátneho rozpočtu prostredníctvom rozpočtu Ministerstva školstva, vedy, výskumu a športu Slovenskej republiky na rok 2017</t>
    </r>
    <r>
      <rPr>
        <b/>
        <sz val="14"/>
        <color rgb="FFFF0000"/>
        <rFont val="Times New Roman"/>
        <family val="1"/>
        <charset val="238"/>
      </rPr>
      <t xml:space="preserve">  </t>
    </r>
    <r>
      <rPr>
        <b/>
        <sz val="14"/>
        <rFont val="Times New Roman"/>
        <family val="1"/>
      </rPr>
      <t xml:space="preserve">na programe 077 </t>
    </r>
  </si>
  <si>
    <r>
      <t>Tabuľka č. 2: Príjmy verejnej vysokej školy v roku 2017</t>
    </r>
    <r>
      <rPr>
        <b/>
        <sz val="14"/>
        <color rgb="FFFF0000"/>
        <rFont val="Times New Roman"/>
        <family val="1"/>
        <charset val="238"/>
      </rPr>
      <t xml:space="preserve"> </t>
    </r>
    <r>
      <rPr>
        <b/>
        <sz val="14"/>
        <rFont val="Times New Roman"/>
        <family val="1"/>
        <charset val="238"/>
      </rPr>
      <t>majúce charakter dotácie okrem príjmov z dotácií 
 z  kapitoly MŠVVaŠ SR a okrem  prostriedkov EÚ  (štrukturálnych  fondov)</t>
    </r>
  </si>
  <si>
    <t>Tabuľka č. 3: Výnosy verejnej vysokej školy v rokoch 2016 a 2017</t>
  </si>
  <si>
    <t>Rozdiel 2017-2016</t>
  </si>
  <si>
    <r>
      <t>Tabuľka č. 4: Výnosy verejnej vysokej školy zo školného a z poplatkov spojených so štúdiom  
v rokoch 2016</t>
    </r>
    <r>
      <rPr>
        <b/>
        <sz val="14"/>
        <color rgb="FFFF0000"/>
        <rFont val="Times New Roman"/>
        <family val="1"/>
        <charset val="238"/>
      </rPr>
      <t xml:space="preserve"> </t>
    </r>
    <r>
      <rPr>
        <b/>
        <sz val="14"/>
        <rFont val="Times New Roman"/>
        <family val="1"/>
        <charset val="238"/>
      </rPr>
      <t>a 2017</t>
    </r>
    <r>
      <rPr>
        <b/>
        <sz val="14"/>
        <color rgb="FFFF0000"/>
        <rFont val="Times New Roman"/>
        <family val="1"/>
        <charset val="238"/>
      </rPr>
      <t xml:space="preserve"> </t>
    </r>
  </si>
  <si>
    <t>Tabuľka č. 5: Náklady verejnej vysokej školy v rokoch 2016 a 2017</t>
  </si>
  <si>
    <t>Tabuľka č. 6: Zamestnanci a náklady na mzdy verejnej vysokej školy v roku 2017</t>
  </si>
  <si>
    <t>Priemerný evidenčný prepočítaný počet zamestnancov za rok 2017</t>
  </si>
  <si>
    <t xml:space="preserve">Tabuľka č. 7: Náklady verejnej vysokej školy na štipendiá interných doktorandov v roku 2017 </t>
  </si>
  <si>
    <t>Tabuľka č. 8: Údaje o systéme sociálnej podpory - časť  sociálne štipendiá  (§ 96 zákona) 
za roky 2016 a 2017</t>
  </si>
  <si>
    <r>
      <t>Tabuľka č. 9: Údaje o systéme sociálnej podpory  - časť výnosy a náklady</t>
    </r>
    <r>
      <rPr>
        <b/>
        <vertAlign val="superscript"/>
        <sz val="14"/>
        <rFont val="Times New Roman"/>
        <family val="1"/>
        <charset val="238"/>
      </rPr>
      <t>1)</t>
    </r>
    <r>
      <rPr>
        <b/>
        <sz val="14"/>
        <rFont val="Times New Roman"/>
        <family val="1"/>
      </rPr>
      <t xml:space="preserve"> študentských domovov 
(bez zmluvných zariadení) za roky 2016 a 2017</t>
    </r>
  </si>
  <si>
    <t>Tabuľka č. 11: Zdroje verejnej vysokej školy na obstaranie a technické zhodnotenie dlhodobého  majetku v rokoch 2016 a 2017</t>
  </si>
  <si>
    <t>Tabuľka č. 12: Výdavky verejnej vysokej školy na obstaranie a technické zhodnotenie dlhodobého majetku v roku 2017</t>
  </si>
  <si>
    <t>Čerpanie kapitálovej dotácie v roku 2017
zo štátneho rozpočtu</t>
  </si>
  <si>
    <r>
      <t xml:space="preserve">Čerpanie kapitálovej dotácie v roku 2017
</t>
    </r>
    <r>
      <rPr>
        <b/>
        <sz val="11"/>
        <color indexed="8"/>
        <rFont val="Times New Roman"/>
        <family val="1"/>
      </rPr>
      <t>z prostriedkov EÚ (štrukturálnych fondov)</t>
    </r>
  </si>
  <si>
    <t xml:space="preserve">Čerpanie bežnej dotácie v roku 2017 prostredníctvom fondu reprodukcie </t>
  </si>
  <si>
    <t>Tabuľka č. 13: Stav a vývoj finančných fondov verejnej vysokej školy v rokoch 2016 a 2017</t>
  </si>
  <si>
    <t>Tabuľka č. 16: Štruktúra a stav finančných prostriedkov na bankových účtoch verejnej vysokej školy
   k 31. decembru 2017</t>
  </si>
  <si>
    <t>Stav účtu k 31.12.2017</t>
  </si>
  <si>
    <t>Tabuľka č. 17: Príjmy verejnej vysokej školy z prostriedkov EÚ a z prostriedkov na ich spolufinancovanie 
zo štátneho rozpočtu z kapitoly MŠVVaŠ SR a z iných kapitol štátneho rozpočtu v roku 2017</t>
  </si>
  <si>
    <r>
      <t>Tabuľka č. 18: Príjmy z dotácií verejnej vysokej škole zo štátneho rozpočtu z kapitoly MŠVVaŠ SR 
poskytnuté mimo programu 077 a mimo príjmov z prostriedkov EÚ (zo štrukturálnych fondov) v roku 2017</t>
    </r>
    <r>
      <rPr>
        <sz val="14"/>
        <color rgb="FFFF0000"/>
        <rFont val="Times New Roman"/>
        <family val="1"/>
        <charset val="238"/>
      </rPr>
      <t xml:space="preserve"> </t>
    </r>
    <r>
      <rPr>
        <sz val="14"/>
        <rFont val="Times New Roman"/>
        <family val="1"/>
      </rPr>
      <t xml:space="preserve">
</t>
    </r>
  </si>
  <si>
    <t xml:space="preserve">Tabuľka č. 19: Štipendiá z vlastných zdrojov podľa § 97 zákona v rokoch 2016 a 2017 </t>
  </si>
  <si>
    <r>
      <t xml:space="preserve">  - poskytované mesačne </t>
    </r>
    <r>
      <rPr>
        <vertAlign val="superscript"/>
        <sz val="12"/>
        <rFont val="Times New Roman"/>
        <family val="1"/>
      </rPr>
      <t>1)</t>
    </r>
  </si>
  <si>
    <t xml:space="preserve">Tabuľka č. 20: Motivačné štipendiá  v rokoch 2016 a 2017 (v zmysle § 96a zákona )  </t>
  </si>
  <si>
    <r>
      <t xml:space="preserve">Tabuľka č. 21: Štruktúra účtu 384 </t>
    </r>
    <r>
      <rPr>
        <b/>
        <i/>
        <sz val="14"/>
        <rFont val="Times New Roman"/>
        <family val="1"/>
        <charset val="238"/>
      </rPr>
      <t xml:space="preserve">- </t>
    </r>
    <r>
      <rPr>
        <b/>
        <sz val="14"/>
        <rFont val="Times New Roman"/>
        <family val="1"/>
        <charset val="238"/>
      </rPr>
      <t>výnosy budúcich období</t>
    </r>
    <r>
      <rPr>
        <b/>
        <i/>
        <sz val="14"/>
        <rFont val="Times New Roman"/>
        <family val="1"/>
        <charset val="238"/>
      </rPr>
      <t xml:space="preserve"> </t>
    </r>
    <r>
      <rPr>
        <b/>
        <sz val="14"/>
        <rFont val="Times New Roman"/>
        <family val="1"/>
        <charset val="238"/>
      </rPr>
      <t>v rokoch 2016 a 2017</t>
    </r>
    <r>
      <rPr>
        <b/>
        <sz val="14"/>
        <color rgb="FFFF0000"/>
        <rFont val="Times New Roman"/>
        <family val="1"/>
        <charset val="238"/>
      </rPr>
      <t xml:space="preserve"> </t>
    </r>
  </si>
  <si>
    <t>Stav k 31. 12. 2017</t>
  </si>
  <si>
    <t xml:space="preserve">Tabuľka č. 22: Výnosy verejnej vysokej školy v roku 2017 v oblasti sociálnej podpory študentov </t>
  </si>
  <si>
    <t>Výnosy
v hlavnej činnosti
2016</t>
  </si>
  <si>
    <r>
      <t>Výnosy
hlavnej činnosti
2017</t>
    </r>
    <r>
      <rPr>
        <sz val="12"/>
        <color indexed="10"/>
        <rFont val="Times New Roman"/>
        <family val="1"/>
        <charset val="238"/>
      </rPr>
      <t xml:space="preserve"> </t>
    </r>
  </si>
  <si>
    <t xml:space="preserve">Tabuľka č .23:  Náklady verejnej vysokej školy  v roku 2017 v oblasti sociálnej podpory študentov </t>
  </si>
  <si>
    <t>Náklady
hlavnej činnosti
2017</t>
  </si>
  <si>
    <r>
      <t>Rozdiel 2017-2016</t>
    </r>
    <r>
      <rPr>
        <sz val="12"/>
        <color indexed="10"/>
        <rFont val="Times New Roman"/>
        <family val="1"/>
        <charset val="238"/>
      </rPr>
      <t xml:space="preserve"> </t>
    </r>
  </si>
  <si>
    <t>K=A+C+E+G+I</t>
  </si>
  <si>
    <t>L=B+D+F+H+J</t>
  </si>
  <si>
    <t>Výnos z dotácie zo štátneho rozpočtu na študentské domovy (vrátane zmluvných zariadení a valorizácie miezd ŠJ)</t>
  </si>
  <si>
    <t>Tabuľka č. 6a: Zamestnanci a náklady na mzdy verejnej vysokej školy v roku 2017   -   len  ženy  a výpočet priemerného platu mužov</t>
  </si>
  <si>
    <t xml:space="preserve"> - príspevok zamestnancom na stravovanie  (účet 527 002, 527 052)</t>
  </si>
  <si>
    <r>
      <t>Poskytnuté príspevky</t>
    </r>
    <r>
      <rPr>
        <sz val="12"/>
        <color theme="1"/>
        <rFont val="Times New Roman"/>
        <family val="1"/>
      </rPr>
      <t xml:space="preserve"> </t>
    </r>
    <r>
      <rPr>
        <b/>
        <sz val="12"/>
        <color theme="1"/>
        <rFont val="Times New Roman"/>
        <family val="1"/>
      </rPr>
      <t>(účtová skupina 56: 562 a 563)</t>
    </r>
  </si>
  <si>
    <t>Daň z príjmov (účtová skupina 59: 591 až 595)</t>
  </si>
  <si>
    <r>
      <t xml:space="preserve">Výnosy z použitia fondov (účet 656) [SUM(R50:R54)]  </t>
    </r>
    <r>
      <rPr>
        <b/>
        <vertAlign val="superscript"/>
        <sz val="12"/>
        <color theme="1"/>
        <rFont val="Times New Roman"/>
        <family val="1"/>
      </rPr>
      <t xml:space="preserve"> 1)</t>
    </r>
  </si>
  <si>
    <t>Prijaté príspevky od fyzických osôb 663</t>
  </si>
  <si>
    <t>V prípade, že ešte niektorá VVŠ vypláca doktorandské štipendiá pozadu (ako "mzdy zamestancom"), výška nákladov vykazovaná k 31.12.2017 zohľadňuje aj úhradu štipendií doktorandov, vyplatených v januári  2018 za december 2017</t>
  </si>
  <si>
    <r>
      <t xml:space="preserve">Počet osobomesiacov interných doktorandov </t>
    </r>
    <r>
      <rPr>
        <b/>
        <sz val="12"/>
        <color rgb="FF0000FF"/>
        <rFont val="Times New Roman"/>
        <family val="1"/>
        <charset val="238"/>
      </rPr>
      <t xml:space="preserve">spolu </t>
    </r>
    <r>
      <rPr>
        <b/>
        <sz val="12"/>
        <color theme="1"/>
        <rFont val="Times New Roman"/>
        <family val="1"/>
        <charset val="238"/>
      </rPr>
      <t>za 2017</t>
    </r>
  </si>
  <si>
    <r>
      <t xml:space="preserve">Náklady na štipendiá interných doktorandov </t>
    </r>
    <r>
      <rPr>
        <b/>
        <sz val="12"/>
        <color rgb="FF0000FF"/>
        <rFont val="Times New Roman"/>
        <family val="1"/>
        <charset val="238"/>
      </rPr>
      <t>spolu</t>
    </r>
  </si>
  <si>
    <t>C = A+B</t>
  </si>
  <si>
    <r>
      <t xml:space="preserve">z iných zdrojov
 </t>
    </r>
    <r>
      <rPr>
        <b/>
        <sz val="12"/>
        <color rgb="FFFF0000"/>
        <rFont val="Times New Roman"/>
        <family val="1"/>
        <charset val="238"/>
      </rPr>
      <t>kód 13</t>
    </r>
  </si>
  <si>
    <t>z  dotácií 
(ostatné kódy okrem kódu 13)</t>
  </si>
  <si>
    <t>- za súbežné štúdium v dennej forme  (§ 92 ods. 5, 648 026)</t>
  </si>
  <si>
    <t>- za prekročenie štandardnej dĺžky štúdia v dennej forme (§ 92 ods. 6) (648 001)</t>
  </si>
  <si>
    <t xml:space="preserve"> - za cudzojazyčné štúdium dennou formou (§ 92 ods. 8 a 9) (648 002, 648 023)</t>
  </si>
  <si>
    <t>- za externú formu štúdia (§ 92 ods. 4) (648 020)</t>
  </si>
  <si>
    <t xml:space="preserve">- za prijímacie konanie (§ 92 ods. 12 zákona) (účet 648 003) </t>
  </si>
  <si>
    <t xml:space="preserve">- za rigorózne konanie (§ 92 ods. 13 zákona) (účet 648 004) </t>
  </si>
  <si>
    <t xml:space="preserve">- za vydanie diplomu za rigorózne konanie (§ 92 ods. 14 zákona)  (účet 648 005) </t>
  </si>
  <si>
    <t>- za vydanie dokladov o štúdiu a ich kópií (§ 92 ods. 15 zákona) (účet 648 006)</t>
  </si>
  <si>
    <t>- za vydanie dokladov o absolvovaní štúdia v štátnom jazyku a v jazyku požadovanom študentom a ich kópií  (§ 92 ods. 15 zákona) (účet 648 024)</t>
  </si>
  <si>
    <r>
      <t xml:space="preserve"> - za uznávanie rovnocennosti dokladov o štúdiu (§ 92 ods. 15 zákona) (účet 648 025) </t>
    </r>
    <r>
      <rPr>
        <vertAlign val="superscript"/>
        <sz val="12"/>
        <rFont val="Times New Roman"/>
        <family val="1"/>
        <charset val="238"/>
      </rPr>
      <t/>
    </r>
  </si>
  <si>
    <t>Výnosy zo školného (účet 648) [SUM(R21:R24)]</t>
  </si>
  <si>
    <t>- poplatky za vydanie dokladov o absolvovaní štúdia (§92, ods. 15, účet 648 024)</t>
  </si>
  <si>
    <t>- poplatky za uznávanie rovnocennosti dokladov o štúdiu (§92, ods. 15, účet 648 025)</t>
  </si>
  <si>
    <t>za rok 2016 sa údaje tabuľky  plnia z účtu 649* a za rok 2017   sa plnia z účtu 648*</t>
  </si>
  <si>
    <t>- školné za prekročenie štandardnej dĺžky štúdia účet 648 001</t>
  </si>
  <si>
    <t>- školné od cudzincov (§ 92 ods. 9 zákona) účty  648 002, 648  023</t>
  </si>
  <si>
    <t>- školné od externých študentov (§ 92 ods. 4  zákona)  účet 648 020</t>
  </si>
  <si>
    <t>- poplatky za súbežné štúdium (§ 92, ods. 5) účet  648 026</t>
  </si>
  <si>
    <t>- poplatky za prijímacie konanie (§ 92, ods. 10)  účet 648 003</t>
  </si>
  <si>
    <t>- poplatky za rigorózne konanie (§ 92, ods. 11) účet 648 004</t>
  </si>
  <si>
    <t>- poplatky za rigorózne konanie - vydanie diplómu účet 648 005</t>
  </si>
  <si>
    <t>- poplatky za vydanie dokladov o štúdiu, účet  648 006,</t>
  </si>
  <si>
    <t xml:space="preserve">- iné analyticky sledované náklady (účty 518 003, 518 013, 518 015-018, 518 020-030, 518 031-035, 518 040, 518 041, 518 529, 518 530, 518 599, 518 099, ) </t>
  </si>
  <si>
    <r>
      <t>Výnosy z poplatkov spojených so štúdiom (účet 648) [SUM(R26:R</t>
    </r>
    <r>
      <rPr>
        <b/>
        <sz val="12"/>
        <color rgb="FF0000FF"/>
        <rFont val="Times New Roman"/>
        <family val="1"/>
        <charset val="238"/>
      </rPr>
      <t>31</t>
    </r>
    <r>
      <rPr>
        <b/>
        <sz val="12"/>
        <color rgb="FFFF0000"/>
        <rFont val="Times New Roman"/>
        <family val="1"/>
        <charset val="238"/>
      </rPr>
      <t xml:space="preserve">)] </t>
    </r>
  </si>
  <si>
    <r>
      <t xml:space="preserve">Spolu </t>
    </r>
    <r>
      <rPr>
        <sz val="11"/>
        <color theme="1"/>
        <rFont val="Times New Roman"/>
        <family val="1"/>
        <charset val="238"/>
      </rPr>
      <t>[R1+R6+SUM(R11:R16)+R19+R20+R25</t>
    </r>
    <r>
      <rPr>
        <sz val="11"/>
        <color rgb="FF0000FF"/>
        <rFont val="Times New Roman"/>
        <family val="1"/>
        <charset val="238"/>
      </rPr>
      <t>+R32</t>
    </r>
    <r>
      <rPr>
        <sz val="11"/>
        <color theme="1"/>
        <rFont val="Times New Roman"/>
        <family val="1"/>
        <charset val="238"/>
      </rPr>
      <t>+R33+SUM(R44:R49)+SUM(R55:R61)]</t>
    </r>
  </si>
  <si>
    <r>
      <t xml:space="preserve"> - cudzinci podľa prechodných ustanovení </t>
    </r>
    <r>
      <rPr>
        <vertAlign val="superscript"/>
        <sz val="12"/>
        <color rgb="FF0000FF"/>
        <rFont val="Times New Roman"/>
        <family val="1"/>
      </rPr>
      <t>1)</t>
    </r>
  </si>
  <si>
    <r>
      <t>Ostatné služby (účet 518)</t>
    </r>
    <r>
      <rPr>
        <sz val="12"/>
        <color indexed="8"/>
        <rFont val="Times New Roman"/>
        <family val="1"/>
      </rPr>
      <t xml:space="preserve"> </t>
    </r>
    <r>
      <rPr>
        <sz val="12"/>
        <color rgb="FF0000FF"/>
        <rFont val="Times New Roman"/>
        <family val="1"/>
        <charset val="238"/>
      </rPr>
      <t xml:space="preserve">[SUM(R40:R54)]   </t>
    </r>
  </si>
  <si>
    <r>
      <t>Iné ostatné výnosy (účet 646, 649)</t>
    </r>
    <r>
      <rPr>
        <sz val="14"/>
        <color rgb="FFFF0000"/>
        <rFont val="Times New Roman"/>
        <family val="1"/>
        <charset val="238"/>
      </rPr>
      <t xml:space="preserve"> [SUM(</t>
    </r>
    <r>
      <rPr>
        <sz val="14"/>
        <color rgb="FF0000FF"/>
        <rFont val="Times New Roman"/>
        <family val="1"/>
        <charset val="238"/>
      </rPr>
      <t>R34</t>
    </r>
    <r>
      <rPr>
        <sz val="14"/>
        <color rgb="FFFF0000"/>
        <rFont val="Times New Roman"/>
        <family val="1"/>
        <charset val="238"/>
      </rPr>
      <t>:R43)]</t>
    </r>
  </si>
  <si>
    <t>- ostatné výnosy (účty 649 012, 649 021, 649 098)</t>
  </si>
  <si>
    <t xml:space="preserve">Pod pojmom "interný doktorand" sa rozumie doktorand , ktorému vysoká škola vypláca štipendium </t>
  </si>
  <si>
    <t>v zmysle § 54 zák. č. 131/2002 Z.z.o vysokých školách a o zmene a doplnení niektorých zákonov</t>
  </si>
  <si>
    <t>- ostatné služby (účet  518 035)</t>
  </si>
  <si>
    <t>kvartil q1 25%</t>
  </si>
  <si>
    <t>kvartil q3 75%</t>
  </si>
  <si>
    <r>
      <t xml:space="preserve">kvartil q2 50%
</t>
    </r>
    <r>
      <rPr>
        <sz val="12"/>
        <color theme="9" tint="-0.249977111117893"/>
        <rFont val="Times New Roman"/>
        <family val="1"/>
        <charset val="238"/>
      </rPr>
      <t>medián *)</t>
    </r>
  </si>
  <si>
    <t>medián *) = stredná hodnota</t>
  </si>
  <si>
    <r>
      <t>Výnosy zo školného</t>
    </r>
    <r>
      <rPr>
        <sz val="12"/>
        <color indexed="8"/>
        <rFont val="Times New Roman"/>
        <family val="1"/>
      </rPr>
      <t xml:space="preserve">  [SUM (R2:R5)]</t>
    </r>
  </si>
  <si>
    <t>- výnosy  účtu 648 (648 007-8, 648 016, 648 019, 648 022, 648 099)</t>
  </si>
  <si>
    <t xml:space="preserve">Názov verejnej vysokej školy:   UPJŠ v Košiciach, Šrobárova 2
Názov fakulty:  </t>
  </si>
  <si>
    <t xml:space="preserve">Názov verejnej vysokej školy:   UPJŠ v Košiciach, Šrobárova 2
Názov fakulty: </t>
  </si>
  <si>
    <t xml:space="preserve">Názov verejnej vysokej školy:   UPJŠ v Košiciach, Šrobárova 2
Názov fakulty:   </t>
  </si>
  <si>
    <t xml:space="preserve">Názov verejnej vysokej školy: UPJŠ v Košiciach, Šrobárova 2
Názov fakulty:  </t>
  </si>
  <si>
    <t xml:space="preserve">Názov verejnej vysokej školy:  UPJŠ v Košiciach, Šrobárova 2
Názov fakulty:  </t>
  </si>
  <si>
    <t>Názov verejnej vysokej školy:  UPJŠ v Košiciach, Šrobárova 2</t>
  </si>
  <si>
    <t xml:space="preserve">Názov verejnej vysokej školy: UPJŠ v Košiciach, Šrobárova 2
Názov fakulty: </t>
  </si>
  <si>
    <t>MZ SR projekt Rezident</t>
  </si>
  <si>
    <t>APVV pre spoluriešiteľov</t>
  </si>
  <si>
    <t>1c</t>
  </si>
  <si>
    <t>MK fond na podporu umenia pre UK</t>
  </si>
  <si>
    <t>príspevok od mesta Košice na Univerzitu bez hraníc</t>
  </si>
  <si>
    <t>Visehradský fond</t>
  </si>
  <si>
    <t>príspevok od mesta Košice  FF kolokvium</t>
  </si>
  <si>
    <t>2c</t>
  </si>
  <si>
    <t>Botanická záhrada - príspevok od Slov.bot.sp. na botanikiádu</t>
  </si>
  <si>
    <t>Asociácia univerzít- príspevok na Univerzitu tretieho veku</t>
  </si>
  <si>
    <t>1d</t>
  </si>
  <si>
    <t>MK fond na podporu umenia pre zbor</t>
  </si>
  <si>
    <t>Univ.Medisch centrum Groningen</t>
  </si>
  <si>
    <t>Erasmus + Croesus LF</t>
  </si>
  <si>
    <t>NATO Emerging Security Challenges Division, SPS Programme Brussels, Belgium</t>
  </si>
  <si>
    <t>4c</t>
  </si>
  <si>
    <t>4d</t>
  </si>
  <si>
    <t>4e</t>
  </si>
  <si>
    <t xml:space="preserve">Red Hat Czech </t>
  </si>
  <si>
    <t>ICGEB program Panigaj PF</t>
  </si>
  <si>
    <t>H02020 projekt UrbanHist</t>
  </si>
  <si>
    <t>Dcore Systems SA Switzeland-PF</t>
  </si>
  <si>
    <t>4f</t>
  </si>
  <si>
    <t>4g</t>
  </si>
  <si>
    <t>European X-Ray XFEL</t>
  </si>
  <si>
    <t>4h</t>
  </si>
  <si>
    <t>Socrates</t>
  </si>
  <si>
    <t>Erasmus</t>
  </si>
  <si>
    <t xml:space="preserve">0,00 </t>
  </si>
  <si>
    <t>SK6581800000007000241949 Dotačný účet LF, SK7481800000007000241690 Dotačný účet PF, SK7081800000007000241762 Dotačný účet Práv.F, SK9581800000007000241797 Dotačný účet FVS, SK4881800000007000241770 Dotačný účet R</t>
  </si>
  <si>
    <t>SK7981800000007000137519 Zostatkový účet LF, SK5781800000007000137527 Zostatkový účet PF,  SK1081800000007000137500 Zost.dot.Práv.F, SK1381800000007000137543 Zost.dot.FVS, SK3581800000007000137535 Zost.dot.R</t>
  </si>
  <si>
    <t>SK6881800000007000152655 Distribučný účet, R</t>
  </si>
  <si>
    <t xml:space="preserve">SK7381800000007000078360 BUN LF,
SK2881800000007000078491BUN PF KE, 
SK6981800000007000078432 BUN Práv.F KE, 
SK5881800000007000086002 BUN FVS KE, 
SK6481800000007000074351BUN R UPJŠ
</t>
  </si>
  <si>
    <t>SK3681800000007000436471 BU Cardpay HČ ŠJ</t>
  </si>
  <si>
    <t>SK1481800000007000535904 Erasmus + acr.SciVis,
SK44 81800000007000540893 Commenius SciCamp,
SK3881800000007000440315 7RP SAILS,
SK9881800000007000464261 CELIM, 
SK1281800000007000371719 MonInterFluoProt , 
SK3081800000007000373335 Establish
SK68 8180 0000 0070 0054 7833 BU H2020-ALT, PF UPJŠ
SK43 8180 0000 0070 0055 9535 DeCaSuB</t>
  </si>
  <si>
    <t xml:space="preserve">SK918100000007000078424 Devízový -USD LF,
</t>
  </si>
  <si>
    <t xml:space="preserve">SK4581800000007000078379 ŠF LF, 
SK6581800000007000078504 ŠF PF KE, 
SK4781800000007000078440 ŠF Právn.F KE, 
SK8381800000007000086037 ŠF FVS KE, 
SK8081800000007000252349 ŠF Rekt.UPJŠ KE
</t>
  </si>
  <si>
    <t xml:space="preserve">SK1681800000007000078416 PČ LF, 
SK6881800000007000078547 PČ PF, 
SK5081800000007000078483 PČ Práv.F, 
SK3981800000007000086053 PČ FVS, 
SK1181800000007000074335 PČ R UPJŠ
</t>
  </si>
  <si>
    <t xml:space="preserve">SK9881800000007000078395 SF LF KE, 
SK2181800000007000078520 SF PF KE, 
SK9481800000007000078467 SF PrávF KE,
SK0881800000007000086029 SFFVS KE, 
SK8681800000007000074343 SF UPJŠ KE
</t>
  </si>
  <si>
    <t>SK3681800000007000252365 BU F.Repr.Rekt. UPJŠ</t>
  </si>
  <si>
    <t>SK1581800000007000467307 Zábezpeka,R</t>
  </si>
  <si>
    <t xml:space="preserve">SK2381800000007000078387 Dary a granty LF,
SK4381800000007000078512 Dary a granty PF,
SK1981800000007000078459 Dary a granty PrávF,
SK3681800000007000086010 Dary a granty FVS, 
SK5481800000007000099751 Dary a granty R, 
SK4181800000007000570435 NP IT Akademia,
SK1981800000007000406125 ESF CEX Biomed LF,
SK7981800000007000358776 BÚ-MVP CCV, PF, 
SK8281800000007000368034 ESF Doktorand, pf, 
SK0781800000007000368026 ESF MoVeS,FVS,
SK3681800000007000386419 AŠF EU MŠ SR Probio, 
SK6281800000007000455015 AŠF  KVARK, PF, 
SK8681800000007000454389 AŠF IRES, PF, 
SK2681800000007000464296 ESF SOFOS, PF, 
SK2981800000007000476270 RIFIV, PF, 
SK9581800000007000467710 BU Technikom, UPJŠ KE,
SK7781800000007000470362 Medipark, 
SK34818000000070000214959 Devízový -EUR FVS
SK0581800000007000497848 AŠF EU MŠ SR Platon,
SK3281800000007000388916 BU Mikromatel, 
SK8981800000007000074386 Socrates, R
SK4181800000007000565003 Dotačný NFP MF SR
</t>
  </si>
  <si>
    <t>Botanická záhrada</t>
  </si>
  <si>
    <r>
      <t>Tabuľka č. 10: Údaje o systéme sociálnej podpory  - časť výnosy a náklady</t>
    </r>
    <r>
      <rPr>
        <b/>
        <vertAlign val="superscript"/>
        <sz val="14"/>
        <rFont val="Times New Roman"/>
        <family val="1"/>
      </rPr>
      <t>1)</t>
    </r>
    <r>
      <rPr>
        <b/>
        <sz val="14"/>
        <rFont val="Times New Roman"/>
        <family val="1"/>
      </rPr>
      <t xml:space="preserve"> študentských jedální 
za roky 2016 a 2017 </t>
    </r>
  </si>
  <si>
    <r>
      <t>Výnosy</t>
    </r>
    <r>
      <rPr>
        <b/>
        <vertAlign val="superscript"/>
        <sz val="12"/>
        <rFont val="Times New Roman"/>
        <family val="1"/>
        <charset val="238"/>
      </rPr>
      <t xml:space="preserve">2) </t>
    </r>
    <r>
      <rPr>
        <b/>
        <sz val="12"/>
        <rFont val="Times New Roman"/>
        <family val="1"/>
      </rPr>
      <t>študentských jedální súvisiace so stravovaním študentov spolu</t>
    </r>
    <r>
      <rPr>
        <vertAlign val="superscript"/>
        <sz val="12"/>
        <rFont val="Times New Roman"/>
        <family val="1"/>
      </rPr>
      <t xml:space="preserve"> </t>
    </r>
    <r>
      <rPr>
        <sz val="12"/>
        <rFont val="Times New Roman"/>
        <family val="1"/>
        <charset val="238"/>
      </rPr>
      <t xml:space="preserve">[R2+R5]  </t>
    </r>
  </si>
  <si>
    <r>
      <t>Tržby jedální súvisiace so stravovaním študentov v kalendárnom roku spolu</t>
    </r>
    <r>
      <rPr>
        <sz val="12"/>
        <rFont val="Times New Roman"/>
        <family val="1"/>
      </rPr>
      <t xml:space="preserve"> [R3+R4]</t>
    </r>
  </si>
  <si>
    <t>- tržby za stravné lístky študentov</t>
  </si>
  <si>
    <t>- ostatné tržby súvisiace so stravovaním študentov</t>
  </si>
  <si>
    <r>
      <t xml:space="preserve">Výnos z dotácie zo štátneho rozpočtu na študentské jedálne spolu </t>
    </r>
    <r>
      <rPr>
        <sz val="12"/>
        <rFont val="Times New Roman"/>
        <family val="1"/>
      </rPr>
      <t>[R6+R7-R8]</t>
    </r>
  </si>
  <si>
    <t>- zostatok nevyčerpanej dotácie (+)/ nedoplatok dotácie (-) z predchádzajúcich rokov [R6_SB=R8_SA]</t>
  </si>
  <si>
    <t xml:space="preserve">- účelová dotácia v danom kalendárnom roku </t>
  </si>
  <si>
    <t>- prenos zostatku dotácie do nasledujúceho kalendárneho roku [R6+R7-R15]</t>
  </si>
  <si>
    <t>Náklady na činnosť študentských jedální súvisiace so stravovaním študentov za kalendárny rok</t>
  </si>
  <si>
    <r>
      <t xml:space="preserve"> - náklady na jedlá študentov</t>
    </r>
    <r>
      <rPr>
        <vertAlign val="superscript"/>
        <sz val="12"/>
        <rFont val="Times New Roman"/>
        <family val="1"/>
        <charset val="238"/>
      </rPr>
      <t>3)</t>
    </r>
  </si>
  <si>
    <r>
      <t xml:space="preserve">Rozdiel výnosov a nákladov študentských jedální súvisiacich so stravovaním študentov  </t>
    </r>
    <r>
      <rPr>
        <sz val="12"/>
        <rFont val="Times New Roman"/>
        <family val="1"/>
        <charset val="238"/>
      </rPr>
      <t>[R1-R9]</t>
    </r>
  </si>
  <si>
    <r>
      <t xml:space="preserve">Počet vydaných jedál študentom </t>
    </r>
    <r>
      <rPr>
        <b/>
        <vertAlign val="superscript"/>
        <sz val="12"/>
        <rFont val="Times New Roman"/>
        <family val="1"/>
      </rPr>
      <t xml:space="preserve"> </t>
    </r>
    <r>
      <rPr>
        <b/>
        <sz val="12"/>
        <rFont val="Times New Roman"/>
        <family val="1"/>
      </rPr>
      <t xml:space="preserve">v kalendárnom roku  </t>
    </r>
  </si>
  <si>
    <t>- počet vydaných jedál študentom vo vlastných stravovacích zariadeniach3)</t>
  </si>
  <si>
    <r>
      <t>- počet vydaných jedál študentom v zmluvných zariadeniach</t>
    </r>
    <r>
      <rPr>
        <vertAlign val="superscript"/>
        <sz val="12"/>
        <rFont val="Times New Roman"/>
        <family val="1"/>
        <charset val="238"/>
      </rPr>
      <t xml:space="preserve"> 4)</t>
    </r>
  </si>
  <si>
    <r>
      <t xml:space="preserve">Nárok na príspevok zo štátneho rozpočtu na jedlá podľa metodiky </t>
    </r>
    <r>
      <rPr>
        <sz val="12"/>
        <rFont val="Times New Roman"/>
        <family val="1"/>
      </rPr>
      <t xml:space="preserve">                                     </t>
    </r>
  </si>
  <si>
    <r>
      <t>Priemerné náklady  na jedlo študenta v Eur [</t>
    </r>
    <r>
      <rPr>
        <sz val="12"/>
        <rFont val="Times New Roman"/>
        <family val="1"/>
        <charset val="238"/>
      </rPr>
      <t>R10</t>
    </r>
    <r>
      <rPr>
        <sz val="12"/>
        <rFont val="Times New Roman"/>
        <family val="1"/>
      </rPr>
      <t>/R13]</t>
    </r>
  </si>
  <si>
    <t>1) výnosy a náklady z podnikateľskej činnosti sa neuvádzajú, neuvádzajú sa ani výnosy a náklady súvisiace so stravovaním zamestnancov</t>
  </si>
  <si>
    <r>
      <t xml:space="preserve">2) všetky údaje o výnosoch a nákladoch  sa uvádzajú </t>
    </r>
    <r>
      <rPr>
        <sz val="11"/>
        <rFont val="Times New Roman"/>
        <family val="1"/>
        <charset val="238"/>
      </rPr>
      <t>v Eur</t>
    </r>
  </si>
  <si>
    <r>
      <t xml:space="preserve">3) uvádzajú sa </t>
    </r>
    <r>
      <rPr>
        <b/>
        <sz val="11"/>
        <rFont val="Times New Roman"/>
        <family val="1"/>
        <charset val="238"/>
      </rPr>
      <t>jedlá vydané študentom len vo vlastnej jedálni</t>
    </r>
    <r>
      <rPr>
        <sz val="11"/>
        <rFont val="Times New Roman"/>
        <family val="1"/>
        <charset val="238"/>
      </rPr>
      <t>, na ktoré sa poskytuje dotácia</t>
    </r>
  </si>
  <si>
    <r>
      <t xml:space="preserve">4) uvádzajú sa </t>
    </r>
    <r>
      <rPr>
        <b/>
        <sz val="11"/>
        <rFont val="Times New Roman"/>
        <family val="1"/>
        <charset val="238"/>
      </rPr>
      <t>všetky jedlá vydané študentom v zmluvných zariadeniach</t>
    </r>
    <r>
      <rPr>
        <sz val="11"/>
        <rFont val="Times New Roman"/>
        <family val="1"/>
        <charset val="238"/>
      </rPr>
      <t>, na ktoré sa poskytuje dotácia</t>
    </r>
  </si>
  <si>
    <t>Rozdiel medzi T12_R15_SG a výkaznictvom 2017 je vo výške 1 250 573,43 Eur, z toho sú transféry SAV a UVLF Košice vo výške 1 221 024,22 Eur a vratky kap. dácie vo výške 29 849,21 Eur.</t>
  </si>
  <si>
    <t>zdroj 1AA + 3AA spolu</t>
  </si>
  <si>
    <r>
      <t>zdroj 1AA1; 3</t>
    </r>
    <r>
      <rPr>
        <b/>
        <sz val="12"/>
        <color theme="1"/>
        <rFont val="Times New Roman"/>
        <family val="1"/>
        <charset val="238"/>
      </rPr>
      <t>AA1</t>
    </r>
  </si>
  <si>
    <r>
      <t>zdroj 1AA2; 3</t>
    </r>
    <r>
      <rPr>
        <b/>
        <sz val="12"/>
        <color theme="1"/>
        <rFont val="Times New Roman"/>
        <family val="1"/>
        <charset val="238"/>
      </rPr>
      <t>AA2</t>
    </r>
  </si>
  <si>
    <t>zdroj 1AC + 3AC spolu</t>
  </si>
  <si>
    <t>zdroj 1AC1+3AC1</t>
  </si>
  <si>
    <t>zdroj 1AC2+3AC2</t>
  </si>
  <si>
    <t xml:space="preserve">Názov verejnej vysokej školy:  UPJŠ v Košiciach
Názov fakulty:  </t>
  </si>
  <si>
    <t>Názov verejnej vysokej školy: UPJŠ v Košiciach
Názov fakulty:</t>
  </si>
  <si>
    <t>Názov verejnej vysokej školy: UPJŠ v Košiciach</t>
  </si>
  <si>
    <t>Názov verejnej vysokej školy:  UPJŠ v Košiciach</t>
  </si>
  <si>
    <t>v crš 271 210 €_R3_SD_Na LF v 5-tich prípadoch suma 1200,00 € boli motivačné štipendiá v AIS 2 len zadané a neboli zadané ako vyplatené, z toho dôvodu ich „neťahalo“ do CRŠ
Zaevidovanie vyplatenia môže byť v do CRŠ poslané až 2.5.2018 – CRŠ je uzamknuté.</t>
  </si>
  <si>
    <t>1129,,979</t>
  </si>
  <si>
    <r>
      <t>-</t>
    </r>
    <r>
      <rPr>
        <sz val="7"/>
        <color rgb="FF1F497D"/>
        <rFont val="Times New Roman"/>
        <family val="1"/>
        <charset val="238"/>
      </rPr>
      <t xml:space="preserve">          </t>
    </r>
    <r>
      <rPr>
        <sz val="11"/>
        <color rgb="FF1F497D"/>
        <rFont val="Calibri"/>
        <family val="2"/>
        <charset val="238"/>
      </rPr>
      <t xml:space="preserve">kvartily chýbajú v riadkoch 11 – zamestnanci zaradení na dekanátoch a 15 – špecifiká. </t>
    </r>
  </si>
  <si>
    <t xml:space="preserve">Do týchto riadkov údaje v tabuľkách do výročnej správy boli dopĺňané ručne tak, že sa spustila zostava osobitne podľa fakúlt, resp. nákladových stredísk. </t>
  </si>
  <si>
    <t>Riadok 11 v budúcom roku by mal byť doplnený správne, nakoľko sa bude spätne od 01.01.2018 nastavovať kategória zamestnancov  dekanátov v HR na príslušnú hodnotu. Kategórie boli pre zamestnancov doposiaľ zadávane v súlade s usmernením pri nasadzovaní SOFIE. Pre riadok 15 – špecifiká je potrebné , aby nás tvorcovia  tabuliek včas informovali, aké hodnoty vstupných údajov alebo parametrov je potrebné nastaviť v SOFII tak, aby sme označili špecifiká pre ich zohľadnenie v tabuľkách.</t>
  </si>
  <si>
    <t>Doposiaľ nám k týmto tabuľkám nebola poskytnutá žiadna informácia ani manuál. Z našej strany tak nie je možné správne nastaviť hodnoty pre kritériá automatizovaného výberu údajov do jednotlivých riadkov tabuliek, čo považujeme za zásadný nedostatok na strane tvorcov tabuliek resp. riadiaceho útvaru.</t>
  </si>
  <si>
    <t xml:space="preserve">Zistil sa nesúlad v T6, T6 a s tabuľkami vygenerovanými v module BW : </t>
  </si>
  <si>
    <t>Komentár k časti kvartil:</t>
  </si>
  <si>
    <t>pozn.1): rozdiel medzi údajom v stĺpci T6_R18_SH a údajom v T5_R56_(SC+SD) tvorí rozdiel výšky tvorby krátkodobej rezervy na mzdy na nevyčerpanú dovolenku za rok 2017 a čerpanou rezervou z roku 2016 v celkovej                                                                                                                                                                                     čiastke 11 235,81 €.</t>
  </si>
  <si>
    <r>
      <t xml:space="preserve">V R1_SG je zohľadnená zostatková cena predaného majetku v hodnote </t>
    </r>
    <r>
      <rPr>
        <sz val="12"/>
        <color rgb="FFFF0000"/>
        <rFont val="Times New Roman"/>
        <family val="1"/>
        <charset val="238"/>
      </rPr>
      <t>498 692,71</t>
    </r>
    <r>
      <rPr>
        <sz val="12"/>
        <rFont val="Times New Roman"/>
        <family val="1"/>
        <charset val="238"/>
      </rPr>
      <t xml:space="preserve"> € z T5_R87_SC (vzorec doplnený). V R1_SH je zohľadnená vratka KD v sume 29 849,21 € a transfér partnerom SAV a UVLF KE                                                                                                                                        v sume 1 221 024,22 €.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</si>
</sst>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S_k_-;\-* #,##0.00\ _S_k_-;_-* &quot;-&quot;??\ _S_k_-;_-@_-"/>
    <numFmt numFmtId="165" formatCode="#,##0_ ;[Red]\-#,##0\ "/>
    <numFmt numFmtId="166" formatCode="#,##0.00_ ;[Red]\-#,##0.00\ "/>
  </numFmts>
  <fonts count="119" x14ac:knownFonts="1">
    <font>
      <sz val="10"/>
      <name val="Arial"/>
      <charset val="238"/>
    </font>
    <font>
      <sz val="11"/>
      <color theme="1"/>
      <name val="Calibri"/>
      <family val="2"/>
      <charset val="238"/>
      <scheme val="minor"/>
    </font>
    <font>
      <sz val="10"/>
      <name val="Arial"/>
      <family val="2"/>
      <charset val="238"/>
    </font>
    <font>
      <b/>
      <sz val="12"/>
      <name val="Times New Roman"/>
      <family val="1"/>
    </font>
    <font>
      <sz val="12"/>
      <name val="Times New Roman"/>
      <family val="1"/>
    </font>
    <font>
      <b/>
      <sz val="14"/>
      <name val="Times New Roman"/>
      <family val="1"/>
    </font>
    <font>
      <sz val="8"/>
      <name val="Arial"/>
      <family val="2"/>
      <charset val="238"/>
    </font>
    <font>
      <b/>
      <sz val="12"/>
      <name val="Times New Roman"/>
      <family val="1"/>
      <charset val="238"/>
    </font>
    <font>
      <sz val="12"/>
      <name val="Times New Roman"/>
      <family val="1"/>
      <charset val="238"/>
    </font>
    <font>
      <sz val="12"/>
      <color indexed="10"/>
      <name val="Times New Roman"/>
      <family val="1"/>
    </font>
    <font>
      <i/>
      <sz val="12"/>
      <name val="Times New Roman"/>
      <family val="1"/>
      <charset val="238"/>
    </font>
    <font>
      <b/>
      <sz val="14"/>
      <name val="Times New Roman"/>
      <family val="1"/>
      <charset val="238"/>
    </font>
    <font>
      <b/>
      <sz val="10"/>
      <color indexed="8"/>
      <name val="Arial"/>
      <family val="2"/>
    </font>
    <font>
      <b/>
      <sz val="10"/>
      <color indexed="39"/>
      <name val="Arial"/>
      <family val="2"/>
    </font>
    <font>
      <sz val="10"/>
      <color indexed="8"/>
      <name val="Arial"/>
      <family val="2"/>
    </font>
    <font>
      <b/>
      <sz val="12"/>
      <color indexed="8"/>
      <name val="Arial"/>
      <family val="2"/>
      <charset val="238"/>
    </font>
    <font>
      <sz val="10"/>
      <color indexed="8"/>
      <name val="Arial"/>
      <family val="2"/>
      <charset val="238"/>
    </font>
    <font>
      <sz val="10"/>
      <name val="Arial"/>
      <family val="2"/>
      <charset val="238"/>
    </font>
    <font>
      <sz val="10"/>
      <color indexed="39"/>
      <name val="Arial"/>
      <family val="2"/>
    </font>
    <font>
      <sz val="19"/>
      <color indexed="48"/>
      <name val="Arial"/>
      <family val="2"/>
      <charset val="238"/>
    </font>
    <font>
      <sz val="10"/>
      <color indexed="10"/>
      <name val="Arial"/>
      <family val="2"/>
    </font>
    <font>
      <sz val="10"/>
      <name val="arial ce"/>
      <charset val="238"/>
    </font>
    <font>
      <sz val="8"/>
      <name val="arial ce"/>
      <charset val="238"/>
    </font>
    <font>
      <sz val="11"/>
      <name val="Times New Roman"/>
      <family val="1"/>
      <charset val="238"/>
    </font>
    <font>
      <b/>
      <vertAlign val="superscript"/>
      <sz val="12"/>
      <name val="Times New Roman"/>
      <family val="1"/>
      <charset val="238"/>
    </font>
    <font>
      <b/>
      <vertAlign val="superscript"/>
      <sz val="14"/>
      <name val="Times New Roman"/>
      <family val="1"/>
      <charset val="238"/>
    </font>
    <font>
      <vertAlign val="superscript"/>
      <sz val="12"/>
      <name val="Times New Roman"/>
      <family val="1"/>
      <charset val="238"/>
    </font>
    <font>
      <b/>
      <i/>
      <sz val="14"/>
      <name val="Times New Roman"/>
      <family val="1"/>
      <charset val="238"/>
    </font>
    <font>
      <sz val="10"/>
      <name val="Times New Roman"/>
      <family val="1"/>
      <charset val="238"/>
    </font>
    <font>
      <sz val="10"/>
      <color indexed="10"/>
      <name val="Arial"/>
      <family val="2"/>
      <charset val="238"/>
    </font>
    <font>
      <vertAlign val="superscript"/>
      <sz val="12"/>
      <name val="Times New Roman"/>
      <family val="1"/>
    </font>
    <font>
      <b/>
      <sz val="9"/>
      <name val="Times New Roman"/>
      <family val="1"/>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sz val="12"/>
      <name val="Times New Roman"/>
      <family val="1"/>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sz val="11"/>
      <name val="Times New Roman"/>
      <family val="1"/>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b/>
      <sz val="11"/>
      <name val="Times New Roman"/>
      <family val="1"/>
      <charset val="238"/>
    </font>
    <font>
      <b/>
      <sz val="12"/>
      <color indexed="10"/>
      <name val="Times New Roman"/>
      <family val="1"/>
      <charset val="238"/>
    </font>
    <font>
      <sz val="12"/>
      <color indexed="8"/>
      <name val="Times New Roman"/>
      <family val="1"/>
      <charset val="238"/>
    </font>
    <font>
      <b/>
      <sz val="12"/>
      <color indexed="8"/>
      <name val="Times New Roman"/>
      <family val="1"/>
      <charset val="238"/>
    </font>
    <font>
      <sz val="11"/>
      <name val="Times New Roman"/>
      <family val="1"/>
      <charset val="238"/>
    </font>
    <font>
      <sz val="12"/>
      <color indexed="10"/>
      <name val="Times New Roman"/>
      <family val="1"/>
      <charset val="238"/>
    </font>
    <font>
      <b/>
      <sz val="10"/>
      <name val="Times New Roman"/>
      <family val="1"/>
      <charset val="238"/>
    </font>
    <font>
      <strike/>
      <sz val="12"/>
      <name val="Times New Roman"/>
      <family val="1"/>
      <charset val="238"/>
    </font>
    <font>
      <strike/>
      <sz val="12"/>
      <name val="Times New Roman"/>
      <family val="1"/>
    </font>
    <font>
      <sz val="11"/>
      <name val="Times New Roman"/>
      <family val="1"/>
    </font>
    <font>
      <sz val="10"/>
      <color indexed="8"/>
      <name val="Tahoma"/>
      <family val="2"/>
      <charset val="238"/>
    </font>
    <font>
      <sz val="12"/>
      <color indexed="8"/>
      <name val="Tahoma"/>
      <family val="2"/>
      <charset val="238"/>
    </font>
    <font>
      <b/>
      <sz val="10"/>
      <color indexed="8"/>
      <name val="Tahoma"/>
      <family val="2"/>
      <charset val="238"/>
    </font>
    <font>
      <b/>
      <sz val="10"/>
      <name val="Arial"/>
      <family val="2"/>
      <charset val="238"/>
    </font>
    <font>
      <sz val="14"/>
      <name val="Times New Roman"/>
      <family val="1"/>
    </font>
    <font>
      <sz val="12"/>
      <color indexed="8"/>
      <name val="Times New Roman"/>
      <family val="1"/>
    </font>
    <font>
      <b/>
      <sz val="11"/>
      <name val="Times New Roman"/>
      <family val="1"/>
    </font>
    <font>
      <b/>
      <sz val="10"/>
      <color indexed="8"/>
      <name val="Times New Roman"/>
      <family val="1"/>
      <charset val="238"/>
    </font>
    <font>
      <b/>
      <sz val="11"/>
      <color indexed="8"/>
      <name val="Times New Roman"/>
      <family val="1"/>
    </font>
    <font>
      <vertAlign val="superscript"/>
      <sz val="12"/>
      <color indexed="8"/>
      <name val="Times New Roman"/>
      <family val="1"/>
    </font>
    <font>
      <sz val="10"/>
      <color indexed="10"/>
      <name val="Times New Roman"/>
      <family val="1"/>
    </font>
    <font>
      <b/>
      <sz val="10"/>
      <color indexed="10"/>
      <name val="Times New Roman"/>
      <family val="1"/>
      <charset val="238"/>
    </font>
    <font>
      <sz val="12"/>
      <color theme="1"/>
      <name val="Times New Roman"/>
      <family val="2"/>
      <charset val="238"/>
    </font>
    <font>
      <b/>
      <sz val="12"/>
      <color theme="1"/>
      <name val="Times New Roman"/>
      <family val="1"/>
      <charset val="238"/>
    </font>
    <font>
      <sz val="12"/>
      <color rgb="FFFF0000"/>
      <name val="Times New Roman"/>
      <family val="1"/>
      <charset val="238"/>
    </font>
    <font>
      <sz val="12"/>
      <color theme="1"/>
      <name val="Times New Roman"/>
      <family val="1"/>
      <charset val="238"/>
    </font>
    <font>
      <sz val="12"/>
      <color rgb="FFFF0000"/>
      <name val="Times New Roman"/>
      <family val="1"/>
    </font>
    <font>
      <sz val="10"/>
      <color rgb="FF000000"/>
      <name val="Tahoma"/>
      <family val="2"/>
      <charset val="238"/>
    </font>
    <font>
      <b/>
      <sz val="12"/>
      <color theme="1"/>
      <name val="Times New Roman"/>
      <family val="1"/>
    </font>
    <font>
      <sz val="12"/>
      <color theme="1"/>
      <name val="Times New Roman"/>
      <family val="1"/>
    </font>
    <font>
      <b/>
      <sz val="12"/>
      <color rgb="FF000000"/>
      <name val="Times New Roman"/>
      <family val="1"/>
    </font>
    <font>
      <b/>
      <sz val="11"/>
      <color theme="1"/>
      <name val="Times New Roman"/>
      <family val="1"/>
    </font>
    <font>
      <sz val="11"/>
      <color theme="1"/>
      <name val="Times New Roman"/>
      <family val="1"/>
    </font>
    <font>
      <b/>
      <sz val="12"/>
      <color rgb="FFFF0000"/>
      <name val="Times New Roman"/>
      <family val="1"/>
      <charset val="238"/>
    </font>
    <font>
      <sz val="10"/>
      <color rgb="FFFF0000"/>
      <name val="Times New Roman"/>
      <family val="1"/>
    </font>
    <font>
      <b/>
      <sz val="14"/>
      <color rgb="FFFF0000"/>
      <name val="Times New Roman"/>
      <family val="1"/>
      <charset val="238"/>
    </font>
    <font>
      <sz val="14"/>
      <color rgb="FFFF0000"/>
      <name val="Times New Roman"/>
      <family val="1"/>
      <charset val="238"/>
    </font>
    <font>
      <i/>
      <sz val="12"/>
      <color rgb="FF0000FF"/>
      <name val="Times New Roman"/>
      <family val="1"/>
      <charset val="238"/>
    </font>
    <font>
      <vertAlign val="superscript"/>
      <sz val="11"/>
      <name val="Times New Roman"/>
      <family val="1"/>
      <charset val="238"/>
    </font>
    <font>
      <sz val="12"/>
      <color rgb="FF0070C0"/>
      <name val="Times New Roman"/>
      <family val="1"/>
    </font>
    <font>
      <sz val="14"/>
      <name val="Times New Roman"/>
      <family val="1"/>
      <charset val="238"/>
    </font>
    <font>
      <sz val="12"/>
      <color rgb="FF0000FF"/>
      <name val="Times New Roman"/>
      <family val="1"/>
    </font>
    <font>
      <sz val="12"/>
      <color rgb="FF0000FF"/>
      <name val="Times New Roman"/>
      <family val="1"/>
      <charset val="238"/>
    </font>
    <font>
      <b/>
      <sz val="14"/>
      <color theme="1"/>
      <name val="Times New Roman"/>
      <family val="1"/>
      <charset val="238"/>
    </font>
    <font>
      <i/>
      <sz val="12"/>
      <color theme="1"/>
      <name val="Times New Roman"/>
      <family val="1"/>
      <charset val="238"/>
    </font>
    <font>
      <b/>
      <sz val="11"/>
      <color theme="1"/>
      <name val="Times New Roman"/>
      <family val="1"/>
      <charset val="238"/>
    </font>
    <font>
      <sz val="11"/>
      <color theme="1"/>
      <name val="Times New Roman"/>
      <family val="1"/>
      <charset val="238"/>
    </font>
    <font>
      <b/>
      <vertAlign val="superscript"/>
      <sz val="12"/>
      <color theme="1"/>
      <name val="Times New Roman"/>
      <family val="1"/>
    </font>
    <font>
      <b/>
      <sz val="12"/>
      <color rgb="FF0000FF"/>
      <name val="Times New Roman"/>
      <family val="1"/>
      <charset val="238"/>
    </font>
    <font>
      <sz val="11"/>
      <color rgb="FF0000FF"/>
      <name val="Times New Roman"/>
      <family val="1"/>
      <charset val="238"/>
    </font>
    <font>
      <vertAlign val="superscript"/>
      <sz val="12"/>
      <color rgb="FF0000FF"/>
      <name val="Times New Roman"/>
      <family val="1"/>
    </font>
    <font>
      <sz val="14"/>
      <color rgb="FF0000FF"/>
      <name val="Times New Roman"/>
      <family val="1"/>
      <charset val="238"/>
    </font>
    <font>
      <sz val="12"/>
      <color theme="9" tint="-0.249977111117893"/>
      <name val="Times New Roman"/>
      <family val="1"/>
      <charset val="238"/>
    </font>
    <font>
      <b/>
      <sz val="12"/>
      <color theme="9" tint="-0.249977111117893"/>
      <name val="Times New Roman"/>
      <family val="1"/>
      <charset val="238"/>
    </font>
    <font>
      <b/>
      <sz val="12"/>
      <color rgb="FFFF0000"/>
      <name val="Times New Roman"/>
      <family val="1"/>
    </font>
    <font>
      <b/>
      <sz val="9"/>
      <color indexed="81"/>
      <name val="Segoe UI"/>
      <family val="2"/>
      <charset val="238"/>
    </font>
    <font>
      <sz val="9"/>
      <color indexed="81"/>
      <name val="Segoe UI"/>
      <family val="2"/>
      <charset val="238"/>
    </font>
    <font>
      <b/>
      <vertAlign val="superscript"/>
      <sz val="14"/>
      <name val="Times New Roman"/>
      <family val="1"/>
    </font>
    <font>
      <sz val="10"/>
      <name val="Times New Roman"/>
      <family val="1"/>
    </font>
    <font>
      <b/>
      <vertAlign val="superscript"/>
      <sz val="12"/>
      <name val="Times New Roman"/>
      <family val="1"/>
    </font>
    <font>
      <sz val="10"/>
      <color rgb="FF000000"/>
      <name val="Arial"/>
      <family val="2"/>
      <charset val="238"/>
    </font>
    <font>
      <sz val="9"/>
      <color rgb="FF000000"/>
      <name val="Arial"/>
      <family val="2"/>
      <charset val="238"/>
    </font>
    <font>
      <sz val="8"/>
      <name val="Times New Roman"/>
      <family val="1"/>
    </font>
    <font>
      <sz val="11"/>
      <color rgb="FFFF0000"/>
      <name val="Times New Roman"/>
      <family val="1"/>
      <charset val="238"/>
    </font>
    <font>
      <sz val="9"/>
      <color indexed="8"/>
      <name val="Arial"/>
      <family val="2"/>
      <charset val="238"/>
    </font>
    <font>
      <b/>
      <sz val="9"/>
      <color indexed="8"/>
      <name val="Arial"/>
      <family val="2"/>
      <charset val="238"/>
    </font>
    <font>
      <sz val="11"/>
      <color rgb="FF1F497D"/>
      <name val="Calibri"/>
      <family val="2"/>
      <charset val="238"/>
    </font>
    <font>
      <sz val="7"/>
      <color rgb="FF1F497D"/>
      <name val="Times New Roman"/>
      <family val="1"/>
      <charset val="238"/>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theme="0"/>
        <bgColor indexed="64"/>
      </patternFill>
    </fill>
  </fills>
  <borders count="87">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2"/>
      </top>
      <bottom style="double">
        <color indexed="62"/>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8"/>
      </left>
      <right style="thin">
        <color indexed="8"/>
      </right>
      <top style="thin">
        <color indexed="8"/>
      </top>
      <bottom/>
      <diagonal/>
    </border>
    <border>
      <left style="thin">
        <color rgb="FF000000"/>
      </left>
      <right style="thin">
        <color rgb="FF000000"/>
      </right>
      <top style="thin">
        <color rgb="FF000000"/>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s>
  <cellStyleXfs count="107">
    <xf numFmtId="0" fontId="0" fillId="0" borderId="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34" fillId="3" borderId="0" applyNumberFormat="0" applyBorder="0" applyAlignment="0" applyProtection="0"/>
    <xf numFmtId="0" fontId="35" fillId="20" borderId="1" applyNumberFormat="0" applyAlignment="0" applyProtection="0"/>
    <xf numFmtId="164" fontId="2" fillId="0" borderId="0" applyFont="0" applyFill="0" applyBorder="0" applyAlignment="0" applyProtection="0"/>
    <xf numFmtId="164" fontId="17" fillId="0" borderId="0" applyFont="0" applyFill="0" applyBorder="0" applyAlignment="0" applyProtection="0"/>
    <xf numFmtId="0" fontId="37" fillId="0" borderId="0" applyNumberFormat="0" applyFill="0" applyBorder="0" applyAlignment="0" applyProtection="0"/>
    <xf numFmtId="0" fontId="38" fillId="4" borderId="0" applyNumberFormat="0" applyBorder="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0" fontId="42" fillId="21" borderId="5" applyNumberFormat="0" applyAlignment="0" applyProtection="0"/>
    <xf numFmtId="0" fontId="43" fillId="7" borderId="1" applyNumberFormat="0" applyAlignment="0" applyProtection="0"/>
    <xf numFmtId="0" fontId="44" fillId="0" borderId="6" applyNumberFormat="0" applyFill="0" applyAlignment="0" applyProtection="0"/>
    <xf numFmtId="0" fontId="45" fillId="22" borderId="0" applyNumberFormat="0" applyBorder="0" applyAlignment="0" applyProtection="0"/>
    <xf numFmtId="0" fontId="17" fillId="0" borderId="0"/>
    <xf numFmtId="0" fontId="73" fillId="0" borderId="0"/>
    <xf numFmtId="0" fontId="17" fillId="0" borderId="0"/>
    <xf numFmtId="0" fontId="17" fillId="0" borderId="0"/>
    <xf numFmtId="0" fontId="55" fillId="0" borderId="0"/>
    <xf numFmtId="0" fontId="21" fillId="0" borderId="0"/>
    <xf numFmtId="0" fontId="46" fillId="0" borderId="0"/>
    <xf numFmtId="0" fontId="36" fillId="23" borderId="7" applyNumberFormat="0" applyFont="0" applyAlignment="0" applyProtection="0"/>
    <xf numFmtId="0" fontId="47" fillId="20" borderId="8" applyNumberFormat="0" applyAlignment="0" applyProtection="0"/>
    <xf numFmtId="4" fontId="12" fillId="22" borderId="9" applyNumberFormat="0" applyProtection="0">
      <alignment vertical="center"/>
    </xf>
    <xf numFmtId="4" fontId="13" fillId="24" borderId="9" applyNumberFormat="0" applyProtection="0">
      <alignment vertical="center"/>
    </xf>
    <xf numFmtId="4" fontId="12" fillId="24" borderId="9" applyNumberFormat="0" applyProtection="0">
      <alignment horizontal="left" vertical="center" indent="1"/>
    </xf>
    <xf numFmtId="0" fontId="12" fillId="24" borderId="9" applyNumberFormat="0" applyProtection="0">
      <alignment horizontal="left" vertical="top" indent="1"/>
    </xf>
    <xf numFmtId="4" fontId="14" fillId="3" borderId="9" applyNumberFormat="0" applyProtection="0">
      <alignment horizontal="right" vertical="center"/>
    </xf>
    <xf numFmtId="4" fontId="14" fillId="9" borderId="9" applyNumberFormat="0" applyProtection="0">
      <alignment horizontal="right" vertical="center"/>
    </xf>
    <xf numFmtId="4" fontId="14" fillId="17" borderId="9" applyNumberFormat="0" applyProtection="0">
      <alignment horizontal="right" vertical="center"/>
    </xf>
    <xf numFmtId="4" fontId="14" fillId="11" borderId="9" applyNumberFormat="0" applyProtection="0">
      <alignment horizontal="right" vertical="center"/>
    </xf>
    <xf numFmtId="4" fontId="14" fillId="15" borderId="9" applyNumberFormat="0" applyProtection="0">
      <alignment horizontal="right" vertical="center"/>
    </xf>
    <xf numFmtId="4" fontId="14" fillId="19" borderId="9" applyNumberFormat="0" applyProtection="0">
      <alignment horizontal="right" vertical="center"/>
    </xf>
    <xf numFmtId="4" fontId="14" fillId="18" borderId="9" applyNumberFormat="0" applyProtection="0">
      <alignment horizontal="right" vertical="center"/>
    </xf>
    <xf numFmtId="4" fontId="14" fillId="25" borderId="9" applyNumberFormat="0" applyProtection="0">
      <alignment horizontal="right" vertical="center"/>
    </xf>
    <xf numFmtId="4" fontId="14" fillId="10" borderId="9" applyNumberFormat="0" applyProtection="0">
      <alignment horizontal="right" vertical="center"/>
    </xf>
    <xf numFmtId="4" fontId="12" fillId="26" borderId="10" applyNumberFormat="0" applyProtection="0">
      <alignment horizontal="left" vertical="center" indent="1"/>
    </xf>
    <xf numFmtId="4" fontId="14" fillId="27" borderId="0" applyNumberFormat="0" applyProtection="0">
      <alignment horizontal="left" vertical="center" indent="1"/>
    </xf>
    <xf numFmtId="4" fontId="15" fillId="28" borderId="0" applyNumberFormat="0" applyProtection="0">
      <alignment horizontal="left" vertical="center" indent="1"/>
    </xf>
    <xf numFmtId="4" fontId="14" fillId="29" borderId="9" applyNumberFormat="0" applyProtection="0">
      <alignment horizontal="right" vertical="center"/>
    </xf>
    <xf numFmtId="4" fontId="16" fillId="27" borderId="0" applyNumberFormat="0" applyProtection="0">
      <alignment horizontal="left" vertical="center" indent="1"/>
    </xf>
    <xf numFmtId="4" fontId="16" fillId="30" borderId="0" applyNumberFormat="0" applyProtection="0">
      <alignment horizontal="left" vertical="center" indent="1"/>
    </xf>
    <xf numFmtId="0" fontId="17" fillId="28" borderId="9" applyNumberFormat="0" applyProtection="0">
      <alignment horizontal="left" vertical="center" indent="1"/>
    </xf>
    <xf numFmtId="0" fontId="17" fillId="28" borderId="9" applyNumberFormat="0" applyProtection="0">
      <alignment horizontal="left" vertical="top" indent="1"/>
    </xf>
    <xf numFmtId="0" fontId="17" fillId="30" borderId="9" applyNumberFormat="0" applyProtection="0">
      <alignment horizontal="left" vertical="center" indent="1"/>
    </xf>
    <xf numFmtId="0" fontId="17" fillId="30" borderId="9" applyNumberFormat="0" applyProtection="0">
      <alignment horizontal="left" vertical="top" indent="1"/>
    </xf>
    <xf numFmtId="0" fontId="17" fillId="31" borderId="9" applyNumberFormat="0" applyProtection="0">
      <alignment horizontal="left" vertical="center" indent="1"/>
    </xf>
    <xf numFmtId="0" fontId="17" fillId="31" borderId="9" applyNumberFormat="0" applyProtection="0">
      <alignment horizontal="left" vertical="top" indent="1"/>
    </xf>
    <xf numFmtId="0" fontId="17" fillId="32" borderId="9" applyNumberFormat="0" applyProtection="0">
      <alignment horizontal="left" vertical="center" indent="1"/>
    </xf>
    <xf numFmtId="0" fontId="17" fillId="32" borderId="9" applyNumberFormat="0" applyProtection="0">
      <alignment horizontal="left" vertical="top" indent="1"/>
    </xf>
    <xf numFmtId="4" fontId="12" fillId="30" borderId="0" applyNumberFormat="0" applyProtection="0">
      <alignment horizontal="left" vertical="center" indent="1"/>
    </xf>
    <xf numFmtId="4" fontId="14" fillId="33" borderId="9" applyNumberFormat="0" applyProtection="0">
      <alignment vertical="center"/>
    </xf>
    <xf numFmtId="4" fontId="18" fillId="33" borderId="9" applyNumberFormat="0" applyProtection="0">
      <alignment vertical="center"/>
    </xf>
    <xf numFmtId="4" fontId="14" fillId="33" borderId="9" applyNumberFormat="0" applyProtection="0">
      <alignment horizontal="left" vertical="center" indent="1"/>
    </xf>
    <xf numFmtId="0" fontId="14" fillId="33" borderId="9" applyNumberFormat="0" applyProtection="0">
      <alignment horizontal="left" vertical="top" indent="1"/>
    </xf>
    <xf numFmtId="4" fontId="14" fillId="27" borderId="9" applyNumberFormat="0" applyProtection="0">
      <alignment horizontal="right" vertical="center"/>
    </xf>
    <xf numFmtId="4" fontId="18" fillId="27" borderId="9" applyNumberFormat="0" applyProtection="0">
      <alignment horizontal="right" vertical="center"/>
    </xf>
    <xf numFmtId="4" fontId="14" fillId="29" borderId="9" applyNumberFormat="0" applyProtection="0">
      <alignment horizontal="left" vertical="center" indent="1"/>
    </xf>
    <xf numFmtId="0" fontId="14" fillId="30" borderId="9" applyNumberFormat="0" applyProtection="0">
      <alignment horizontal="left" vertical="top" indent="1"/>
    </xf>
    <xf numFmtId="4" fontId="19" fillId="34" borderId="0" applyNumberFormat="0" applyProtection="0">
      <alignment horizontal="left" vertical="center" indent="1"/>
    </xf>
    <xf numFmtId="4" fontId="20" fillId="27" borderId="9" applyNumberFormat="0" applyProtection="0">
      <alignment horizontal="right" vertical="center"/>
    </xf>
    <xf numFmtId="0" fontId="48" fillId="0" borderId="0" applyNumberFormat="0" applyFill="0" applyBorder="0" applyAlignment="0" applyProtection="0"/>
    <xf numFmtId="0" fontId="49" fillId="0" borderId="11" applyNumberFormat="0" applyFill="0" applyAlignment="0" applyProtection="0"/>
    <xf numFmtId="0" fontId="50" fillId="0" borderId="0" applyNumberFormat="0" applyFill="0" applyBorder="0" applyAlignment="0" applyProtection="0"/>
    <xf numFmtId="0" fontId="2" fillId="0" borderId="0"/>
    <xf numFmtId="0" fontId="1"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8" fillId="23" borderId="7" applyNumberFormat="0" applyFont="0" applyAlignment="0" applyProtection="0"/>
    <xf numFmtId="0" fontId="2" fillId="28" borderId="9" applyNumberFormat="0" applyProtection="0">
      <alignment horizontal="left" vertical="center" indent="1"/>
    </xf>
    <xf numFmtId="0" fontId="2" fillId="28" borderId="9" applyNumberFormat="0" applyProtection="0">
      <alignment horizontal="left" vertical="top" indent="1"/>
    </xf>
    <xf numFmtId="0" fontId="2" fillId="30" borderId="9" applyNumberFormat="0" applyProtection="0">
      <alignment horizontal="left" vertical="center" indent="1"/>
    </xf>
    <xf numFmtId="0" fontId="2" fillId="30" borderId="9" applyNumberFormat="0" applyProtection="0">
      <alignment horizontal="left" vertical="top" indent="1"/>
    </xf>
    <xf numFmtId="0" fontId="2" fillId="31" borderId="9" applyNumberFormat="0" applyProtection="0">
      <alignment horizontal="left" vertical="center" indent="1"/>
    </xf>
    <xf numFmtId="0" fontId="2" fillId="31" borderId="9" applyNumberFormat="0" applyProtection="0">
      <alignment horizontal="left" vertical="top" indent="1"/>
    </xf>
    <xf numFmtId="0" fontId="2" fillId="32" borderId="9" applyNumberFormat="0" applyProtection="0">
      <alignment horizontal="left" vertical="center" indent="1"/>
    </xf>
    <xf numFmtId="0" fontId="2" fillId="32" borderId="9" applyNumberFormat="0" applyProtection="0">
      <alignment horizontal="left" vertical="top" indent="1"/>
    </xf>
    <xf numFmtId="0" fontId="111" fillId="0" borderId="0"/>
    <xf numFmtId="0" fontId="111" fillId="0" borderId="0"/>
  </cellStyleXfs>
  <cellXfs count="678">
    <xf numFmtId="0" fontId="0" fillId="0" borderId="0" xfId="0"/>
    <xf numFmtId="0" fontId="4" fillId="0" borderId="13" xfId="0"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14" xfId="0" applyNumberFormat="1" applyFont="1" applyFill="1" applyBorder="1" applyAlignment="1">
      <alignment horizontal="center" vertical="center" wrapText="1"/>
    </xf>
    <xf numFmtId="3" fontId="7" fillId="0" borderId="13"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0" xfId="0" applyFont="1" applyFill="1"/>
    <xf numFmtId="49" fontId="4" fillId="0" borderId="13" xfId="0" applyNumberFormat="1" applyFont="1" applyFill="1" applyBorder="1" applyAlignment="1">
      <alignment horizontal="left" vertical="center" wrapText="1" indent="1"/>
    </xf>
    <xf numFmtId="49" fontId="3" fillId="0" borderId="13" xfId="0" applyNumberFormat="1" applyFont="1" applyFill="1" applyBorder="1" applyAlignment="1">
      <alignment horizontal="left" vertical="center" wrapText="1" indent="1"/>
    </xf>
    <xf numFmtId="49" fontId="3" fillId="0" borderId="17" xfId="0" applyNumberFormat="1" applyFont="1" applyFill="1" applyBorder="1" applyAlignment="1">
      <alignment horizontal="left" vertical="center" wrapText="1" indent="1"/>
    </xf>
    <xf numFmtId="3" fontId="4" fillId="0" borderId="13" xfId="0" applyNumberFormat="1" applyFont="1" applyFill="1" applyBorder="1" applyAlignment="1">
      <alignment horizontal="right" vertical="center" wrapText="1" indent="1"/>
    </xf>
    <xf numFmtId="3" fontId="7" fillId="0" borderId="14" xfId="0" applyNumberFormat="1" applyFont="1" applyFill="1" applyBorder="1" applyAlignment="1">
      <alignment horizontal="center" vertical="center" wrapText="1"/>
    </xf>
    <xf numFmtId="49" fontId="7" fillId="0" borderId="13" xfId="0" applyNumberFormat="1" applyFont="1" applyFill="1" applyBorder="1" applyAlignment="1">
      <alignment horizontal="left" vertical="center" wrapText="1" inden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7" fillId="0" borderId="13" xfId="0" applyFont="1" applyFill="1" applyBorder="1" applyAlignment="1">
      <alignment horizontal="left" vertical="center" wrapText="1" indent="1"/>
    </xf>
    <xf numFmtId="0" fontId="8" fillId="0" borderId="0" xfId="0" applyFont="1"/>
    <xf numFmtId="1" fontId="4" fillId="0" borderId="13" xfId="0" applyNumberFormat="1" applyFont="1" applyFill="1" applyBorder="1" applyAlignment="1">
      <alignment horizontal="center" vertical="center" wrapText="1"/>
    </xf>
    <xf numFmtId="49" fontId="7" fillId="0" borderId="17" xfId="0" applyNumberFormat="1" applyFont="1" applyFill="1" applyBorder="1" applyAlignment="1">
      <alignment horizontal="left" vertical="center" wrapText="1" indent="1"/>
    </xf>
    <xf numFmtId="0" fontId="7" fillId="0" borderId="17" xfId="0" applyFont="1" applyFill="1" applyBorder="1" applyAlignment="1">
      <alignment horizontal="left" vertical="center" wrapText="1" indent="1"/>
    </xf>
    <xf numFmtId="0" fontId="4" fillId="0" borderId="0" xfId="0" applyFont="1" applyFill="1" applyAlignment="1">
      <alignment vertical="center" wrapText="1"/>
    </xf>
    <xf numFmtId="49" fontId="8" fillId="0" borderId="13" xfId="0" applyNumberFormat="1" applyFont="1" applyFill="1" applyBorder="1" applyAlignment="1">
      <alignment horizontal="left" vertical="center" wrapText="1" indent="1"/>
    </xf>
    <xf numFmtId="0" fontId="8" fillId="0" borderId="15" xfId="0" applyFont="1" applyFill="1" applyBorder="1" applyAlignment="1">
      <alignment horizontal="center" vertical="center" wrapText="1"/>
    </xf>
    <xf numFmtId="3" fontId="3" fillId="0" borderId="14" xfId="0" applyNumberFormat="1" applyFont="1" applyFill="1" applyBorder="1" applyAlignment="1">
      <alignment horizontal="right" vertical="center" wrapText="1" indent="1"/>
    </xf>
    <xf numFmtId="0" fontId="4" fillId="0" borderId="16" xfId="0" applyFont="1" applyFill="1" applyBorder="1" applyAlignment="1">
      <alignment horizontal="center" vertical="center"/>
    </xf>
    <xf numFmtId="0" fontId="3" fillId="0" borderId="17" xfId="0" applyFont="1" applyFill="1" applyBorder="1" applyAlignment="1">
      <alignment horizontal="left" wrapText="1" indent="1"/>
    </xf>
    <xf numFmtId="0" fontId="3" fillId="0" borderId="15" xfId="0" applyFont="1" applyFill="1" applyBorder="1" applyAlignment="1">
      <alignment horizontal="center" vertical="center" wrapText="1"/>
    </xf>
    <xf numFmtId="1" fontId="7" fillId="0" borderId="17" xfId="0" applyNumberFormat="1" applyFont="1" applyFill="1" applyBorder="1" applyAlignment="1">
      <alignment horizontal="right" vertical="center" wrapText="1" indent="1"/>
    </xf>
    <xf numFmtId="0" fontId="10" fillId="0" borderId="13" xfId="0" applyFont="1" applyFill="1" applyBorder="1" applyAlignment="1">
      <alignment horizontal="left" vertical="center" wrapText="1" indent="1"/>
    </xf>
    <xf numFmtId="166" fontId="54" fillId="35" borderId="13" xfId="75" quotePrefix="1" applyNumberFormat="1" applyFont="1" applyFill="1" applyBorder="1" applyAlignment="1" applyProtection="1">
      <alignment horizontal="left" vertical="center" wrapText="1" indent="1"/>
      <protection locked="0"/>
    </xf>
    <xf numFmtId="166" fontId="53" fillId="35" borderId="13" xfId="83" quotePrefix="1" applyNumberFormat="1" applyFont="1" applyFill="1" applyBorder="1" applyAlignment="1" applyProtection="1">
      <alignment horizontal="left" vertical="center" wrapText="1" indent="1"/>
      <protection locked="0"/>
    </xf>
    <xf numFmtId="166" fontId="53" fillId="35" borderId="13" xfId="82" quotePrefix="1" applyNumberFormat="1" applyFont="1" applyFill="1" applyBorder="1" applyProtection="1">
      <alignment horizontal="left" vertical="center" indent="1"/>
      <protection locked="0"/>
    </xf>
    <xf numFmtId="0" fontId="8" fillId="0" borderId="13" xfId="0" applyFont="1" applyBorder="1"/>
    <xf numFmtId="166" fontId="54" fillId="35" borderId="13" xfId="50" quotePrefix="1" applyNumberFormat="1" applyFont="1" applyFill="1" applyBorder="1">
      <alignment horizontal="left" vertical="center" indent="1"/>
    </xf>
    <xf numFmtId="166" fontId="54" fillId="35" borderId="13" xfId="50" applyNumberFormat="1" applyFont="1" applyFill="1" applyBorder="1">
      <alignment horizontal="left" vertical="center" indent="1"/>
    </xf>
    <xf numFmtId="166" fontId="53" fillId="35" borderId="13" xfId="82" applyNumberFormat="1" applyFont="1" applyFill="1" applyBorder="1" applyAlignment="1" applyProtection="1">
      <alignment vertical="center"/>
      <protection locked="0"/>
    </xf>
    <xf numFmtId="166" fontId="54" fillId="35" borderId="13" xfId="82" quotePrefix="1" applyNumberFormat="1" applyFont="1" applyFill="1" applyBorder="1" applyProtection="1">
      <alignment horizontal="left" vertical="center" indent="1"/>
      <protection locked="0"/>
    </xf>
    <xf numFmtId="166" fontId="53" fillId="35" borderId="13" xfId="83" applyNumberFormat="1" applyFont="1" applyFill="1" applyBorder="1" applyAlignment="1" applyProtection="1">
      <alignment horizontal="left" vertical="center" wrapText="1" indent="1"/>
      <protection locked="0"/>
    </xf>
    <xf numFmtId="0" fontId="59" fillId="0" borderId="0" xfId="0" applyFont="1" applyFill="1" applyAlignment="1">
      <alignment horizontal="left" vertical="center" indent="1"/>
    </xf>
    <xf numFmtId="0" fontId="60"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0" xfId="0" applyFont="1" applyFill="1" applyBorder="1"/>
    <xf numFmtId="0" fontId="3" fillId="0" borderId="0" xfId="0" applyFont="1" applyFill="1" applyBorder="1" applyAlignment="1">
      <alignment horizontal="center" vertical="center"/>
    </xf>
    <xf numFmtId="49" fontId="3" fillId="0" borderId="13" xfId="0" applyNumberFormat="1" applyFont="1" applyFill="1" applyBorder="1" applyAlignment="1">
      <alignment horizontal="left" vertical="center" wrapText="1"/>
    </xf>
    <xf numFmtId="0" fontId="4" fillId="0" borderId="0" xfId="0" applyFont="1" applyFill="1" applyBorder="1" applyAlignment="1">
      <alignment vertical="center"/>
    </xf>
    <xf numFmtId="0" fontId="4" fillId="0" borderId="16" xfId="0" applyFont="1" applyFill="1" applyBorder="1" applyAlignment="1">
      <alignment horizontal="center" vertical="center" wrapText="1"/>
    </xf>
    <xf numFmtId="49" fontId="4" fillId="0" borderId="0" xfId="0" applyNumberFormat="1" applyFont="1" applyFill="1" applyBorder="1" applyAlignment="1">
      <alignment horizontal="left" indent="1"/>
    </xf>
    <xf numFmtId="0" fontId="23" fillId="0" borderId="0" xfId="0" applyFont="1" applyFill="1" applyBorder="1" applyAlignment="1">
      <alignment vertical="center"/>
    </xf>
    <xf numFmtId="0" fontId="4" fillId="0" borderId="20" xfId="0" applyFont="1" applyFill="1" applyBorder="1" applyAlignment="1">
      <alignment horizontal="center" vertical="center" wrapText="1"/>
    </xf>
    <xf numFmtId="49" fontId="80" fillId="0" borderId="13" xfId="0" applyNumberFormat="1" applyFont="1" applyFill="1" applyBorder="1" applyAlignment="1">
      <alignment horizontal="left" vertical="top" wrapText="1" indent="1"/>
    </xf>
    <xf numFmtId="49" fontId="79" fillId="0" borderId="13" xfId="0" applyNumberFormat="1" applyFont="1" applyFill="1" applyBorder="1" applyAlignment="1">
      <alignment horizontal="left" vertical="top" wrapText="1" indent="1"/>
    </xf>
    <xf numFmtId="49" fontId="80" fillId="0" borderId="13" xfId="0" applyNumberFormat="1" applyFont="1" applyFill="1" applyBorder="1" applyAlignment="1">
      <alignment horizontal="left" wrapText="1" indent="1"/>
    </xf>
    <xf numFmtId="49" fontId="79" fillId="0" borderId="13" xfId="0" applyNumberFormat="1" applyFont="1" applyFill="1" applyBorder="1" applyAlignment="1">
      <alignment horizontal="left" vertical="top" wrapText="1"/>
    </xf>
    <xf numFmtId="49" fontId="80" fillId="0" borderId="13" xfId="0" applyNumberFormat="1" applyFont="1" applyFill="1" applyBorder="1" applyAlignment="1">
      <alignment horizontal="left" vertical="center" wrapText="1" indent="1"/>
    </xf>
    <xf numFmtId="49" fontId="80" fillId="0" borderId="13" xfId="0" applyNumberFormat="1" applyFont="1" applyFill="1" applyBorder="1" applyAlignment="1">
      <alignment horizontal="left" vertical="center" wrapText="1"/>
    </xf>
    <xf numFmtId="49" fontId="76" fillId="0" borderId="13" xfId="0" applyNumberFormat="1" applyFont="1" applyFill="1" applyBorder="1" applyAlignment="1">
      <alignment horizontal="left" vertical="center" wrapText="1" indent="1"/>
    </xf>
    <xf numFmtId="49" fontId="79" fillId="0" borderId="13" xfId="0" applyNumberFormat="1" applyFont="1" applyFill="1" applyBorder="1" applyAlignment="1">
      <alignment horizontal="left" vertical="center" wrapText="1" indent="1"/>
    </xf>
    <xf numFmtId="0" fontId="80" fillId="0" borderId="0" xfId="0" applyFont="1" applyFill="1" applyBorder="1" applyAlignment="1">
      <alignment horizontal="left" vertical="center" wrapText="1" indent="1"/>
    </xf>
    <xf numFmtId="49" fontId="79" fillId="0" borderId="13" xfId="0" applyNumberFormat="1" applyFont="1" applyFill="1" applyBorder="1" applyAlignment="1">
      <alignment horizontal="left" vertical="center" indent="1"/>
    </xf>
    <xf numFmtId="49" fontId="4" fillId="0" borderId="19" xfId="0" applyNumberFormat="1" applyFont="1" applyFill="1" applyBorder="1" applyAlignment="1">
      <alignment horizontal="left" vertical="center" wrapText="1" indent="1"/>
    </xf>
    <xf numFmtId="49" fontId="4" fillId="0" borderId="13" xfId="0" applyNumberFormat="1" applyFont="1" applyFill="1" applyBorder="1" applyAlignment="1">
      <alignment horizontal="left" vertical="top" wrapText="1" indent="1"/>
    </xf>
    <xf numFmtId="49" fontId="3" fillId="0" borderId="13" xfId="0" applyNumberFormat="1" applyFont="1" applyFill="1" applyBorder="1" applyAlignment="1">
      <alignment horizontal="left" vertical="top" wrapText="1" indent="1"/>
    </xf>
    <xf numFmtId="49" fontId="3" fillId="0" borderId="17" xfId="0" applyNumberFormat="1" applyFont="1" applyFill="1" applyBorder="1" applyAlignment="1">
      <alignment horizontal="left" vertical="top" wrapText="1" indent="1"/>
    </xf>
    <xf numFmtId="49" fontId="3" fillId="0" borderId="13" xfId="0" applyNumberFormat="1" applyFont="1" applyFill="1" applyBorder="1" applyAlignment="1">
      <alignment vertical="center" wrapText="1"/>
    </xf>
    <xf numFmtId="49" fontId="81" fillId="0" borderId="13"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8" fillId="0" borderId="13" xfId="0" applyNumberFormat="1" applyFont="1" applyFill="1" applyBorder="1" applyAlignment="1">
      <alignment vertical="center" wrapText="1"/>
    </xf>
    <xf numFmtId="49" fontId="7" fillId="0" borderId="17" xfId="0" applyNumberFormat="1" applyFont="1" applyFill="1" applyBorder="1" applyAlignment="1">
      <alignment vertical="center" wrapText="1"/>
    </xf>
    <xf numFmtId="0" fontId="4" fillId="0" borderId="70"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4" fillId="0" borderId="70" xfId="0" applyFont="1" applyFill="1" applyBorder="1" applyAlignment="1">
      <alignment horizontal="right" vertical="center" wrapText="1" indent="1"/>
    </xf>
    <xf numFmtId="4" fontId="4" fillId="0" borderId="0" xfId="0" applyNumberFormat="1" applyFont="1" applyFill="1" applyAlignment="1">
      <alignment horizontal="right" vertical="center" indent="1"/>
    </xf>
    <xf numFmtId="3" fontId="7" fillId="0" borderId="67" xfId="43" applyNumberFormat="1" applyFont="1" applyFill="1" applyBorder="1" applyAlignment="1">
      <alignment horizontal="center" vertical="center" wrapText="1"/>
    </xf>
    <xf numFmtId="3" fontId="7" fillId="0" borderId="13" xfId="43" applyNumberFormat="1" applyFont="1" applyFill="1" applyBorder="1" applyAlignment="1">
      <alignment horizontal="center" vertical="center" wrapText="1"/>
    </xf>
    <xf numFmtId="3" fontId="7" fillId="0" borderId="15" xfId="43" applyNumberFormat="1" applyFont="1" applyFill="1" applyBorder="1" applyAlignment="1">
      <alignment horizontal="center" vertical="center" wrapText="1"/>
    </xf>
    <xf numFmtId="0" fontId="7" fillId="0" borderId="67" xfId="43" applyNumberFormat="1" applyFont="1" applyFill="1" applyBorder="1" applyAlignment="1">
      <alignment horizontal="center" vertical="center" wrapText="1"/>
    </xf>
    <xf numFmtId="0" fontId="7" fillId="0" borderId="77" xfId="43" applyNumberFormat="1" applyFont="1" applyFill="1" applyBorder="1" applyAlignment="1">
      <alignment horizontal="center" vertical="center" wrapText="1"/>
    </xf>
    <xf numFmtId="0" fontId="7" fillId="0" borderId="13" xfId="43" applyNumberFormat="1" applyFont="1" applyFill="1" applyBorder="1" applyAlignment="1">
      <alignment horizontal="center" vertical="center" wrapText="1"/>
    </xf>
    <xf numFmtId="0" fontId="77" fillId="0" borderId="0" xfId="0" applyFont="1" applyFill="1"/>
    <xf numFmtId="0" fontId="75" fillId="0" borderId="0" xfId="0" applyFont="1" applyFill="1"/>
    <xf numFmtId="49" fontId="80" fillId="0" borderId="13" xfId="0" applyNumberFormat="1" applyFont="1" applyFill="1" applyBorder="1" applyAlignment="1" applyProtection="1">
      <alignment horizontal="left" vertical="top" wrapText="1" indent="1"/>
      <protection locked="0"/>
    </xf>
    <xf numFmtId="49" fontId="96" fillId="0" borderId="17" xfId="0" applyNumberFormat="1" applyFont="1" applyFill="1" applyBorder="1" applyAlignment="1">
      <alignment horizontal="left" vertical="center" wrapText="1" indent="1"/>
    </xf>
    <xf numFmtId="0" fontId="97" fillId="0" borderId="13" xfId="0" applyFont="1" applyFill="1" applyBorder="1" applyAlignment="1">
      <alignment horizontal="center" vertical="center" wrapText="1"/>
    </xf>
    <xf numFmtId="0" fontId="97" fillId="0" borderId="14" xfId="0" applyFont="1" applyFill="1" applyBorder="1" applyAlignment="1">
      <alignment horizontal="center" vertical="center" wrapText="1"/>
    </xf>
    <xf numFmtId="49" fontId="77" fillId="0" borderId="13" xfId="0" applyNumberFormat="1" applyFont="1" applyFill="1" applyBorder="1" applyAlignment="1">
      <alignment horizontal="left" vertical="center" wrapText="1" indent="1"/>
    </xf>
    <xf numFmtId="49" fontId="84" fillId="0" borderId="13" xfId="0" applyNumberFormat="1" applyFont="1" applyFill="1" applyBorder="1" applyAlignment="1">
      <alignment horizontal="left" vertical="center" wrapText="1" indent="1"/>
    </xf>
    <xf numFmtId="49" fontId="75" fillId="0" borderId="13" xfId="0" applyNumberFormat="1" applyFont="1" applyFill="1" applyBorder="1" applyAlignment="1">
      <alignment horizontal="left" vertical="center" wrapText="1" indent="1"/>
    </xf>
    <xf numFmtId="49" fontId="77" fillId="0" borderId="13" xfId="0" applyNumberFormat="1" applyFont="1" applyFill="1" applyBorder="1" applyAlignment="1">
      <alignment horizontal="left" vertical="top" wrapText="1" indent="1"/>
    </xf>
    <xf numFmtId="0" fontId="73" fillId="0" borderId="0" xfId="40" applyFill="1"/>
    <xf numFmtId="0" fontId="4" fillId="0" borderId="13" xfId="0" applyFont="1" applyFill="1" applyBorder="1" applyAlignment="1">
      <alignment horizontal="left" vertical="top" wrapText="1" indent="1"/>
    </xf>
    <xf numFmtId="0" fontId="4" fillId="0" borderId="19" xfId="0" applyFont="1" applyFill="1" applyBorder="1" applyAlignment="1">
      <alignment horizontal="left" vertical="top" wrapText="1" indent="1"/>
    </xf>
    <xf numFmtId="4" fontId="8" fillId="0" borderId="13" xfId="0" applyNumberFormat="1" applyFont="1" applyFill="1" applyBorder="1" applyAlignment="1">
      <alignment vertical="center" wrapText="1"/>
    </xf>
    <xf numFmtId="0" fontId="28" fillId="0" borderId="83" xfId="0" applyFont="1" applyFill="1" applyBorder="1" applyAlignment="1">
      <alignment horizontal="left" vertical="center" wrapText="1"/>
    </xf>
    <xf numFmtId="4" fontId="4" fillId="0" borderId="19" xfId="0" applyNumberFormat="1" applyFont="1" applyFill="1" applyBorder="1" applyAlignment="1">
      <alignment vertical="center" wrapText="1"/>
    </xf>
    <xf numFmtId="4" fontId="3" fillId="0" borderId="13" xfId="0" applyNumberFormat="1" applyFont="1" applyFill="1" applyBorder="1" applyAlignment="1">
      <alignment horizontal="center" vertical="center" wrapText="1"/>
    </xf>
    <xf numFmtId="4" fontId="4" fillId="0" borderId="13" xfId="0" applyNumberFormat="1" applyFont="1" applyFill="1" applyBorder="1" applyAlignment="1">
      <alignment horizontal="right" vertical="center" wrapText="1" indent="1"/>
    </xf>
    <xf numFmtId="4" fontId="4" fillId="0" borderId="14" xfId="0" applyNumberFormat="1" applyFont="1" applyFill="1" applyBorder="1" applyAlignment="1">
      <alignment horizontal="right" vertical="center" wrapText="1" indent="1"/>
    </xf>
    <xf numFmtId="166" fontId="67" fillId="0" borderId="13" xfId="0" applyNumberFormat="1" applyFont="1" applyFill="1" applyBorder="1" applyAlignment="1">
      <alignment horizontal="center" vertical="center" wrapText="1"/>
    </xf>
    <xf numFmtId="166" fontId="82" fillId="0" borderId="13" xfId="0" applyNumberFormat="1" applyFont="1" applyFill="1" applyBorder="1" applyAlignment="1">
      <alignment horizontal="center" vertical="center" wrapText="1"/>
    </xf>
    <xf numFmtId="4" fontId="3" fillId="0" borderId="14" xfId="0" applyNumberFormat="1" applyFont="1" applyFill="1" applyBorder="1" applyAlignment="1">
      <alignment horizontal="right" vertical="center" wrapText="1" indent="1"/>
    </xf>
    <xf numFmtId="4" fontId="4" fillId="0" borderId="19" xfId="0" applyNumberFormat="1" applyFont="1" applyFill="1" applyBorder="1" applyAlignment="1">
      <alignment horizontal="right" vertical="center" wrapText="1" indent="1"/>
    </xf>
    <xf numFmtId="3" fontId="4" fillId="0" borderId="13" xfId="39" applyNumberFormat="1" applyFont="1" applyFill="1" applyBorder="1" applyAlignment="1">
      <alignment horizontal="center" wrapText="1"/>
    </xf>
    <xf numFmtId="3" fontId="4" fillId="0" borderId="38" xfId="39" applyNumberFormat="1" applyFont="1" applyFill="1" applyBorder="1" applyAlignment="1">
      <alignment horizontal="center" wrapText="1"/>
    </xf>
    <xf numFmtId="4" fontId="4" fillId="0" borderId="13" xfId="39" applyNumberFormat="1" applyFont="1" applyFill="1" applyBorder="1" applyAlignment="1">
      <alignment horizontal="right" vertical="center" wrapText="1" indent="1"/>
    </xf>
    <xf numFmtId="4" fontId="4" fillId="0" borderId="38" xfId="39" applyNumberFormat="1" applyFont="1" applyFill="1" applyBorder="1" applyAlignment="1">
      <alignment horizontal="right" vertical="center" wrapText="1" indent="1"/>
    </xf>
    <xf numFmtId="0" fontId="4" fillId="0" borderId="0" xfId="39" applyFont="1" applyFill="1" applyAlignment="1">
      <alignment horizontal="center"/>
    </xf>
    <xf numFmtId="0" fontId="4" fillId="0" borderId="0" xfId="39" applyFont="1" applyFill="1"/>
    <xf numFmtId="49" fontId="4" fillId="0" borderId="13" xfId="39" applyNumberFormat="1" applyFont="1" applyFill="1" applyBorder="1" applyAlignment="1">
      <alignment horizontal="left" vertical="center" wrapText="1" indent="1"/>
    </xf>
    <xf numFmtId="0" fontId="4" fillId="0" borderId="15" xfId="39" applyFont="1" applyFill="1" applyBorder="1" applyAlignment="1">
      <alignment horizontal="center" vertical="center" wrapText="1"/>
    </xf>
    <xf numFmtId="0" fontId="4" fillId="0" borderId="16" xfId="39" applyFont="1" applyFill="1" applyBorder="1" applyAlignment="1">
      <alignment horizontal="center" vertical="center" wrapText="1"/>
    </xf>
    <xf numFmtId="0" fontId="4" fillId="0" borderId="0" xfId="39" applyFont="1" applyFill="1" applyBorder="1" applyAlignment="1">
      <alignment horizontal="center" vertical="center" wrapText="1"/>
    </xf>
    <xf numFmtId="49" fontId="3" fillId="0" borderId="0" xfId="39" applyNumberFormat="1" applyFont="1" applyFill="1" applyBorder="1" applyAlignment="1">
      <alignment horizontal="left" vertical="top" wrapText="1" indent="1"/>
    </xf>
    <xf numFmtId="3" fontId="7" fillId="0" borderId="0" xfId="39" applyNumberFormat="1" applyFont="1" applyFill="1" applyBorder="1" applyAlignment="1">
      <alignment horizontal="right" vertical="center" wrapText="1" indent="1"/>
    </xf>
    <xf numFmtId="0" fontId="8" fillId="0" borderId="21" xfId="95" applyFont="1" applyFill="1" applyBorder="1" applyAlignment="1">
      <alignment horizontal="left" indent="1"/>
    </xf>
    <xf numFmtId="0" fontId="8" fillId="0" borderId="15" xfId="95" applyFont="1" applyFill="1" applyBorder="1" applyAlignment="1">
      <alignment horizontal="left" indent="1"/>
    </xf>
    <xf numFmtId="0" fontId="23" fillId="0" borderId="15" xfId="95" applyFont="1" applyFill="1" applyBorder="1" applyAlignment="1">
      <alignment horizontal="left" indent="1"/>
    </xf>
    <xf numFmtId="3" fontId="4" fillId="0" borderId="13" xfId="92" applyNumberFormat="1" applyFont="1" applyFill="1" applyBorder="1" applyAlignment="1">
      <alignment horizontal="center" vertical="center" wrapText="1"/>
    </xf>
    <xf numFmtId="3" fontId="4" fillId="0" borderId="14" xfId="92" applyNumberFormat="1" applyFont="1" applyFill="1" applyBorder="1" applyAlignment="1">
      <alignment horizontal="center" vertical="center" wrapText="1"/>
    </xf>
    <xf numFmtId="4" fontId="4" fillId="0" borderId="0" xfId="0" applyNumberFormat="1" applyFont="1" applyFill="1" applyBorder="1"/>
    <xf numFmtId="4" fontId="23" fillId="0" borderId="0" xfId="0" applyNumberFormat="1" applyFont="1" applyFill="1" applyBorder="1" applyAlignment="1">
      <alignment vertical="center"/>
    </xf>
    <xf numFmtId="0" fontId="75" fillId="0" borderId="0" xfId="0" applyFont="1" applyFill="1" applyBorder="1" applyAlignment="1">
      <alignment horizontal="center" vertical="center" wrapText="1"/>
    </xf>
    <xf numFmtId="4" fontId="115" fillId="0" borderId="85" xfId="0" applyNumberFormat="1" applyFont="1" applyFill="1" applyBorder="1" applyAlignment="1">
      <alignment horizontal="center"/>
    </xf>
    <xf numFmtId="4" fontId="7" fillId="0" borderId="60" xfId="0" applyNumberFormat="1" applyFont="1" applyFill="1" applyBorder="1" applyAlignment="1">
      <alignment horizontal="right" vertical="center" wrapText="1" indent="1"/>
    </xf>
    <xf numFmtId="0" fontId="2" fillId="0" borderId="0" xfId="0" applyFont="1" applyFill="1" applyAlignment="1">
      <alignment wrapText="1"/>
    </xf>
    <xf numFmtId="49" fontId="3" fillId="0" borderId="13"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7" fillId="0" borderId="70" xfId="0" applyFont="1" applyFill="1" applyBorder="1" applyAlignment="1">
      <alignment horizontal="left" vertical="center" wrapText="1" indent="1"/>
    </xf>
    <xf numFmtId="0" fontId="4" fillId="0" borderId="0" xfId="0" applyFont="1" applyFill="1" applyAlignment="1">
      <alignment horizontal="center" vertical="center"/>
    </xf>
    <xf numFmtId="166" fontId="4" fillId="0" borderId="0" xfId="0" applyNumberFormat="1" applyFont="1" applyFill="1" applyAlignment="1">
      <alignment horizontal="right" vertical="center" indent="1"/>
    </xf>
    <xf numFmtId="0" fontId="4" fillId="0" borderId="0" xfId="0" applyFont="1" applyFill="1" applyAlignment="1">
      <alignment horizontal="left" vertical="center" wrapText="1"/>
    </xf>
    <xf numFmtId="4" fontId="3" fillId="0" borderId="13" xfId="0" applyNumberFormat="1" applyFont="1" applyFill="1" applyBorder="1" applyAlignment="1">
      <alignment horizontal="right" vertical="center" wrapText="1" indent="1"/>
    </xf>
    <xf numFmtId="4" fontId="4" fillId="0" borderId="13" xfId="0" applyNumberFormat="1" applyFont="1" applyFill="1" applyBorder="1" applyAlignment="1">
      <alignment horizontal="center" vertical="center" wrapText="1"/>
    </xf>
    <xf numFmtId="4" fontId="3" fillId="0" borderId="17" xfId="0" applyNumberFormat="1" applyFont="1" applyFill="1" applyBorder="1" applyAlignment="1" applyProtection="1">
      <alignment horizontal="right" vertical="center" wrapText="1" indent="1"/>
    </xf>
    <xf numFmtId="4" fontId="3" fillId="0" borderId="18" xfId="0" applyNumberFormat="1" applyFont="1" applyFill="1" applyBorder="1" applyAlignment="1">
      <alignment horizontal="right" vertical="center" wrapText="1" indent="1"/>
    </xf>
    <xf numFmtId="0" fontId="4" fillId="0" borderId="0" xfId="0" applyFont="1" applyFill="1" applyBorder="1" applyAlignment="1">
      <alignment horizontal="center" vertical="center" wrapText="1"/>
    </xf>
    <xf numFmtId="49" fontId="4" fillId="0" borderId="0" xfId="0" applyNumberFormat="1" applyFont="1" applyFill="1" applyBorder="1" applyAlignment="1">
      <alignment horizontal="left" vertical="center" wrapText="1" indent="1"/>
    </xf>
    <xf numFmtId="0" fontId="4" fillId="0" borderId="0" xfId="0" applyFont="1" applyFill="1" applyBorder="1" applyAlignment="1">
      <alignment vertical="center" wrapText="1"/>
    </xf>
    <xf numFmtId="0" fontId="4" fillId="0" borderId="0" xfId="0" applyFont="1" applyFill="1" applyAlignment="1">
      <alignment horizontal="right" vertical="center" wrapText="1"/>
    </xf>
    <xf numFmtId="49" fontId="9" fillId="0" borderId="0" xfId="0" applyNumberFormat="1" applyFont="1" applyFill="1" applyAlignment="1">
      <alignment horizontal="left" vertical="center" wrapText="1" indent="1"/>
    </xf>
    <xf numFmtId="0" fontId="4" fillId="0" borderId="0" xfId="0" applyFont="1" applyFill="1" applyAlignment="1">
      <alignment horizontal="center" vertical="center" wrapText="1"/>
    </xf>
    <xf numFmtId="49" fontId="4" fillId="0" borderId="0" xfId="0" applyNumberFormat="1" applyFont="1" applyFill="1" applyAlignment="1">
      <alignment horizontal="left" vertical="center" wrapText="1" indent="1"/>
    </xf>
    <xf numFmtId="0" fontId="5" fillId="0" borderId="0" xfId="0" applyFont="1" applyFill="1" applyAlignment="1">
      <alignment horizontal="center" vertical="center" wrapText="1"/>
    </xf>
    <xf numFmtId="0" fontId="3" fillId="0" borderId="0" xfId="0" applyFont="1" applyFill="1"/>
    <xf numFmtId="0" fontId="3" fillId="0" borderId="13" xfId="0" applyFont="1" applyFill="1" applyBorder="1" applyAlignment="1">
      <alignment horizontal="left" vertical="top" wrapText="1" indent="1"/>
    </xf>
    <xf numFmtId="3" fontId="7" fillId="0" borderId="13" xfId="0" applyNumberFormat="1" applyFont="1" applyFill="1" applyBorder="1" applyAlignment="1">
      <alignment horizontal="right" vertical="center" wrapText="1" indent="1"/>
    </xf>
    <xf numFmtId="3" fontId="7" fillId="0" borderId="14" xfId="0" applyNumberFormat="1" applyFont="1" applyFill="1" applyBorder="1" applyAlignment="1">
      <alignment horizontal="right" vertical="center" wrapText="1" indent="1"/>
    </xf>
    <xf numFmtId="4" fontId="7" fillId="0" borderId="14" xfId="0" applyNumberFormat="1" applyFont="1" applyFill="1" applyBorder="1" applyAlignment="1">
      <alignment horizontal="right" vertical="center" wrapText="1" indent="1"/>
    </xf>
    <xf numFmtId="4" fontId="7" fillId="0" borderId="13" xfId="0" applyNumberFormat="1" applyFont="1" applyFill="1" applyBorder="1" applyAlignment="1">
      <alignment horizontal="right" vertical="center" wrapText="1" indent="1"/>
    </xf>
    <xf numFmtId="0" fontId="8" fillId="0" borderId="13" xfId="0" applyFont="1" applyFill="1" applyBorder="1" applyAlignment="1">
      <alignment horizontal="left" vertical="top" wrapText="1" indent="1"/>
    </xf>
    <xf numFmtId="4" fontId="8" fillId="0" borderId="13" xfId="0" applyNumberFormat="1" applyFont="1" applyFill="1" applyBorder="1" applyAlignment="1">
      <alignment horizontal="right" vertical="center" wrapText="1" indent="1"/>
    </xf>
    <xf numFmtId="0" fontId="4" fillId="0" borderId="21" xfId="0" applyFont="1" applyFill="1" applyBorder="1" applyAlignment="1">
      <alignment horizontal="center" vertical="center"/>
    </xf>
    <xf numFmtId="0" fontId="4" fillId="0" borderId="0" xfId="0" applyFont="1" applyFill="1" applyBorder="1" applyAlignment="1">
      <alignment horizontal="left" indent="1"/>
    </xf>
    <xf numFmtId="0" fontId="10" fillId="0" borderId="0" xfId="0" applyFont="1" applyFill="1"/>
    <xf numFmtId="0" fontId="4" fillId="0" borderId="22" xfId="0" applyFont="1" applyFill="1" applyBorder="1" applyAlignment="1">
      <alignment horizontal="center" vertical="center"/>
    </xf>
    <xf numFmtId="4" fontId="3" fillId="0" borderId="17" xfId="0" applyNumberFormat="1" applyFont="1" applyFill="1" applyBorder="1" applyAlignment="1">
      <alignment horizontal="right" vertical="center" wrapText="1" indent="1"/>
    </xf>
    <xf numFmtId="4" fontId="7" fillId="0" borderId="18" xfId="0" applyNumberFormat="1" applyFont="1" applyFill="1" applyBorder="1" applyAlignment="1">
      <alignment horizontal="right" vertical="center" wrapText="1" indent="1"/>
    </xf>
    <xf numFmtId="0" fontId="10" fillId="0" borderId="0" xfId="0" applyFont="1" applyFill="1" applyAlignment="1">
      <alignment horizontal="center" vertical="center"/>
    </xf>
    <xf numFmtId="0" fontId="10" fillId="0" borderId="0" xfId="0" applyFont="1" applyFill="1" applyAlignment="1">
      <alignment horizontal="left" indent="1"/>
    </xf>
    <xf numFmtId="0" fontId="4" fillId="0" borderId="0" xfId="0" applyFont="1" applyFill="1" applyAlignment="1">
      <alignment horizontal="left" indent="1"/>
    </xf>
    <xf numFmtId="4" fontId="7" fillId="0" borderId="13" xfId="0" applyNumberFormat="1" applyFont="1" applyFill="1" applyBorder="1" applyAlignment="1">
      <alignment horizontal="right" vertical="center" indent="1"/>
    </xf>
    <xf numFmtId="4" fontId="7" fillId="0" borderId="14" xfId="0" applyNumberFormat="1" applyFont="1" applyFill="1" applyBorder="1" applyAlignment="1">
      <alignment horizontal="right" vertical="center" indent="1"/>
    </xf>
    <xf numFmtId="3" fontId="4" fillId="0" borderId="13" xfId="0" applyNumberFormat="1" applyFont="1" applyFill="1" applyBorder="1" applyAlignment="1">
      <alignment vertical="center" wrapText="1"/>
    </xf>
    <xf numFmtId="4" fontId="4" fillId="0" borderId="13" xfId="0" applyNumberFormat="1" applyFont="1" applyFill="1" applyBorder="1" applyAlignment="1">
      <alignment vertical="center" wrapText="1"/>
    </xf>
    <xf numFmtId="0" fontId="92" fillId="0" borderId="0" xfId="0" applyFont="1" applyFill="1"/>
    <xf numFmtId="0" fontId="4" fillId="0" borderId="15" xfId="0" applyFont="1" applyFill="1" applyBorder="1" applyAlignment="1">
      <alignment horizontal="center" vertical="top"/>
    </xf>
    <xf numFmtId="4" fontId="4" fillId="0" borderId="13" xfId="0" applyNumberFormat="1" applyFont="1" applyFill="1" applyBorder="1" applyAlignment="1">
      <alignment vertical="center"/>
    </xf>
    <xf numFmtId="4" fontId="91" fillId="0" borderId="13" xfId="0" applyNumberFormat="1" applyFont="1" applyFill="1" applyBorder="1" applyAlignment="1">
      <alignment horizontal="right" vertical="center" wrapText="1" indent="1"/>
    </xf>
    <xf numFmtId="0" fontId="65" fillId="0" borderId="0" xfId="0" applyFont="1" applyFill="1"/>
    <xf numFmtId="4" fontId="7" fillId="0" borderId="13" xfId="0" applyNumberFormat="1" applyFont="1" applyFill="1" applyBorder="1" applyAlignment="1">
      <alignment vertical="center" wrapText="1"/>
    </xf>
    <xf numFmtId="4" fontId="77" fillId="0" borderId="13" xfId="0" applyNumberFormat="1" applyFont="1" applyFill="1" applyBorder="1" applyAlignment="1">
      <alignment horizontal="center" vertical="center" wrapText="1"/>
    </xf>
    <xf numFmtId="4" fontId="7" fillId="0" borderId="17" xfId="0" applyNumberFormat="1" applyFont="1" applyFill="1" applyBorder="1" applyAlignment="1">
      <alignment horizontal="right" vertical="center" wrapText="1" indent="1"/>
    </xf>
    <xf numFmtId="4" fontId="7" fillId="0" borderId="17" xfId="0" applyNumberFormat="1" applyFont="1" applyFill="1" applyBorder="1" applyAlignment="1">
      <alignment horizontal="right" vertical="center" indent="1"/>
    </xf>
    <xf numFmtId="4" fontId="7" fillId="0" borderId="18" xfId="0" applyNumberFormat="1" applyFont="1" applyFill="1" applyBorder="1" applyAlignment="1">
      <alignment horizontal="right" vertical="center" indent="1"/>
    </xf>
    <xf numFmtId="0" fontId="77" fillId="0" borderId="0" xfId="0" applyFont="1" applyFill="1" applyAlignment="1">
      <alignment vertical="center"/>
    </xf>
    <xf numFmtId="0" fontId="4" fillId="0" borderId="0" xfId="0" applyFont="1" applyFill="1" applyAlignment="1">
      <alignment horizontal="justify"/>
    </xf>
    <xf numFmtId="49" fontId="4" fillId="0" borderId="0" xfId="0" applyNumberFormat="1" applyFont="1" applyFill="1" applyAlignment="1">
      <alignment horizontal="left" wrapText="1" indent="1"/>
    </xf>
    <xf numFmtId="3" fontId="4" fillId="0" borderId="0" xfId="0" applyNumberFormat="1" applyFont="1" applyFill="1" applyAlignment="1">
      <alignment vertical="center"/>
    </xf>
    <xf numFmtId="0" fontId="4" fillId="0" borderId="0" xfId="0" applyFont="1" applyFill="1" applyAlignment="1">
      <alignment vertical="center"/>
    </xf>
    <xf numFmtId="0" fontId="8" fillId="0" borderId="0" xfId="0" applyFont="1" applyFill="1"/>
    <xf numFmtId="4" fontId="105" fillId="0" borderId="13" xfId="0" applyNumberFormat="1" applyFont="1" applyFill="1" applyBorder="1" applyAlignment="1">
      <alignment horizontal="right" vertical="center" wrapText="1" indent="1"/>
    </xf>
    <xf numFmtId="3" fontId="58" fillId="0" borderId="0" xfId="0" applyNumberFormat="1" applyFont="1" applyFill="1"/>
    <xf numFmtId="0" fontId="75" fillId="0" borderId="0" xfId="0" applyFont="1" applyFill="1" applyAlignment="1">
      <alignment wrapText="1"/>
    </xf>
    <xf numFmtId="4" fontId="4" fillId="0" borderId="38" xfId="0" applyNumberFormat="1" applyFont="1" applyFill="1" applyBorder="1" applyAlignment="1">
      <alignment horizontal="right" vertical="center" wrapText="1" indent="1"/>
    </xf>
    <xf numFmtId="4" fontId="8" fillId="0" borderId="38" xfId="0" applyNumberFormat="1" applyFont="1" applyFill="1" applyBorder="1" applyAlignment="1">
      <alignment horizontal="right" vertical="center" wrapText="1" indent="1"/>
    </xf>
    <xf numFmtId="4" fontId="7" fillId="0" borderId="38" xfId="0" applyNumberFormat="1" applyFont="1" applyFill="1" applyBorder="1" applyAlignment="1">
      <alignment horizontal="right" vertical="center" wrapText="1" indent="1"/>
    </xf>
    <xf numFmtId="4" fontId="3" fillId="0" borderId="39" xfId="0" applyNumberFormat="1" applyFont="1" applyFill="1" applyBorder="1" applyAlignment="1">
      <alignment horizontal="right" vertical="center" wrapText="1" indent="1"/>
    </xf>
    <xf numFmtId="49" fontId="4" fillId="0" borderId="0" xfId="0" applyNumberFormat="1" applyFont="1" applyFill="1" applyAlignment="1">
      <alignment horizontal="left" vertical="center"/>
    </xf>
    <xf numFmtId="0" fontId="4" fillId="0" borderId="0" xfId="0" applyFont="1" applyFill="1" applyAlignment="1">
      <alignment horizontal="left" vertical="center"/>
    </xf>
    <xf numFmtId="49" fontId="8" fillId="0" borderId="0" xfId="0" applyNumberFormat="1" applyFont="1" applyFill="1" applyAlignment="1">
      <alignment horizontal="left" vertical="center"/>
    </xf>
    <xf numFmtId="49" fontId="75" fillId="0" borderId="0" xfId="0" applyNumberFormat="1" applyFont="1" applyFill="1" applyAlignment="1">
      <alignment horizontal="left" vertical="center"/>
    </xf>
    <xf numFmtId="49" fontId="4" fillId="0" borderId="0" xfId="0" applyNumberFormat="1" applyFont="1" applyFill="1"/>
    <xf numFmtId="4" fontId="8" fillId="0" borderId="14" xfId="0" applyNumberFormat="1" applyFont="1" applyFill="1" applyBorder="1" applyAlignment="1">
      <alignment horizontal="right" vertical="center" wrapText="1" indent="1"/>
    </xf>
    <xf numFmtId="4" fontId="4" fillId="0" borderId="20" xfId="0" applyNumberFormat="1" applyFont="1" applyFill="1" applyBorder="1" applyAlignment="1">
      <alignment vertical="center" wrapText="1"/>
    </xf>
    <xf numFmtId="3" fontId="92" fillId="0" borderId="0" xfId="0" applyNumberFormat="1" applyFont="1" applyFill="1" applyAlignment="1">
      <alignment horizontal="left"/>
    </xf>
    <xf numFmtId="4" fontId="4" fillId="0" borderId="13" xfId="0" applyNumberFormat="1" applyFont="1" applyFill="1" applyBorder="1" applyAlignment="1">
      <alignment horizontal="right" vertical="center" wrapText="1"/>
    </xf>
    <xf numFmtId="0" fontId="93" fillId="0" borderId="0" xfId="0" applyFont="1" applyFill="1" applyAlignment="1">
      <alignment wrapText="1"/>
    </xf>
    <xf numFmtId="0" fontId="113" fillId="0" borderId="0" xfId="0" applyFont="1" applyFill="1" applyAlignment="1">
      <alignment wrapText="1"/>
    </xf>
    <xf numFmtId="0" fontId="93" fillId="0" borderId="0" xfId="0" applyFont="1" applyFill="1"/>
    <xf numFmtId="0" fontId="4" fillId="0" borderId="12" xfId="0" applyFont="1" applyFill="1" applyBorder="1" applyAlignment="1">
      <alignment horizontal="center" vertical="center"/>
    </xf>
    <xf numFmtId="49" fontId="4" fillId="0" borderId="0" xfId="0" applyNumberFormat="1" applyFont="1" applyFill="1" applyAlignment="1">
      <alignment horizontal="left" wrapText="1"/>
    </xf>
    <xf numFmtId="166" fontId="4" fillId="0" borderId="0" xfId="0" applyNumberFormat="1" applyFont="1" applyFill="1"/>
    <xf numFmtId="0" fontId="3" fillId="0" borderId="0" xfId="0" applyFont="1" applyFill="1" applyAlignment="1">
      <alignment vertical="center" wrapText="1"/>
    </xf>
    <xf numFmtId="0" fontId="3" fillId="0" borderId="56" xfId="0" applyFont="1" applyFill="1" applyBorder="1" applyAlignment="1">
      <alignment horizontal="center" vertical="center" wrapText="1"/>
    </xf>
    <xf numFmtId="0" fontId="3" fillId="0" borderId="0" xfId="0" applyFont="1" applyFill="1" applyBorder="1" applyAlignment="1">
      <alignment vertical="center" wrapText="1"/>
    </xf>
    <xf numFmtId="4" fontId="7" fillId="0" borderId="20" xfId="0" applyNumberFormat="1" applyFont="1" applyFill="1" applyBorder="1" applyAlignment="1">
      <alignment horizontal="right" vertical="center" wrapText="1" indent="1"/>
    </xf>
    <xf numFmtId="4" fontId="4" fillId="0" borderId="13" xfId="27" applyNumberFormat="1" applyFont="1" applyFill="1" applyBorder="1" applyAlignment="1">
      <alignment horizontal="right" vertical="center" wrapText="1" indent="1"/>
    </xf>
    <xf numFmtId="0" fontId="4" fillId="0" borderId="15"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4" fillId="0" borderId="14" xfId="0" applyFont="1" applyFill="1" applyBorder="1" applyAlignment="1">
      <alignment horizontal="center" vertical="center" wrapText="1"/>
    </xf>
    <xf numFmtId="4" fontId="115" fillId="0" borderId="86" xfId="0" applyNumberFormat="1" applyFont="1" applyFill="1" applyBorder="1" applyAlignment="1">
      <alignment horizontal="center" vertical="center"/>
    </xf>
    <xf numFmtId="4" fontId="115" fillId="0" borderId="86" xfId="0" applyNumberFormat="1" applyFont="1" applyFill="1" applyBorder="1" applyAlignment="1">
      <alignment horizontal="center"/>
    </xf>
    <xf numFmtId="4" fontId="7" fillId="0" borderId="28" xfId="0" applyNumberFormat="1" applyFont="1" applyFill="1" applyBorder="1" applyAlignment="1">
      <alignment horizontal="right" vertical="center" wrapText="1" indent="1"/>
    </xf>
    <xf numFmtId="4" fontId="7" fillId="0" borderId="76" xfId="0" applyNumberFormat="1" applyFont="1" applyFill="1" applyBorder="1" applyAlignment="1">
      <alignment horizontal="right" vertical="center" wrapText="1" indent="1"/>
    </xf>
    <xf numFmtId="4" fontId="116" fillId="0" borderId="85" xfId="0" applyNumberFormat="1" applyFont="1" applyFill="1" applyBorder="1" applyAlignment="1">
      <alignment horizontal="center" vertical="center"/>
    </xf>
    <xf numFmtId="0" fontId="109" fillId="0" borderId="0" xfId="0" applyFont="1" applyFill="1" applyAlignment="1">
      <alignment vertical="center" wrapText="1"/>
    </xf>
    <xf numFmtId="49" fontId="4" fillId="0" borderId="0" xfId="0" applyNumberFormat="1" applyFont="1" applyFill="1" applyBorder="1" applyAlignment="1">
      <alignment vertical="center" wrapText="1"/>
    </xf>
    <xf numFmtId="0" fontId="7" fillId="0" borderId="61" xfId="0" applyFont="1" applyFill="1" applyBorder="1" applyAlignment="1">
      <alignment vertical="center" wrapText="1"/>
    </xf>
    <xf numFmtId="0" fontId="104" fillId="0" borderId="57" xfId="0" applyFont="1" applyFill="1" applyBorder="1" applyAlignment="1">
      <alignment horizontal="center" vertical="center"/>
    </xf>
    <xf numFmtId="0" fontId="4" fillId="0" borderId="57" xfId="0" applyFont="1" applyFill="1" applyBorder="1" applyAlignment="1">
      <alignment vertical="center" wrapText="1"/>
    </xf>
    <xf numFmtId="0" fontId="4" fillId="0" borderId="58" xfId="0" applyFont="1" applyFill="1" applyBorder="1" applyAlignment="1">
      <alignment vertical="center" wrapText="1"/>
    </xf>
    <xf numFmtId="0" fontId="78" fillId="0" borderId="0" xfId="0" applyFont="1" applyFill="1" applyAlignment="1">
      <alignment vertical="center"/>
    </xf>
    <xf numFmtId="0" fontId="117" fillId="0" borderId="0" xfId="0" applyFont="1" applyFill="1" applyAlignment="1">
      <alignment vertical="center"/>
    </xf>
    <xf numFmtId="0" fontId="117" fillId="0" borderId="0" xfId="0" applyFont="1" applyFill="1" applyAlignment="1">
      <alignment horizontal="left" vertical="center" indent="4"/>
    </xf>
    <xf numFmtId="0" fontId="90" fillId="0" borderId="75" xfId="0" applyFont="1" applyFill="1" applyBorder="1" applyAlignment="1">
      <alignment horizontal="center" vertical="center" wrapText="1"/>
    </xf>
    <xf numFmtId="0" fontId="3" fillId="0" borderId="12" xfId="0" applyFont="1" applyFill="1" applyBorder="1" applyAlignment="1">
      <alignment horizontal="center" vertical="center" wrapText="1"/>
    </xf>
    <xf numFmtId="4" fontId="7" fillId="0" borderId="42" xfId="0" applyNumberFormat="1" applyFont="1" applyFill="1" applyBorder="1" applyAlignment="1">
      <alignment horizontal="right" vertical="center" wrapText="1" indent="1"/>
    </xf>
    <xf numFmtId="0" fontId="115" fillId="0" borderId="86" xfId="0" applyFont="1" applyFill="1" applyBorder="1" applyAlignment="1">
      <alignment horizontal="center" vertical="center"/>
    </xf>
    <xf numFmtId="0" fontId="115" fillId="0" borderId="83" xfId="0" applyFont="1" applyFill="1" applyBorder="1" applyAlignment="1">
      <alignment horizontal="center" vertical="center"/>
    </xf>
    <xf numFmtId="0" fontId="112" fillId="0" borderId="84" xfId="105" applyFont="1" applyFill="1" applyBorder="1" applyAlignment="1">
      <alignment horizontal="center" vertical="center"/>
    </xf>
    <xf numFmtId="4" fontId="7" fillId="0" borderId="55" xfId="0" applyNumberFormat="1" applyFont="1" applyFill="1" applyBorder="1" applyAlignment="1">
      <alignment horizontal="right" vertical="center" wrapText="1" indent="1"/>
    </xf>
    <xf numFmtId="0" fontId="115" fillId="0" borderId="85" xfId="0" applyFont="1" applyFill="1" applyBorder="1" applyAlignment="1">
      <alignment horizontal="center" vertical="center"/>
    </xf>
    <xf numFmtId="0" fontId="104" fillId="0" borderId="0" xfId="0" applyFont="1" applyFill="1" applyAlignment="1">
      <alignment horizontal="center" vertical="center"/>
    </xf>
    <xf numFmtId="0" fontId="74" fillId="0" borderId="23" xfId="40" applyFont="1" applyFill="1" applyBorder="1" applyAlignment="1">
      <alignment horizontal="center" vertical="center" wrapText="1"/>
    </xf>
    <xf numFmtId="0" fontId="74" fillId="0" borderId="25" xfId="40" applyFont="1" applyFill="1" applyBorder="1" applyAlignment="1">
      <alignment horizontal="center" vertical="center"/>
    </xf>
    <xf numFmtId="0" fontId="74" fillId="0" borderId="25" xfId="40" applyFont="1" applyFill="1" applyBorder="1" applyAlignment="1">
      <alignment horizontal="center" vertical="center" wrapText="1"/>
    </xf>
    <xf numFmtId="0" fontId="74" fillId="0" borderId="24" xfId="40" applyFont="1" applyFill="1" applyBorder="1" applyAlignment="1">
      <alignment horizontal="center" vertical="center" wrapText="1"/>
    </xf>
    <xf numFmtId="0" fontId="74" fillId="0" borderId="15" xfId="40" applyFont="1" applyFill="1" applyBorder="1" applyAlignment="1">
      <alignment vertical="center"/>
    </xf>
    <xf numFmtId="0" fontId="74" fillId="0" borderId="13" xfId="40" applyFont="1" applyFill="1" applyBorder="1" applyAlignment="1">
      <alignment vertical="center"/>
    </xf>
    <xf numFmtId="0" fontId="74" fillId="0" borderId="13" xfId="40" applyFont="1" applyFill="1" applyBorder="1" applyAlignment="1">
      <alignment horizontal="center" vertical="center"/>
    </xf>
    <xf numFmtId="0" fontId="74" fillId="0" borderId="14" xfId="40" applyFont="1" applyFill="1" applyBorder="1" applyAlignment="1">
      <alignment horizontal="center" vertical="center"/>
    </xf>
    <xf numFmtId="0" fontId="73" fillId="0" borderId="0" xfId="40" applyFill="1" applyAlignment="1">
      <alignment horizontal="center"/>
    </xf>
    <xf numFmtId="0" fontId="76" fillId="0" borderId="78" xfId="40" applyFont="1" applyFill="1" applyBorder="1" applyAlignment="1">
      <alignment horizontal="center" vertical="center"/>
    </xf>
    <xf numFmtId="0" fontId="74" fillId="0" borderId="79" xfId="40" applyFont="1" applyFill="1" applyBorder="1" applyAlignment="1">
      <alignment horizontal="left" vertical="center" indent="1"/>
    </xf>
    <xf numFmtId="4" fontId="7" fillId="0" borderId="79" xfId="0" applyNumberFormat="1" applyFont="1" applyFill="1" applyBorder="1" applyAlignment="1">
      <alignment horizontal="right" vertical="center" wrapText="1" indent="1"/>
    </xf>
    <xf numFmtId="166" fontId="7" fillId="0" borderId="80" xfId="0" applyNumberFormat="1" applyFont="1" applyFill="1" applyBorder="1" applyAlignment="1">
      <alignment horizontal="right" vertical="center" wrapText="1" indent="1"/>
    </xf>
    <xf numFmtId="4" fontId="73" fillId="0" borderId="0" xfId="40" applyNumberFormat="1" applyFill="1" applyAlignment="1">
      <alignment wrapText="1"/>
    </xf>
    <xf numFmtId="0" fontId="73" fillId="0" borderId="0" xfId="40" applyFill="1" applyAlignment="1">
      <alignment horizontal="center" vertical="center"/>
    </xf>
    <xf numFmtId="0" fontId="76" fillId="0" borderId="22" xfId="40" applyFont="1" applyFill="1" applyBorder="1" applyAlignment="1">
      <alignment horizontal="center" vertical="center"/>
    </xf>
    <xf numFmtId="0" fontId="74" fillId="0" borderId="29" xfId="40" applyFont="1" applyFill="1" applyBorder="1" applyAlignment="1">
      <alignment horizontal="left" vertical="center" indent="1"/>
    </xf>
    <xf numFmtId="3" fontId="7" fillId="0" borderId="82" xfId="0" applyNumberFormat="1" applyFont="1" applyFill="1" applyBorder="1" applyAlignment="1">
      <alignment horizontal="right" vertical="center" wrapText="1" indent="1"/>
    </xf>
    <xf numFmtId="165" fontId="7" fillId="0" borderId="81" xfId="0" applyNumberFormat="1" applyFont="1" applyFill="1" applyBorder="1" applyAlignment="1">
      <alignment horizontal="right" vertical="center" wrapText="1" indent="1"/>
    </xf>
    <xf numFmtId="4" fontId="73" fillId="0" borderId="0" xfId="40" applyNumberFormat="1" applyFill="1" applyBorder="1" applyAlignment="1">
      <alignment horizontal="center" vertical="center" wrapText="1"/>
    </xf>
    <xf numFmtId="0" fontId="76" fillId="0" borderId="16" xfId="40" applyFont="1" applyFill="1" applyBorder="1" applyAlignment="1">
      <alignment horizontal="center" vertical="center"/>
    </xf>
    <xf numFmtId="0" fontId="74" fillId="0" borderId="17" xfId="40" applyFont="1" applyFill="1" applyBorder="1" applyAlignment="1">
      <alignment horizontal="left" vertical="center" indent="1"/>
    </xf>
    <xf numFmtId="166" fontId="7" fillId="0" borderId="71" xfId="0" applyNumberFormat="1" applyFont="1" applyFill="1" applyBorder="1" applyAlignment="1">
      <alignment horizontal="right" vertical="center" wrapText="1" indent="1"/>
    </xf>
    <xf numFmtId="166" fontId="7" fillId="0" borderId="50" xfId="0" applyNumberFormat="1" applyFont="1" applyFill="1" applyBorder="1" applyAlignment="1">
      <alignment horizontal="right" vertical="center" wrapText="1" indent="1"/>
    </xf>
    <xf numFmtId="0" fontId="5"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3" fillId="0" borderId="22" xfId="0" applyFont="1" applyFill="1" applyBorder="1" applyAlignment="1">
      <alignment vertical="center" wrapText="1"/>
    </xf>
    <xf numFmtId="0" fontId="7" fillId="0" borderId="13" xfId="0" applyFont="1" applyFill="1" applyBorder="1" applyAlignment="1">
      <alignment horizontal="left" vertical="center" wrapText="1"/>
    </xf>
    <xf numFmtId="3" fontId="7" fillId="0" borderId="20" xfId="0" applyNumberFormat="1" applyFont="1" applyFill="1" applyBorder="1" applyAlignment="1">
      <alignment horizontal="right" vertical="center" wrapText="1" indent="1"/>
    </xf>
    <xf numFmtId="3" fontId="8" fillId="0" borderId="13" xfId="0" applyNumberFormat="1" applyFont="1" applyFill="1" applyBorder="1" applyAlignment="1">
      <alignment horizontal="center" vertical="center" wrapText="1"/>
    </xf>
    <xf numFmtId="3" fontId="8" fillId="0" borderId="14" xfId="0" applyNumberFormat="1" applyFont="1" applyFill="1" applyBorder="1" applyAlignment="1">
      <alignment horizontal="center" vertical="center" wrapText="1"/>
    </xf>
    <xf numFmtId="3" fontId="7" fillId="0" borderId="27" xfId="0" applyNumberFormat="1" applyFont="1" applyFill="1" applyBorder="1" applyAlignment="1">
      <alignment horizontal="right" vertical="center" wrapText="1" indent="1"/>
    </xf>
    <xf numFmtId="3" fontId="7" fillId="0" borderId="28" xfId="0" applyNumberFormat="1" applyFont="1" applyFill="1" applyBorder="1" applyAlignment="1">
      <alignment horizontal="right" vertical="center" wrapText="1" indent="1"/>
    </xf>
    <xf numFmtId="3" fontId="8" fillId="0" borderId="17" xfId="0" applyNumberFormat="1" applyFont="1" applyFill="1" applyBorder="1" applyAlignment="1">
      <alignment horizontal="center" vertical="center" wrapText="1"/>
    </xf>
    <xf numFmtId="3" fontId="8" fillId="0" borderId="18" xfId="0" applyNumberFormat="1" applyFont="1" applyFill="1" applyBorder="1" applyAlignment="1">
      <alignment horizontal="center" vertical="center" wrapText="1"/>
    </xf>
    <xf numFmtId="49" fontId="4" fillId="0" borderId="0" xfId="0" applyNumberFormat="1" applyFont="1" applyFill="1" applyAlignment="1">
      <alignment vertical="center" wrapText="1"/>
    </xf>
    <xf numFmtId="0" fontId="0" fillId="0" borderId="0" xfId="0" applyFill="1" applyBorder="1"/>
    <xf numFmtId="0" fontId="29" fillId="0" borderId="0" xfId="0" applyFont="1" applyFill="1" applyBorder="1"/>
    <xf numFmtId="3" fontId="4" fillId="0" borderId="13" xfId="0" applyNumberFormat="1" applyFont="1" applyFill="1" applyBorder="1" applyAlignment="1">
      <alignment horizontal="center" vertical="center" wrapText="1"/>
    </xf>
    <xf numFmtId="3" fontId="8" fillId="0" borderId="13" xfId="0" applyNumberFormat="1" applyFont="1" applyFill="1" applyBorder="1" applyAlignment="1">
      <alignment horizontal="right" vertical="center" wrapText="1" indent="1"/>
    </xf>
    <xf numFmtId="3" fontId="8" fillId="0" borderId="14" xfId="0" applyNumberFormat="1" applyFont="1" applyFill="1" applyBorder="1" applyAlignment="1">
      <alignment horizontal="right" vertical="center" wrapText="1" indent="1"/>
    </xf>
    <xf numFmtId="3" fontId="4" fillId="0" borderId="14" xfId="0" applyNumberFormat="1" applyFont="1" applyFill="1" applyBorder="1" applyAlignment="1">
      <alignment horizontal="center" vertical="center" wrapText="1"/>
    </xf>
    <xf numFmtId="3" fontId="4" fillId="0" borderId="14" xfId="0" applyNumberFormat="1" applyFont="1" applyFill="1" applyBorder="1" applyAlignment="1">
      <alignment horizontal="right" vertical="center" wrapText="1" indent="1"/>
    </xf>
    <xf numFmtId="3" fontId="4" fillId="0" borderId="17" xfId="0" applyNumberFormat="1" applyFont="1" applyFill="1" applyBorder="1" applyAlignment="1">
      <alignment horizontal="center" vertical="center" wrapText="1"/>
    </xf>
    <xf numFmtId="3" fontId="4" fillId="0" borderId="18" xfId="0" applyNumberFormat="1" applyFont="1" applyFill="1" applyBorder="1" applyAlignment="1">
      <alignment horizontal="center" vertical="center" wrapText="1"/>
    </xf>
    <xf numFmtId="0" fontId="109" fillId="0" borderId="0" xfId="39" applyFont="1" applyFill="1" applyAlignment="1">
      <alignment horizontal="center" vertical="center" wrapText="1"/>
    </xf>
    <xf numFmtId="0" fontId="3" fillId="0" borderId="15" xfId="39" applyFont="1" applyFill="1" applyBorder="1" applyAlignment="1">
      <alignment horizontal="center" vertical="center" wrapText="1"/>
    </xf>
    <xf numFmtId="49" fontId="3" fillId="0" borderId="13" xfId="39" applyNumberFormat="1" applyFont="1" applyFill="1" applyBorder="1" applyAlignment="1">
      <alignment horizontal="center" vertical="center" wrapText="1"/>
    </xf>
    <xf numFmtId="0" fontId="3" fillId="0" borderId="13" xfId="39" applyFont="1" applyFill="1" applyBorder="1" applyAlignment="1">
      <alignment horizontal="center" vertical="center" wrapText="1"/>
    </xf>
    <xf numFmtId="0" fontId="3" fillId="0" borderId="14" xfId="39" applyFont="1" applyFill="1" applyBorder="1" applyAlignment="1">
      <alignment horizontal="center" vertical="center" wrapText="1"/>
    </xf>
    <xf numFmtId="0" fontId="4" fillId="0" borderId="15" xfId="39" applyFont="1" applyFill="1" applyBorder="1" applyAlignment="1">
      <alignment horizontal="center" wrapText="1"/>
    </xf>
    <xf numFmtId="49" fontId="3" fillId="0" borderId="13" xfId="39" applyNumberFormat="1" applyFont="1" applyFill="1" applyBorder="1" applyAlignment="1">
      <alignment vertical="top" wrapText="1"/>
    </xf>
    <xf numFmtId="49" fontId="3" fillId="0" borderId="13" xfId="39" applyNumberFormat="1" applyFont="1" applyFill="1" applyBorder="1" applyAlignment="1">
      <alignment horizontal="left" vertical="center" wrapText="1" indent="1"/>
    </xf>
    <xf numFmtId="4" fontId="7" fillId="0" borderId="13" xfId="39" applyNumberFormat="1" applyFont="1" applyFill="1" applyBorder="1" applyAlignment="1">
      <alignment horizontal="right" vertical="center" wrapText="1" indent="1"/>
    </xf>
    <xf numFmtId="4" fontId="7" fillId="0" borderId="38" xfId="39" applyNumberFormat="1" applyFont="1" applyFill="1" applyBorder="1" applyAlignment="1">
      <alignment horizontal="right" vertical="center" wrapText="1" indent="1"/>
    </xf>
    <xf numFmtId="49" fontId="8" fillId="0" borderId="13" xfId="39" applyNumberFormat="1" applyFont="1" applyFill="1" applyBorder="1" applyAlignment="1">
      <alignment horizontal="left" vertical="center" wrapText="1" indent="1"/>
    </xf>
    <xf numFmtId="3" fontId="7" fillId="0" borderId="13" xfId="39" applyNumberFormat="1" applyFont="1" applyFill="1" applyBorder="1" applyAlignment="1">
      <alignment horizontal="right" vertical="center" wrapText="1" indent="1"/>
    </xf>
    <xf numFmtId="3" fontId="8" fillId="0" borderId="38" xfId="39" applyNumberFormat="1" applyFont="1" applyFill="1" applyBorder="1" applyAlignment="1">
      <alignment horizontal="right" vertical="center" wrapText="1" indent="1"/>
    </xf>
    <xf numFmtId="4" fontId="8" fillId="0" borderId="38" xfId="39" applyNumberFormat="1" applyFont="1" applyFill="1" applyBorder="1" applyAlignment="1">
      <alignment horizontal="right" vertical="center" wrapText="1" indent="1"/>
    </xf>
    <xf numFmtId="49" fontId="3" fillId="0" borderId="17" xfId="39" applyNumberFormat="1" applyFont="1" applyFill="1" applyBorder="1" applyAlignment="1">
      <alignment horizontal="left" vertical="center" wrapText="1" indent="1"/>
    </xf>
    <xf numFmtId="4" fontId="7" fillId="0" borderId="17" xfId="39" applyNumberFormat="1" applyFont="1" applyFill="1" applyBorder="1" applyAlignment="1">
      <alignment horizontal="right" vertical="center" wrapText="1" indent="1"/>
    </xf>
    <xf numFmtId="4" fontId="7" fillId="0" borderId="39" xfId="39" applyNumberFormat="1" applyFont="1" applyFill="1" applyBorder="1" applyAlignment="1">
      <alignment horizontal="right" vertical="center" wrapText="1" indent="1"/>
    </xf>
    <xf numFmtId="0" fontId="8" fillId="0" borderId="0" xfId="39" applyFont="1" applyFill="1" applyAlignment="1">
      <alignment horizontal="center"/>
    </xf>
    <xf numFmtId="0" fontId="8" fillId="0" borderId="0" xfId="39" applyFont="1" applyFill="1"/>
    <xf numFmtId="49" fontId="8" fillId="0" borderId="0" xfId="39" applyNumberFormat="1" applyFont="1" applyFill="1"/>
    <xf numFmtId="49" fontId="4" fillId="0" borderId="0" xfId="39" applyNumberFormat="1" applyFont="1" applyFill="1"/>
    <xf numFmtId="0" fontId="28" fillId="0" borderId="0" xfId="0" applyFont="1" applyFill="1" applyBorder="1" applyAlignment="1">
      <alignment horizontal="left"/>
    </xf>
    <xf numFmtId="0" fontId="28" fillId="0" borderId="0" xfId="0" applyFont="1" applyFill="1" applyBorder="1" applyAlignment="1">
      <alignment horizontal="left" vertical="center"/>
    </xf>
    <xf numFmtId="49" fontId="3" fillId="0" borderId="13" xfId="0" applyNumberFormat="1" applyFont="1" applyFill="1" applyBorder="1" applyAlignment="1">
      <alignment vertical="top" wrapText="1"/>
    </xf>
    <xf numFmtId="3" fontId="3" fillId="0" borderId="13" xfId="0" applyNumberFormat="1" applyFont="1" applyFill="1" applyBorder="1" applyAlignment="1">
      <alignment horizontal="right" vertical="center" wrapText="1" indent="1"/>
    </xf>
    <xf numFmtId="4" fontId="28" fillId="0" borderId="0" xfId="0" applyNumberFormat="1" applyFont="1" applyFill="1" applyBorder="1" applyAlignment="1">
      <alignment horizontal="left" vertical="center"/>
    </xf>
    <xf numFmtId="0" fontId="8" fillId="0" borderId="16" xfId="0" applyFont="1" applyFill="1" applyBorder="1" applyAlignment="1">
      <alignment horizontal="center" vertical="center" wrapText="1"/>
    </xf>
    <xf numFmtId="49" fontId="4" fillId="0" borderId="0" xfId="0" applyNumberFormat="1" applyFont="1" applyFill="1" applyBorder="1"/>
    <xf numFmtId="0" fontId="8" fillId="0" borderId="13" xfId="0" applyFont="1" applyFill="1" applyBorder="1" applyAlignment="1">
      <alignment horizontal="left" vertical="center" wrapText="1" indent="1"/>
    </xf>
    <xf numFmtId="0" fontId="7" fillId="0" borderId="74" xfId="0" applyFont="1" applyFill="1" applyBorder="1" applyAlignment="1">
      <alignment horizontal="left" vertical="center" wrapText="1" indent="1"/>
    </xf>
    <xf numFmtId="4" fontId="7" fillId="0" borderId="71" xfId="0" applyNumberFormat="1" applyFont="1" applyFill="1" applyBorder="1" applyAlignment="1">
      <alignment horizontal="right" vertical="center" wrapText="1" indent="1"/>
    </xf>
    <xf numFmtId="4" fontId="7" fillId="0" borderId="50" xfId="0" applyNumberFormat="1" applyFont="1" applyFill="1" applyBorder="1" applyAlignment="1">
      <alignment horizontal="right" vertical="center" wrapText="1" indent="1"/>
    </xf>
    <xf numFmtId="0" fontId="10" fillId="0" borderId="0" xfId="0" applyFont="1" applyFill="1" applyBorder="1"/>
    <xf numFmtId="49" fontId="88" fillId="0" borderId="29" xfId="0" applyNumberFormat="1" applyFont="1" applyFill="1" applyBorder="1" applyAlignment="1">
      <alignment horizontal="left" indent="1"/>
    </xf>
    <xf numFmtId="166" fontId="88" fillId="0" borderId="29" xfId="0" applyNumberFormat="1" applyFont="1" applyFill="1" applyBorder="1" applyAlignment="1">
      <alignment horizontal="center"/>
    </xf>
    <xf numFmtId="4" fontId="88" fillId="0" borderId="29" xfId="0" applyNumberFormat="1" applyFont="1" applyFill="1" applyBorder="1" applyAlignment="1">
      <alignment horizontal="right" vertical="center" wrapText="1" indent="1"/>
    </xf>
    <xf numFmtId="4" fontId="10" fillId="0" borderId="0" xfId="0" applyNumberFormat="1" applyFont="1" applyFill="1" applyBorder="1"/>
    <xf numFmtId="166" fontId="4" fillId="0" borderId="0" xfId="0" applyNumberFormat="1" applyFont="1" applyFill="1" applyBorder="1"/>
    <xf numFmtId="166" fontId="67" fillId="0" borderId="13" xfId="0" applyNumberFormat="1" applyFont="1" applyFill="1" applyBorder="1" applyAlignment="1">
      <alignment vertical="center" wrapText="1"/>
    </xf>
    <xf numFmtId="166" fontId="67" fillId="0" borderId="14" xfId="0" applyNumberFormat="1" applyFont="1" applyFill="1" applyBorder="1" applyAlignment="1">
      <alignment vertical="center" wrapText="1"/>
    </xf>
    <xf numFmtId="166" fontId="60" fillId="0" borderId="13" xfId="0" applyNumberFormat="1" applyFont="1" applyFill="1" applyBorder="1" applyAlignment="1">
      <alignment vertical="center" wrapText="1"/>
    </xf>
    <xf numFmtId="166" fontId="83" fillId="0" borderId="13" xfId="0" applyNumberFormat="1" applyFont="1" applyFill="1" applyBorder="1" applyAlignment="1">
      <alignment vertical="center" wrapText="1"/>
    </xf>
    <xf numFmtId="166" fontId="60" fillId="0" borderId="17" xfId="0" applyNumberFormat="1" applyFont="1" applyFill="1" applyBorder="1" applyAlignment="1">
      <alignment vertical="center"/>
    </xf>
    <xf numFmtId="166" fontId="67" fillId="0" borderId="17" xfId="0" applyNumberFormat="1" applyFont="1" applyFill="1" applyBorder="1" applyAlignment="1">
      <alignment vertical="center" wrapText="1"/>
    </xf>
    <xf numFmtId="166" fontId="67" fillId="0" borderId="18" xfId="0" applyNumberFormat="1" applyFont="1" applyFill="1" applyBorder="1" applyAlignment="1">
      <alignment vertical="center" wrapText="1"/>
    </xf>
    <xf numFmtId="4" fontId="114" fillId="0" borderId="0" xfId="0" applyNumberFormat="1" applyFont="1" applyFill="1" applyBorder="1" applyAlignment="1">
      <alignment vertical="center"/>
    </xf>
    <xf numFmtId="0" fontId="8" fillId="0" borderId="0" xfId="0" applyFont="1" applyFill="1" applyAlignment="1">
      <alignment vertical="center" wrapText="1"/>
    </xf>
    <xf numFmtId="0" fontId="7" fillId="0" borderId="15" xfId="0" applyFont="1" applyFill="1" applyBorder="1" applyAlignment="1">
      <alignment horizontal="left" vertical="center" wrapText="1" indent="1"/>
    </xf>
    <xf numFmtId="0" fontId="7" fillId="0" borderId="0" xfId="0" applyFont="1" applyFill="1" applyAlignment="1">
      <alignment vertical="center" wrapText="1"/>
    </xf>
    <xf numFmtId="0" fontId="7" fillId="0" borderId="14" xfId="0" applyFont="1" applyFill="1" applyBorder="1" applyAlignment="1">
      <alignment horizontal="right" vertical="center" wrapText="1" indent="1"/>
    </xf>
    <xf numFmtId="0" fontId="8" fillId="0" borderId="14" xfId="0" applyFont="1" applyFill="1" applyBorder="1" applyAlignment="1">
      <alignment horizontal="left" vertical="center" wrapText="1" indent="1"/>
    </xf>
    <xf numFmtId="0" fontId="7" fillId="0" borderId="19" xfId="0" applyFont="1" applyFill="1" applyBorder="1" applyAlignment="1">
      <alignment horizontal="left" vertical="center" wrapText="1" indent="1"/>
    </xf>
    <xf numFmtId="4" fontId="8" fillId="0" borderId="19" xfId="0" applyNumberFormat="1" applyFont="1" applyFill="1" applyBorder="1" applyAlignment="1">
      <alignment horizontal="right" vertical="center" wrapText="1" indent="1"/>
    </xf>
    <xf numFmtId="0" fontId="8" fillId="0" borderId="26" xfId="0" applyFont="1" applyFill="1" applyBorder="1" applyAlignment="1">
      <alignment horizontal="left" vertical="center" wrapText="1" indent="1"/>
    </xf>
    <xf numFmtId="0" fontId="8" fillId="0" borderId="18" xfId="0" applyFont="1" applyFill="1" applyBorder="1" applyAlignment="1">
      <alignment horizontal="right" vertical="center" wrapText="1" indent="1"/>
    </xf>
    <xf numFmtId="0" fontId="8" fillId="0" borderId="0" xfId="0" applyFont="1" applyFill="1" applyAlignment="1">
      <alignment horizontal="center" vertical="center" wrapText="1"/>
    </xf>
    <xf numFmtId="0" fontId="8" fillId="0" borderId="0" xfId="0" applyFont="1" applyFill="1" applyAlignment="1">
      <alignment horizontal="left" vertical="center" wrapText="1" indent="1"/>
    </xf>
    <xf numFmtId="0" fontId="77" fillId="0" borderId="0" xfId="92"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92" applyFont="1" applyFill="1" applyBorder="1" applyAlignment="1">
      <alignment horizontal="left" vertical="center" wrapText="1"/>
    </xf>
    <xf numFmtId="0" fontId="1" fillId="0" borderId="0" xfId="90" applyFill="1"/>
    <xf numFmtId="0" fontId="3" fillId="0" borderId="13" xfId="92" applyFont="1" applyFill="1" applyBorder="1" applyAlignment="1">
      <alignment horizontal="center" vertical="center" wrapText="1"/>
    </xf>
    <xf numFmtId="0" fontId="3" fillId="0" borderId="14" xfId="92" applyFont="1" applyFill="1" applyBorder="1" applyAlignment="1">
      <alignment horizontal="center" vertical="center" wrapText="1"/>
    </xf>
    <xf numFmtId="0" fontId="3" fillId="0" borderId="15" xfId="92" applyFont="1" applyFill="1" applyBorder="1" applyAlignment="1">
      <alignment horizontal="center" vertical="center" wrapText="1"/>
    </xf>
    <xf numFmtId="49" fontId="3" fillId="0" borderId="13" xfId="92" applyNumberFormat="1" applyFont="1" applyFill="1" applyBorder="1" applyAlignment="1">
      <alignment horizontal="center" vertical="center" wrapText="1"/>
    </xf>
    <xf numFmtId="0" fontId="4" fillId="0" borderId="15" xfId="91" applyFont="1" applyFill="1" applyBorder="1" applyAlignment="1">
      <alignment horizontal="center" vertical="center" wrapText="1"/>
    </xf>
    <xf numFmtId="49" fontId="7" fillId="0" borderId="13" xfId="91" applyNumberFormat="1" applyFont="1" applyFill="1" applyBorder="1" applyAlignment="1">
      <alignment horizontal="left" vertical="center" wrapText="1" indent="1"/>
    </xf>
    <xf numFmtId="3" fontId="7" fillId="0" borderId="13" xfId="91" applyNumberFormat="1" applyFont="1" applyFill="1" applyBorder="1" applyAlignment="1">
      <alignment horizontal="right" vertical="center" wrapText="1" indent="1"/>
    </xf>
    <xf numFmtId="3" fontId="7" fillId="0" borderId="14" xfId="91" applyNumberFormat="1" applyFont="1" applyFill="1" applyBorder="1" applyAlignment="1">
      <alignment horizontal="right" vertical="center" wrapText="1" indent="1"/>
    </xf>
    <xf numFmtId="49" fontId="8" fillId="0" borderId="13" xfId="91" applyNumberFormat="1" applyFont="1" applyFill="1" applyBorder="1" applyAlignment="1">
      <alignment horizontal="left" vertical="center" wrapText="1" indent="1"/>
    </xf>
    <xf numFmtId="3" fontId="4" fillId="0" borderId="13" xfId="91" applyNumberFormat="1" applyFont="1" applyFill="1" applyBorder="1" applyAlignment="1">
      <alignment horizontal="right" vertical="center" wrapText="1" indent="1"/>
    </xf>
    <xf numFmtId="3" fontId="4" fillId="0" borderId="13" xfId="91" applyNumberFormat="1" applyFont="1" applyFill="1" applyBorder="1" applyAlignment="1">
      <alignment horizontal="center" vertical="center" wrapText="1"/>
    </xf>
    <xf numFmtId="3" fontId="7" fillId="0" borderId="14" xfId="91" applyNumberFormat="1" applyFont="1" applyFill="1" applyBorder="1" applyAlignment="1">
      <alignment horizontal="center" vertical="center" wrapText="1"/>
    </xf>
    <xf numFmtId="3" fontId="7" fillId="0" borderId="13" xfId="91" applyNumberFormat="1" applyFont="1" applyFill="1" applyBorder="1" applyAlignment="1">
      <alignment horizontal="center" vertical="center" wrapText="1"/>
    </xf>
    <xf numFmtId="49" fontId="76" fillId="0" borderId="13" xfId="91" applyNumberFormat="1" applyFont="1" applyFill="1" applyBorder="1" applyAlignment="1">
      <alignment horizontal="left" vertical="center" wrapText="1" indent="1"/>
    </xf>
    <xf numFmtId="0" fontId="4" fillId="0" borderId="0" xfId="92" applyFont="1" applyFill="1" applyBorder="1" applyAlignment="1">
      <alignment vertical="center"/>
    </xf>
    <xf numFmtId="0" fontId="4" fillId="0" borderId="19" xfId="91" applyFont="1" applyFill="1" applyBorder="1" applyAlignment="1">
      <alignment horizontal="left" vertical="top" wrapText="1" indent="1"/>
    </xf>
    <xf numFmtId="3" fontId="4" fillId="0" borderId="19" xfId="91" applyNumberFormat="1" applyFont="1" applyFill="1" applyBorder="1" applyAlignment="1">
      <alignment horizontal="right" vertical="center" wrapText="1" indent="1"/>
    </xf>
    <xf numFmtId="0" fontId="4" fillId="0" borderId="21" xfId="91" applyFont="1" applyFill="1" applyBorder="1" applyAlignment="1">
      <alignment horizontal="center" vertical="center" wrapText="1"/>
    </xf>
    <xf numFmtId="3" fontId="7" fillId="0" borderId="19" xfId="91" applyNumberFormat="1" applyFont="1" applyFill="1" applyBorder="1" applyAlignment="1">
      <alignment horizontal="right" vertical="center" wrapText="1" indent="1"/>
    </xf>
    <xf numFmtId="3" fontId="7" fillId="0" borderId="26" xfId="91" applyNumberFormat="1" applyFont="1" applyFill="1" applyBorder="1" applyAlignment="1">
      <alignment horizontal="right" vertical="center" wrapText="1" indent="1"/>
    </xf>
    <xf numFmtId="0" fontId="4" fillId="0" borderId="16" xfId="91" applyFont="1" applyFill="1" applyBorder="1" applyAlignment="1">
      <alignment horizontal="center" vertical="center" wrapText="1"/>
    </xf>
    <xf numFmtId="49" fontId="79" fillId="0" borderId="17" xfId="91" applyNumberFormat="1" applyFont="1" applyFill="1" applyBorder="1" applyAlignment="1">
      <alignment horizontal="left" vertical="center" wrapText="1" indent="1"/>
    </xf>
    <xf numFmtId="3" fontId="3" fillId="0" borderId="17" xfId="91" applyNumberFormat="1" applyFont="1" applyFill="1" applyBorder="1" applyAlignment="1">
      <alignment horizontal="right" vertical="center" wrapText="1" indent="1"/>
    </xf>
    <xf numFmtId="3" fontId="7" fillId="0" borderId="17" xfId="91" applyNumberFormat="1" applyFont="1" applyFill="1" applyBorder="1" applyAlignment="1">
      <alignment horizontal="right" vertical="center" wrapText="1" indent="1"/>
    </xf>
    <xf numFmtId="3" fontId="7" fillId="0" borderId="18" xfId="91" applyNumberFormat="1" applyFont="1" applyFill="1" applyBorder="1" applyAlignment="1">
      <alignment horizontal="right" vertical="center" wrapText="1" indent="1"/>
    </xf>
    <xf numFmtId="0" fontId="3" fillId="0" borderId="13" xfId="0" applyFont="1" applyFill="1" applyBorder="1" applyAlignment="1">
      <alignment horizontal="left" vertical="center" wrapText="1" indent="1"/>
    </xf>
    <xf numFmtId="0" fontId="4" fillId="0" borderId="0" xfId="0" applyFont="1" applyFill="1" applyAlignment="1">
      <alignment vertical="top" wrapText="1"/>
    </xf>
    <xf numFmtId="4" fontId="7" fillId="0" borderId="19" xfId="0" applyNumberFormat="1" applyFont="1" applyFill="1" applyBorder="1" applyAlignment="1">
      <alignment horizontal="right" vertical="center" wrapText="1" indent="1"/>
    </xf>
    <xf numFmtId="0" fontId="4" fillId="0" borderId="0" xfId="0" applyFont="1" applyFill="1" applyAlignment="1"/>
    <xf numFmtId="49" fontId="7" fillId="0" borderId="13" xfId="0" applyNumberFormat="1" applyFont="1" applyFill="1" applyBorder="1" applyAlignment="1">
      <alignment vertical="center" wrapText="1"/>
    </xf>
    <xf numFmtId="164" fontId="7" fillId="0" borderId="13" xfId="27" applyFont="1" applyFill="1" applyBorder="1" applyAlignment="1">
      <alignment horizontal="right" vertical="center" wrapText="1" indent="1"/>
    </xf>
    <xf numFmtId="1" fontId="7" fillId="0" borderId="13" xfId="0" applyNumberFormat="1" applyFont="1" applyFill="1" applyBorder="1" applyAlignment="1">
      <alignment horizontal="right" vertical="center" wrapText="1" indent="1"/>
    </xf>
    <xf numFmtId="49" fontId="77" fillId="0" borderId="0" xfId="0" applyNumberFormat="1" applyFont="1" applyFill="1" applyBorder="1" applyAlignment="1">
      <alignment horizontal="left" vertical="center" wrapText="1" indent="1"/>
    </xf>
    <xf numFmtId="164" fontId="4" fillId="0" borderId="13" xfId="27" applyFont="1" applyFill="1" applyBorder="1" applyAlignment="1">
      <alignment horizontal="right" vertical="center" wrapText="1" indent="1"/>
    </xf>
    <xf numFmtId="1" fontId="4" fillId="0" borderId="13" xfId="0" applyNumberFormat="1" applyFont="1" applyFill="1" applyBorder="1" applyAlignment="1">
      <alignment horizontal="right" vertical="center" wrapText="1" indent="1"/>
    </xf>
    <xf numFmtId="1" fontId="4" fillId="0" borderId="14" xfId="0" applyNumberFormat="1" applyFont="1" applyFill="1" applyBorder="1" applyAlignment="1">
      <alignment horizontal="right" vertical="center" wrapText="1" indent="1"/>
    </xf>
    <xf numFmtId="4" fontId="77" fillId="0" borderId="0" xfId="0" applyNumberFormat="1" applyFont="1" applyFill="1" applyBorder="1" applyAlignment="1">
      <alignment horizontal="left" vertical="center" wrapText="1" indent="1"/>
    </xf>
    <xf numFmtId="164" fontId="4" fillId="0" borderId="19" xfId="27" applyFont="1" applyFill="1" applyBorder="1" applyAlignment="1">
      <alignment horizontal="right" vertical="center" wrapText="1" indent="1"/>
    </xf>
    <xf numFmtId="1" fontId="4" fillId="0" borderId="19" xfId="0" applyNumberFormat="1" applyFont="1" applyFill="1" applyBorder="1" applyAlignment="1">
      <alignment horizontal="right" vertical="center" wrapText="1" indent="1"/>
    </xf>
    <xf numFmtId="1" fontId="4" fillId="0" borderId="26" xfId="0" applyNumberFormat="1" applyFont="1" applyFill="1" applyBorder="1" applyAlignment="1">
      <alignment horizontal="right" vertical="center" wrapText="1" indent="1"/>
    </xf>
    <xf numFmtId="1" fontId="4" fillId="0" borderId="17" xfId="0" applyNumberFormat="1" applyFont="1" applyFill="1" applyBorder="1" applyAlignment="1">
      <alignment horizontal="right" vertical="center" wrapText="1" indent="1"/>
    </xf>
    <xf numFmtId="1" fontId="4" fillId="0" borderId="18" xfId="0" applyNumberFormat="1" applyFont="1" applyFill="1" applyBorder="1" applyAlignment="1">
      <alignment horizontal="right" vertical="center" wrapText="1" indent="1"/>
    </xf>
    <xf numFmtId="0" fontId="8" fillId="0" borderId="13" xfId="39" applyFont="1" applyFill="1" applyBorder="1" applyAlignment="1">
      <alignment horizontal="center" vertical="center" wrapText="1"/>
    </xf>
    <xf numFmtId="0" fontId="8" fillId="0" borderId="14" xfId="39" applyFont="1" applyFill="1" applyBorder="1" applyAlignment="1">
      <alignment horizontal="center" vertical="center" wrapText="1"/>
    </xf>
    <xf numFmtId="0" fontId="7" fillId="0" borderId="13" xfId="39" applyFont="1" applyFill="1" applyBorder="1" applyAlignment="1">
      <alignment horizontal="center" vertical="center" wrapText="1"/>
    </xf>
    <xf numFmtId="0" fontId="7" fillId="0" borderId="14" xfId="39" applyFont="1" applyFill="1" applyBorder="1" applyAlignment="1">
      <alignment horizontal="center" vertical="center" wrapText="1"/>
    </xf>
    <xf numFmtId="0" fontId="7" fillId="0" borderId="13" xfId="39" applyFont="1" applyFill="1" applyBorder="1" applyAlignment="1">
      <alignment horizontal="left" vertical="center" wrapText="1" indent="1"/>
    </xf>
    <xf numFmtId="4" fontId="7" fillId="0" borderId="14" xfId="39" applyNumberFormat="1" applyFont="1" applyFill="1" applyBorder="1" applyAlignment="1">
      <alignment horizontal="right" vertical="center" wrapText="1" indent="1"/>
    </xf>
    <xf numFmtId="14" fontId="77" fillId="0" borderId="0" xfId="39" applyNumberFormat="1" applyFont="1" applyFill="1" applyAlignment="1">
      <alignment vertical="center" wrapText="1"/>
    </xf>
    <xf numFmtId="0" fontId="77" fillId="0" borderId="0" xfId="39" applyFont="1" applyFill="1" applyAlignment="1">
      <alignment vertical="center" wrapText="1"/>
    </xf>
    <xf numFmtId="0" fontId="4" fillId="0" borderId="0" xfId="39" applyFont="1" applyFill="1" applyAlignment="1">
      <alignment vertical="center" wrapText="1"/>
    </xf>
    <xf numFmtId="4" fontId="4" fillId="0" borderId="14" xfId="39" applyNumberFormat="1" applyFont="1" applyFill="1" applyBorder="1" applyAlignment="1">
      <alignment horizontal="right" vertical="center" wrapText="1" indent="1"/>
    </xf>
    <xf numFmtId="0" fontId="4" fillId="0" borderId="0" xfId="39" applyFont="1" applyFill="1" applyAlignment="1">
      <alignment wrapText="1"/>
    </xf>
    <xf numFmtId="0" fontId="7" fillId="0" borderId="17" xfId="39" applyFont="1" applyFill="1" applyBorder="1" applyAlignment="1">
      <alignment horizontal="left" vertical="center" wrapText="1" indent="1"/>
    </xf>
    <xf numFmtId="3" fontId="4" fillId="0" borderId="17" xfId="39" applyNumberFormat="1" applyFont="1" applyFill="1" applyBorder="1" applyAlignment="1">
      <alignment horizontal="right" vertical="center" wrapText="1" indent="1"/>
    </xf>
    <xf numFmtId="3" fontId="4" fillId="0" borderId="18" xfId="39" applyNumberFormat="1" applyFont="1" applyFill="1" applyBorder="1" applyAlignment="1">
      <alignment horizontal="right" vertical="center" wrapText="1" indent="1"/>
    </xf>
    <xf numFmtId="0" fontId="23" fillId="0" borderId="20" xfId="39" applyFont="1" applyFill="1" applyBorder="1" applyAlignment="1">
      <alignment vertical="center"/>
    </xf>
    <xf numFmtId="0" fontId="23" fillId="0" borderId="51" xfId="39" applyFont="1" applyFill="1" applyBorder="1" applyAlignment="1">
      <alignment vertical="center"/>
    </xf>
    <xf numFmtId="49" fontId="89" fillId="0" borderId="51" xfId="39" applyNumberFormat="1" applyFont="1" applyFill="1" applyBorder="1"/>
    <xf numFmtId="0" fontId="23" fillId="0" borderId="27" xfId="39" applyFont="1" applyFill="1" applyBorder="1"/>
    <xf numFmtId="49" fontId="30" fillId="0" borderId="0" xfId="39" applyNumberFormat="1" applyFont="1" applyFill="1"/>
    <xf numFmtId="3" fontId="7" fillId="0" borderId="0" xfId="44" applyNumberFormat="1" applyFont="1" applyFill="1" applyBorder="1" applyAlignment="1">
      <alignment vertical="center" wrapText="1"/>
    </xf>
    <xf numFmtId="0" fontId="74" fillId="0" borderId="13" xfId="44" applyFont="1" applyFill="1" applyBorder="1" applyAlignment="1">
      <alignment horizontal="center" vertical="center" wrapText="1"/>
    </xf>
    <xf numFmtId="0" fontId="7" fillId="0" borderId="13" xfId="44" applyFont="1" applyFill="1" applyBorder="1" applyAlignment="1">
      <alignment horizontal="center" vertical="center" wrapText="1"/>
    </xf>
    <xf numFmtId="0" fontId="7" fillId="0" borderId="14" xfId="44" applyFont="1" applyFill="1" applyBorder="1" applyAlignment="1">
      <alignment horizontal="center" vertical="center" wrapText="1"/>
    </xf>
    <xf numFmtId="3" fontId="7" fillId="0" borderId="0" xfId="44" applyNumberFormat="1" applyFont="1" applyFill="1" applyBorder="1" applyAlignment="1">
      <alignment horizontal="center" vertical="center" wrapText="1"/>
    </xf>
    <xf numFmtId="3" fontId="8" fillId="0" borderId="15" xfId="44" applyNumberFormat="1" applyFont="1" applyFill="1" applyBorder="1" applyAlignment="1">
      <alignment vertical="center" wrapText="1"/>
    </xf>
    <xf numFmtId="3" fontId="8" fillId="0" borderId="13" xfId="44" applyNumberFormat="1" applyFont="1" applyFill="1" applyBorder="1" applyAlignment="1">
      <alignment horizontal="center" vertical="center" wrapText="1"/>
    </xf>
    <xf numFmtId="3" fontId="8" fillId="0" borderId="0" xfId="44" applyNumberFormat="1" applyFont="1" applyFill="1" applyBorder="1" applyAlignment="1">
      <alignment horizontal="center" vertical="center" wrapText="1"/>
    </xf>
    <xf numFmtId="3" fontId="8" fillId="0" borderId="14" xfId="44" applyNumberFormat="1" applyFont="1" applyFill="1" applyBorder="1" applyAlignment="1">
      <alignment horizontal="center" vertical="center" wrapText="1"/>
    </xf>
    <xf numFmtId="3" fontId="8" fillId="0" borderId="0" xfId="44" applyNumberFormat="1" applyFont="1" applyFill="1" applyBorder="1" applyAlignment="1">
      <alignment vertical="center" wrapText="1"/>
    </xf>
    <xf numFmtId="3" fontId="8" fillId="0" borderId="16" xfId="44" applyNumberFormat="1" applyFont="1" applyFill="1" applyBorder="1" applyAlignment="1">
      <alignment horizontal="center" vertical="center" wrapText="1"/>
    </xf>
    <xf numFmtId="4" fontId="4" fillId="0" borderId="17" xfId="0" applyNumberFormat="1" applyFont="1" applyFill="1" applyBorder="1" applyAlignment="1">
      <alignment horizontal="right" vertical="center" wrapText="1" indent="1"/>
    </xf>
    <xf numFmtId="4" fontId="7" fillId="0" borderId="17" xfId="44" applyNumberFormat="1" applyFont="1" applyFill="1" applyBorder="1" applyAlignment="1">
      <alignment horizontal="right" vertical="center" wrapText="1" indent="1"/>
    </xf>
    <xf numFmtId="4" fontId="7" fillId="0" borderId="18" xfId="44" applyNumberFormat="1" applyFont="1" applyFill="1" applyBorder="1" applyAlignment="1">
      <alignment horizontal="right" vertical="center" wrapText="1" indent="1"/>
    </xf>
    <xf numFmtId="4" fontId="8" fillId="0" borderId="0" xfId="44" applyNumberFormat="1" applyFont="1" applyFill="1" applyBorder="1" applyAlignment="1">
      <alignment vertical="center" wrapText="1"/>
    </xf>
    <xf numFmtId="3" fontId="23" fillId="0" borderId="0" xfId="44" applyNumberFormat="1" applyFont="1" applyFill="1" applyBorder="1" applyAlignment="1">
      <alignment vertical="center"/>
    </xf>
    <xf numFmtId="3" fontId="75" fillId="0" borderId="0" xfId="44" applyNumberFormat="1" applyFont="1" applyFill="1" applyBorder="1" applyAlignment="1">
      <alignment vertical="center" wrapText="1"/>
    </xf>
    <xf numFmtId="0" fontId="8" fillId="0" borderId="0" xfId="43" applyFont="1" applyFill="1" applyAlignment="1">
      <alignment vertical="center" wrapText="1"/>
    </xf>
    <xf numFmtId="0" fontId="7" fillId="0" borderId="68" xfId="43" applyFont="1" applyFill="1" applyBorder="1" applyAlignment="1">
      <alignment horizontal="center" vertical="center" wrapText="1"/>
    </xf>
    <xf numFmtId="0" fontId="7" fillId="0" borderId="72" xfId="43" applyFont="1" applyFill="1" applyBorder="1" applyAlignment="1">
      <alignment horizontal="center" vertical="center" wrapText="1"/>
    </xf>
    <xf numFmtId="0" fontId="7" fillId="0" borderId="75" xfId="43" applyFont="1" applyFill="1" applyBorder="1" applyAlignment="1">
      <alignment horizontal="center" vertical="center" wrapText="1"/>
    </xf>
    <xf numFmtId="0" fontId="7" fillId="0" borderId="0" xfId="43" applyFont="1" applyFill="1" applyAlignment="1">
      <alignment horizontal="center" vertical="center" wrapText="1"/>
    </xf>
    <xf numFmtId="0" fontId="7" fillId="0" borderId="13" xfId="43" applyFont="1" applyFill="1" applyBorder="1" applyAlignment="1">
      <alignment horizontal="center" vertical="center" wrapText="1"/>
    </xf>
    <xf numFmtId="0" fontId="7" fillId="0" borderId="14" xfId="43" applyFont="1" applyFill="1" applyBorder="1" applyAlignment="1">
      <alignment horizontal="center" vertical="center" wrapText="1"/>
    </xf>
    <xf numFmtId="0" fontId="23" fillId="0" borderId="22" xfId="95" applyFont="1" applyFill="1" applyBorder="1" applyAlignment="1">
      <alignment horizontal="left" indent="1"/>
    </xf>
    <xf numFmtId="0" fontId="23" fillId="0" borderId="29" xfId="95" applyFont="1" applyFill="1" applyBorder="1"/>
    <xf numFmtId="49" fontId="23" fillId="0" borderId="37" xfId="95" applyNumberFormat="1" applyFont="1" applyFill="1" applyBorder="1" applyAlignment="1">
      <alignment horizontal="center"/>
    </xf>
    <xf numFmtId="4" fontId="8" fillId="0" borderId="37" xfId="43" applyNumberFormat="1" applyFont="1" applyFill="1" applyBorder="1" applyAlignment="1">
      <alignment horizontal="right" vertical="center" wrapText="1" indent="1"/>
    </xf>
    <xf numFmtId="4" fontId="3" fillId="0" borderId="44" xfId="0" applyNumberFormat="1" applyFont="1" applyFill="1" applyBorder="1" applyAlignment="1">
      <alignment horizontal="right" vertical="center" wrapText="1" indent="1"/>
    </xf>
    <xf numFmtId="0" fontId="0" fillId="0" borderId="0" xfId="0" applyFill="1"/>
    <xf numFmtId="0" fontId="23" fillId="0" borderId="13" xfId="95" applyFont="1" applyFill="1" applyBorder="1"/>
    <xf numFmtId="49" fontId="23" fillId="0" borderId="20" xfId="95" applyNumberFormat="1" applyFont="1" applyFill="1" applyBorder="1" applyAlignment="1">
      <alignment horizontal="center"/>
    </xf>
    <xf numFmtId="4" fontId="8" fillId="0" borderId="20" xfId="43" applyNumberFormat="1" applyFont="1" applyFill="1" applyBorder="1" applyAlignment="1">
      <alignment horizontal="right" vertical="center" wrapText="1" indent="1"/>
    </xf>
    <xf numFmtId="0" fontId="23" fillId="0" borderId="13" xfId="95" applyFont="1" applyFill="1" applyBorder="1" applyAlignment="1">
      <alignment vertical="center"/>
    </xf>
    <xf numFmtId="4" fontId="8" fillId="0" borderId="13" xfId="43" applyNumberFormat="1" applyFont="1" applyFill="1" applyBorder="1" applyAlignment="1">
      <alignment horizontal="right" vertical="center" wrapText="1" indent="1"/>
    </xf>
    <xf numFmtId="4" fontId="8" fillId="0" borderId="35" xfId="43" applyNumberFormat="1" applyFont="1" applyFill="1" applyBorder="1" applyAlignment="1">
      <alignment horizontal="right" vertical="center" wrapText="1" indent="1"/>
    </xf>
    <xf numFmtId="49" fontId="51" fillId="0" borderId="20" xfId="95" applyNumberFormat="1" applyFont="1" applyFill="1" applyBorder="1" applyAlignment="1">
      <alignment horizontal="center"/>
    </xf>
    <xf numFmtId="4" fontId="3" fillId="0" borderId="37" xfId="0" applyNumberFormat="1" applyFont="1" applyFill="1" applyBorder="1" applyAlignment="1">
      <alignment horizontal="right" vertical="center" wrapText="1" indent="1"/>
    </xf>
    <xf numFmtId="4" fontId="3" fillId="0" borderId="20" xfId="0" applyNumberFormat="1" applyFont="1" applyFill="1" applyBorder="1" applyAlignment="1">
      <alignment horizontal="right" vertical="center" wrapText="1" indent="1"/>
    </xf>
    <xf numFmtId="4" fontId="3" fillId="0" borderId="49" xfId="0" applyNumberFormat="1" applyFont="1" applyFill="1" applyBorder="1" applyAlignment="1">
      <alignment horizontal="right" vertical="center" wrapText="1" indent="1"/>
    </xf>
    <xf numFmtId="49" fontId="51" fillId="0" borderId="28" xfId="95" applyNumberFormat="1" applyFont="1" applyFill="1" applyBorder="1" applyAlignment="1">
      <alignment horizontal="center"/>
    </xf>
    <xf numFmtId="4" fontId="3" fillId="0" borderId="54" xfId="0" applyNumberFormat="1" applyFont="1" applyFill="1" applyBorder="1" applyAlignment="1">
      <alignment horizontal="right" vertical="center" wrapText="1" indent="1"/>
    </xf>
    <xf numFmtId="4" fontId="3" fillId="0" borderId="63" xfId="0" applyNumberFormat="1" applyFont="1" applyFill="1" applyBorder="1" applyAlignment="1">
      <alignment horizontal="right" vertical="center" wrapText="1" indent="1"/>
    </xf>
    <xf numFmtId="0" fontId="8" fillId="0" borderId="22" xfId="95" applyFont="1" applyFill="1" applyBorder="1" applyAlignment="1">
      <alignment horizontal="left" indent="1"/>
    </xf>
    <xf numFmtId="0" fontId="8" fillId="0" borderId="29" xfId="95" applyFont="1" applyFill="1" applyBorder="1"/>
    <xf numFmtId="49" fontId="8" fillId="0" borderId="37" xfId="95" applyNumberFormat="1" applyFont="1" applyFill="1" applyBorder="1" applyAlignment="1">
      <alignment horizontal="center"/>
    </xf>
    <xf numFmtId="0" fontId="8" fillId="0" borderId="13" xfId="95" applyFont="1" applyFill="1" applyBorder="1"/>
    <xf numFmtId="49" fontId="8" fillId="0" borderId="20" xfId="95" applyNumberFormat="1" applyFont="1" applyFill="1" applyBorder="1" applyAlignment="1">
      <alignment horizontal="center"/>
    </xf>
    <xf numFmtId="4" fontId="3" fillId="0" borderId="42" xfId="0" applyNumberFormat="1" applyFont="1" applyFill="1" applyBorder="1" applyAlignment="1">
      <alignment horizontal="right" vertical="center" wrapText="1" indent="1"/>
    </xf>
    <xf numFmtId="0" fontId="76" fillId="0" borderId="19" xfId="95" applyFont="1" applyFill="1" applyBorder="1"/>
    <xf numFmtId="4" fontId="8" fillId="0" borderId="19" xfId="43" applyNumberFormat="1" applyFont="1" applyFill="1" applyBorder="1" applyAlignment="1">
      <alignment horizontal="right" vertical="center" wrapText="1" indent="1"/>
    </xf>
    <xf numFmtId="0" fontId="8" fillId="0" borderId="19" xfId="95" applyFont="1" applyFill="1" applyBorder="1"/>
    <xf numFmtId="49" fontId="8" fillId="0" borderId="35" xfId="95" applyNumberFormat="1" applyFont="1" applyFill="1" applyBorder="1" applyAlignment="1">
      <alignment horizontal="center"/>
    </xf>
    <xf numFmtId="4" fontId="3" fillId="0" borderId="43" xfId="0" applyNumberFormat="1" applyFont="1" applyFill="1" applyBorder="1" applyAlignment="1">
      <alignment horizontal="right" vertical="center" wrapText="1" indent="1"/>
    </xf>
    <xf numFmtId="49" fontId="51" fillId="0" borderId="52" xfId="95" applyNumberFormat="1" applyFont="1" applyFill="1" applyBorder="1" applyAlignment="1">
      <alignment horizontal="center" vertical="center"/>
    </xf>
    <xf numFmtId="4" fontId="3" fillId="0" borderId="31" xfId="0" applyNumberFormat="1" applyFont="1" applyFill="1" applyBorder="1" applyAlignment="1">
      <alignment horizontal="right" vertical="center" wrapText="1" indent="1"/>
    </xf>
    <xf numFmtId="4" fontId="3" fillId="0" borderId="52" xfId="0" applyNumberFormat="1" applyFont="1" applyFill="1" applyBorder="1" applyAlignment="1">
      <alignment horizontal="right" vertical="center" wrapText="1" indent="1"/>
    </xf>
    <xf numFmtId="4" fontId="3" fillId="0" borderId="62" xfId="0" applyNumberFormat="1" applyFont="1" applyFill="1" applyBorder="1" applyAlignment="1">
      <alignment horizontal="right" vertical="center" wrapText="1" indent="1"/>
    </xf>
    <xf numFmtId="0" fontId="0" fillId="0" borderId="0" xfId="0" applyNumberFormat="1" applyFill="1" applyAlignment="1">
      <alignment vertical="center" wrapText="1"/>
    </xf>
    <xf numFmtId="0" fontId="5" fillId="0" borderId="30" xfId="0" applyFont="1" applyFill="1" applyBorder="1" applyAlignment="1">
      <alignment horizontal="center" vertical="center" wrapText="1"/>
    </xf>
    <xf numFmtId="0" fontId="64" fillId="0" borderId="31" xfId="0" applyFont="1" applyFill="1" applyBorder="1"/>
    <xf numFmtId="0" fontId="64" fillId="0" borderId="36" xfId="0" applyFont="1" applyFill="1" applyBorder="1"/>
    <xf numFmtId="0" fontId="7" fillId="0" borderId="59" xfId="0" applyFont="1" applyFill="1" applyBorder="1" applyAlignment="1">
      <alignment horizontal="left" vertical="center" wrapText="1" indent="1"/>
    </xf>
    <xf numFmtId="0" fontId="7" fillId="0" borderId="70" xfId="0" applyFont="1" applyFill="1" applyBorder="1" applyAlignment="1">
      <alignment horizontal="left" vertical="center" wrapText="1" indent="1"/>
    </xf>
    <xf numFmtId="0" fontId="7" fillId="0" borderId="41" xfId="0" applyFont="1" applyFill="1" applyBorder="1" applyAlignment="1">
      <alignment horizontal="left" vertical="center" wrapText="1" indent="1"/>
    </xf>
    <xf numFmtId="0" fontId="11" fillId="0" borderId="30"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7" fillId="0" borderId="23" xfId="0" applyFont="1" applyFill="1" applyBorder="1" applyAlignment="1">
      <alignment horizontal="left" vertical="center" wrapText="1" indent="1"/>
    </xf>
    <xf numFmtId="0" fontId="7" fillId="0" borderId="25" xfId="0" applyFont="1" applyFill="1" applyBorder="1" applyAlignment="1">
      <alignment horizontal="left" vertical="center" wrapText="1" indent="1"/>
    </xf>
    <xf numFmtId="0" fontId="7" fillId="0" borderId="24" xfId="0" applyFont="1" applyFill="1" applyBorder="1" applyAlignment="1">
      <alignment horizontal="left" vertical="center" wrapText="1" indent="1"/>
    </xf>
    <xf numFmtId="49" fontId="77" fillId="0" borderId="35" xfId="0" applyNumberFormat="1" applyFont="1" applyFill="1" applyBorder="1" applyAlignment="1">
      <alignment horizontal="left" wrapText="1"/>
    </xf>
    <xf numFmtId="49" fontId="77" fillId="0" borderId="45" xfId="0" applyNumberFormat="1" applyFont="1" applyFill="1" applyBorder="1" applyAlignment="1">
      <alignment horizontal="left" wrapText="1"/>
    </xf>
    <xf numFmtId="49" fontId="77" fillId="0" borderId="46" xfId="0" applyNumberFormat="1" applyFont="1" applyFill="1" applyBorder="1" applyAlignment="1">
      <alignment horizontal="left" wrapText="1"/>
    </xf>
    <xf numFmtId="49" fontId="4" fillId="0" borderId="37" xfId="0" applyNumberFormat="1" applyFont="1" applyFill="1" applyBorder="1" applyAlignment="1">
      <alignment horizontal="left" wrapText="1"/>
    </xf>
    <xf numFmtId="49" fontId="4" fillId="0" borderId="49" xfId="0" applyNumberFormat="1" applyFont="1" applyFill="1" applyBorder="1" applyAlignment="1">
      <alignment horizontal="left" wrapText="1"/>
    </xf>
    <xf numFmtId="49" fontId="4" fillId="0" borderId="32" xfId="0" applyNumberFormat="1" applyFont="1" applyFill="1" applyBorder="1" applyAlignment="1">
      <alignment horizontal="left" wrapText="1"/>
    </xf>
    <xf numFmtId="0" fontId="11" fillId="0" borderId="30"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36" xfId="0" applyFont="1" applyFill="1" applyBorder="1" applyAlignment="1">
      <alignment horizontal="center" vertical="center"/>
    </xf>
    <xf numFmtId="0" fontId="7" fillId="0" borderId="73" xfId="0" applyFont="1" applyFill="1" applyBorder="1" applyAlignment="1">
      <alignment horizontal="left" vertical="center" wrapText="1" indent="1"/>
    </xf>
    <xf numFmtId="0" fontId="7" fillId="0" borderId="49" xfId="0" applyFont="1" applyFill="1" applyBorder="1" applyAlignment="1">
      <alignment horizontal="left" vertical="center" wrapText="1" indent="1"/>
    </xf>
    <xf numFmtId="0" fontId="7" fillId="0" borderId="53" xfId="0" applyFont="1" applyFill="1" applyBorder="1" applyAlignment="1">
      <alignment horizontal="left" vertical="center" wrapText="1" indent="1"/>
    </xf>
    <xf numFmtId="0" fontId="3" fillId="0" borderId="15" xfId="0"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29" xfId="0" applyNumberFormat="1" applyFont="1" applyFill="1" applyBorder="1" applyAlignment="1">
      <alignment horizontal="center" vertical="center" wrapText="1"/>
    </xf>
    <xf numFmtId="0" fontId="5" fillId="0" borderId="2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38" xfId="0" applyFont="1" applyFill="1" applyBorder="1" applyAlignment="1">
      <alignment horizontal="center" vertical="center"/>
    </xf>
    <xf numFmtId="0" fontId="11" fillId="0" borderId="67" xfId="0" applyFont="1" applyFill="1" applyBorder="1" applyAlignment="1">
      <alignment horizontal="center" vertical="center"/>
    </xf>
    <xf numFmtId="0" fontId="11" fillId="0" borderId="68" xfId="0" applyFont="1" applyFill="1" applyBorder="1" applyAlignment="1">
      <alignment horizontal="center" vertical="center"/>
    </xf>
    <xf numFmtId="0" fontId="11" fillId="0" borderId="69" xfId="0" applyFont="1" applyFill="1" applyBorder="1" applyAlignment="1">
      <alignment horizontal="center" vertical="center"/>
    </xf>
    <xf numFmtId="0" fontId="5" fillId="0" borderId="13" xfId="0" applyFont="1" applyFill="1" applyBorder="1" applyAlignment="1">
      <alignment horizontal="center" vertical="center"/>
    </xf>
    <xf numFmtId="0" fontId="117" fillId="0" borderId="0" xfId="0" applyFont="1" applyFill="1" applyAlignment="1">
      <alignment horizontal="left" vertical="center" wrapText="1"/>
    </xf>
    <xf numFmtId="0" fontId="92" fillId="0" borderId="23" xfId="0" applyFont="1" applyFill="1" applyBorder="1" applyAlignment="1">
      <alignment horizontal="center" vertical="center" wrapText="1"/>
    </xf>
    <xf numFmtId="0" fontId="92" fillId="0" borderId="15" xfId="0" applyFont="1" applyFill="1" applyBorder="1" applyAlignment="1">
      <alignment horizontal="center" vertical="center" wrapText="1"/>
    </xf>
    <xf numFmtId="0" fontId="92" fillId="0" borderId="16" xfId="0" applyFont="1" applyFill="1" applyBorder="1" applyAlignment="1">
      <alignment horizontal="center" vertical="center" wrapText="1"/>
    </xf>
    <xf numFmtId="0" fontId="92" fillId="0" borderId="25" xfId="0" applyFont="1" applyFill="1" applyBorder="1" applyAlignment="1">
      <alignment horizontal="center" vertical="center" wrapText="1"/>
    </xf>
    <xf numFmtId="0" fontId="92" fillId="0" borderId="13" xfId="0" applyFont="1" applyFill="1" applyBorder="1" applyAlignment="1">
      <alignment horizontal="center" vertical="center" wrapText="1"/>
    </xf>
    <xf numFmtId="0" fontId="92" fillId="0" borderId="17" xfId="0" applyFont="1" applyFill="1" applyBorder="1" applyAlignment="1">
      <alignment horizontal="center" vertical="center" wrapText="1"/>
    </xf>
    <xf numFmtId="0" fontId="92" fillId="0" borderId="24" xfId="0" applyFont="1" applyFill="1" applyBorder="1" applyAlignment="1">
      <alignment horizontal="center" vertical="center" wrapText="1"/>
    </xf>
    <xf numFmtId="0" fontId="92" fillId="0" borderId="14" xfId="0" applyFont="1" applyFill="1" applyBorder="1" applyAlignment="1">
      <alignment horizontal="center" vertical="center" wrapText="1"/>
    </xf>
    <xf numFmtId="0" fontId="92" fillId="0" borderId="18" xfId="0" applyFont="1" applyFill="1" applyBorder="1" applyAlignment="1">
      <alignment horizontal="center" vertical="center" wrapText="1"/>
    </xf>
    <xf numFmtId="0" fontId="78" fillId="0" borderId="0" xfId="0" applyFont="1" applyFill="1" applyAlignment="1">
      <alignment horizontal="left" vertical="center" wrapText="1"/>
    </xf>
    <xf numFmtId="49" fontId="8" fillId="0" borderId="20" xfId="0" applyNumberFormat="1" applyFont="1" applyFill="1" applyBorder="1" applyAlignment="1">
      <alignment horizontal="left"/>
    </xf>
    <xf numFmtId="49" fontId="8" fillId="0" borderId="51" xfId="0" applyNumberFormat="1" applyFont="1" applyFill="1" applyBorder="1" applyAlignment="1">
      <alignment horizontal="left"/>
    </xf>
    <xf numFmtId="49" fontId="8" fillId="0" borderId="27" xfId="0" applyNumberFormat="1" applyFont="1" applyFill="1" applyBorder="1" applyAlignment="1">
      <alignment horizontal="left"/>
    </xf>
    <xf numFmtId="0" fontId="77" fillId="0" borderId="0" xfId="0" applyFont="1" applyFill="1" applyBorder="1" applyAlignment="1">
      <alignment horizontal="center" vertical="center" wrapText="1"/>
    </xf>
    <xf numFmtId="0" fontId="4" fillId="0" borderId="0" xfId="0" applyFont="1" applyFill="1" applyAlignment="1">
      <alignment horizontal="left" vertical="center" wrapText="1"/>
    </xf>
    <xf numFmtId="0" fontId="11" fillId="0" borderId="12"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20" xfId="0" applyFont="1" applyFill="1" applyBorder="1" applyAlignment="1">
      <alignment horizontal="center" vertical="center" wrapText="1"/>
    </xf>
    <xf numFmtId="49" fontId="4" fillId="0" borderId="20" xfId="0" applyNumberFormat="1" applyFont="1" applyFill="1" applyBorder="1" applyAlignment="1">
      <alignment horizontal="left"/>
    </xf>
    <xf numFmtId="49" fontId="4" fillId="0" borderId="51" xfId="0" applyNumberFormat="1" applyFont="1" applyFill="1" applyBorder="1" applyAlignment="1">
      <alignment horizontal="left"/>
    </xf>
    <xf numFmtId="0" fontId="3" fillId="0" borderId="2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73" xfId="0"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22" xfId="0" applyFont="1" applyFill="1" applyBorder="1" applyAlignment="1">
      <alignment horizontal="center" vertical="center" textRotation="90" wrapText="1"/>
    </xf>
    <xf numFmtId="0" fontId="3" fillId="0" borderId="15" xfId="0" applyFont="1" applyFill="1" applyBorder="1" applyAlignment="1">
      <alignment horizontal="center" vertical="center" textRotation="90" wrapText="1"/>
    </xf>
    <xf numFmtId="49" fontId="4" fillId="0" borderId="27" xfId="0" applyNumberFormat="1" applyFont="1" applyFill="1" applyBorder="1" applyAlignment="1">
      <alignment horizontal="left"/>
    </xf>
    <xf numFmtId="0" fontId="74" fillId="0" borderId="56" xfId="39" applyFont="1" applyFill="1" applyBorder="1" applyAlignment="1">
      <alignment horizontal="center" vertical="center" wrapText="1"/>
    </xf>
    <xf numFmtId="0" fontId="74" fillId="0" borderId="44" xfId="39" applyFont="1" applyFill="1" applyBorder="1" applyAlignment="1">
      <alignment horizontal="center" vertical="center" wrapText="1"/>
    </xf>
    <xf numFmtId="0" fontId="94" fillId="0" borderId="12" xfId="0" applyFont="1" applyFill="1" applyBorder="1" applyAlignment="1">
      <alignment horizontal="center" vertical="center" wrapText="1"/>
    </xf>
    <xf numFmtId="0" fontId="94" fillId="0" borderId="0" xfId="0" applyFont="1" applyFill="1" applyBorder="1" applyAlignment="1">
      <alignment horizontal="center" vertical="center" wrapText="1"/>
    </xf>
    <xf numFmtId="0" fontId="74" fillId="0" borderId="12" xfId="39" applyFont="1" applyFill="1" applyBorder="1" applyAlignment="1">
      <alignment horizontal="center" vertical="center" wrapText="1"/>
    </xf>
    <xf numFmtId="0" fontId="74" fillId="0" borderId="73" xfId="39" applyFont="1" applyFill="1" applyBorder="1" applyAlignment="1">
      <alignment horizontal="center" vertical="center" wrapText="1"/>
    </xf>
    <xf numFmtId="0" fontId="7" fillId="0" borderId="61" xfId="40" applyFont="1" applyFill="1" applyBorder="1" applyAlignment="1">
      <alignment horizontal="center" vertical="center"/>
    </xf>
    <xf numFmtId="0" fontId="7" fillId="0" borderId="57" xfId="40" applyFont="1" applyFill="1" applyBorder="1" applyAlignment="1">
      <alignment horizontal="center" vertical="center"/>
    </xf>
    <xf numFmtId="0" fontId="7" fillId="0" borderId="58" xfId="40" applyFont="1" applyFill="1" applyBorder="1" applyAlignment="1">
      <alignment horizontal="center" vertical="center"/>
    </xf>
    <xf numFmtId="0" fontId="74" fillId="0" borderId="64" xfId="40" applyFont="1" applyFill="1" applyBorder="1" applyAlignment="1">
      <alignment horizontal="left" vertical="center" wrapText="1" indent="1"/>
    </xf>
    <xf numFmtId="0" fontId="74" fillId="0" borderId="65" xfId="40" applyFont="1" applyFill="1" applyBorder="1" applyAlignment="1">
      <alignment horizontal="left" vertical="center" wrapText="1" indent="1"/>
    </xf>
    <xf numFmtId="0" fontId="74" fillId="0" borderId="66" xfId="40" applyFont="1" applyFill="1" applyBorder="1" applyAlignment="1">
      <alignment horizontal="left" vertical="center" wrapText="1" indent="1"/>
    </xf>
    <xf numFmtId="0" fontId="95" fillId="0" borderId="0" xfId="40" applyFont="1" applyFill="1" applyBorder="1" applyAlignment="1">
      <alignment horizontal="left" wrapText="1"/>
    </xf>
    <xf numFmtId="0" fontId="23" fillId="0" borderId="35" xfId="0" applyFont="1" applyFill="1" applyBorder="1" applyAlignment="1">
      <alignment horizontal="left" vertical="center"/>
    </xf>
    <xf numFmtId="0" fontId="23" fillId="0" borderId="45" xfId="0" applyFont="1" applyFill="1" applyBorder="1" applyAlignment="1">
      <alignment horizontal="left" vertical="center"/>
    </xf>
    <xf numFmtId="0" fontId="23" fillId="0" borderId="46" xfId="0" applyFont="1" applyFill="1" applyBorder="1" applyAlignment="1">
      <alignment horizontal="left" vertical="center"/>
    </xf>
    <xf numFmtId="0" fontId="23" fillId="0" borderId="37" xfId="0" applyFont="1" applyFill="1" applyBorder="1" applyAlignment="1">
      <alignment horizontal="left" vertical="center"/>
    </xf>
    <xf numFmtId="0" fontId="23" fillId="0" borderId="49" xfId="0" applyFont="1" applyFill="1" applyBorder="1" applyAlignment="1">
      <alignment horizontal="left" vertical="center"/>
    </xf>
    <xf numFmtId="0" fontId="23" fillId="0" borderId="32" xfId="0" applyFont="1" applyFill="1" applyBorder="1" applyAlignment="1">
      <alignment horizontal="left" vertical="center"/>
    </xf>
    <xf numFmtId="0" fontId="11" fillId="0" borderId="67"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6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7" fillId="0" borderId="38" xfId="0" applyFont="1" applyFill="1" applyBorder="1" applyAlignment="1">
      <alignment horizontal="center" vertical="center" wrapText="1"/>
    </xf>
    <xf numFmtId="49" fontId="3" fillId="0" borderId="46" xfId="0" applyNumberFormat="1" applyFont="1" applyFill="1" applyBorder="1" applyAlignment="1">
      <alignment horizontal="center" vertical="center" wrapText="1"/>
    </xf>
    <xf numFmtId="49" fontId="3" fillId="0" borderId="32" xfId="0" applyNumberFormat="1"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7" fillId="0" borderId="40" xfId="0" applyFont="1" applyFill="1" applyBorder="1" applyAlignment="1">
      <alignment horizontal="left" vertical="center" wrapText="1" indent="1"/>
    </xf>
    <xf numFmtId="0" fontId="7" fillId="0" borderId="70"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23" fillId="0" borderId="37" xfId="0" applyFont="1" applyFill="1" applyBorder="1" applyAlignment="1">
      <alignment horizontal="left" vertical="center" wrapText="1"/>
    </xf>
    <xf numFmtId="0" fontId="23" fillId="0" borderId="49" xfId="0" applyFont="1" applyFill="1" applyBorder="1" applyAlignment="1">
      <alignment horizontal="left" vertical="center" wrapText="1"/>
    </xf>
    <xf numFmtId="0" fontId="23" fillId="0" borderId="32" xfId="0" applyFont="1" applyFill="1" applyBorder="1" applyAlignment="1">
      <alignment horizontal="left" vertical="center" wrapText="1"/>
    </xf>
    <xf numFmtId="0" fontId="5" fillId="0" borderId="23"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7" fillId="0" borderId="60" xfId="0" applyFont="1" applyFill="1" applyBorder="1" applyAlignment="1">
      <alignment horizontal="left" vertical="center" wrapText="1" indent="1"/>
    </xf>
    <xf numFmtId="0" fontId="7" fillId="0" borderId="51" xfId="0" applyFont="1" applyFill="1" applyBorder="1" applyAlignment="1">
      <alignment horizontal="left" vertical="center" wrapText="1" indent="1"/>
    </xf>
    <xf numFmtId="0" fontId="7" fillId="0" borderId="38" xfId="0" applyFont="1" applyFill="1" applyBorder="1" applyAlignment="1">
      <alignment horizontal="left" vertical="center" wrapText="1" indent="1"/>
    </xf>
    <xf numFmtId="0" fontId="4" fillId="0" borderId="12" xfId="39" applyFont="1" applyFill="1" applyBorder="1" applyAlignment="1">
      <alignment horizontal="center"/>
    </xf>
    <xf numFmtId="0" fontId="4" fillId="0" borderId="0" xfId="39" applyFont="1" applyFill="1" applyAlignment="1">
      <alignment horizontal="center"/>
    </xf>
    <xf numFmtId="0" fontId="23" fillId="0" borderId="47" xfId="39" applyFont="1" applyFill="1" applyBorder="1" applyAlignment="1">
      <alignment horizontal="left" vertical="center"/>
    </xf>
    <xf numFmtId="0" fontId="23" fillId="0" borderId="0" xfId="39" applyFont="1" applyFill="1" applyBorder="1" applyAlignment="1">
      <alignment horizontal="left" vertical="center"/>
    </xf>
    <xf numFmtId="0" fontId="23" fillId="0" borderId="48" xfId="39" applyFont="1" applyFill="1" applyBorder="1" applyAlignment="1">
      <alignment horizontal="left" vertical="center"/>
    </xf>
    <xf numFmtId="0" fontId="23" fillId="0" borderId="37" xfId="39" applyFont="1" applyFill="1" applyBorder="1" applyAlignment="1">
      <alignment horizontal="left" vertical="center"/>
    </xf>
    <xf numFmtId="0" fontId="23" fillId="0" borderId="49" xfId="39" applyFont="1" applyFill="1" applyBorder="1" applyAlignment="1">
      <alignment horizontal="left" vertical="center"/>
    </xf>
    <xf numFmtId="0" fontId="23" fillId="0" borderId="32" xfId="39" applyFont="1" applyFill="1" applyBorder="1" applyAlignment="1">
      <alignment horizontal="left" vertical="center"/>
    </xf>
    <xf numFmtId="0" fontId="5" fillId="0" borderId="67" xfId="39" applyFont="1" applyFill="1" applyBorder="1" applyAlignment="1">
      <alignment horizontal="center" vertical="center" wrapText="1"/>
    </xf>
    <xf numFmtId="0" fontId="5" fillId="0" borderId="68" xfId="39" applyFont="1" applyFill="1" applyBorder="1" applyAlignment="1">
      <alignment horizontal="center" vertical="center"/>
    </xf>
    <xf numFmtId="0" fontId="5" fillId="0" borderId="69" xfId="39" applyFont="1" applyFill="1" applyBorder="1" applyAlignment="1">
      <alignment horizontal="center" vertical="center"/>
    </xf>
    <xf numFmtId="0" fontId="7" fillId="0" borderId="23" xfId="39" applyFont="1" applyFill="1" applyBorder="1" applyAlignment="1">
      <alignment horizontal="left" vertical="center" wrapText="1" indent="1"/>
    </xf>
    <xf numFmtId="0" fontId="7" fillId="0" borderId="25" xfId="39" applyFont="1" applyFill="1" applyBorder="1" applyAlignment="1">
      <alignment horizontal="left" vertical="center" wrapText="1" indent="1"/>
    </xf>
    <xf numFmtId="0" fontId="7" fillId="0" borderId="24" xfId="39" applyFont="1" applyFill="1" applyBorder="1" applyAlignment="1">
      <alignment horizontal="left" vertical="center" wrapText="1" indent="1"/>
    </xf>
    <xf numFmtId="0" fontId="23" fillId="0" borderId="35" xfId="39" applyFont="1" applyFill="1" applyBorder="1" applyAlignment="1">
      <alignment horizontal="left" vertical="center"/>
    </xf>
    <xf numFmtId="0" fontId="23" fillId="0" borderId="45" xfId="39" applyFont="1" applyFill="1" applyBorder="1" applyAlignment="1">
      <alignment horizontal="left" vertical="center"/>
    </xf>
    <xf numFmtId="0" fontId="23" fillId="0" borderId="46" xfId="39" applyFont="1" applyFill="1" applyBorder="1" applyAlignment="1">
      <alignment horizontal="left" vertical="center"/>
    </xf>
    <xf numFmtId="0" fontId="5" fillId="0" borderId="31"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3" fillId="0" borderId="38" xfId="0" applyFont="1" applyFill="1" applyBorder="1" applyAlignment="1">
      <alignment horizontal="center" vertical="center" wrapText="1"/>
    </xf>
    <xf numFmtId="49" fontId="4" fillId="0" borderId="45" xfId="0" applyNumberFormat="1" applyFont="1" applyFill="1" applyBorder="1" applyAlignment="1">
      <alignment horizontal="left"/>
    </xf>
    <xf numFmtId="49" fontId="3" fillId="0" borderId="34"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5" fillId="0" borderId="61"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58" xfId="0" applyFont="1" applyFill="1" applyBorder="1" applyAlignment="1">
      <alignment horizontal="center" vertical="center" wrapText="1"/>
    </xf>
    <xf numFmtId="49" fontId="79" fillId="0" borderId="29" xfId="0" applyNumberFormat="1" applyFont="1" applyFill="1" applyBorder="1" applyAlignment="1">
      <alignment horizontal="center" vertical="center" wrapText="1"/>
    </xf>
    <xf numFmtId="49" fontId="79" fillId="0" borderId="13" xfId="0" applyNumberFormat="1" applyFont="1" applyFill="1" applyBorder="1" applyAlignment="1">
      <alignment horizontal="center" vertical="center" wrapText="1"/>
    </xf>
    <xf numFmtId="0" fontId="113" fillId="0" borderId="0" xfId="0" applyFont="1" applyFill="1" applyAlignment="1">
      <alignment horizontal="left" wrapText="1"/>
    </xf>
    <xf numFmtId="0" fontId="23" fillId="0" borderId="0" xfId="0" applyFont="1" applyFill="1" applyBorder="1" applyAlignment="1">
      <alignment horizontal="left" wrapText="1"/>
    </xf>
    <xf numFmtId="0" fontId="5" fillId="0" borderId="61"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7" fillId="0" borderId="65" xfId="0" applyFont="1" applyFill="1" applyBorder="1" applyAlignment="1">
      <alignment horizontal="left" vertical="center" wrapText="1" indent="1"/>
    </xf>
    <xf numFmtId="0" fontId="67" fillId="0" borderId="15" xfId="0" applyFont="1" applyFill="1" applyBorder="1" applyAlignment="1">
      <alignment horizontal="center" vertical="center" wrapText="1"/>
    </xf>
    <xf numFmtId="0" fontId="79" fillId="0" borderId="13"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5" fillId="0" borderId="30" xfId="91" applyFont="1" applyFill="1" applyBorder="1" applyAlignment="1">
      <alignment horizontal="center" vertical="center" wrapText="1"/>
    </xf>
    <xf numFmtId="0" fontId="5" fillId="0" borderId="31" xfId="91" applyFont="1" applyFill="1" applyBorder="1" applyAlignment="1">
      <alignment horizontal="center" vertical="center" wrapText="1"/>
    </xf>
    <xf numFmtId="0" fontId="5" fillId="0" borderId="36" xfId="91" applyFont="1" applyFill="1" applyBorder="1" applyAlignment="1">
      <alignment horizontal="center" vertical="center" wrapText="1"/>
    </xf>
    <xf numFmtId="0" fontId="7" fillId="0" borderId="59" xfId="92" applyFont="1" applyFill="1" applyBorder="1" applyAlignment="1">
      <alignment horizontal="left" vertical="center" wrapText="1" indent="1"/>
    </xf>
    <xf numFmtId="0" fontId="7" fillId="0" borderId="70" xfId="92" applyFont="1" applyFill="1" applyBorder="1" applyAlignment="1">
      <alignment horizontal="left" vertical="center" wrapText="1" indent="1"/>
    </xf>
    <xf numFmtId="0" fontId="7" fillId="0" borderId="41" xfId="92" applyFont="1" applyFill="1" applyBorder="1" applyAlignment="1">
      <alignment horizontal="left" vertical="center" wrapText="1" indent="1"/>
    </xf>
    <xf numFmtId="0" fontId="3" fillId="0" borderId="22" xfId="92" applyFont="1" applyFill="1" applyBorder="1" applyAlignment="1">
      <alignment horizontal="center" vertical="center" wrapText="1"/>
    </xf>
    <xf numFmtId="0" fontId="3" fillId="0" borderId="15" xfId="92" applyFont="1" applyFill="1" applyBorder="1" applyAlignment="1">
      <alignment horizontal="center" vertical="center" wrapText="1"/>
    </xf>
    <xf numFmtId="49" fontId="3" fillId="0" borderId="29" xfId="92" applyNumberFormat="1" applyFont="1" applyFill="1" applyBorder="1" applyAlignment="1">
      <alignment horizontal="center" vertical="center" wrapText="1"/>
    </xf>
    <xf numFmtId="49" fontId="3" fillId="0" borderId="13" xfId="92" applyNumberFormat="1" applyFont="1" applyFill="1" applyBorder="1" applyAlignment="1">
      <alignment horizontal="center" vertical="center" wrapText="1"/>
    </xf>
    <xf numFmtId="0" fontId="3" fillId="0" borderId="29" xfId="92" applyFont="1" applyFill="1" applyBorder="1" applyAlignment="1">
      <alignment horizontal="center" vertical="center" wrapText="1"/>
    </xf>
    <xf numFmtId="0" fontId="7" fillId="0" borderId="29" xfId="92" applyFont="1" applyFill="1" applyBorder="1" applyAlignment="1">
      <alignment horizontal="center" vertical="center" wrapText="1"/>
    </xf>
    <xf numFmtId="0" fontId="7" fillId="0" borderId="34" xfId="92" applyFont="1" applyFill="1" applyBorder="1" applyAlignment="1">
      <alignment horizontal="center" vertical="center" wrapText="1"/>
    </xf>
    <xf numFmtId="0" fontId="11" fillId="0" borderId="61" xfId="0" applyFont="1" applyFill="1" applyBorder="1" applyAlignment="1">
      <alignment horizontal="center" vertical="center" wrapText="1"/>
    </xf>
    <xf numFmtId="0" fontId="11" fillId="0" borderId="57" xfId="0" applyFont="1" applyFill="1" applyBorder="1" applyAlignment="1">
      <alignment horizontal="center" vertical="center" wrapText="1"/>
    </xf>
    <xf numFmtId="0" fontId="11" fillId="0" borderId="58" xfId="0" applyFont="1" applyFill="1" applyBorder="1" applyAlignment="1">
      <alignment horizontal="center" vertical="center" wrapText="1"/>
    </xf>
    <xf numFmtId="0" fontId="85" fillId="0" borderId="45" xfId="0" applyFont="1" applyFill="1" applyBorder="1" applyAlignment="1">
      <alignment horizontal="left" vertical="center" wrapText="1"/>
    </xf>
    <xf numFmtId="0" fontId="28" fillId="0" borderId="35" xfId="0" applyFont="1" applyFill="1" applyBorder="1" applyAlignment="1">
      <alignment horizontal="left" vertical="center"/>
    </xf>
    <xf numFmtId="0" fontId="28" fillId="0" borderId="45" xfId="0" applyFont="1" applyFill="1" applyBorder="1" applyAlignment="1">
      <alignment horizontal="left" vertical="center"/>
    </xf>
    <xf numFmtId="0" fontId="28" fillId="0" borderId="46" xfId="0" applyFont="1" applyFill="1" applyBorder="1" applyAlignment="1">
      <alignment horizontal="left" vertical="center"/>
    </xf>
    <xf numFmtId="0" fontId="28" fillId="0" borderId="37" xfId="0" applyFont="1" applyFill="1" applyBorder="1" applyAlignment="1">
      <alignment horizontal="left" vertical="center"/>
    </xf>
    <xf numFmtId="0" fontId="28" fillId="0" borderId="49" xfId="0" applyFont="1" applyFill="1" applyBorder="1" applyAlignment="1">
      <alignment horizontal="left" vertical="center"/>
    </xf>
    <xf numFmtId="0" fontId="28" fillId="0" borderId="32" xfId="0" applyFont="1" applyFill="1" applyBorder="1" applyAlignment="1">
      <alignment horizontal="left" vertical="center"/>
    </xf>
    <xf numFmtId="0" fontId="5" fillId="0" borderId="68" xfId="39" applyFont="1" applyFill="1" applyBorder="1" applyAlignment="1">
      <alignment horizontal="center" vertical="center" wrapText="1"/>
    </xf>
    <xf numFmtId="0" fontId="5" fillId="0" borderId="72" xfId="39" applyFont="1" applyFill="1" applyBorder="1" applyAlignment="1">
      <alignment horizontal="center" vertical="center" wrapText="1"/>
    </xf>
    <xf numFmtId="0" fontId="5" fillId="0" borderId="69" xfId="39" applyFont="1" applyFill="1" applyBorder="1" applyAlignment="1">
      <alignment horizontal="center" vertical="center" wrapText="1"/>
    </xf>
    <xf numFmtId="0" fontId="7" fillId="0" borderId="67" xfId="39" applyFont="1" applyFill="1" applyBorder="1" applyAlignment="1">
      <alignment horizontal="left" vertical="center" wrapText="1" indent="1"/>
    </xf>
    <xf numFmtId="0" fontId="7" fillId="0" borderId="68" xfId="39" applyFont="1" applyFill="1" applyBorder="1" applyAlignment="1">
      <alignment horizontal="left" vertical="center" wrapText="1" indent="1"/>
    </xf>
    <xf numFmtId="0" fontId="7" fillId="0" borderId="72" xfId="39" applyFont="1" applyFill="1" applyBorder="1" applyAlignment="1">
      <alignment horizontal="left" vertical="center" wrapText="1" indent="1"/>
    </xf>
    <xf numFmtId="0" fontId="7" fillId="0" borderId="69" xfId="39" applyFont="1" applyFill="1" applyBorder="1" applyAlignment="1">
      <alignment horizontal="left" vertical="center" wrapText="1" indent="1"/>
    </xf>
    <xf numFmtId="0" fontId="7" fillId="0" borderId="25" xfId="39" applyFont="1" applyFill="1" applyBorder="1" applyAlignment="1">
      <alignment horizontal="center" vertical="center" wrapText="1"/>
    </xf>
    <xf numFmtId="0" fontId="7" fillId="0" borderId="24" xfId="39" applyFont="1" applyFill="1" applyBorder="1" applyAlignment="1">
      <alignment horizontal="center" vertical="center" wrapText="1"/>
    </xf>
    <xf numFmtId="0" fontId="23" fillId="0" borderId="13" xfId="39" applyFont="1" applyFill="1" applyBorder="1" applyAlignment="1">
      <alignment horizontal="left" vertical="center" wrapText="1"/>
    </xf>
    <xf numFmtId="49" fontId="3" fillId="0" borderId="25" xfId="39" applyNumberFormat="1" applyFont="1" applyFill="1" applyBorder="1" applyAlignment="1">
      <alignment horizontal="center" vertical="center" wrapText="1"/>
    </xf>
    <xf numFmtId="49" fontId="3" fillId="0" borderId="13" xfId="39" applyNumberFormat="1" applyFont="1" applyFill="1" applyBorder="1" applyAlignment="1">
      <alignment horizontal="center" vertical="center" wrapText="1"/>
    </xf>
    <xf numFmtId="0" fontId="4" fillId="0" borderId="70" xfId="39" applyFont="1" applyFill="1" applyBorder="1" applyAlignment="1">
      <alignment horizontal="left" wrapText="1"/>
    </xf>
    <xf numFmtId="3" fontId="8" fillId="0" borderId="0" xfId="44" applyNumberFormat="1" applyFont="1" applyFill="1" applyBorder="1" applyAlignment="1">
      <alignment horizontal="left" vertical="center" wrapText="1"/>
    </xf>
    <xf numFmtId="3" fontId="8" fillId="0" borderId="65" xfId="44" applyNumberFormat="1" applyFont="1" applyFill="1" applyBorder="1" applyAlignment="1">
      <alignment horizontal="left" vertical="center" wrapText="1"/>
    </xf>
    <xf numFmtId="3" fontId="11" fillId="0" borderId="61" xfId="44" applyNumberFormat="1" applyFont="1" applyFill="1" applyBorder="1" applyAlignment="1">
      <alignment horizontal="center" vertical="center" wrapText="1"/>
    </xf>
    <xf numFmtId="3" fontId="11" fillId="0" borderId="57" xfId="44" applyNumberFormat="1" applyFont="1" applyFill="1" applyBorder="1" applyAlignment="1">
      <alignment horizontal="center" vertical="center" wrapText="1"/>
    </xf>
    <xf numFmtId="3" fontId="11" fillId="0" borderId="58" xfId="44" applyNumberFormat="1" applyFont="1" applyFill="1" applyBorder="1" applyAlignment="1">
      <alignment horizontal="center" vertical="center" wrapText="1"/>
    </xf>
    <xf numFmtId="3" fontId="7" fillId="0" borderId="22" xfId="44" applyNumberFormat="1" applyFont="1" applyFill="1" applyBorder="1" applyAlignment="1">
      <alignment horizontal="center" vertical="center" wrapText="1"/>
    </xf>
    <xf numFmtId="3" fontId="7" fillId="0" borderId="15" xfId="44" applyNumberFormat="1"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1" fillId="0" borderId="15" xfId="95" applyFont="1" applyFill="1" applyBorder="1" applyAlignment="1"/>
    <xf numFmtId="0" fontId="51" fillId="0" borderId="13" xfId="95" applyFont="1" applyFill="1" applyBorder="1" applyAlignment="1"/>
    <xf numFmtId="0" fontId="51" fillId="0" borderId="16" xfId="95" applyFont="1" applyFill="1" applyBorder="1" applyAlignment="1"/>
    <xf numFmtId="0" fontId="51" fillId="0" borderId="17" xfId="95" applyFont="1" applyFill="1" applyBorder="1" applyAlignment="1"/>
    <xf numFmtId="3" fontId="11" fillId="0" borderId="61" xfId="43" applyNumberFormat="1" applyFont="1" applyFill="1" applyBorder="1" applyAlignment="1">
      <alignment horizontal="center" vertical="center" wrapText="1"/>
    </xf>
    <xf numFmtId="3" fontId="11" fillId="0" borderId="57" xfId="43" applyNumberFormat="1" applyFont="1" applyFill="1" applyBorder="1" applyAlignment="1">
      <alignment horizontal="center" vertical="center" wrapText="1"/>
    </xf>
    <xf numFmtId="3" fontId="11" fillId="0" borderId="58" xfId="43" applyNumberFormat="1" applyFont="1" applyFill="1" applyBorder="1" applyAlignment="1">
      <alignment horizontal="center" vertical="center" wrapText="1"/>
    </xf>
    <xf numFmtId="3" fontId="7" fillId="0" borderId="61" xfId="43" applyNumberFormat="1" applyFont="1" applyFill="1" applyBorder="1" applyAlignment="1">
      <alignment horizontal="left" vertical="center" wrapText="1" indent="1"/>
    </xf>
    <xf numFmtId="3" fontId="7" fillId="0" borderId="57" xfId="43" applyNumberFormat="1" applyFont="1" applyFill="1" applyBorder="1" applyAlignment="1">
      <alignment horizontal="left" vertical="center" wrapText="1" indent="1"/>
    </xf>
    <xf numFmtId="3" fontId="7" fillId="0" borderId="58" xfId="43" applyNumberFormat="1" applyFont="1" applyFill="1" applyBorder="1" applyAlignment="1">
      <alignment horizontal="left" vertical="center" wrapText="1" indent="1"/>
    </xf>
    <xf numFmtId="0" fontId="7" fillId="0" borderId="61" xfId="0" applyFont="1" applyFill="1" applyBorder="1" applyAlignment="1">
      <alignment horizontal="left" vertical="center" wrapText="1"/>
    </xf>
    <xf numFmtId="0" fontId="7" fillId="0" borderId="57"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11" fillId="0" borderId="64" xfId="0" applyNumberFormat="1" applyFont="1" applyFill="1" applyBorder="1" applyAlignment="1">
      <alignment horizontal="center" vertical="center" wrapText="1"/>
    </xf>
    <xf numFmtId="0" fontId="11" fillId="0" borderId="65" xfId="0" applyNumberFormat="1" applyFont="1" applyFill="1" applyBorder="1" applyAlignment="1">
      <alignment horizontal="center" vertical="center" wrapText="1"/>
    </xf>
    <xf numFmtId="0" fontId="11" fillId="0" borderId="66" xfId="0" applyNumberFormat="1" applyFont="1" applyFill="1" applyBorder="1" applyAlignment="1">
      <alignment horizontal="center" vertical="center" wrapText="1"/>
    </xf>
    <xf numFmtId="0" fontId="51" fillId="0" borderId="30" xfId="95" applyFont="1" applyFill="1" applyBorder="1" applyAlignment="1">
      <alignment horizontal="left" vertical="center" indent="1"/>
    </xf>
    <xf numFmtId="0" fontId="51" fillId="0" borderId="31" xfId="95" applyFont="1" applyFill="1" applyBorder="1" applyAlignment="1">
      <alignment horizontal="left" vertical="center" indent="1"/>
    </xf>
    <xf numFmtId="0" fontId="8" fillId="0" borderId="49" xfId="0" applyFont="1" applyBorder="1" applyAlignment="1">
      <alignment horizontal="left"/>
    </xf>
    <xf numFmtId="0" fontId="5" fillId="0" borderId="59"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40" xfId="0" applyFont="1" applyBorder="1" applyAlignment="1">
      <alignment horizontal="center" vertical="center" wrapText="1"/>
    </xf>
    <xf numFmtId="0" fontId="10" fillId="0" borderId="0" xfId="0" applyFont="1" applyFill="1" applyBorder="1" applyAlignment="1">
      <alignment horizontal="center" vertical="center"/>
    </xf>
    <xf numFmtId="49" fontId="95" fillId="0" borderId="0" xfId="0" applyNumberFormat="1" applyFont="1" applyFill="1" applyBorder="1" applyAlignment="1">
      <alignment horizontal="left" vertical="top" wrapText="1" indent="1"/>
    </xf>
  </cellXfs>
  <cellStyles count="107">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Čiarka" xfId="27" builtinId="3"/>
    <cellStyle name="čiarky 2" xfId="28"/>
    <cellStyle name="čiarky 2 2" xfId="93"/>
    <cellStyle name="Explanatory Text" xfId="29"/>
    <cellStyle name="Good" xfId="30"/>
    <cellStyle name="Heading 1" xfId="31"/>
    <cellStyle name="Heading 2" xfId="32"/>
    <cellStyle name="Heading 3" xfId="33"/>
    <cellStyle name="Heading 4" xfId="34"/>
    <cellStyle name="Check Cell" xfId="35"/>
    <cellStyle name="Input" xfId="36"/>
    <cellStyle name="Linked Cell" xfId="37"/>
    <cellStyle name="Neutral" xfId="38"/>
    <cellStyle name="Normálna" xfId="0" builtinId="0"/>
    <cellStyle name="Normálna 2" xfId="39"/>
    <cellStyle name="Normálna 2 2" xfId="94"/>
    <cellStyle name="Normálna 2 3" xfId="92"/>
    <cellStyle name="Normálna 3" xfId="89"/>
    <cellStyle name="normálne 2" xfId="40"/>
    <cellStyle name="normálne 3" xfId="41"/>
    <cellStyle name="normálne 3 2" xfId="95"/>
    <cellStyle name="normálne 4" xfId="42"/>
    <cellStyle name="normálne 4 2" xfId="91"/>
    <cellStyle name="Normálne 5" xfId="90"/>
    <cellStyle name="Normálne 6" xfId="105"/>
    <cellStyle name="Normálne 7" xfId="106"/>
    <cellStyle name="normálne_Databazy_VVŠ_2007_ severská" xfId="43"/>
    <cellStyle name="normálne_sprava_VVŠ_2004_tabuľky_vláda" xfId="44"/>
    <cellStyle name="normální_List1" xfId="45"/>
    <cellStyle name="Note" xfId="46"/>
    <cellStyle name="Note 2" xfId="96"/>
    <cellStyle name="Output" xfId="47"/>
    <cellStyle name="SAPBEXaggData" xfId="48"/>
    <cellStyle name="SAPBEXaggDataEmph" xfId="49"/>
    <cellStyle name="SAPBEXaggItem" xfId="50"/>
    <cellStyle name="SAPBEXaggItemX" xfId="51"/>
    <cellStyle name="SAPBEXexcBad7" xfId="52"/>
    <cellStyle name="SAPBEXexcBad8" xfId="53"/>
    <cellStyle name="SAPBEXexcBad9" xfId="54"/>
    <cellStyle name="SAPBEXexcCritical4" xfId="55"/>
    <cellStyle name="SAPBEXexcCritical5" xfId="56"/>
    <cellStyle name="SAPBEXexcCritical6" xfId="57"/>
    <cellStyle name="SAPBEXexcGood1" xfId="58"/>
    <cellStyle name="SAPBEXexcGood2" xfId="59"/>
    <cellStyle name="SAPBEXexcGood3" xfId="60"/>
    <cellStyle name="SAPBEXfilterDrill" xfId="61"/>
    <cellStyle name="SAPBEXfilterItem" xfId="62"/>
    <cellStyle name="SAPBEXfilterText" xfId="63"/>
    <cellStyle name="SAPBEXformats" xfId="64"/>
    <cellStyle name="SAPBEXheaderItem" xfId="65"/>
    <cellStyle name="SAPBEXheaderText" xfId="66"/>
    <cellStyle name="SAPBEXHLevel0" xfId="67"/>
    <cellStyle name="SAPBEXHLevel0 2" xfId="97"/>
    <cellStyle name="SAPBEXHLevel0X" xfId="68"/>
    <cellStyle name="SAPBEXHLevel0X 2" xfId="98"/>
    <cellStyle name="SAPBEXHLevel1" xfId="69"/>
    <cellStyle name="SAPBEXHLevel1 2" xfId="99"/>
    <cellStyle name="SAPBEXHLevel1X" xfId="70"/>
    <cellStyle name="SAPBEXHLevel1X 2" xfId="100"/>
    <cellStyle name="SAPBEXHLevel2" xfId="71"/>
    <cellStyle name="SAPBEXHLevel2 2" xfId="101"/>
    <cellStyle name="SAPBEXHLevel2X" xfId="72"/>
    <cellStyle name="SAPBEXHLevel2X 2" xfId="102"/>
    <cellStyle name="SAPBEXHLevel3" xfId="73"/>
    <cellStyle name="SAPBEXHLevel3 2" xfId="103"/>
    <cellStyle name="SAPBEXHLevel3X" xfId="74"/>
    <cellStyle name="SAPBEXHLevel3X 2" xfId="104"/>
    <cellStyle name="SAPBEXchaText" xfId="75"/>
    <cellStyle name="SAPBEXresData" xfId="76"/>
    <cellStyle name="SAPBEXresDataEmph" xfId="77"/>
    <cellStyle name="SAPBEXresItem" xfId="78"/>
    <cellStyle name="SAPBEXresItemX" xfId="79"/>
    <cellStyle name="SAPBEXstdData" xfId="80"/>
    <cellStyle name="SAPBEXstdDataEmph" xfId="81"/>
    <cellStyle name="SAPBEXstdItem" xfId="82"/>
    <cellStyle name="SAPBEXstdItemX" xfId="83"/>
    <cellStyle name="SAPBEXtitle" xfId="84"/>
    <cellStyle name="SAPBEXundefined" xfId="85"/>
    <cellStyle name="Title" xfId="86"/>
    <cellStyle name="Total" xfId="87"/>
    <cellStyle name="Warning Text" xfId="88"/>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10.10.0.145/Documents%20and%20Settings/mederly/Local%20Settings/Temporary%20Internet%20Files/OLK185F/struktura%20zamestnancov%20po%20fakultach_PM%2004-12-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na.horvathova/AppData/Local/Microsoft/Windows/Temporary%20Internet%20Files/Content.Outlook/O3GXLZP9/Tab_VS_VV&#352;_za%202017-fin1_Ank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pjs/AppData/Local/Microsoft/Windows/INetCache/Content.Outlook/PUCIFWFU/Tab_VS_VV&#352;_za%202017-fin1_AnkaEDI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stupy"/>
      <sheetName val="struktura profesorov"/>
      <sheetName val="struktura docentov"/>
      <sheetName val="T7-systemizacia po fakultach"/>
      <sheetName val="T8-vek profesorov"/>
      <sheetName val="T9-vek docentov"/>
      <sheetName val="10-ostatní_s_PhD"/>
      <sheetName val="studetni verzus miesta"/>
      <sheetName val="vahy"/>
      <sheetName val="nepublikovat"/>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ow r="1">
          <cell r="B1">
            <v>1</v>
          </cell>
        </row>
        <row r="2">
          <cell r="B2">
            <v>0.3</v>
          </cell>
        </row>
        <row r="3">
          <cell r="B3">
            <v>3</v>
          </cell>
        </row>
        <row r="4">
          <cell r="B4">
            <v>0</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zmeny"/>
      <sheetName val="Vysvetlivky"/>
      <sheetName val="Súvzťažnosti"/>
      <sheetName val="Kódy z CRŠ"/>
      <sheetName val="T1-Dotácie podľa DZ"/>
      <sheetName val="T2-Ostatné dot mimo MŠ SR"/>
      <sheetName val="T3-Výnosy"/>
      <sheetName val="T4-Výnosy zo školného"/>
      <sheetName val="T5 - Analýza nákladov"/>
      <sheetName val="T6-Zamestnanci_a_mzdy"/>
      <sheetName val="T6a-Zamestnanci_a_mzdy (ženy)"/>
      <sheetName val="T7_Doktorandi "/>
      <sheetName val="T7_Doktorandi-pôv "/>
      <sheetName val="T8-Soc_štipendiá"/>
      <sheetName val="T9_ŠD "/>
      <sheetName val="T10-ŠJ "/>
      <sheetName val="T11-Zdroje KV"/>
      <sheetName val="T12-KV"/>
      <sheetName val="T13-Fondy"/>
      <sheetName val="T16 - Štruktúra hotovosti"/>
      <sheetName val="T17-Dotácie zo ŠF EU"/>
      <sheetName val="T18-Ostatné dotacie z kap MŠ SR"/>
      <sheetName val="T19-Štip_ z vlastných "/>
      <sheetName val="T20_motivačné štipendiá_nová"/>
      <sheetName val="T21-štruktúra_384"/>
      <sheetName val="T22_Výnosy_soc_oblasť"/>
      <sheetName val="T23_Náklady_soc_oblasť"/>
      <sheetName val="T24__Aktíva"/>
    </sheetNames>
    <sheetDataSet>
      <sheetData sheetId="0"/>
      <sheetData sheetId="1"/>
      <sheetData sheetId="2"/>
      <sheetData sheetId="3"/>
      <sheetData sheetId="4"/>
      <sheetData sheetId="5"/>
      <sheetData sheetId="6"/>
      <sheetData sheetId="7"/>
      <sheetData sheetId="8"/>
      <sheetData sheetId="9">
        <row r="91">
          <cell r="E91">
            <v>1270938.75</v>
          </cell>
        </row>
        <row r="93">
          <cell r="E93">
            <v>4329172.6899999995</v>
          </cell>
        </row>
      </sheetData>
      <sheetData sheetId="10"/>
      <sheetData sheetId="11"/>
      <sheetData sheetId="12"/>
      <sheetData sheetId="13"/>
      <sheetData sheetId="14"/>
      <sheetData sheetId="15"/>
      <sheetData sheetId="16"/>
      <sheetData sheetId="17">
        <row r="15">
          <cell r="D15">
            <v>319272</v>
          </cell>
        </row>
        <row r="16">
          <cell r="D16">
            <v>7401030.2400000002</v>
          </cell>
        </row>
      </sheetData>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zmeny"/>
      <sheetName val="Vysvetlivky"/>
      <sheetName val="Súvzťažnosti"/>
      <sheetName val="Kódy z CRŠ"/>
      <sheetName val="T1-Dotácie podľa DZ"/>
      <sheetName val="T2-Ostatné dot mimo MŠ SR"/>
      <sheetName val="T3-Výnosy"/>
      <sheetName val="T4-Výnosy zo školného"/>
      <sheetName val="T5 - Analýza nákladov"/>
      <sheetName val="T6-Zamestnanci_a_mzdy"/>
      <sheetName val="T6a-Zamestnanci_a_mzdy (ženy)"/>
      <sheetName val="T7_Doktorandi "/>
      <sheetName val="T7_Doktorandi-pôv "/>
      <sheetName val="T8-Soc_štipendiá"/>
      <sheetName val="T9_ŠD "/>
      <sheetName val="T10-ŠJ "/>
      <sheetName val="T11-Zdroje KV"/>
      <sheetName val="T12-KV"/>
      <sheetName val="T13-Fondy"/>
      <sheetName val="T16 - Štruktúra hotovosti"/>
      <sheetName val="T17-Dotácie zo ŠF EU"/>
      <sheetName val="T18-Ostatné dotacie z kap MŠ SR"/>
      <sheetName val="T19-Štip_ z vlastných "/>
      <sheetName val="T20_motivačné štipendiá_nová"/>
      <sheetName val="T21-štruktúra_384"/>
      <sheetName val="T22_Výnosy_soc_oblasť"/>
      <sheetName val="T23_Náklady_soc_oblasť"/>
      <sheetName val="T24__Aktív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42">
          <cell r="D42">
            <v>1730410.9599999997</v>
          </cell>
          <cell r="E42">
            <v>1899068.68</v>
          </cell>
          <cell r="F42">
            <v>168657.72000000006</v>
          </cell>
        </row>
      </sheetData>
      <sheetData sheetId="28" refreshError="1"/>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5">
    <tabColor indexed="42"/>
    <pageSetUpPr fitToPage="1"/>
  </sheetPr>
  <dimension ref="A1:E23"/>
  <sheetViews>
    <sheetView zoomScaleNormal="100" workbookViewId="0">
      <pane xSplit="2" ySplit="4" topLeftCell="C5" activePane="bottomRight" state="frozen"/>
      <selection pane="topRight" activeCell="C1" sqref="C1"/>
      <selection pane="bottomLeft" activeCell="A5" sqref="A5"/>
      <selection pane="bottomRight" activeCell="B5" sqref="B5"/>
    </sheetView>
  </sheetViews>
  <sheetFormatPr defaultRowHeight="15.75" x14ac:dyDescent="0.2"/>
  <cols>
    <col min="1" max="1" width="9.140625" style="144" customWidth="1"/>
    <col min="2" max="2" width="77.85546875" style="145" customWidth="1"/>
    <col min="3" max="5" width="17.42578125" style="22" customWidth="1"/>
    <col min="6" max="6" width="12.42578125" style="22" customWidth="1"/>
    <col min="7" max="16384" width="9.140625" style="22"/>
  </cols>
  <sheetData>
    <row r="1" spans="1:5" s="134" customFormat="1" ht="87" customHeight="1" thickBot="1" x14ac:dyDescent="0.25">
      <c r="A1" s="464" t="s">
        <v>703</v>
      </c>
      <c r="B1" s="465"/>
      <c r="C1" s="465"/>
      <c r="D1" s="465"/>
      <c r="E1" s="466"/>
    </row>
    <row r="2" spans="1:5" s="134" customFormat="1" ht="35.1" customHeight="1" x14ac:dyDescent="0.2">
      <c r="A2" s="467" t="s">
        <v>788</v>
      </c>
      <c r="B2" s="468"/>
      <c r="C2" s="468"/>
      <c r="D2" s="468"/>
      <c r="E2" s="469"/>
    </row>
    <row r="3" spans="1:5" ht="43.5" customHeight="1" x14ac:dyDescent="0.2">
      <c r="A3" s="28" t="s">
        <v>134</v>
      </c>
      <c r="B3" s="126" t="s">
        <v>133</v>
      </c>
      <c r="C3" s="129" t="s">
        <v>193</v>
      </c>
      <c r="D3" s="129" t="s">
        <v>194</v>
      </c>
      <c r="E3" s="6" t="s">
        <v>137</v>
      </c>
    </row>
    <row r="4" spans="1:5" ht="17.25" customHeight="1" x14ac:dyDescent="0.2">
      <c r="A4" s="7"/>
      <c r="B4" s="10"/>
      <c r="C4" s="2" t="s">
        <v>178</v>
      </c>
      <c r="D4" s="2" t="s">
        <v>179</v>
      </c>
      <c r="E4" s="3" t="s">
        <v>13</v>
      </c>
    </row>
    <row r="5" spans="1:5" x14ac:dyDescent="0.2">
      <c r="A5" s="7">
        <v>1</v>
      </c>
      <c r="B5" s="10" t="s">
        <v>235</v>
      </c>
      <c r="C5" s="135">
        <f>C6</f>
        <v>17335374</v>
      </c>
      <c r="D5" s="135">
        <f>D6</f>
        <v>150000</v>
      </c>
      <c r="E5" s="101">
        <f t="shared" ref="E5:E6" si="0">SUM(C5:D5)</f>
        <v>17485374</v>
      </c>
    </row>
    <row r="6" spans="1:5" x14ac:dyDescent="0.2">
      <c r="A6" s="7">
        <f>A5+1</f>
        <v>2</v>
      </c>
      <c r="B6" s="9" t="s">
        <v>163</v>
      </c>
      <c r="C6" s="97">
        <v>17335374</v>
      </c>
      <c r="D6" s="97">
        <v>150000</v>
      </c>
      <c r="E6" s="101">
        <f t="shared" si="0"/>
        <v>17485374</v>
      </c>
    </row>
    <row r="7" spans="1:5" ht="15.75" customHeight="1" x14ac:dyDescent="0.2">
      <c r="A7" s="7">
        <f>A6+1</f>
        <v>3</v>
      </c>
      <c r="B7" s="10" t="s">
        <v>236</v>
      </c>
      <c r="C7" s="135">
        <f>SUM(C8:C12)</f>
        <v>11545462</v>
      </c>
      <c r="D7" s="135">
        <f>SUM(D8:D12)</f>
        <v>0</v>
      </c>
      <c r="E7" s="101">
        <f>SUM(C7:D7)</f>
        <v>11545462</v>
      </c>
    </row>
    <row r="8" spans="1:5" x14ac:dyDescent="0.2">
      <c r="A8" s="7">
        <f t="shared" ref="A8:A19" si="1">A7+1</f>
        <v>4</v>
      </c>
      <c r="B8" s="9" t="s">
        <v>164</v>
      </c>
      <c r="C8" s="97">
        <v>10452964</v>
      </c>
      <c r="D8" s="136" t="s">
        <v>200</v>
      </c>
      <c r="E8" s="101">
        <f t="shared" ref="E8:E19" si="2">SUM(C8:D8)</f>
        <v>10452964</v>
      </c>
    </row>
    <row r="9" spans="1:5" x14ac:dyDescent="0.2">
      <c r="A9" s="7">
        <f t="shared" si="1"/>
        <v>5</v>
      </c>
      <c r="B9" s="9" t="s">
        <v>165</v>
      </c>
      <c r="C9" s="97">
        <v>904670</v>
      </c>
      <c r="D9" s="136" t="s">
        <v>200</v>
      </c>
      <c r="E9" s="101">
        <f t="shared" si="2"/>
        <v>904670</v>
      </c>
    </row>
    <row r="10" spans="1:5" x14ac:dyDescent="0.2">
      <c r="A10" s="7">
        <f t="shared" si="1"/>
        <v>6</v>
      </c>
      <c r="B10" s="9" t="s">
        <v>166</v>
      </c>
      <c r="C10" s="136" t="s">
        <v>200</v>
      </c>
      <c r="D10" s="136" t="s">
        <v>200</v>
      </c>
      <c r="E10" s="101">
        <f t="shared" si="2"/>
        <v>0</v>
      </c>
    </row>
    <row r="11" spans="1:5" x14ac:dyDescent="0.2">
      <c r="A11" s="7">
        <f t="shared" si="1"/>
        <v>7</v>
      </c>
      <c r="B11" s="9" t="s">
        <v>167</v>
      </c>
      <c r="C11" s="136" t="s">
        <v>200</v>
      </c>
      <c r="D11" s="136" t="s">
        <v>200</v>
      </c>
      <c r="E11" s="101">
        <f t="shared" si="2"/>
        <v>0</v>
      </c>
    </row>
    <row r="12" spans="1:5" x14ac:dyDescent="0.2">
      <c r="A12" s="7">
        <f t="shared" si="1"/>
        <v>8</v>
      </c>
      <c r="B12" s="9" t="s">
        <v>94</v>
      </c>
      <c r="C12" s="97">
        <v>187828</v>
      </c>
      <c r="D12" s="136" t="s">
        <v>200</v>
      </c>
      <c r="E12" s="101">
        <f t="shared" si="2"/>
        <v>187828</v>
      </c>
    </row>
    <row r="13" spans="1:5" ht="15.75" customHeight="1" x14ac:dyDescent="0.2">
      <c r="A13" s="7">
        <f t="shared" si="1"/>
        <v>9</v>
      </c>
      <c r="B13" s="10" t="s">
        <v>237</v>
      </c>
      <c r="C13" s="135">
        <f>C14</f>
        <v>267300</v>
      </c>
      <c r="D13" s="135">
        <f>D14</f>
        <v>169272</v>
      </c>
      <c r="E13" s="101">
        <f t="shared" si="2"/>
        <v>436572</v>
      </c>
    </row>
    <row r="14" spans="1:5" x14ac:dyDescent="0.2">
      <c r="A14" s="7">
        <f t="shared" si="1"/>
        <v>10</v>
      </c>
      <c r="B14" s="9" t="s">
        <v>95</v>
      </c>
      <c r="C14" s="97">
        <v>267300</v>
      </c>
      <c r="D14" s="97">
        <v>169272</v>
      </c>
      <c r="E14" s="101">
        <f t="shared" si="2"/>
        <v>436572</v>
      </c>
    </row>
    <row r="15" spans="1:5" x14ac:dyDescent="0.2">
      <c r="A15" s="7">
        <f t="shared" si="1"/>
        <v>11</v>
      </c>
      <c r="B15" s="10" t="s">
        <v>238</v>
      </c>
      <c r="C15" s="135">
        <f>SUM(C16:C18)</f>
        <v>2138978</v>
      </c>
      <c r="D15" s="135">
        <f>SUM(D16:D18)</f>
        <v>0</v>
      </c>
      <c r="E15" s="101">
        <f t="shared" si="2"/>
        <v>2138978</v>
      </c>
    </row>
    <row r="16" spans="1:5" x14ac:dyDescent="0.2">
      <c r="A16" s="7">
        <f t="shared" si="1"/>
        <v>12</v>
      </c>
      <c r="B16" s="9" t="s">
        <v>96</v>
      </c>
      <c r="C16" s="97">
        <v>791989</v>
      </c>
      <c r="D16" s="136" t="s">
        <v>200</v>
      </c>
      <c r="E16" s="101">
        <f t="shared" si="2"/>
        <v>791989</v>
      </c>
    </row>
    <row r="17" spans="1:5" x14ac:dyDescent="0.2">
      <c r="A17" s="7">
        <f t="shared" si="1"/>
        <v>13</v>
      </c>
      <c r="B17" s="9" t="s">
        <v>97</v>
      </c>
      <c r="C17" s="97">
        <v>338751</v>
      </c>
      <c r="D17" s="136" t="s">
        <v>200</v>
      </c>
      <c r="E17" s="101">
        <f t="shared" si="2"/>
        <v>338751</v>
      </c>
    </row>
    <row r="18" spans="1:5" x14ac:dyDescent="0.2">
      <c r="A18" s="7">
        <f t="shared" si="1"/>
        <v>14</v>
      </c>
      <c r="B18" s="9" t="s">
        <v>98</v>
      </c>
      <c r="C18" s="97">
        <v>1008238</v>
      </c>
      <c r="D18" s="136" t="s">
        <v>200</v>
      </c>
      <c r="E18" s="101">
        <f t="shared" si="2"/>
        <v>1008238</v>
      </c>
    </row>
    <row r="19" spans="1:5" ht="16.5" thickBot="1" x14ac:dyDescent="0.25">
      <c r="A19" s="47">
        <f t="shared" si="1"/>
        <v>15</v>
      </c>
      <c r="B19" s="11" t="s">
        <v>239</v>
      </c>
      <c r="C19" s="137">
        <f>C5+C7+C13+C15</f>
        <v>31287114</v>
      </c>
      <c r="D19" s="137">
        <f>D5+D7+D13+D15</f>
        <v>319272</v>
      </c>
      <c r="E19" s="138">
        <f t="shared" si="2"/>
        <v>31606386</v>
      </c>
    </row>
    <row r="20" spans="1:5" x14ac:dyDescent="0.2">
      <c r="A20" s="139"/>
      <c r="B20" s="140"/>
      <c r="C20" s="141"/>
      <c r="D20" s="141"/>
    </row>
    <row r="21" spans="1:5" x14ac:dyDescent="0.2">
      <c r="A21" s="142"/>
      <c r="B21" s="143"/>
    </row>
    <row r="23" spans="1:5" x14ac:dyDescent="0.2">
      <c r="B23" s="145" t="s">
        <v>99</v>
      </c>
    </row>
  </sheetData>
  <sheetProtection selectLockedCells="1"/>
  <protectedRanges>
    <protectedRange sqref="C16 C14:D14 C6:D6 C18 C8:D12 D16:D18" name="Rozsah2"/>
    <protectedRange sqref="C19:D19" name="Rozsah1"/>
  </protectedRanges>
  <mergeCells count="2">
    <mergeCell ref="A1:E1"/>
    <mergeCell ref="A2:E2"/>
  </mergeCells>
  <phoneticPr fontId="0" type="noConversion"/>
  <printOptions gridLines="1"/>
  <pageMargins left="0.74803149606299213" right="0.74803149606299213" top="0.98425196850393704" bottom="0.98425196850393704" header="0.51181102362204722" footer="0.51181102362204722"/>
  <pageSetup paperSize="9" scale="6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3">
    <tabColor indexed="42"/>
    <pageSetUpPr fitToPage="1"/>
  </sheetPr>
  <dimension ref="A1:H21"/>
  <sheetViews>
    <sheetView workbookViewId="0">
      <pane xSplit="2" ySplit="5" topLeftCell="C6" activePane="bottomRight" state="frozen"/>
      <selection pane="topRight" activeCell="C1" sqref="C1"/>
      <selection pane="bottomLeft" activeCell="A6" sqref="A6"/>
      <selection pane="bottomRight" activeCell="F8" sqref="F8"/>
    </sheetView>
  </sheetViews>
  <sheetFormatPr defaultRowHeight="12.75" x14ac:dyDescent="0.2"/>
  <cols>
    <col min="1" max="1" width="8.28515625" style="274" customWidth="1"/>
    <col min="2" max="2" width="77.7109375" style="274" customWidth="1"/>
    <col min="3" max="3" width="15.85546875" style="274" customWidth="1"/>
    <col min="4" max="6" width="14.7109375" style="274" customWidth="1"/>
    <col min="7" max="16384" width="9.140625" style="274"/>
  </cols>
  <sheetData>
    <row r="1" spans="1:8" ht="50.1" customHeight="1" x14ac:dyDescent="0.2">
      <c r="A1" s="564" t="s">
        <v>713</v>
      </c>
      <c r="B1" s="565"/>
      <c r="C1" s="565"/>
      <c r="D1" s="565"/>
      <c r="E1" s="565"/>
      <c r="F1" s="566"/>
      <c r="H1" s="275"/>
    </row>
    <row r="2" spans="1:8" ht="33" customHeight="1" x14ac:dyDescent="0.2">
      <c r="A2" s="569" t="s">
        <v>868</v>
      </c>
      <c r="B2" s="570"/>
      <c r="C2" s="570"/>
      <c r="D2" s="570"/>
      <c r="E2" s="570"/>
      <c r="F2" s="571"/>
    </row>
    <row r="3" spans="1:8" ht="18.75" customHeight="1" x14ac:dyDescent="0.2">
      <c r="A3" s="556" t="s">
        <v>134</v>
      </c>
      <c r="B3" s="524" t="s">
        <v>213</v>
      </c>
      <c r="C3" s="521" t="s">
        <v>584</v>
      </c>
      <c r="D3" s="521"/>
      <c r="E3" s="521" t="s">
        <v>231</v>
      </c>
      <c r="F3" s="568"/>
    </row>
    <row r="4" spans="1:8" ht="18.75" customHeight="1" x14ac:dyDescent="0.2">
      <c r="A4" s="567"/>
      <c r="B4" s="524"/>
      <c r="C4" s="5">
        <v>2016</v>
      </c>
      <c r="D4" s="5">
        <v>2017</v>
      </c>
      <c r="E4" s="129">
        <v>2016</v>
      </c>
      <c r="F4" s="130">
        <v>2017</v>
      </c>
    </row>
    <row r="5" spans="1:8" ht="15.75" x14ac:dyDescent="0.2">
      <c r="A5" s="7"/>
      <c r="B5" s="45"/>
      <c r="C5" s="1" t="s">
        <v>178</v>
      </c>
      <c r="D5" s="1" t="s">
        <v>179</v>
      </c>
      <c r="E5" s="1" t="s">
        <v>180</v>
      </c>
      <c r="F5" s="16" t="s">
        <v>186</v>
      </c>
    </row>
    <row r="6" spans="1:8" ht="31.5" x14ac:dyDescent="0.2">
      <c r="A6" s="7">
        <v>1</v>
      </c>
      <c r="B6" s="10" t="s">
        <v>551</v>
      </c>
      <c r="C6" s="276" t="s">
        <v>200</v>
      </c>
      <c r="D6" s="276" t="s">
        <v>200</v>
      </c>
      <c r="E6" s="277">
        <v>1951</v>
      </c>
      <c r="F6" s="278">
        <v>1951</v>
      </c>
    </row>
    <row r="7" spans="1:8" ht="37.5" x14ac:dyDescent="0.2">
      <c r="A7" s="7">
        <f>A6+1</f>
        <v>2</v>
      </c>
      <c r="B7" s="10" t="s">
        <v>224</v>
      </c>
      <c r="C7" s="276" t="s">
        <v>200</v>
      </c>
      <c r="D7" s="276" t="s">
        <v>200</v>
      </c>
      <c r="E7" s="277">
        <v>18666</v>
      </c>
      <c r="F7" s="278">
        <v>18400</v>
      </c>
    </row>
    <row r="8" spans="1:8" ht="15.75" x14ac:dyDescent="0.2">
      <c r="A8" s="7">
        <v>3</v>
      </c>
      <c r="B8" s="14" t="s">
        <v>168</v>
      </c>
      <c r="C8" s="276" t="s">
        <v>200</v>
      </c>
      <c r="D8" s="276" t="s">
        <v>200</v>
      </c>
      <c r="E8" s="149">
        <f>E7/12</f>
        <v>1555.5</v>
      </c>
      <c r="F8" s="150">
        <f>F7/12</f>
        <v>1533.3333333333333</v>
      </c>
    </row>
    <row r="9" spans="1:8" ht="31.5" x14ac:dyDescent="0.2">
      <c r="A9" s="7">
        <f t="shared" ref="A9:A18" si="0">A8+1</f>
        <v>4</v>
      </c>
      <c r="B9" s="10" t="s">
        <v>234</v>
      </c>
      <c r="C9" s="97">
        <v>809640.42</v>
      </c>
      <c r="D9" s="199">
        <f>863555.93-D10</f>
        <v>836967.93</v>
      </c>
      <c r="E9" s="276" t="s">
        <v>200</v>
      </c>
      <c r="F9" s="279" t="s">
        <v>200</v>
      </c>
    </row>
    <row r="10" spans="1:8" ht="31.5" x14ac:dyDescent="0.2">
      <c r="A10" s="7">
        <f t="shared" si="0"/>
        <v>5</v>
      </c>
      <c r="B10" s="10" t="s">
        <v>241</v>
      </c>
      <c r="C10" s="97">
        <v>33340</v>
      </c>
      <c r="D10" s="97">
        <v>26588</v>
      </c>
      <c r="E10" s="12">
        <v>478</v>
      </c>
      <c r="F10" s="280">
        <v>385</v>
      </c>
    </row>
    <row r="11" spans="1:8" ht="31.5" x14ac:dyDescent="0.2">
      <c r="A11" s="7">
        <f t="shared" si="0"/>
        <v>6</v>
      </c>
      <c r="B11" s="58" t="s">
        <v>737</v>
      </c>
      <c r="C11" s="154">
        <v>771373</v>
      </c>
      <c r="D11" s="154">
        <v>777976</v>
      </c>
      <c r="E11" s="276" t="s">
        <v>200</v>
      </c>
      <c r="F11" s="279" t="s">
        <v>200</v>
      </c>
    </row>
    <row r="12" spans="1:8" ht="15.75" x14ac:dyDescent="0.2">
      <c r="A12" s="7">
        <f t="shared" si="0"/>
        <v>7</v>
      </c>
      <c r="B12" s="10" t="s">
        <v>232</v>
      </c>
      <c r="C12" s="97">
        <v>14415.15</v>
      </c>
      <c r="D12" s="97">
        <v>43298.57</v>
      </c>
      <c r="E12" s="276" t="s">
        <v>200</v>
      </c>
      <c r="F12" s="279" t="s">
        <v>200</v>
      </c>
    </row>
    <row r="13" spans="1:8" ht="15.75" x14ac:dyDescent="0.2">
      <c r="A13" s="7">
        <f t="shared" si="0"/>
        <v>8</v>
      </c>
      <c r="B13" s="10" t="s">
        <v>242</v>
      </c>
      <c r="C13" s="152">
        <f>SUM(C9:C12)</f>
        <v>1628768.5699999998</v>
      </c>
      <c r="D13" s="152">
        <f>SUM(D9:D12)</f>
        <v>1684830.5000000002</v>
      </c>
      <c r="E13" s="276" t="s">
        <v>200</v>
      </c>
      <c r="F13" s="279" t="s">
        <v>200</v>
      </c>
    </row>
    <row r="14" spans="1:8" ht="15.75" x14ac:dyDescent="0.2">
      <c r="A14" s="7">
        <f t="shared" si="0"/>
        <v>9</v>
      </c>
      <c r="B14" s="10" t="s">
        <v>243</v>
      </c>
      <c r="C14" s="152">
        <f>C15+C16</f>
        <v>1254111.69</v>
      </c>
      <c r="D14" s="152">
        <f>D15+D16</f>
        <v>1343136.25</v>
      </c>
      <c r="E14" s="276" t="s">
        <v>200</v>
      </c>
      <c r="F14" s="279" t="s">
        <v>200</v>
      </c>
    </row>
    <row r="15" spans="1:8" ht="15.75" x14ac:dyDescent="0.2">
      <c r="A15" s="7">
        <f t="shared" si="0"/>
        <v>10</v>
      </c>
      <c r="B15" s="9" t="s">
        <v>25</v>
      </c>
      <c r="C15" s="97">
        <v>536895.73</v>
      </c>
      <c r="D15" s="97">
        <v>636213.81000000006</v>
      </c>
      <c r="E15" s="276" t="s">
        <v>200</v>
      </c>
      <c r="F15" s="279" t="s">
        <v>200</v>
      </c>
    </row>
    <row r="16" spans="1:8" ht="15.75" x14ac:dyDescent="0.2">
      <c r="A16" s="7">
        <f t="shared" si="0"/>
        <v>11</v>
      </c>
      <c r="B16" s="9" t="s">
        <v>26</v>
      </c>
      <c r="C16" s="97">
        <v>717215.96</v>
      </c>
      <c r="D16" s="97">
        <v>706922.44</v>
      </c>
      <c r="E16" s="276" t="s">
        <v>200</v>
      </c>
      <c r="F16" s="279" t="s">
        <v>200</v>
      </c>
    </row>
    <row r="17" spans="1:6" ht="31.5" x14ac:dyDescent="0.2">
      <c r="A17" s="7">
        <f t="shared" si="0"/>
        <v>12</v>
      </c>
      <c r="B17" s="10" t="s">
        <v>244</v>
      </c>
      <c r="C17" s="152">
        <f>+C13-C14</f>
        <v>374656.87999999989</v>
      </c>
      <c r="D17" s="152">
        <f>+D13-D14</f>
        <v>341694.25000000023</v>
      </c>
      <c r="E17" s="276" t="s">
        <v>200</v>
      </c>
      <c r="F17" s="279" t="s">
        <v>200</v>
      </c>
    </row>
    <row r="18" spans="1:6" ht="16.5" thickBot="1" x14ac:dyDescent="0.25">
      <c r="A18" s="47">
        <f t="shared" si="0"/>
        <v>13</v>
      </c>
      <c r="B18" s="20" t="s">
        <v>245</v>
      </c>
      <c r="C18" s="175">
        <f>IF(E8=0,0,C14/E8)</f>
        <v>806.2434522661523</v>
      </c>
      <c r="D18" s="175">
        <f>IF(F8=0,0,D14/F8)</f>
        <v>875.95842391304348</v>
      </c>
      <c r="E18" s="281" t="s">
        <v>200</v>
      </c>
      <c r="F18" s="282" t="s">
        <v>200</v>
      </c>
    </row>
    <row r="20" spans="1:6" ht="15" x14ac:dyDescent="0.2">
      <c r="A20" s="541" t="s">
        <v>233</v>
      </c>
      <c r="B20" s="542"/>
      <c r="C20" s="542"/>
      <c r="D20" s="542"/>
      <c r="E20" s="542"/>
      <c r="F20" s="543"/>
    </row>
    <row r="21" spans="1:6" ht="35.25" customHeight="1" x14ac:dyDescent="0.2">
      <c r="A21" s="561" t="s">
        <v>40</v>
      </c>
      <c r="B21" s="562"/>
      <c r="C21" s="562"/>
      <c r="D21" s="562"/>
      <c r="E21" s="562"/>
      <c r="F21" s="563"/>
    </row>
  </sheetData>
  <mergeCells count="8">
    <mergeCell ref="A21:F21"/>
    <mergeCell ref="A1:F1"/>
    <mergeCell ref="A3:A4"/>
    <mergeCell ref="B3:B4"/>
    <mergeCell ref="C3:D3"/>
    <mergeCell ref="E3:F3"/>
    <mergeCell ref="A2:F2"/>
    <mergeCell ref="A20:F20"/>
  </mergeCells>
  <phoneticPr fontId="6" type="noConversion"/>
  <pageMargins left="0.66" right="0.45" top="0.98425196850393704" bottom="0.77" header="0.51181102362204722" footer="0.51181102362204722"/>
  <pageSetup paperSize="9" scale="94"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F29"/>
  <sheetViews>
    <sheetView zoomScaleNormal="100" workbookViewId="0">
      <pane xSplit="2" ySplit="4" topLeftCell="C5" activePane="bottomRight" state="frozen"/>
      <selection pane="topRight" activeCell="C1" sqref="C1"/>
      <selection pane="bottomLeft" activeCell="A5" sqref="A5"/>
      <selection pane="bottomRight" activeCell="H7" sqref="H7"/>
    </sheetView>
  </sheetViews>
  <sheetFormatPr defaultRowHeight="15.75" x14ac:dyDescent="0.25"/>
  <cols>
    <col min="1" max="1" width="8.140625" style="108" customWidth="1"/>
    <col min="2" max="2" width="88" style="303" customWidth="1"/>
    <col min="3" max="3" width="18.7109375" style="108" customWidth="1"/>
    <col min="4" max="4" width="18.5703125" style="108" customWidth="1"/>
    <col min="5" max="5" width="11.42578125" style="107" customWidth="1"/>
    <col min="6" max="16384" width="9.140625" style="108"/>
  </cols>
  <sheetData>
    <row r="1" spans="1:6" ht="50.1" customHeight="1" thickBot="1" x14ac:dyDescent="0.3">
      <c r="A1" s="580" t="s">
        <v>838</v>
      </c>
      <c r="B1" s="581"/>
      <c r="C1" s="581"/>
      <c r="D1" s="582"/>
      <c r="E1" s="283"/>
    </row>
    <row r="2" spans="1:6" ht="29.25" customHeight="1" x14ac:dyDescent="0.25">
      <c r="A2" s="583" t="s">
        <v>869</v>
      </c>
      <c r="B2" s="584"/>
      <c r="C2" s="584"/>
      <c r="D2" s="585"/>
    </row>
    <row r="3" spans="1:6" ht="33" customHeight="1" x14ac:dyDescent="0.25">
      <c r="A3" s="284" t="s">
        <v>134</v>
      </c>
      <c r="B3" s="285" t="s">
        <v>213</v>
      </c>
      <c r="C3" s="286">
        <v>2016</v>
      </c>
      <c r="D3" s="287">
        <v>2017</v>
      </c>
    </row>
    <row r="4" spans="1:6" x14ac:dyDescent="0.25">
      <c r="A4" s="288"/>
      <c r="B4" s="289"/>
      <c r="C4" s="103" t="s">
        <v>178</v>
      </c>
      <c r="D4" s="104" t="s">
        <v>179</v>
      </c>
    </row>
    <row r="5" spans="1:6" ht="18.75" x14ac:dyDescent="0.25">
      <c r="A5" s="110">
        <v>1</v>
      </c>
      <c r="B5" s="290" t="s">
        <v>839</v>
      </c>
      <c r="C5" s="291">
        <f>+C6+C9</f>
        <v>387300.72</v>
      </c>
      <c r="D5" s="292">
        <f>D6+D9</f>
        <v>436850.8</v>
      </c>
    </row>
    <row r="6" spans="1:6" ht="18.75" customHeight="1" x14ac:dyDescent="0.25">
      <c r="A6" s="110">
        <f t="shared" ref="A6:A13" si="0">A5+1</f>
        <v>2</v>
      </c>
      <c r="B6" s="290" t="s">
        <v>840</v>
      </c>
      <c r="C6" s="291">
        <f>+C7+C8</f>
        <v>233480.72</v>
      </c>
      <c r="D6" s="292">
        <f>+D7+D8</f>
        <v>259240.8</v>
      </c>
    </row>
    <row r="7" spans="1:6" x14ac:dyDescent="0.25">
      <c r="A7" s="110">
        <f t="shared" si="0"/>
        <v>3</v>
      </c>
      <c r="B7" s="109" t="s">
        <v>841</v>
      </c>
      <c r="C7" s="105">
        <v>233480.72</v>
      </c>
      <c r="D7" s="106">
        <v>255396.56</v>
      </c>
    </row>
    <row r="8" spans="1:6" x14ac:dyDescent="0.25">
      <c r="A8" s="110">
        <f t="shared" si="0"/>
        <v>4</v>
      </c>
      <c r="B8" s="109" t="s">
        <v>842</v>
      </c>
      <c r="C8" s="105"/>
      <c r="D8" s="106">
        <v>3844.24</v>
      </c>
    </row>
    <row r="9" spans="1:6" x14ac:dyDescent="0.25">
      <c r="A9" s="110">
        <f t="shared" si="0"/>
        <v>5</v>
      </c>
      <c r="B9" s="290" t="s">
        <v>843</v>
      </c>
      <c r="C9" s="105">
        <f>+C10+C11-C12</f>
        <v>153820</v>
      </c>
      <c r="D9" s="106">
        <f>+D10+D11-D12</f>
        <v>177610</v>
      </c>
    </row>
    <row r="10" spans="1:6" ht="19.5" customHeight="1" x14ac:dyDescent="0.25">
      <c r="A10" s="110">
        <f t="shared" si="0"/>
        <v>6</v>
      </c>
      <c r="B10" s="109" t="s">
        <v>844</v>
      </c>
      <c r="C10" s="105">
        <v>34979.21</v>
      </c>
      <c r="D10" s="106">
        <f>C12</f>
        <v>73292.209999999992</v>
      </c>
      <c r="E10" s="572"/>
      <c r="F10" s="573"/>
    </row>
    <row r="11" spans="1:6" x14ac:dyDescent="0.25">
      <c r="A11" s="110">
        <f t="shared" si="0"/>
        <v>7</v>
      </c>
      <c r="B11" s="109" t="s">
        <v>845</v>
      </c>
      <c r="C11" s="105">
        <v>192133</v>
      </c>
      <c r="D11" s="106">
        <v>200076</v>
      </c>
    </row>
    <row r="12" spans="1:6" x14ac:dyDescent="0.25">
      <c r="A12" s="110">
        <f t="shared" si="0"/>
        <v>8</v>
      </c>
      <c r="B12" s="109" t="s">
        <v>846</v>
      </c>
      <c r="C12" s="105">
        <f>C10+C11-C20</f>
        <v>73292.209999999992</v>
      </c>
      <c r="D12" s="106">
        <f>D10+D11-D20</f>
        <v>95758.209999999963</v>
      </c>
    </row>
    <row r="13" spans="1:6" ht="30" customHeight="1" x14ac:dyDescent="0.25">
      <c r="A13" s="110">
        <f t="shared" si="0"/>
        <v>9</v>
      </c>
      <c r="B13" s="290" t="s">
        <v>847</v>
      </c>
      <c r="C13" s="291">
        <v>396965.97</v>
      </c>
      <c r="D13" s="292">
        <v>457733.6</v>
      </c>
    </row>
    <row r="14" spans="1:6" x14ac:dyDescent="0.25">
      <c r="A14" s="110"/>
      <c r="B14" s="293" t="s">
        <v>192</v>
      </c>
      <c r="C14" s="105"/>
      <c r="D14" s="106"/>
    </row>
    <row r="15" spans="1:6" ht="18.75" x14ac:dyDescent="0.25">
      <c r="A15" s="110">
        <f>A13+1</f>
        <v>10</v>
      </c>
      <c r="B15" s="109" t="s">
        <v>848</v>
      </c>
      <c r="C15" s="105">
        <v>396965.97</v>
      </c>
      <c r="D15" s="106">
        <v>457733.6</v>
      </c>
    </row>
    <row r="16" spans="1:6" ht="30.75" customHeight="1" x14ac:dyDescent="0.25">
      <c r="A16" s="110">
        <f t="shared" ref="A16:A21" si="1">+A15+1</f>
        <v>11</v>
      </c>
      <c r="B16" s="290" t="s">
        <v>849</v>
      </c>
      <c r="C16" s="291">
        <f>C5-C13</f>
        <v>-9665.25</v>
      </c>
      <c r="D16" s="292">
        <f>D5-D13</f>
        <v>-20882.799999999988</v>
      </c>
    </row>
    <row r="17" spans="1:5" ht="18.75" x14ac:dyDescent="0.25">
      <c r="A17" s="110">
        <f t="shared" si="1"/>
        <v>12</v>
      </c>
      <c r="B17" s="290" t="s">
        <v>850</v>
      </c>
      <c r="C17" s="291">
        <f>C18+C19</f>
        <v>153820</v>
      </c>
      <c r="D17" s="292">
        <f>D18+D19</f>
        <v>177610</v>
      </c>
    </row>
    <row r="18" spans="1:5" x14ac:dyDescent="0.25">
      <c r="A18" s="110">
        <f t="shared" si="1"/>
        <v>13</v>
      </c>
      <c r="B18" s="293" t="s">
        <v>851</v>
      </c>
      <c r="C18" s="294">
        <v>153820</v>
      </c>
      <c r="D18" s="295">
        <v>177610</v>
      </c>
    </row>
    <row r="19" spans="1:5" ht="18.75" x14ac:dyDescent="0.25">
      <c r="A19" s="110">
        <f>+A18+1</f>
        <v>14</v>
      </c>
      <c r="B19" s="293" t="s">
        <v>852</v>
      </c>
      <c r="C19" s="291"/>
      <c r="D19" s="296"/>
    </row>
    <row r="20" spans="1:5" x14ac:dyDescent="0.25">
      <c r="A20" s="110">
        <f>+A19+1</f>
        <v>15</v>
      </c>
      <c r="B20" s="290" t="s">
        <v>853</v>
      </c>
      <c r="C20" s="291">
        <f>(C18*1+C19*1)</f>
        <v>153820</v>
      </c>
      <c r="D20" s="292">
        <f>(D18*1+D19*1)</f>
        <v>177610</v>
      </c>
    </row>
    <row r="21" spans="1:5" ht="15" customHeight="1" thickBot="1" x14ac:dyDescent="0.3">
      <c r="A21" s="111">
        <f t="shared" si="1"/>
        <v>16</v>
      </c>
      <c r="B21" s="297" t="s">
        <v>854</v>
      </c>
      <c r="C21" s="298">
        <f>IF(C18=0,0,C15/C18)</f>
        <v>2.5807175269795866</v>
      </c>
      <c r="D21" s="299">
        <f>IF(D18=0,0,D15/D18)</f>
        <v>2.5771837171330443</v>
      </c>
    </row>
    <row r="22" spans="1:5" x14ac:dyDescent="0.25">
      <c r="A22" s="112"/>
      <c r="B22" s="113"/>
      <c r="C22" s="114"/>
      <c r="D22" s="114"/>
    </row>
    <row r="23" spans="1:5" s="301" customFormat="1" x14ac:dyDescent="0.25">
      <c r="A23" s="586" t="s">
        <v>855</v>
      </c>
      <c r="B23" s="587"/>
      <c r="C23" s="587"/>
      <c r="D23" s="588"/>
      <c r="E23" s="300"/>
    </row>
    <row r="24" spans="1:5" s="301" customFormat="1" x14ac:dyDescent="0.25">
      <c r="A24" s="574" t="s">
        <v>856</v>
      </c>
      <c r="B24" s="575"/>
      <c r="C24" s="575"/>
      <c r="D24" s="576"/>
      <c r="E24" s="300"/>
    </row>
    <row r="25" spans="1:5" s="301" customFormat="1" x14ac:dyDescent="0.25">
      <c r="A25" s="574" t="s">
        <v>857</v>
      </c>
      <c r="B25" s="575"/>
      <c r="C25" s="575"/>
      <c r="D25" s="576"/>
      <c r="E25" s="300"/>
    </row>
    <row r="26" spans="1:5" s="301" customFormat="1" x14ac:dyDescent="0.25">
      <c r="A26" s="577" t="s">
        <v>858</v>
      </c>
      <c r="B26" s="578"/>
      <c r="C26" s="578"/>
      <c r="D26" s="579"/>
      <c r="E26" s="300"/>
    </row>
    <row r="27" spans="1:5" s="301" customFormat="1" x14ac:dyDescent="0.25">
      <c r="B27" s="302"/>
      <c r="E27" s="300"/>
    </row>
    <row r="28" spans="1:5" s="301" customFormat="1" x14ac:dyDescent="0.25">
      <c r="B28" s="302"/>
      <c r="E28" s="300"/>
    </row>
    <row r="29" spans="1:5" s="301" customFormat="1" x14ac:dyDescent="0.25">
      <c r="B29" s="302"/>
      <c r="E29" s="300"/>
    </row>
  </sheetData>
  <mergeCells count="7">
    <mergeCell ref="E10:F10"/>
    <mergeCell ref="A24:D24"/>
    <mergeCell ref="A25:D25"/>
    <mergeCell ref="A26:D26"/>
    <mergeCell ref="A1:D1"/>
    <mergeCell ref="A2:D2"/>
    <mergeCell ref="A23:D23"/>
  </mergeCells>
  <pageMargins left="0.74803149606299213" right="0.74803149606299213" top="0.59055118110236227" bottom="0.59055118110236227" header="0.51181102362204722" footer="0.51181102362204722"/>
  <pageSetup paperSize="9" scale="9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5">
    <tabColor indexed="42"/>
    <pageSetUpPr fitToPage="1"/>
  </sheetPr>
  <dimension ref="A1:I23"/>
  <sheetViews>
    <sheetView workbookViewId="0">
      <pane xSplit="2" ySplit="5" topLeftCell="C6" activePane="bottomRight" state="frozen"/>
      <selection pane="topRight" activeCell="C1" sqref="C1"/>
      <selection pane="bottomLeft" activeCell="A6" sqref="A6"/>
      <selection pane="bottomRight" activeCell="F12" sqref="F12"/>
    </sheetView>
  </sheetViews>
  <sheetFormatPr defaultRowHeight="15.75" x14ac:dyDescent="0.25"/>
  <cols>
    <col min="1" max="1" width="9.140625" style="43"/>
    <col min="2" max="2" width="88.7109375" style="310" customWidth="1"/>
    <col min="3" max="3" width="23.42578125" style="43" customWidth="1"/>
    <col min="4" max="4" width="24.42578125" style="43" customWidth="1"/>
    <col min="5" max="5" width="15.28515625" style="304" bestFit="1" customWidth="1"/>
    <col min="6" max="6" width="9.140625" style="304"/>
    <col min="7" max="16384" width="9.140625" style="43"/>
  </cols>
  <sheetData>
    <row r="1" spans="1:6" ht="50.1" customHeight="1" thickBot="1" x14ac:dyDescent="0.3">
      <c r="A1" s="464" t="s">
        <v>714</v>
      </c>
      <c r="B1" s="589"/>
      <c r="C1" s="589"/>
      <c r="D1" s="590"/>
    </row>
    <row r="2" spans="1:6" ht="27.75" customHeight="1" x14ac:dyDescent="0.25">
      <c r="A2" s="485" t="s">
        <v>869</v>
      </c>
      <c r="B2" s="486"/>
      <c r="C2" s="486"/>
      <c r="D2" s="487"/>
    </row>
    <row r="3" spans="1:6" ht="18.75" customHeight="1" x14ac:dyDescent="0.25">
      <c r="A3" s="488" t="s">
        <v>134</v>
      </c>
      <c r="B3" s="524" t="s">
        <v>213</v>
      </c>
      <c r="C3" s="517" t="s">
        <v>196</v>
      </c>
      <c r="D3" s="591"/>
    </row>
    <row r="4" spans="1:6" s="44" customFormat="1" ht="19.5" customHeight="1" x14ac:dyDescent="0.2">
      <c r="A4" s="488"/>
      <c r="B4" s="524"/>
      <c r="C4" s="129">
        <v>2016</v>
      </c>
      <c r="D4" s="130">
        <v>2017</v>
      </c>
      <c r="E4" s="305"/>
      <c r="F4" s="305"/>
    </row>
    <row r="5" spans="1:6" s="44" customFormat="1" x14ac:dyDescent="0.2">
      <c r="A5" s="7"/>
      <c r="B5" s="306"/>
      <c r="C5" s="129" t="s">
        <v>178</v>
      </c>
      <c r="D5" s="130" t="s">
        <v>179</v>
      </c>
      <c r="E5" s="305"/>
      <c r="F5" s="305"/>
    </row>
    <row r="6" spans="1:6" s="44" customFormat="1" x14ac:dyDescent="0.2">
      <c r="A6" s="24">
        <v>1</v>
      </c>
      <c r="B6" s="63" t="s">
        <v>136</v>
      </c>
      <c r="C6" s="135">
        <v>556078.66</v>
      </c>
      <c r="D6" s="101">
        <v>0</v>
      </c>
      <c r="E6" s="305"/>
      <c r="F6" s="305"/>
    </row>
    <row r="7" spans="1:6" s="44" customFormat="1" x14ac:dyDescent="0.2">
      <c r="A7" s="24">
        <f t="shared" ref="A7:A20" si="0">A6+1</f>
        <v>2</v>
      </c>
      <c r="B7" s="10" t="s">
        <v>103</v>
      </c>
      <c r="C7" s="135">
        <f>SUM(C8:C13)</f>
        <v>1152995.06</v>
      </c>
      <c r="D7" s="101">
        <f>SUM(D8:D13)</f>
        <v>1248313.0900000001</v>
      </c>
      <c r="E7" s="305"/>
      <c r="F7" s="305"/>
    </row>
    <row r="8" spans="1:6" s="44" customFormat="1" ht="18.75" x14ac:dyDescent="0.2">
      <c r="A8" s="24">
        <f t="shared" si="0"/>
        <v>3</v>
      </c>
      <c r="B8" s="62" t="s">
        <v>251</v>
      </c>
      <c r="C8" s="277"/>
      <c r="D8" s="196"/>
      <c r="E8" s="305"/>
      <c r="F8" s="305"/>
    </row>
    <row r="9" spans="1:6" s="44" customFormat="1" x14ac:dyDescent="0.2">
      <c r="A9" s="24">
        <f t="shared" si="0"/>
        <v>4</v>
      </c>
      <c r="B9" s="62" t="s">
        <v>254</v>
      </c>
      <c r="C9" s="154">
        <v>1131005.78</v>
      </c>
      <c r="D9" s="196">
        <v>1248313.0900000001</v>
      </c>
      <c r="E9" s="305"/>
      <c r="F9" s="305"/>
    </row>
    <row r="10" spans="1:6" s="44" customFormat="1" x14ac:dyDescent="0.2">
      <c r="A10" s="24">
        <f t="shared" si="0"/>
        <v>5</v>
      </c>
      <c r="B10" s="62" t="s">
        <v>672</v>
      </c>
      <c r="C10" s="277"/>
      <c r="D10" s="196"/>
      <c r="E10" s="305"/>
      <c r="F10" s="305"/>
    </row>
    <row r="11" spans="1:6" s="44" customFormat="1" x14ac:dyDescent="0.2">
      <c r="A11" s="24">
        <f t="shared" si="0"/>
        <v>6</v>
      </c>
      <c r="B11" s="62" t="s">
        <v>252</v>
      </c>
      <c r="C11" s="154">
        <v>21989.279999999999</v>
      </c>
      <c r="D11" s="196"/>
      <c r="E11" s="305"/>
      <c r="F11" s="305"/>
    </row>
    <row r="12" spans="1:6" s="44" customFormat="1" x14ac:dyDescent="0.2">
      <c r="A12" s="24">
        <f t="shared" si="0"/>
        <v>7</v>
      </c>
      <c r="B12" s="62" t="s">
        <v>253</v>
      </c>
      <c r="C12" s="277"/>
      <c r="D12" s="196"/>
      <c r="E12" s="305"/>
      <c r="F12" s="305"/>
    </row>
    <row r="13" spans="1:6" s="44" customFormat="1" ht="19.5" customHeight="1" x14ac:dyDescent="0.2">
      <c r="A13" s="24">
        <f t="shared" si="0"/>
        <v>8</v>
      </c>
      <c r="B13" s="62" t="s">
        <v>255</v>
      </c>
      <c r="C13" s="154"/>
      <c r="D13" s="196"/>
      <c r="E13" s="305"/>
      <c r="F13" s="305"/>
    </row>
    <row r="14" spans="1:6" s="44" customFormat="1" ht="21.75" customHeight="1" x14ac:dyDescent="0.2">
      <c r="A14" s="24">
        <f t="shared" si="0"/>
        <v>9</v>
      </c>
      <c r="B14" s="10" t="s">
        <v>22</v>
      </c>
      <c r="C14" s="135">
        <f>C6+C7</f>
        <v>1709073.7200000002</v>
      </c>
      <c r="D14" s="101">
        <f>D6+D7</f>
        <v>1248313.0900000001</v>
      </c>
      <c r="E14" s="305"/>
      <c r="F14" s="305"/>
    </row>
    <row r="15" spans="1:6" s="44" customFormat="1" ht="40.5" customHeight="1" x14ac:dyDescent="0.2">
      <c r="A15" s="24">
        <f t="shared" si="0"/>
        <v>10</v>
      </c>
      <c r="B15" s="10" t="s">
        <v>160</v>
      </c>
      <c r="C15" s="135">
        <v>499965</v>
      </c>
      <c r="D15" s="101">
        <v>319272</v>
      </c>
      <c r="E15" s="305"/>
      <c r="F15" s="305"/>
    </row>
    <row r="16" spans="1:6" s="44" customFormat="1" ht="31.5" x14ac:dyDescent="0.2">
      <c r="A16" s="24" t="s">
        <v>557</v>
      </c>
      <c r="B16" s="10" t="s">
        <v>592</v>
      </c>
      <c r="C16" s="135">
        <v>1738565.63</v>
      </c>
      <c r="D16" s="101">
        <v>7401030.2400000002</v>
      </c>
      <c r="E16" s="305"/>
      <c r="F16" s="305"/>
    </row>
    <row r="17" spans="1:9" s="44" customFormat="1" ht="28.5" customHeight="1" x14ac:dyDescent="0.2">
      <c r="A17" s="24">
        <f>A15+1</f>
        <v>11</v>
      </c>
      <c r="B17" s="10" t="s">
        <v>593</v>
      </c>
      <c r="C17" s="135">
        <v>453984.95</v>
      </c>
      <c r="D17" s="101">
        <f>299965+1086.72</f>
        <v>301051.71999999997</v>
      </c>
      <c r="E17" s="305"/>
      <c r="F17" s="305"/>
    </row>
    <row r="18" spans="1:9" s="44" customFormat="1" ht="23.25" customHeight="1" x14ac:dyDescent="0.2">
      <c r="A18" s="24">
        <f t="shared" si="0"/>
        <v>12</v>
      </c>
      <c r="B18" s="10" t="s">
        <v>159</v>
      </c>
      <c r="C18" s="307"/>
      <c r="D18" s="101"/>
      <c r="E18" s="305"/>
      <c r="F18" s="305"/>
    </row>
    <row r="19" spans="1:9" s="44" customFormat="1" ht="33" customHeight="1" x14ac:dyDescent="0.2">
      <c r="A19" s="24">
        <f t="shared" si="0"/>
        <v>13</v>
      </c>
      <c r="B19" s="10" t="s">
        <v>594</v>
      </c>
      <c r="C19" s="135">
        <v>4850436.75</v>
      </c>
      <c r="D19" s="101">
        <v>2274161.7400000002</v>
      </c>
      <c r="E19" s="305"/>
      <c r="F19" s="308"/>
    </row>
    <row r="20" spans="1:9" s="44" customFormat="1" ht="21" customHeight="1" thickBot="1" x14ac:dyDescent="0.25">
      <c r="A20" s="309">
        <f t="shared" si="0"/>
        <v>14</v>
      </c>
      <c r="B20" s="11" t="s">
        <v>42</v>
      </c>
      <c r="C20" s="159">
        <f>SUM(C14:C19)</f>
        <v>9252026.0500000007</v>
      </c>
      <c r="D20" s="138">
        <f>SUM(D14:D19)</f>
        <v>11543828.790000001</v>
      </c>
      <c r="E20" s="305"/>
      <c r="F20" s="305"/>
    </row>
    <row r="21" spans="1:9" ht="9" customHeight="1" x14ac:dyDescent="0.25"/>
    <row r="22" spans="1:9" ht="18" customHeight="1" x14ac:dyDescent="0.25">
      <c r="A22" s="541" t="s">
        <v>46</v>
      </c>
      <c r="B22" s="542"/>
      <c r="C22" s="542"/>
      <c r="D22" s="543"/>
    </row>
    <row r="23" spans="1:9" x14ac:dyDescent="0.25">
      <c r="A23" s="561" t="s">
        <v>7</v>
      </c>
      <c r="B23" s="562"/>
      <c r="C23" s="562"/>
      <c r="D23" s="563"/>
      <c r="E23" s="305"/>
      <c r="F23" s="305"/>
      <c r="G23" s="49"/>
      <c r="H23" s="49"/>
      <c r="I23" s="49"/>
    </row>
  </sheetData>
  <mergeCells count="7">
    <mergeCell ref="A23:D23"/>
    <mergeCell ref="A22:D22"/>
    <mergeCell ref="A1:D1"/>
    <mergeCell ref="A3:A4"/>
    <mergeCell ref="B3:B4"/>
    <mergeCell ref="C3:D3"/>
    <mergeCell ref="A2:D2"/>
  </mergeCells>
  <phoneticPr fontId="0" type="noConversion"/>
  <printOptions gridLines="1"/>
  <pageMargins left="0.74803149606299213" right="0.74803149606299213" top="0.98425196850393704" bottom="0.98425196850393704" header="0.51181102362204722" footer="0.51181102362204722"/>
  <pageSetup paperSize="9"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6">
    <tabColor indexed="42"/>
    <pageSetUpPr fitToPage="1"/>
  </sheetPr>
  <dimension ref="A1:K82"/>
  <sheetViews>
    <sheetView zoomScaleNormal="100" workbookViewId="0">
      <pane xSplit="2" ySplit="5" topLeftCell="C9" activePane="bottomRight" state="frozen"/>
      <selection pane="topRight" activeCell="C1" sqref="C1"/>
      <selection pane="bottomLeft" activeCell="A6" sqref="A6"/>
      <selection pane="bottomRight" activeCell="H34" sqref="H34"/>
    </sheetView>
  </sheetViews>
  <sheetFormatPr defaultRowHeight="15.75" x14ac:dyDescent="0.25"/>
  <cols>
    <col min="1" max="1" width="7.42578125" style="43" customWidth="1"/>
    <col min="2" max="2" width="51.5703125" style="310" customWidth="1"/>
    <col min="3" max="3" width="17" style="310" customWidth="1"/>
    <col min="4" max="4" width="18.140625" style="43" customWidth="1"/>
    <col min="5" max="5" width="18.5703125" style="43" customWidth="1"/>
    <col min="6" max="6" width="16.28515625" style="43" customWidth="1"/>
    <col min="7" max="7" width="15.28515625" style="43" customWidth="1"/>
    <col min="8" max="8" width="15.7109375" style="43" customWidth="1"/>
    <col min="9" max="9" width="20.140625" style="43" customWidth="1"/>
    <col min="10" max="10" width="9.85546875" style="43" customWidth="1"/>
    <col min="11" max="11" width="14.7109375" style="43" bestFit="1" customWidth="1"/>
    <col min="12" max="16384" width="9.140625" style="43"/>
  </cols>
  <sheetData>
    <row r="1" spans="1:9" ht="35.1" customHeight="1" thickBot="1" x14ac:dyDescent="0.3">
      <c r="A1" s="595" t="s">
        <v>715</v>
      </c>
      <c r="B1" s="596"/>
      <c r="C1" s="596"/>
      <c r="D1" s="596"/>
      <c r="E1" s="596"/>
      <c r="F1" s="596"/>
      <c r="G1" s="596"/>
      <c r="H1" s="596"/>
      <c r="I1" s="597"/>
    </row>
    <row r="2" spans="1:9" ht="35.1" customHeight="1" x14ac:dyDescent="0.25">
      <c r="A2" s="467" t="s">
        <v>869</v>
      </c>
      <c r="B2" s="468"/>
      <c r="C2" s="468"/>
      <c r="D2" s="468"/>
      <c r="E2" s="468"/>
      <c r="F2" s="468"/>
      <c r="G2" s="468"/>
      <c r="H2" s="468"/>
      <c r="I2" s="469"/>
    </row>
    <row r="3" spans="1:9" s="44" customFormat="1" ht="35.25" customHeight="1" x14ac:dyDescent="0.2">
      <c r="A3" s="557" t="s">
        <v>134</v>
      </c>
      <c r="B3" s="490" t="s">
        <v>213</v>
      </c>
      <c r="C3" s="598" t="s">
        <v>716</v>
      </c>
      <c r="D3" s="598" t="s">
        <v>717</v>
      </c>
      <c r="E3" s="490" t="s">
        <v>718</v>
      </c>
      <c r="F3" s="490" t="s">
        <v>113</v>
      </c>
      <c r="G3" s="490" t="s">
        <v>139</v>
      </c>
      <c r="H3" s="490" t="s">
        <v>566</v>
      </c>
      <c r="I3" s="593" t="s">
        <v>140</v>
      </c>
    </row>
    <row r="4" spans="1:9" s="44" customFormat="1" ht="72" customHeight="1" x14ac:dyDescent="0.2">
      <c r="A4" s="488"/>
      <c r="B4" s="524"/>
      <c r="C4" s="599"/>
      <c r="D4" s="599"/>
      <c r="E4" s="524"/>
      <c r="F4" s="524"/>
      <c r="G4" s="524"/>
      <c r="H4" s="524"/>
      <c r="I4" s="594"/>
    </row>
    <row r="5" spans="1:9" s="44" customFormat="1" x14ac:dyDescent="0.2">
      <c r="A5" s="7"/>
      <c r="B5" s="265"/>
      <c r="C5" s="19" t="s">
        <v>178</v>
      </c>
      <c r="D5" s="19" t="s">
        <v>179</v>
      </c>
      <c r="E5" s="1" t="s">
        <v>180</v>
      </c>
      <c r="F5" s="1" t="s">
        <v>186</v>
      </c>
      <c r="G5" s="1" t="s">
        <v>181</v>
      </c>
      <c r="H5" s="1" t="s">
        <v>182</v>
      </c>
      <c r="I5" s="41" t="s">
        <v>558</v>
      </c>
    </row>
    <row r="6" spans="1:9" s="44" customFormat="1" x14ac:dyDescent="0.2">
      <c r="A6" s="7">
        <v>1</v>
      </c>
      <c r="B6" s="17" t="s">
        <v>247</v>
      </c>
      <c r="C6" s="97"/>
      <c r="D6" s="97">
        <v>3346712.25</v>
      </c>
      <c r="E6" s="97">
        <f>E8</f>
        <v>22090</v>
      </c>
      <c r="F6" s="97">
        <v>158137.4</v>
      </c>
      <c r="G6" s="97"/>
      <c r="H6" s="97"/>
      <c r="I6" s="151">
        <f t="shared" ref="I6:I16" si="0">SUM(C6:H6)</f>
        <v>3526939.65</v>
      </c>
    </row>
    <row r="7" spans="1:9" s="44" customFormat="1" x14ac:dyDescent="0.2">
      <c r="A7" s="7"/>
      <c r="B7" s="311" t="s">
        <v>192</v>
      </c>
      <c r="C7" s="97"/>
      <c r="D7" s="97"/>
      <c r="E7" s="97"/>
      <c r="F7" s="97"/>
      <c r="G7" s="97"/>
      <c r="H7" s="97"/>
      <c r="I7" s="151"/>
    </row>
    <row r="8" spans="1:9" s="44" customFormat="1" x14ac:dyDescent="0.2">
      <c r="A8" s="7">
        <v>2</v>
      </c>
      <c r="B8" s="23" t="s">
        <v>23</v>
      </c>
      <c r="C8" s="97"/>
      <c r="D8" s="97">
        <v>1891056.52</v>
      </c>
      <c r="E8" s="97">
        <v>22090</v>
      </c>
      <c r="F8" s="97">
        <v>101503.51</v>
      </c>
      <c r="G8" s="97"/>
      <c r="H8" s="97"/>
      <c r="I8" s="151">
        <f t="shared" si="0"/>
        <v>2014650.03</v>
      </c>
    </row>
    <row r="9" spans="1:9" x14ac:dyDescent="0.25">
      <c r="A9" s="7">
        <v>3</v>
      </c>
      <c r="B9" s="17" t="s">
        <v>177</v>
      </c>
      <c r="C9" s="97"/>
      <c r="D9" s="97"/>
      <c r="E9" s="97"/>
      <c r="F9" s="97"/>
      <c r="G9" s="97"/>
      <c r="H9" s="97"/>
      <c r="I9" s="151">
        <f t="shared" si="0"/>
        <v>0</v>
      </c>
    </row>
    <row r="10" spans="1:9" ht="31.5" x14ac:dyDescent="0.25">
      <c r="A10" s="7">
        <v>4</v>
      </c>
      <c r="B10" s="17" t="s">
        <v>154</v>
      </c>
      <c r="C10" s="152">
        <f t="shared" ref="C10:H10" si="1">SUM(C11:C15)</f>
        <v>166794</v>
      </c>
      <c r="D10" s="152">
        <f t="shared" si="1"/>
        <v>1382029.7</v>
      </c>
      <c r="E10" s="152">
        <f t="shared" si="1"/>
        <v>131899.26</v>
      </c>
      <c r="F10" s="152">
        <f t="shared" si="1"/>
        <v>1203137.72</v>
      </c>
      <c r="G10" s="152">
        <f t="shared" si="1"/>
        <v>0</v>
      </c>
      <c r="H10" s="152">
        <f t="shared" si="1"/>
        <v>19420.05</v>
      </c>
      <c r="I10" s="151">
        <f t="shared" si="0"/>
        <v>2903280.7299999995</v>
      </c>
    </row>
    <row r="11" spans="1:9" x14ac:dyDescent="0.25">
      <c r="A11" s="7">
        <v>5</v>
      </c>
      <c r="B11" s="23" t="s">
        <v>227</v>
      </c>
      <c r="C11" s="97"/>
      <c r="D11" s="97">
        <v>952052.37</v>
      </c>
      <c r="E11" s="97">
        <v>6697.2</v>
      </c>
      <c r="F11" s="97">
        <v>1002160.39</v>
      </c>
      <c r="G11" s="97"/>
      <c r="H11" s="97"/>
      <c r="I11" s="151">
        <f t="shared" si="0"/>
        <v>1960909.96</v>
      </c>
    </row>
    <row r="12" spans="1:9" ht="31.5" x14ac:dyDescent="0.25">
      <c r="A12" s="7">
        <v>6</v>
      </c>
      <c r="B12" s="23" t="s">
        <v>689</v>
      </c>
      <c r="C12" s="97"/>
      <c r="D12" s="97"/>
      <c r="E12" s="97"/>
      <c r="F12" s="97"/>
      <c r="G12" s="97"/>
      <c r="H12" s="97"/>
      <c r="I12" s="151">
        <f t="shared" si="0"/>
        <v>0</v>
      </c>
    </row>
    <row r="13" spans="1:9" x14ac:dyDescent="0.25">
      <c r="A13" s="7">
        <v>7</v>
      </c>
      <c r="B13" s="23" t="s">
        <v>228</v>
      </c>
      <c r="C13" s="97">
        <v>166794</v>
      </c>
      <c r="D13" s="97">
        <v>429977.33</v>
      </c>
      <c r="E13" s="97">
        <v>49185</v>
      </c>
      <c r="F13" s="97">
        <v>5196</v>
      </c>
      <c r="G13" s="97"/>
      <c r="H13" s="97">
        <v>13820.85</v>
      </c>
      <c r="I13" s="151">
        <f t="shared" si="0"/>
        <v>664973.18000000005</v>
      </c>
    </row>
    <row r="14" spans="1:9" ht="31.5" x14ac:dyDescent="0.25">
      <c r="A14" s="7">
        <v>8</v>
      </c>
      <c r="B14" s="23" t="s">
        <v>229</v>
      </c>
      <c r="C14" s="97"/>
      <c r="D14" s="97"/>
      <c r="E14" s="97">
        <v>76017.06</v>
      </c>
      <c r="F14" s="97">
        <v>195781.33</v>
      </c>
      <c r="G14" s="97"/>
      <c r="H14" s="97">
        <v>5599.2</v>
      </c>
      <c r="I14" s="151">
        <f t="shared" si="0"/>
        <v>277397.59000000003</v>
      </c>
    </row>
    <row r="15" spans="1:9" ht="31.5" x14ac:dyDescent="0.25">
      <c r="A15" s="7">
        <v>9</v>
      </c>
      <c r="B15" s="23" t="s">
        <v>230</v>
      </c>
      <c r="C15" s="97"/>
      <c r="D15" s="97"/>
      <c r="E15" s="97"/>
      <c r="F15" s="97"/>
      <c r="G15" s="97"/>
      <c r="H15" s="97"/>
      <c r="I15" s="151">
        <f t="shared" si="0"/>
        <v>0</v>
      </c>
    </row>
    <row r="16" spans="1:9" x14ac:dyDescent="0.25">
      <c r="A16" s="7">
        <v>10</v>
      </c>
      <c r="B16" s="14" t="s">
        <v>116</v>
      </c>
      <c r="C16" s="97"/>
      <c r="D16" s="97"/>
      <c r="E16" s="97"/>
      <c r="F16" s="97">
        <v>35940</v>
      </c>
      <c r="G16" s="97"/>
      <c r="H16" s="97"/>
      <c r="I16" s="151">
        <f t="shared" si="0"/>
        <v>35940</v>
      </c>
    </row>
    <row r="17" spans="1:11" x14ac:dyDescent="0.25">
      <c r="A17" s="7">
        <v>11</v>
      </c>
      <c r="B17" s="17" t="s">
        <v>117</v>
      </c>
      <c r="C17" s="97">
        <v>81600</v>
      </c>
      <c r="D17" s="97"/>
      <c r="E17" s="97">
        <v>11100</v>
      </c>
      <c r="F17" s="97">
        <v>88230</v>
      </c>
      <c r="G17" s="97"/>
      <c r="H17" s="97"/>
      <c r="I17" s="151">
        <f>SUM(C17:H17)</f>
        <v>180930</v>
      </c>
    </row>
    <row r="18" spans="1:11" x14ac:dyDescent="0.25">
      <c r="A18" s="7">
        <v>12</v>
      </c>
      <c r="B18" s="17" t="s">
        <v>189</v>
      </c>
      <c r="C18" s="97">
        <v>209965</v>
      </c>
      <c r="D18" s="97">
        <v>1451264.07</v>
      </c>
      <c r="E18" s="97">
        <f>10063.2+1398920.9</f>
        <v>1408984.0999999999</v>
      </c>
      <c r="F18" s="97">
        <v>782504.22</v>
      </c>
      <c r="G18" s="97"/>
      <c r="H18" s="97"/>
      <c r="I18" s="151">
        <f>SUM(C18:H18)</f>
        <v>3852717.3899999997</v>
      </c>
    </row>
    <row r="19" spans="1:11" x14ac:dyDescent="0.25">
      <c r="A19" s="7">
        <v>13</v>
      </c>
      <c r="B19" s="17" t="s">
        <v>118</v>
      </c>
      <c r="C19" s="97"/>
      <c r="D19" s="97"/>
      <c r="E19" s="97">
        <v>84630.04</v>
      </c>
      <c r="F19" s="97"/>
      <c r="G19" s="97"/>
      <c r="H19" s="97"/>
      <c r="I19" s="151">
        <f>SUM(C19:H19)</f>
        <v>84630.04</v>
      </c>
    </row>
    <row r="20" spans="1:11" x14ac:dyDescent="0.25">
      <c r="A20" s="7">
        <v>14</v>
      </c>
      <c r="B20" s="17" t="s">
        <v>197</v>
      </c>
      <c r="C20" s="97"/>
      <c r="D20" s="97"/>
      <c r="E20" s="97">
        <v>517.79999999999995</v>
      </c>
      <c r="F20" s="97">
        <v>6212.4</v>
      </c>
      <c r="G20" s="97"/>
      <c r="H20" s="97"/>
      <c r="I20" s="151">
        <f>SUM(C20:H20)</f>
        <v>6730.2</v>
      </c>
    </row>
    <row r="21" spans="1:11" ht="48" thickBot="1" x14ac:dyDescent="0.3">
      <c r="A21" s="47">
        <v>15</v>
      </c>
      <c r="B21" s="312" t="s">
        <v>24</v>
      </c>
      <c r="C21" s="313">
        <f t="shared" ref="C21:H21" si="2">+C6+C9+C10+C16+C17+C18+C19+C20</f>
        <v>458359</v>
      </c>
      <c r="D21" s="313">
        <f t="shared" si="2"/>
        <v>6180006.0200000005</v>
      </c>
      <c r="E21" s="313">
        <f t="shared" si="2"/>
        <v>1659221.2</v>
      </c>
      <c r="F21" s="313">
        <f t="shared" si="2"/>
        <v>2274161.7399999998</v>
      </c>
      <c r="G21" s="313">
        <f t="shared" si="2"/>
        <v>0</v>
      </c>
      <c r="H21" s="313">
        <f t="shared" si="2"/>
        <v>19420.05</v>
      </c>
      <c r="I21" s="314">
        <f>SUM(C21:H21)</f>
        <v>10591168.010000002</v>
      </c>
      <c r="K21" s="120"/>
    </row>
    <row r="22" spans="1:11" s="315" customFormat="1" x14ac:dyDescent="0.25">
      <c r="B22" s="316" t="s">
        <v>639</v>
      </c>
      <c r="C22" s="317" t="s">
        <v>200</v>
      </c>
      <c r="D22" s="317" t="s">
        <v>200</v>
      </c>
      <c r="E22" s="317" t="s">
        <v>200</v>
      </c>
      <c r="F22" s="317" t="s">
        <v>200</v>
      </c>
      <c r="G22" s="317" t="s">
        <v>200</v>
      </c>
      <c r="H22" s="317" t="s">
        <v>200</v>
      </c>
      <c r="I22" s="318">
        <v>13820.85</v>
      </c>
      <c r="K22" s="319"/>
    </row>
    <row r="23" spans="1:11" x14ac:dyDescent="0.25">
      <c r="B23" s="592"/>
      <c r="C23" s="592"/>
      <c r="D23" s="592"/>
      <c r="E23" s="592"/>
      <c r="F23" s="592"/>
      <c r="G23" s="592"/>
      <c r="H23" s="592"/>
      <c r="I23" s="592"/>
    </row>
    <row r="24" spans="1:11" x14ac:dyDescent="0.25">
      <c r="B24" s="592" t="s">
        <v>859</v>
      </c>
      <c r="C24" s="592"/>
      <c r="D24" s="592"/>
      <c r="E24" s="592"/>
      <c r="F24" s="592"/>
      <c r="G24" s="592"/>
      <c r="H24" s="592"/>
      <c r="I24" s="592"/>
    </row>
    <row r="25" spans="1:11" x14ac:dyDescent="0.25">
      <c r="B25" s="310" t="s">
        <v>688</v>
      </c>
      <c r="C25" s="320"/>
      <c r="D25" s="320"/>
      <c r="E25" s="320"/>
      <c r="F25" s="320"/>
      <c r="G25" s="320"/>
      <c r="H25" s="320"/>
    </row>
    <row r="26" spans="1:11" x14ac:dyDescent="0.25">
      <c r="C26" s="320"/>
      <c r="D26" s="320"/>
      <c r="E26" s="320"/>
      <c r="F26" s="320"/>
      <c r="G26" s="320"/>
      <c r="H26" s="320"/>
    </row>
    <row r="27" spans="1:11" x14ac:dyDescent="0.25">
      <c r="C27" s="320"/>
      <c r="D27" s="320"/>
      <c r="E27" s="320"/>
      <c r="F27" s="320"/>
      <c r="G27" s="320"/>
      <c r="H27" s="320"/>
    </row>
    <row r="28" spans="1:11" x14ac:dyDescent="0.25">
      <c r="C28" s="320"/>
      <c r="D28" s="320"/>
      <c r="E28" s="320"/>
      <c r="F28" s="320"/>
      <c r="G28" s="320"/>
      <c r="H28" s="320"/>
    </row>
    <row r="29" spans="1:11" x14ac:dyDescent="0.25">
      <c r="C29" s="320"/>
      <c r="D29" s="320"/>
      <c r="E29" s="320"/>
      <c r="F29" s="320"/>
      <c r="G29" s="320"/>
      <c r="H29" s="320"/>
    </row>
    <row r="30" spans="1:11" x14ac:dyDescent="0.25">
      <c r="C30" s="320"/>
      <c r="D30" s="320"/>
      <c r="E30" s="320"/>
      <c r="F30" s="320"/>
      <c r="G30" s="320"/>
      <c r="H30" s="320"/>
    </row>
    <row r="31" spans="1:11" x14ac:dyDescent="0.25">
      <c r="C31" s="320"/>
      <c r="D31" s="320"/>
      <c r="E31" s="320"/>
      <c r="F31" s="320"/>
      <c r="G31" s="320"/>
      <c r="H31" s="320"/>
    </row>
    <row r="32" spans="1:11" x14ac:dyDescent="0.25">
      <c r="C32" s="320"/>
      <c r="D32" s="320"/>
      <c r="E32" s="320"/>
      <c r="F32" s="320"/>
      <c r="G32" s="320"/>
      <c r="H32" s="320"/>
    </row>
    <row r="33" spans="3:8" x14ac:dyDescent="0.25">
      <c r="C33" s="320"/>
      <c r="D33" s="320"/>
      <c r="E33" s="320"/>
      <c r="F33" s="320"/>
      <c r="G33" s="320"/>
      <c r="H33" s="320"/>
    </row>
    <row r="34" spans="3:8" x14ac:dyDescent="0.25">
      <c r="C34" s="320"/>
      <c r="D34" s="320"/>
      <c r="E34" s="320"/>
      <c r="F34" s="320"/>
      <c r="G34" s="320"/>
      <c r="H34" s="320"/>
    </row>
    <row r="35" spans="3:8" x14ac:dyDescent="0.25">
      <c r="C35" s="320"/>
      <c r="D35" s="320"/>
      <c r="E35" s="320"/>
      <c r="F35" s="320"/>
      <c r="G35" s="320"/>
      <c r="H35" s="320"/>
    </row>
    <row r="36" spans="3:8" x14ac:dyDescent="0.25">
      <c r="C36" s="320"/>
      <c r="D36" s="320"/>
      <c r="E36" s="320"/>
      <c r="F36" s="320"/>
      <c r="G36" s="320"/>
      <c r="H36" s="320"/>
    </row>
    <row r="37" spans="3:8" x14ac:dyDescent="0.25">
      <c r="C37" s="320"/>
      <c r="D37" s="320"/>
      <c r="E37" s="320"/>
      <c r="F37" s="320"/>
      <c r="G37" s="320"/>
      <c r="H37" s="320"/>
    </row>
    <row r="38" spans="3:8" x14ac:dyDescent="0.25">
      <c r="C38" s="320"/>
      <c r="D38" s="320"/>
      <c r="E38" s="320"/>
      <c r="F38" s="320"/>
      <c r="G38" s="320"/>
      <c r="H38" s="320"/>
    </row>
    <row r="39" spans="3:8" x14ac:dyDescent="0.25">
      <c r="C39" s="320"/>
      <c r="D39" s="320"/>
      <c r="E39" s="320"/>
      <c r="F39" s="320"/>
      <c r="G39" s="320"/>
      <c r="H39" s="320"/>
    </row>
    <row r="40" spans="3:8" x14ac:dyDescent="0.25">
      <c r="C40" s="320"/>
      <c r="D40" s="320"/>
      <c r="E40" s="320"/>
      <c r="F40" s="320"/>
      <c r="G40" s="320"/>
      <c r="H40" s="320"/>
    </row>
    <row r="41" spans="3:8" x14ac:dyDescent="0.25">
      <c r="C41" s="320"/>
      <c r="D41" s="320"/>
      <c r="E41" s="320"/>
      <c r="F41" s="320"/>
      <c r="G41" s="320"/>
      <c r="H41" s="320"/>
    </row>
    <row r="42" spans="3:8" x14ac:dyDescent="0.25">
      <c r="C42" s="320"/>
      <c r="D42" s="320"/>
      <c r="E42" s="320"/>
      <c r="F42" s="320"/>
      <c r="G42" s="320"/>
      <c r="H42" s="320"/>
    </row>
    <row r="43" spans="3:8" x14ac:dyDescent="0.25">
      <c r="C43" s="320"/>
      <c r="D43" s="320"/>
      <c r="E43" s="320"/>
      <c r="F43" s="320"/>
      <c r="G43" s="320"/>
      <c r="H43" s="320"/>
    </row>
    <row r="44" spans="3:8" x14ac:dyDescent="0.25">
      <c r="C44" s="320"/>
      <c r="D44" s="320"/>
      <c r="E44" s="320"/>
      <c r="F44" s="320"/>
      <c r="G44" s="320"/>
      <c r="H44" s="320"/>
    </row>
    <row r="45" spans="3:8" x14ac:dyDescent="0.25">
      <c r="C45" s="320"/>
      <c r="D45" s="320"/>
      <c r="E45" s="320"/>
      <c r="F45" s="320"/>
      <c r="G45" s="320"/>
      <c r="H45" s="320"/>
    </row>
    <row r="46" spans="3:8" x14ac:dyDescent="0.25">
      <c r="C46" s="320"/>
      <c r="D46" s="320"/>
      <c r="E46" s="320"/>
      <c r="F46" s="320"/>
      <c r="G46" s="320"/>
      <c r="H46" s="320"/>
    </row>
    <row r="47" spans="3:8" x14ac:dyDescent="0.25">
      <c r="C47" s="320"/>
      <c r="D47" s="320"/>
      <c r="E47" s="320"/>
      <c r="F47" s="320"/>
      <c r="G47" s="320"/>
      <c r="H47" s="320"/>
    </row>
    <row r="48" spans="3:8" x14ac:dyDescent="0.25">
      <c r="C48" s="320"/>
      <c r="D48" s="320"/>
      <c r="E48" s="320"/>
      <c r="F48" s="320"/>
      <c r="G48" s="320"/>
      <c r="H48" s="320"/>
    </row>
    <row r="49" spans="3:8" x14ac:dyDescent="0.25">
      <c r="C49" s="320"/>
      <c r="D49" s="320"/>
      <c r="E49" s="320"/>
      <c r="F49" s="320"/>
      <c r="G49" s="320"/>
      <c r="H49" s="320"/>
    </row>
    <row r="50" spans="3:8" x14ac:dyDescent="0.25">
      <c r="C50" s="320"/>
      <c r="D50" s="320"/>
      <c r="E50" s="320"/>
      <c r="F50" s="320"/>
      <c r="G50" s="320"/>
      <c r="H50" s="320"/>
    </row>
    <row r="51" spans="3:8" x14ac:dyDescent="0.25">
      <c r="C51" s="320"/>
      <c r="D51" s="320"/>
      <c r="E51" s="320"/>
      <c r="F51" s="320"/>
      <c r="G51" s="320"/>
      <c r="H51" s="320"/>
    </row>
    <row r="52" spans="3:8" x14ac:dyDescent="0.25">
      <c r="C52" s="320"/>
      <c r="D52" s="320"/>
      <c r="E52" s="320"/>
      <c r="F52" s="320"/>
      <c r="G52" s="320"/>
      <c r="H52" s="320"/>
    </row>
    <row r="53" spans="3:8" x14ac:dyDescent="0.25">
      <c r="C53" s="320"/>
      <c r="D53" s="320"/>
      <c r="E53" s="320"/>
      <c r="F53" s="320"/>
      <c r="G53" s="320"/>
      <c r="H53" s="320"/>
    </row>
    <row r="54" spans="3:8" x14ac:dyDescent="0.25">
      <c r="C54" s="320"/>
      <c r="D54" s="320"/>
      <c r="E54" s="320"/>
      <c r="F54" s="320"/>
      <c r="G54" s="320"/>
      <c r="H54" s="320"/>
    </row>
    <row r="55" spans="3:8" x14ac:dyDescent="0.25">
      <c r="C55" s="320"/>
      <c r="D55" s="320"/>
      <c r="E55" s="320"/>
      <c r="F55" s="320"/>
      <c r="G55" s="320"/>
      <c r="H55" s="320"/>
    </row>
    <row r="56" spans="3:8" x14ac:dyDescent="0.25">
      <c r="C56" s="320"/>
      <c r="D56" s="320"/>
      <c r="E56" s="320"/>
      <c r="F56" s="320"/>
      <c r="G56" s="320"/>
      <c r="H56" s="320"/>
    </row>
    <row r="57" spans="3:8" x14ac:dyDescent="0.25">
      <c r="C57" s="320"/>
      <c r="D57" s="320"/>
      <c r="E57" s="320"/>
      <c r="F57" s="320"/>
      <c r="G57" s="320"/>
      <c r="H57" s="320"/>
    </row>
    <row r="58" spans="3:8" x14ac:dyDescent="0.25">
      <c r="C58" s="320"/>
      <c r="D58" s="320"/>
      <c r="E58" s="320"/>
      <c r="F58" s="320"/>
      <c r="G58" s="320"/>
      <c r="H58" s="320"/>
    </row>
    <row r="59" spans="3:8" x14ac:dyDescent="0.25">
      <c r="C59" s="320"/>
      <c r="D59" s="320"/>
      <c r="E59" s="320"/>
      <c r="F59" s="320"/>
      <c r="G59" s="320"/>
      <c r="H59" s="320"/>
    </row>
    <row r="60" spans="3:8" x14ac:dyDescent="0.25">
      <c r="C60" s="320"/>
      <c r="D60" s="320"/>
      <c r="E60" s="320"/>
      <c r="F60" s="320"/>
      <c r="G60" s="320"/>
      <c r="H60" s="320"/>
    </row>
    <row r="61" spans="3:8" x14ac:dyDescent="0.25">
      <c r="C61" s="320"/>
      <c r="D61" s="320"/>
      <c r="E61" s="320"/>
      <c r="F61" s="320"/>
      <c r="G61" s="320"/>
      <c r="H61" s="320"/>
    </row>
    <row r="62" spans="3:8" x14ac:dyDescent="0.25">
      <c r="C62" s="320"/>
      <c r="D62" s="320"/>
      <c r="E62" s="320"/>
      <c r="F62" s="320"/>
      <c r="G62" s="320"/>
      <c r="H62" s="320"/>
    </row>
    <row r="63" spans="3:8" x14ac:dyDescent="0.25">
      <c r="C63" s="320"/>
      <c r="D63" s="320"/>
      <c r="E63" s="320"/>
      <c r="F63" s="320"/>
      <c r="G63" s="320"/>
      <c r="H63" s="320"/>
    </row>
    <row r="64" spans="3:8" x14ac:dyDescent="0.25">
      <c r="C64" s="320"/>
      <c r="D64" s="320"/>
      <c r="E64" s="320"/>
      <c r="F64" s="320"/>
      <c r="G64" s="320"/>
      <c r="H64" s="320"/>
    </row>
    <row r="65" spans="3:8" x14ac:dyDescent="0.25">
      <c r="C65" s="320"/>
      <c r="D65" s="320"/>
      <c r="E65" s="320"/>
      <c r="F65" s="320"/>
      <c r="G65" s="320"/>
      <c r="H65" s="320"/>
    </row>
    <row r="66" spans="3:8" x14ac:dyDescent="0.25">
      <c r="C66" s="320"/>
      <c r="D66" s="320"/>
      <c r="E66" s="320"/>
      <c r="F66" s="320"/>
      <c r="G66" s="320"/>
      <c r="H66" s="320"/>
    </row>
    <row r="67" spans="3:8" x14ac:dyDescent="0.25">
      <c r="C67" s="320"/>
      <c r="D67" s="320"/>
      <c r="E67" s="320"/>
      <c r="F67" s="320"/>
      <c r="G67" s="320"/>
      <c r="H67" s="320"/>
    </row>
    <row r="68" spans="3:8" x14ac:dyDescent="0.25">
      <c r="C68" s="320"/>
      <c r="D68" s="320"/>
      <c r="E68" s="320"/>
      <c r="F68" s="320"/>
      <c r="G68" s="320"/>
      <c r="H68" s="320"/>
    </row>
    <row r="69" spans="3:8" x14ac:dyDescent="0.25">
      <c r="C69" s="320"/>
      <c r="D69" s="320"/>
      <c r="E69" s="320"/>
      <c r="F69" s="320"/>
      <c r="G69" s="320"/>
      <c r="H69" s="320"/>
    </row>
    <row r="70" spans="3:8" x14ac:dyDescent="0.25">
      <c r="C70" s="320"/>
      <c r="D70" s="320"/>
      <c r="E70" s="320"/>
      <c r="F70" s="320"/>
      <c r="G70" s="320"/>
      <c r="H70" s="320"/>
    </row>
    <row r="71" spans="3:8" x14ac:dyDescent="0.25">
      <c r="C71" s="320"/>
      <c r="D71" s="320"/>
      <c r="E71" s="320"/>
      <c r="F71" s="320"/>
      <c r="G71" s="320"/>
      <c r="H71" s="320"/>
    </row>
    <row r="72" spans="3:8" x14ac:dyDescent="0.25">
      <c r="C72" s="320"/>
      <c r="D72" s="320"/>
      <c r="E72" s="320"/>
      <c r="F72" s="320"/>
      <c r="G72" s="320"/>
      <c r="H72" s="320"/>
    </row>
    <row r="73" spans="3:8" x14ac:dyDescent="0.25">
      <c r="C73" s="320"/>
      <c r="D73" s="320"/>
      <c r="E73" s="320"/>
      <c r="F73" s="320"/>
      <c r="G73" s="320"/>
      <c r="H73" s="320"/>
    </row>
    <row r="74" spans="3:8" x14ac:dyDescent="0.25">
      <c r="C74" s="320"/>
      <c r="D74" s="320"/>
      <c r="E74" s="320"/>
      <c r="F74" s="320"/>
      <c r="G74" s="320"/>
      <c r="H74" s="320"/>
    </row>
    <row r="75" spans="3:8" x14ac:dyDescent="0.25">
      <c r="C75" s="320"/>
      <c r="D75" s="320"/>
      <c r="E75" s="320"/>
      <c r="F75" s="320"/>
      <c r="G75" s="320"/>
      <c r="H75" s="320"/>
    </row>
    <row r="76" spans="3:8" x14ac:dyDescent="0.25">
      <c r="C76" s="320"/>
      <c r="D76" s="320"/>
      <c r="E76" s="320"/>
      <c r="F76" s="320"/>
      <c r="G76" s="320"/>
      <c r="H76" s="320"/>
    </row>
    <row r="77" spans="3:8" x14ac:dyDescent="0.25">
      <c r="C77" s="320"/>
      <c r="D77" s="320"/>
      <c r="E77" s="320"/>
      <c r="F77" s="320"/>
      <c r="G77" s="320"/>
      <c r="H77" s="320"/>
    </row>
    <row r="78" spans="3:8" x14ac:dyDescent="0.25">
      <c r="C78" s="320"/>
      <c r="D78" s="320"/>
      <c r="E78" s="320"/>
      <c r="F78" s="320"/>
      <c r="G78" s="320"/>
      <c r="H78" s="320"/>
    </row>
    <row r="79" spans="3:8" x14ac:dyDescent="0.25">
      <c r="C79" s="320"/>
      <c r="D79" s="320"/>
      <c r="E79" s="320"/>
      <c r="F79" s="320"/>
      <c r="G79" s="320"/>
      <c r="H79" s="320"/>
    </row>
    <row r="80" spans="3:8" x14ac:dyDescent="0.25">
      <c r="C80" s="320"/>
      <c r="D80" s="320"/>
      <c r="E80" s="320"/>
      <c r="F80" s="320"/>
      <c r="G80" s="320"/>
      <c r="H80" s="320"/>
    </row>
    <row r="81" spans="3:8" x14ac:dyDescent="0.25">
      <c r="C81" s="320"/>
      <c r="D81" s="320"/>
      <c r="E81" s="320"/>
      <c r="F81" s="320"/>
      <c r="G81" s="320"/>
      <c r="H81" s="320"/>
    </row>
    <row r="82" spans="3:8" x14ac:dyDescent="0.25">
      <c r="C82" s="320"/>
      <c r="D82" s="320"/>
      <c r="E82" s="320"/>
      <c r="F82" s="320"/>
      <c r="G82" s="320"/>
      <c r="H82" s="320"/>
    </row>
  </sheetData>
  <mergeCells count="13">
    <mergeCell ref="B23:I23"/>
    <mergeCell ref="B24:I24"/>
    <mergeCell ref="E3:E4"/>
    <mergeCell ref="I3:I4"/>
    <mergeCell ref="A1:I1"/>
    <mergeCell ref="A2:I2"/>
    <mergeCell ref="G3:G4"/>
    <mergeCell ref="C3:C4"/>
    <mergeCell ref="H3:H4"/>
    <mergeCell ref="A3:A4"/>
    <mergeCell ref="B3:B4"/>
    <mergeCell ref="D3:D4"/>
    <mergeCell ref="F3:F4"/>
  </mergeCells>
  <phoneticPr fontId="0" type="noConversion"/>
  <printOptions gridLines="1"/>
  <pageMargins left="0.48" right="0.44" top="0.98425196850393704" bottom="0.98425196850393704" header="0.51181102362204722" footer="0.51181102362204722"/>
  <pageSetup paperSize="9" scale="76"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IV23"/>
  <sheetViews>
    <sheetView workbookViewId="0">
      <pane xSplit="2" ySplit="5" topLeftCell="C6" activePane="bottomRight" state="frozen"/>
      <selection pane="topRight" activeCell="C1" sqref="C1"/>
      <selection pane="bottomLeft" activeCell="A6" sqref="A6"/>
      <selection pane="bottomRight" activeCell="K11" sqref="K11"/>
    </sheetView>
  </sheetViews>
  <sheetFormatPr defaultRowHeight="15.75" x14ac:dyDescent="0.25"/>
  <cols>
    <col min="1" max="1" width="7.28515625" style="43" customWidth="1"/>
    <col min="2" max="2" width="38.85546875" style="48" customWidth="1"/>
    <col min="3" max="4" width="13.85546875" style="43" customWidth="1"/>
    <col min="5" max="5" width="13.28515625" style="43" customWidth="1"/>
    <col min="6" max="6" width="14" style="43" customWidth="1"/>
    <col min="7" max="7" width="14.42578125" style="43" customWidth="1"/>
    <col min="8" max="8" width="13.5703125" style="43" customWidth="1"/>
    <col min="9" max="9" width="13.42578125" style="43" customWidth="1"/>
    <col min="10" max="10" width="12.42578125" style="43" customWidth="1"/>
    <col min="11" max="11" width="14.5703125" style="43" customWidth="1"/>
    <col min="12" max="12" width="14.42578125" style="43" customWidth="1"/>
    <col min="13" max="13" width="14.85546875" style="43" customWidth="1"/>
    <col min="14" max="14" width="14.7109375" style="43" customWidth="1"/>
    <col min="15" max="15" width="14.140625" style="43" customWidth="1"/>
    <col min="16" max="16" width="14.28515625" style="43" customWidth="1"/>
    <col min="17" max="16384" width="9.140625" style="43"/>
  </cols>
  <sheetData>
    <row r="1" spans="1:256" ht="27.75" customHeight="1" thickBot="1" x14ac:dyDescent="0.3">
      <c r="A1" s="602" t="s">
        <v>719</v>
      </c>
      <c r="B1" s="603"/>
      <c r="C1" s="603"/>
      <c r="D1" s="603"/>
      <c r="E1" s="603"/>
      <c r="F1" s="603"/>
      <c r="G1" s="603"/>
      <c r="H1" s="603"/>
      <c r="I1" s="603"/>
      <c r="J1" s="603"/>
      <c r="K1" s="603"/>
      <c r="L1" s="603"/>
      <c r="M1" s="603"/>
      <c r="N1" s="604"/>
    </row>
    <row r="2" spans="1:256" ht="28.5" customHeight="1" x14ac:dyDescent="0.25">
      <c r="A2" s="467" t="s">
        <v>793</v>
      </c>
      <c r="B2" s="468"/>
      <c r="C2" s="468"/>
      <c r="D2" s="468"/>
      <c r="E2" s="468"/>
      <c r="F2" s="468"/>
      <c r="G2" s="468"/>
      <c r="H2" s="468"/>
      <c r="I2" s="605"/>
      <c r="J2" s="605"/>
      <c r="K2" s="468"/>
      <c r="L2" s="468"/>
      <c r="M2" s="468"/>
      <c r="N2" s="469"/>
    </row>
    <row r="3" spans="1:256" ht="51.75" customHeight="1" x14ac:dyDescent="0.25">
      <c r="A3" s="606" t="s">
        <v>134</v>
      </c>
      <c r="B3" s="489" t="s">
        <v>637</v>
      </c>
      <c r="C3" s="521" t="s">
        <v>216</v>
      </c>
      <c r="D3" s="521"/>
      <c r="E3" s="521" t="s">
        <v>217</v>
      </c>
      <c r="F3" s="521"/>
      <c r="G3" s="521" t="s">
        <v>218</v>
      </c>
      <c r="H3" s="517"/>
      <c r="I3" s="607" t="s">
        <v>578</v>
      </c>
      <c r="J3" s="607"/>
      <c r="K3" s="608" t="s">
        <v>198</v>
      </c>
      <c r="L3" s="521"/>
      <c r="M3" s="521" t="s">
        <v>212</v>
      </c>
      <c r="N3" s="568"/>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c r="IV3" s="44"/>
    </row>
    <row r="4" spans="1:256" ht="17.25" customHeight="1" x14ac:dyDescent="0.25">
      <c r="A4" s="606"/>
      <c r="B4" s="490"/>
      <c r="C4" s="129">
        <v>2016</v>
      </c>
      <c r="D4" s="129">
        <v>2017</v>
      </c>
      <c r="E4" s="129">
        <v>2016</v>
      </c>
      <c r="F4" s="129">
        <v>2017</v>
      </c>
      <c r="G4" s="129">
        <v>2016</v>
      </c>
      <c r="H4" s="129">
        <v>2017</v>
      </c>
      <c r="I4" s="129">
        <v>2016</v>
      </c>
      <c r="J4" s="129">
        <v>2017</v>
      </c>
      <c r="K4" s="129">
        <v>2016</v>
      </c>
      <c r="L4" s="129">
        <v>2017</v>
      </c>
      <c r="M4" s="129">
        <v>2016</v>
      </c>
      <c r="N4" s="129">
        <v>2017</v>
      </c>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c r="IU4" s="44"/>
      <c r="IV4" s="44"/>
    </row>
    <row r="5" spans="1:256" x14ac:dyDescent="0.25">
      <c r="A5" s="7"/>
      <c r="B5" s="45"/>
      <c r="C5" s="1" t="s">
        <v>178</v>
      </c>
      <c r="D5" s="1" t="s">
        <v>179</v>
      </c>
      <c r="E5" s="1" t="s">
        <v>180</v>
      </c>
      <c r="F5" s="1" t="s">
        <v>186</v>
      </c>
      <c r="G5" s="1" t="s">
        <v>181</v>
      </c>
      <c r="H5" s="50" t="s">
        <v>182</v>
      </c>
      <c r="I5" s="1" t="s">
        <v>183</v>
      </c>
      <c r="J5" s="1" t="s">
        <v>184</v>
      </c>
      <c r="K5" s="1" t="s">
        <v>185</v>
      </c>
      <c r="L5" s="1" t="s">
        <v>555</v>
      </c>
      <c r="M5" s="84" t="s">
        <v>735</v>
      </c>
      <c r="N5" s="85" t="s">
        <v>736</v>
      </c>
      <c r="O5" s="44"/>
      <c r="P5" s="44"/>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ht="31.5" x14ac:dyDescent="0.25">
      <c r="A6" s="7">
        <v>1</v>
      </c>
      <c r="B6" s="65" t="s">
        <v>130</v>
      </c>
      <c r="C6" s="321">
        <v>3016377.92</v>
      </c>
      <c r="D6" s="321">
        <f>C17</f>
        <v>4734238.8</v>
      </c>
      <c r="E6" s="321">
        <v>556078.66</v>
      </c>
      <c r="F6" s="321">
        <v>0</v>
      </c>
      <c r="G6" s="321">
        <v>298207.56</v>
      </c>
      <c r="H6" s="321">
        <f>G17</f>
        <v>399181.5</v>
      </c>
      <c r="I6" s="321"/>
      <c r="J6" s="321">
        <f>SUM(I17)</f>
        <v>0</v>
      </c>
      <c r="K6" s="321"/>
      <c r="L6" s="321">
        <f>SUM(K17)</f>
        <v>0</v>
      </c>
      <c r="M6" s="321">
        <f t="shared" ref="M6:N8" si="0">C6+E6+G6+I6+K6</f>
        <v>3870664.14</v>
      </c>
      <c r="N6" s="322">
        <f t="shared" si="0"/>
        <v>5133420.3</v>
      </c>
      <c r="O6" s="44"/>
      <c r="P6" s="44"/>
    </row>
    <row r="7" spans="1:256" ht="31.5" x14ac:dyDescent="0.25">
      <c r="A7" s="7">
        <v>2</v>
      </c>
      <c r="B7" s="66" t="s">
        <v>573</v>
      </c>
      <c r="C7" s="321">
        <f t="shared" ref="C7:L7" si="1">SUM(C8:C15)</f>
        <v>1761708.2</v>
      </c>
      <c r="D7" s="321">
        <f t="shared" si="1"/>
        <v>1218112.17</v>
      </c>
      <c r="E7" s="321">
        <f t="shared" si="1"/>
        <v>1152995.06</v>
      </c>
      <c r="F7" s="321">
        <f t="shared" si="1"/>
        <v>1248313.0899999999</v>
      </c>
      <c r="G7" s="321">
        <f>SUM(G8:G15)</f>
        <v>1634002.9</v>
      </c>
      <c r="H7" s="321">
        <f>SUM(H8:H15)</f>
        <v>1195469.47</v>
      </c>
      <c r="I7" s="321">
        <f t="shared" si="1"/>
        <v>0</v>
      </c>
      <c r="J7" s="321">
        <f t="shared" si="1"/>
        <v>0</v>
      </c>
      <c r="K7" s="321">
        <f t="shared" si="1"/>
        <v>0</v>
      </c>
      <c r="L7" s="321">
        <f t="shared" si="1"/>
        <v>0</v>
      </c>
      <c r="M7" s="321">
        <f t="shared" si="0"/>
        <v>4548706.16</v>
      </c>
      <c r="N7" s="322">
        <f t="shared" si="0"/>
        <v>3661894.7299999995</v>
      </c>
      <c r="O7" s="44"/>
      <c r="P7" s="44"/>
    </row>
    <row r="8" spans="1:256" ht="22.5" customHeight="1" x14ac:dyDescent="0.25">
      <c r="A8" s="7">
        <v>3</v>
      </c>
      <c r="B8" s="67" t="s">
        <v>43</v>
      </c>
      <c r="C8" s="323">
        <v>1761708.2</v>
      </c>
      <c r="D8" s="323">
        <v>1218112.17</v>
      </c>
      <c r="E8" s="323"/>
      <c r="F8" s="323"/>
      <c r="G8" s="323"/>
      <c r="H8" s="323"/>
      <c r="I8" s="323"/>
      <c r="J8" s="323"/>
      <c r="K8" s="323"/>
      <c r="L8" s="323"/>
      <c r="M8" s="321">
        <f t="shared" si="0"/>
        <v>1761708.2</v>
      </c>
      <c r="N8" s="322">
        <f t="shared" si="0"/>
        <v>1218112.17</v>
      </c>
    </row>
    <row r="9" spans="1:256" ht="134.25" customHeight="1" x14ac:dyDescent="0.25">
      <c r="A9" s="7">
        <v>4</v>
      </c>
      <c r="B9" s="67" t="s">
        <v>201</v>
      </c>
      <c r="C9" s="99" t="s">
        <v>200</v>
      </c>
      <c r="D9" s="99" t="s">
        <v>200</v>
      </c>
      <c r="E9" s="323">
        <v>1131005.78</v>
      </c>
      <c r="F9" s="323">
        <f>1470806.14-265395.81+42902.76</f>
        <v>1248313.0899999999</v>
      </c>
      <c r="G9" s="99" t="s">
        <v>200</v>
      </c>
      <c r="H9" s="99" t="s">
        <v>200</v>
      </c>
      <c r="I9" s="100" t="s">
        <v>200</v>
      </c>
      <c r="J9" s="100" t="s">
        <v>200</v>
      </c>
      <c r="K9" s="99" t="s">
        <v>200</v>
      </c>
      <c r="L9" s="99" t="s">
        <v>200</v>
      </c>
      <c r="M9" s="321">
        <f>E9</f>
        <v>1131005.78</v>
      </c>
      <c r="N9" s="322">
        <f>F9</f>
        <v>1248313.0899999999</v>
      </c>
      <c r="O9" s="600"/>
      <c r="P9" s="600"/>
    </row>
    <row r="10" spans="1:256" ht="31.5" x14ac:dyDescent="0.25">
      <c r="A10" s="7">
        <v>5</v>
      </c>
      <c r="B10" s="67" t="s">
        <v>1</v>
      </c>
      <c r="C10" s="99" t="s">
        <v>200</v>
      </c>
      <c r="D10" s="99" t="s">
        <v>200</v>
      </c>
      <c r="E10" s="323"/>
      <c r="F10" s="323"/>
      <c r="G10" s="99" t="s">
        <v>200</v>
      </c>
      <c r="H10" s="99" t="s">
        <v>200</v>
      </c>
      <c r="I10" s="100" t="s">
        <v>200</v>
      </c>
      <c r="J10" s="100" t="s">
        <v>200</v>
      </c>
      <c r="K10" s="99" t="s">
        <v>200</v>
      </c>
      <c r="L10" s="99" t="s">
        <v>200</v>
      </c>
      <c r="M10" s="321">
        <f>E10</f>
        <v>0</v>
      </c>
      <c r="N10" s="322">
        <f>F10</f>
        <v>0</v>
      </c>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ht="31.5" x14ac:dyDescent="0.25">
      <c r="A11" s="7">
        <v>6</v>
      </c>
      <c r="B11" s="67" t="s">
        <v>202</v>
      </c>
      <c r="C11" s="99" t="s">
        <v>200</v>
      </c>
      <c r="D11" s="99" t="s">
        <v>200</v>
      </c>
      <c r="E11" s="323">
        <v>21989.279999999999</v>
      </c>
      <c r="F11" s="323"/>
      <c r="G11" s="323"/>
      <c r="H11" s="323"/>
      <c r="I11" s="324"/>
      <c r="J11" s="324"/>
      <c r="K11" s="321"/>
      <c r="L11" s="321"/>
      <c r="M11" s="321">
        <f>E11+G11+I11+K11</f>
        <v>21989.279999999999</v>
      </c>
      <c r="N11" s="322">
        <f>F11+H11+J11+L11</f>
        <v>0</v>
      </c>
    </row>
    <row r="12" spans="1:256" ht="17.25" customHeight="1" x14ac:dyDescent="0.25">
      <c r="A12" s="7">
        <v>7</v>
      </c>
      <c r="B12" s="67" t="s">
        <v>203</v>
      </c>
      <c r="C12" s="323"/>
      <c r="D12" s="323"/>
      <c r="E12" s="323"/>
      <c r="F12" s="323"/>
      <c r="G12" s="323"/>
      <c r="H12" s="323"/>
      <c r="I12" s="324"/>
      <c r="J12" s="324"/>
      <c r="K12" s="323"/>
      <c r="L12" s="323"/>
      <c r="M12" s="321">
        <f>C12+E12+G12+I12+K12</f>
        <v>0</v>
      </c>
      <c r="N12" s="322">
        <f>D12+F12+H12+J12+L12</f>
        <v>0</v>
      </c>
    </row>
    <row r="13" spans="1:256" ht="18.75" x14ac:dyDescent="0.25">
      <c r="A13" s="7">
        <v>8</v>
      </c>
      <c r="B13" s="68" t="s">
        <v>44</v>
      </c>
      <c r="C13" s="99" t="s">
        <v>200</v>
      </c>
      <c r="D13" s="99" t="s">
        <v>200</v>
      </c>
      <c r="E13" s="99" t="s">
        <v>200</v>
      </c>
      <c r="F13" s="99" t="s">
        <v>200</v>
      </c>
      <c r="G13" s="323">
        <v>1585035</v>
      </c>
      <c r="H13" s="323">
        <v>1130740</v>
      </c>
      <c r="I13" s="99" t="s">
        <v>200</v>
      </c>
      <c r="J13" s="99" t="s">
        <v>200</v>
      </c>
      <c r="K13" s="99" t="s">
        <v>200</v>
      </c>
      <c r="L13" s="99" t="s">
        <v>200</v>
      </c>
      <c r="M13" s="321">
        <f>G13</f>
        <v>1585035</v>
      </c>
      <c r="N13" s="322">
        <f>H13</f>
        <v>1130740</v>
      </c>
    </row>
    <row r="14" spans="1:256" ht="19.5" customHeight="1" x14ac:dyDescent="0.25">
      <c r="A14" s="7">
        <v>9</v>
      </c>
      <c r="B14" s="67" t="s">
        <v>8</v>
      </c>
      <c r="C14" s="99" t="s">
        <v>200</v>
      </c>
      <c r="D14" s="99" t="s">
        <v>200</v>
      </c>
      <c r="E14" s="99" t="s">
        <v>200</v>
      </c>
      <c r="F14" s="99" t="s">
        <v>200</v>
      </c>
      <c r="G14" s="323">
        <v>48967.9</v>
      </c>
      <c r="H14" s="323">
        <v>64729.47</v>
      </c>
      <c r="I14" s="100" t="s">
        <v>200</v>
      </c>
      <c r="J14" s="100" t="s">
        <v>200</v>
      </c>
      <c r="K14" s="99" t="s">
        <v>200</v>
      </c>
      <c r="L14" s="99" t="s">
        <v>200</v>
      </c>
      <c r="M14" s="321">
        <f>G14</f>
        <v>48967.9</v>
      </c>
      <c r="N14" s="322">
        <f>H14</f>
        <v>64729.47</v>
      </c>
    </row>
    <row r="15" spans="1:256" ht="18.75" x14ac:dyDescent="0.25">
      <c r="A15" s="7">
        <v>10</v>
      </c>
      <c r="B15" s="67" t="s">
        <v>45</v>
      </c>
      <c r="C15" s="323"/>
      <c r="D15" s="323"/>
      <c r="E15" s="323"/>
      <c r="F15" s="323"/>
      <c r="G15" s="323"/>
      <c r="H15" s="323"/>
      <c r="I15" s="324"/>
      <c r="J15" s="324"/>
      <c r="K15" s="323"/>
      <c r="L15" s="323"/>
      <c r="M15" s="321">
        <f>C15+E15+G15+I15+K15</f>
        <v>0</v>
      </c>
      <c r="N15" s="322">
        <f>D15+F15+H15+J15+L15</f>
        <v>0</v>
      </c>
    </row>
    <row r="16" spans="1:256" ht="31.5" x14ac:dyDescent="0.25">
      <c r="A16" s="7">
        <v>11</v>
      </c>
      <c r="B16" s="65" t="s">
        <v>131</v>
      </c>
      <c r="C16" s="321">
        <v>43847.32</v>
      </c>
      <c r="D16" s="321">
        <v>99778.36</v>
      </c>
      <c r="E16" s="321">
        <v>1709073.72</v>
      </c>
      <c r="F16" s="321">
        <v>1248313.0900000001</v>
      </c>
      <c r="G16" s="323">
        <v>1533028.96</v>
      </c>
      <c r="H16" s="323">
        <v>1252039.22</v>
      </c>
      <c r="I16" s="321"/>
      <c r="J16" s="321"/>
      <c r="K16" s="321"/>
      <c r="L16" s="321"/>
      <c r="M16" s="321">
        <f t="shared" ref="M16:N18" si="2">C16+E16+G16+I16+K16</f>
        <v>3285950</v>
      </c>
      <c r="N16" s="322">
        <f t="shared" si="2"/>
        <v>2600130.67</v>
      </c>
    </row>
    <row r="17" spans="1:14" ht="31.5" x14ac:dyDescent="0.25">
      <c r="A17" s="7">
        <v>12</v>
      </c>
      <c r="B17" s="65" t="s">
        <v>9</v>
      </c>
      <c r="C17" s="321">
        <f t="shared" ref="C17:L17" si="3">C6+C7-C16</f>
        <v>4734238.8</v>
      </c>
      <c r="D17" s="321">
        <f t="shared" si="3"/>
        <v>5852572.6099999994</v>
      </c>
      <c r="E17" s="321">
        <f t="shared" si="3"/>
        <v>0</v>
      </c>
      <c r="F17" s="321">
        <f t="shared" si="3"/>
        <v>0</v>
      </c>
      <c r="G17" s="321">
        <f t="shared" si="3"/>
        <v>399181.5</v>
      </c>
      <c r="H17" s="321">
        <f t="shared" si="3"/>
        <v>342611.75</v>
      </c>
      <c r="I17" s="321">
        <f t="shared" si="3"/>
        <v>0</v>
      </c>
      <c r="J17" s="321">
        <f t="shared" si="3"/>
        <v>0</v>
      </c>
      <c r="K17" s="321">
        <f t="shared" si="3"/>
        <v>0</v>
      </c>
      <c r="L17" s="321">
        <f t="shared" si="3"/>
        <v>0</v>
      </c>
      <c r="M17" s="321">
        <f t="shared" si="2"/>
        <v>5133420.3</v>
      </c>
      <c r="N17" s="322">
        <f t="shared" si="2"/>
        <v>6195184.3599999994</v>
      </c>
    </row>
    <row r="18" spans="1:14" ht="48.75" customHeight="1" thickBot="1" x14ac:dyDescent="0.3">
      <c r="A18" s="47">
        <v>13</v>
      </c>
      <c r="B18" s="69" t="s">
        <v>636</v>
      </c>
      <c r="C18" s="325">
        <v>0</v>
      </c>
      <c r="D18" s="325">
        <v>0</v>
      </c>
      <c r="E18" s="325">
        <v>0</v>
      </c>
      <c r="F18" s="325">
        <v>0</v>
      </c>
      <c r="G18" s="325">
        <v>0</v>
      </c>
      <c r="H18" s="325">
        <v>0</v>
      </c>
      <c r="I18" s="325">
        <v>0</v>
      </c>
      <c r="J18" s="325">
        <v>0</v>
      </c>
      <c r="K18" s="325">
        <v>0</v>
      </c>
      <c r="L18" s="325">
        <v>0</v>
      </c>
      <c r="M18" s="326">
        <f t="shared" si="2"/>
        <v>0</v>
      </c>
      <c r="N18" s="327">
        <f t="shared" si="2"/>
        <v>0</v>
      </c>
    </row>
    <row r="19" spans="1:14" x14ac:dyDescent="0.25">
      <c r="F19" s="120"/>
      <c r="H19" s="120"/>
      <c r="I19" s="49"/>
      <c r="J19" s="49"/>
    </row>
    <row r="20" spans="1:14" x14ac:dyDescent="0.25">
      <c r="A20" s="49" t="s">
        <v>46</v>
      </c>
      <c r="B20" s="49"/>
      <c r="C20" s="49"/>
      <c r="E20" s="49"/>
      <c r="F20" s="328"/>
      <c r="G20" s="49"/>
      <c r="H20" s="121"/>
      <c r="I20" s="49"/>
      <c r="J20" s="49"/>
      <c r="K20" s="49"/>
      <c r="L20" s="49"/>
      <c r="M20" s="49"/>
      <c r="N20" s="49"/>
    </row>
    <row r="21" spans="1:14" x14ac:dyDescent="0.25">
      <c r="A21" s="49" t="s">
        <v>47</v>
      </c>
      <c r="B21" s="49"/>
      <c r="C21" s="49"/>
      <c r="D21" s="49"/>
      <c r="E21" s="49"/>
      <c r="F21" s="49"/>
      <c r="G21" s="49"/>
      <c r="H21" s="121"/>
      <c r="I21" s="49"/>
      <c r="J21" s="49"/>
      <c r="K21" s="49"/>
      <c r="L21" s="49"/>
      <c r="M21" s="49"/>
      <c r="N21" s="49"/>
    </row>
    <row r="22" spans="1:14" ht="33" customHeight="1" x14ac:dyDescent="0.25">
      <c r="A22" s="601" t="s">
        <v>48</v>
      </c>
      <c r="B22" s="601"/>
      <c r="C22" s="601"/>
      <c r="D22" s="49"/>
      <c r="E22" s="49"/>
      <c r="F22" s="49"/>
      <c r="G22" s="49"/>
      <c r="H22" s="49"/>
      <c r="I22" s="49"/>
      <c r="J22" s="49"/>
      <c r="K22" s="49"/>
      <c r="L22" s="49"/>
      <c r="M22" s="49"/>
      <c r="N22" s="49"/>
    </row>
    <row r="23" spans="1:14" x14ac:dyDescent="0.25">
      <c r="L23" s="49"/>
    </row>
  </sheetData>
  <mergeCells count="12">
    <mergeCell ref="O9:P9"/>
    <mergeCell ref="M3:N3"/>
    <mergeCell ref="A22:C22"/>
    <mergeCell ref="A1:N1"/>
    <mergeCell ref="A2:N2"/>
    <mergeCell ref="A3:A4"/>
    <mergeCell ref="B3:B4"/>
    <mergeCell ref="C3:D3"/>
    <mergeCell ref="E3:F3"/>
    <mergeCell ref="G3:H3"/>
    <mergeCell ref="I3:J3"/>
    <mergeCell ref="K3:L3"/>
  </mergeCells>
  <pageMargins left="0.42" right="0.28999999999999998" top="0.74803149606299213" bottom="0.74803149606299213" header="0.31496062992125984" footer="0.31496062992125984"/>
  <pageSetup paperSize="9" scale="5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0">
    <tabColor indexed="42"/>
    <pageSetUpPr fitToPage="1"/>
  </sheetPr>
  <dimension ref="A1:D22"/>
  <sheetViews>
    <sheetView zoomScaleNormal="100" workbookViewId="0">
      <pane xSplit="2" ySplit="4" topLeftCell="C5" activePane="bottomRight" state="frozen"/>
      <selection pane="topRight" activeCell="C1" sqref="C1"/>
      <selection pane="bottomLeft" activeCell="A5" sqref="A5"/>
      <selection pane="bottomRight" activeCell="G7" sqref="G7"/>
    </sheetView>
  </sheetViews>
  <sheetFormatPr defaultRowHeight="15.75" x14ac:dyDescent="0.2"/>
  <cols>
    <col min="1" max="1" width="10.5703125" style="338" customWidth="1"/>
    <col min="2" max="2" width="43.140625" style="339" customWidth="1"/>
    <col min="3" max="3" width="28.42578125" style="329" customWidth="1"/>
    <col min="4" max="4" width="52.7109375" style="329" customWidth="1"/>
    <col min="5" max="16384" width="9.140625" style="329"/>
  </cols>
  <sheetData>
    <row r="1" spans="1:4" ht="50.1" customHeight="1" thickBot="1" x14ac:dyDescent="0.25">
      <c r="A1" s="470" t="s">
        <v>720</v>
      </c>
      <c r="B1" s="471"/>
      <c r="C1" s="471"/>
      <c r="D1" s="472"/>
    </row>
    <row r="2" spans="1:4" ht="35.1" customHeight="1" x14ac:dyDescent="0.2">
      <c r="A2" s="485" t="s">
        <v>794</v>
      </c>
      <c r="B2" s="486"/>
      <c r="C2" s="486"/>
      <c r="D2" s="487"/>
    </row>
    <row r="3" spans="1:4" ht="31.5" x14ac:dyDescent="0.2">
      <c r="A3" s="330" t="s">
        <v>134</v>
      </c>
      <c r="B3" s="5" t="s">
        <v>187</v>
      </c>
      <c r="C3" s="5" t="s">
        <v>721</v>
      </c>
      <c r="D3" s="6" t="s">
        <v>574</v>
      </c>
    </row>
    <row r="4" spans="1:4" s="331" customFormat="1" ht="18" customHeight="1" x14ac:dyDescent="0.2">
      <c r="A4" s="24"/>
      <c r="B4" s="15" t="s">
        <v>178</v>
      </c>
      <c r="C4" s="15" t="s">
        <v>179</v>
      </c>
      <c r="D4" s="16" t="s">
        <v>180</v>
      </c>
    </row>
    <row r="5" spans="1:4" s="331" customFormat="1" ht="31.5" x14ac:dyDescent="0.2">
      <c r="A5" s="24">
        <v>1</v>
      </c>
      <c r="B5" s="17" t="s">
        <v>10</v>
      </c>
      <c r="C5" s="149">
        <f>SUM(C6:C19)</f>
        <v>21430440.800000001</v>
      </c>
      <c r="D5" s="332"/>
    </row>
    <row r="6" spans="1:4" ht="63.75" x14ac:dyDescent="0.2">
      <c r="A6" s="24">
        <v>2</v>
      </c>
      <c r="B6" s="62" t="s">
        <v>124</v>
      </c>
      <c r="C6" s="154">
        <v>4.4656189857050776E-10</v>
      </c>
      <c r="D6" s="94" t="s">
        <v>824</v>
      </c>
    </row>
    <row r="7" spans="1:4" ht="63.75" x14ac:dyDescent="0.2">
      <c r="A7" s="24">
        <v>3</v>
      </c>
      <c r="B7" s="62" t="s">
        <v>125</v>
      </c>
      <c r="C7" s="154">
        <v>5767878.3499999987</v>
      </c>
      <c r="D7" s="94" t="s">
        <v>825</v>
      </c>
    </row>
    <row r="8" spans="1:4" x14ac:dyDescent="0.2">
      <c r="A8" s="24">
        <v>4</v>
      </c>
      <c r="B8" s="23" t="s">
        <v>126</v>
      </c>
      <c r="C8" s="154" t="s">
        <v>823</v>
      </c>
      <c r="D8" s="94" t="s">
        <v>826</v>
      </c>
    </row>
    <row r="9" spans="1:4" ht="76.5" x14ac:dyDescent="0.2">
      <c r="A9" s="24">
        <v>5</v>
      </c>
      <c r="B9" s="23" t="s">
        <v>105</v>
      </c>
      <c r="C9" s="154">
        <v>11815392.1</v>
      </c>
      <c r="D9" s="94" t="s">
        <v>827</v>
      </c>
    </row>
    <row r="10" spans="1:4" x14ac:dyDescent="0.2">
      <c r="A10" s="24">
        <v>6</v>
      </c>
      <c r="B10" s="23" t="s">
        <v>170</v>
      </c>
      <c r="C10" s="154" t="s">
        <v>823</v>
      </c>
      <c r="D10" s="333"/>
    </row>
    <row r="11" spans="1:4" x14ac:dyDescent="0.2">
      <c r="A11" s="24">
        <v>7</v>
      </c>
      <c r="B11" s="23" t="s">
        <v>171</v>
      </c>
      <c r="C11" s="154">
        <v>41864.540000000008</v>
      </c>
      <c r="D11" s="94" t="s">
        <v>828</v>
      </c>
    </row>
    <row r="12" spans="1:4" ht="102" x14ac:dyDescent="0.2">
      <c r="A12" s="24">
        <v>8</v>
      </c>
      <c r="B12" s="23" t="s">
        <v>264</v>
      </c>
      <c r="C12" s="154">
        <v>53235.8</v>
      </c>
      <c r="D12" s="94" t="s">
        <v>829</v>
      </c>
    </row>
    <row r="13" spans="1:4" ht="25.5" x14ac:dyDescent="0.2">
      <c r="A13" s="24">
        <v>9</v>
      </c>
      <c r="B13" s="23" t="s">
        <v>106</v>
      </c>
      <c r="C13" s="154">
        <v>36495.26</v>
      </c>
      <c r="D13" s="94" t="s">
        <v>830</v>
      </c>
    </row>
    <row r="14" spans="1:4" ht="76.5" x14ac:dyDescent="0.2">
      <c r="A14" s="24">
        <v>10</v>
      </c>
      <c r="B14" s="23" t="s">
        <v>107</v>
      </c>
      <c r="C14" s="154" t="s">
        <v>823</v>
      </c>
      <c r="D14" s="94" t="s">
        <v>831</v>
      </c>
    </row>
    <row r="15" spans="1:4" ht="76.5" x14ac:dyDescent="0.2">
      <c r="A15" s="24">
        <v>11</v>
      </c>
      <c r="B15" s="23" t="s">
        <v>108</v>
      </c>
      <c r="C15" s="154">
        <v>399198.36</v>
      </c>
      <c r="D15" s="94" t="s">
        <v>832</v>
      </c>
    </row>
    <row r="16" spans="1:4" ht="76.5" x14ac:dyDescent="0.2">
      <c r="A16" s="24">
        <v>12</v>
      </c>
      <c r="B16" s="23" t="s">
        <v>109</v>
      </c>
      <c r="C16" s="154">
        <v>95309.04</v>
      </c>
      <c r="D16" s="94" t="s">
        <v>833</v>
      </c>
    </row>
    <row r="17" spans="1:4" x14ac:dyDescent="0.2">
      <c r="A17" s="24">
        <v>13</v>
      </c>
      <c r="B17" s="23" t="s">
        <v>110</v>
      </c>
      <c r="C17" s="154" t="s">
        <v>823</v>
      </c>
      <c r="D17" s="94" t="s">
        <v>834</v>
      </c>
    </row>
    <row r="18" spans="1:4" x14ac:dyDescent="0.2">
      <c r="A18" s="24">
        <v>14</v>
      </c>
      <c r="B18" s="23" t="s">
        <v>111</v>
      </c>
      <c r="C18" s="154">
        <v>700785</v>
      </c>
      <c r="D18" s="94" t="s">
        <v>835</v>
      </c>
    </row>
    <row r="19" spans="1:4" ht="306" x14ac:dyDescent="0.2">
      <c r="A19" s="24">
        <v>15</v>
      </c>
      <c r="B19" s="23" t="s">
        <v>112</v>
      </c>
      <c r="C19" s="154">
        <f>2355331.58+164950.77</f>
        <v>2520282.35</v>
      </c>
      <c r="D19" s="94" t="s">
        <v>836</v>
      </c>
    </row>
    <row r="20" spans="1:4" x14ac:dyDescent="0.2">
      <c r="A20" s="24">
        <v>16</v>
      </c>
      <c r="B20" s="17" t="s">
        <v>199</v>
      </c>
      <c r="C20" s="154" t="s">
        <v>823</v>
      </c>
      <c r="D20" s="333"/>
    </row>
    <row r="21" spans="1:4" x14ac:dyDescent="0.2">
      <c r="A21" s="24">
        <v>17</v>
      </c>
      <c r="B21" s="334" t="s">
        <v>562</v>
      </c>
      <c r="C21" s="335" t="s">
        <v>823</v>
      </c>
      <c r="D21" s="336"/>
    </row>
    <row r="22" spans="1:4" ht="32.25" thickBot="1" x14ac:dyDescent="0.25">
      <c r="A22" s="309">
        <v>18</v>
      </c>
      <c r="B22" s="21" t="s">
        <v>20</v>
      </c>
      <c r="C22" s="175">
        <f>+C5+C20+C21</f>
        <v>21430440.800000001</v>
      </c>
      <c r="D22" s="337"/>
    </row>
  </sheetData>
  <mergeCells count="2">
    <mergeCell ref="A1:D1"/>
    <mergeCell ref="A2:D2"/>
  </mergeCells>
  <phoneticPr fontId="0" type="noConversion"/>
  <printOptions gridLines="1"/>
  <pageMargins left="0.74803149606299213" right="0.74803149606299213" top="0.98425196850393704" bottom="0.79" header="0.51181102362204722" footer="0.51181102362204722"/>
  <pageSetup paperSize="9" scale="62"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20"/>
  <sheetViews>
    <sheetView workbookViewId="0">
      <pane xSplit="2" ySplit="5" topLeftCell="C6" activePane="bottomRight" state="frozen"/>
      <selection pane="topRight" activeCell="C1" sqref="C1"/>
      <selection pane="bottomLeft" activeCell="A6" sqref="A6"/>
      <selection pane="bottomRight" activeCell="I7" sqref="I7"/>
    </sheetView>
  </sheetViews>
  <sheetFormatPr defaultRowHeight="15.75" x14ac:dyDescent="0.2"/>
  <cols>
    <col min="1" max="1" width="7.7109375" style="139" customWidth="1"/>
    <col min="2" max="2" width="47.5703125" style="221" customWidth="1"/>
    <col min="3" max="3" width="17.85546875" style="141" customWidth="1"/>
    <col min="4" max="4" width="16.85546875" style="141" customWidth="1"/>
    <col min="5" max="5" width="17.140625" style="141" customWidth="1"/>
    <col min="6" max="6" width="18.140625" style="141" customWidth="1"/>
    <col min="7" max="7" width="17.42578125" style="141" customWidth="1"/>
    <col min="8" max="8" width="17" style="141" customWidth="1"/>
    <col min="9" max="16384" width="9.140625" style="141"/>
  </cols>
  <sheetData>
    <row r="1" spans="1:9" s="341" customFormat="1" ht="69" customHeight="1" thickBot="1" x14ac:dyDescent="0.25">
      <c r="A1" s="609" t="s">
        <v>722</v>
      </c>
      <c r="B1" s="610"/>
      <c r="C1" s="610"/>
      <c r="D1" s="610"/>
      <c r="E1" s="610"/>
      <c r="F1" s="610"/>
      <c r="G1" s="610"/>
      <c r="H1" s="611"/>
      <c r="I1" s="340"/>
    </row>
    <row r="2" spans="1:9" s="341" customFormat="1" ht="35.1" customHeight="1" x14ac:dyDescent="0.2">
      <c r="A2" s="612" t="s">
        <v>792</v>
      </c>
      <c r="B2" s="613"/>
      <c r="C2" s="613"/>
      <c r="D2" s="613"/>
      <c r="E2" s="613"/>
      <c r="F2" s="613"/>
      <c r="G2" s="613"/>
      <c r="H2" s="614"/>
      <c r="I2" s="342"/>
    </row>
    <row r="3" spans="1:9" ht="27" customHeight="1" x14ac:dyDescent="0.25">
      <c r="A3" s="615" t="s">
        <v>134</v>
      </c>
      <c r="B3" s="617" t="s">
        <v>213</v>
      </c>
      <c r="C3" s="619" t="s">
        <v>193</v>
      </c>
      <c r="D3" s="619"/>
      <c r="E3" s="619" t="s">
        <v>194</v>
      </c>
      <c r="F3" s="619"/>
      <c r="G3" s="620" t="s">
        <v>137</v>
      </c>
      <c r="H3" s="621"/>
      <c r="I3" s="343"/>
    </row>
    <row r="4" spans="1:9" ht="33" customHeight="1" x14ac:dyDescent="0.25">
      <c r="A4" s="616"/>
      <c r="B4" s="618"/>
      <c r="C4" s="344" t="s">
        <v>35</v>
      </c>
      <c r="D4" s="344" t="s">
        <v>127</v>
      </c>
      <c r="E4" s="344" t="s">
        <v>35</v>
      </c>
      <c r="F4" s="344" t="s">
        <v>127</v>
      </c>
      <c r="G4" s="344" t="s">
        <v>35</v>
      </c>
      <c r="H4" s="345" t="s">
        <v>127</v>
      </c>
      <c r="I4" s="343"/>
    </row>
    <row r="5" spans="1:9" ht="21.6" customHeight="1" x14ac:dyDescent="0.25">
      <c r="A5" s="346"/>
      <c r="B5" s="347"/>
      <c r="C5" s="118" t="s">
        <v>178</v>
      </c>
      <c r="D5" s="118" t="s">
        <v>179</v>
      </c>
      <c r="E5" s="118" t="s">
        <v>180</v>
      </c>
      <c r="F5" s="118" t="s">
        <v>186</v>
      </c>
      <c r="G5" s="118" t="s">
        <v>16</v>
      </c>
      <c r="H5" s="119" t="s">
        <v>17</v>
      </c>
      <c r="I5" s="343"/>
    </row>
    <row r="6" spans="1:9" ht="19.5" customHeight="1" x14ac:dyDescent="0.25">
      <c r="A6" s="348">
        <v>1</v>
      </c>
      <c r="B6" s="349" t="s">
        <v>628</v>
      </c>
      <c r="C6" s="350">
        <v>0</v>
      </c>
      <c r="D6" s="350">
        <v>0</v>
      </c>
      <c r="E6" s="350">
        <v>0</v>
      </c>
      <c r="F6" s="350">
        <v>0</v>
      </c>
      <c r="G6" s="350">
        <v>0</v>
      </c>
      <c r="H6" s="351">
        <v>0</v>
      </c>
      <c r="I6" s="343"/>
    </row>
    <row r="7" spans="1:9" ht="19.5" customHeight="1" x14ac:dyDescent="0.25">
      <c r="A7" s="348">
        <v>2</v>
      </c>
      <c r="B7" s="352" t="s">
        <v>629</v>
      </c>
      <c r="C7" s="353"/>
      <c r="D7" s="354" t="s">
        <v>587</v>
      </c>
      <c r="E7" s="353"/>
      <c r="F7" s="354" t="s">
        <v>587</v>
      </c>
      <c r="G7" s="350">
        <v>0</v>
      </c>
      <c r="H7" s="355" t="s">
        <v>587</v>
      </c>
      <c r="I7" s="343"/>
    </row>
    <row r="8" spans="1:9" ht="19.5" customHeight="1" x14ac:dyDescent="0.25">
      <c r="A8" s="348">
        <v>3</v>
      </c>
      <c r="B8" s="352" t="s">
        <v>630</v>
      </c>
      <c r="C8" s="354" t="s">
        <v>587</v>
      </c>
      <c r="D8" s="353"/>
      <c r="E8" s="354" t="s">
        <v>587</v>
      </c>
      <c r="F8" s="353"/>
      <c r="G8" s="356" t="s">
        <v>587</v>
      </c>
      <c r="H8" s="351">
        <v>0</v>
      </c>
      <c r="I8" s="343"/>
    </row>
    <row r="9" spans="1:9" ht="19.5" customHeight="1" x14ac:dyDescent="0.25">
      <c r="A9" s="348">
        <v>4</v>
      </c>
      <c r="B9" s="349" t="s">
        <v>631</v>
      </c>
      <c r="C9" s="350">
        <v>0</v>
      </c>
      <c r="D9" s="350">
        <v>0</v>
      </c>
      <c r="E9" s="350">
        <v>0</v>
      </c>
      <c r="F9" s="350">
        <v>0</v>
      </c>
      <c r="G9" s="350">
        <v>0</v>
      </c>
      <c r="H9" s="351">
        <v>0</v>
      </c>
      <c r="I9" s="343"/>
    </row>
    <row r="10" spans="1:9" ht="19.5" customHeight="1" x14ac:dyDescent="0.25">
      <c r="A10" s="348">
        <v>5</v>
      </c>
      <c r="B10" s="352" t="s">
        <v>632</v>
      </c>
      <c r="C10" s="353"/>
      <c r="D10" s="354" t="s">
        <v>587</v>
      </c>
      <c r="E10" s="353"/>
      <c r="F10" s="354" t="s">
        <v>587</v>
      </c>
      <c r="G10" s="350">
        <v>0</v>
      </c>
      <c r="H10" s="355" t="s">
        <v>587</v>
      </c>
      <c r="I10" s="343"/>
    </row>
    <row r="11" spans="1:9" ht="19.5" customHeight="1" x14ac:dyDescent="0.25">
      <c r="A11" s="348">
        <v>6</v>
      </c>
      <c r="B11" s="352" t="s">
        <v>633</v>
      </c>
      <c r="C11" s="354" t="s">
        <v>587</v>
      </c>
      <c r="D11" s="353"/>
      <c r="E11" s="354" t="s">
        <v>587</v>
      </c>
      <c r="F11" s="353"/>
      <c r="G11" s="356" t="s">
        <v>587</v>
      </c>
      <c r="H11" s="351">
        <v>0</v>
      </c>
      <c r="I11" s="343"/>
    </row>
    <row r="12" spans="1:9" x14ac:dyDescent="0.25">
      <c r="A12" s="348">
        <v>7</v>
      </c>
      <c r="B12" s="349" t="s">
        <v>860</v>
      </c>
      <c r="C12" s="350">
        <f>C13</f>
        <v>697928.54</v>
      </c>
      <c r="D12" s="350">
        <f>D14</f>
        <v>82109.240000000005</v>
      </c>
      <c r="E12" s="350">
        <f>E13</f>
        <v>6621974.4199999999</v>
      </c>
      <c r="F12" s="350">
        <f>F14</f>
        <v>779055.82</v>
      </c>
      <c r="G12" s="350">
        <v>0</v>
      </c>
      <c r="H12" s="351">
        <v>0</v>
      </c>
      <c r="I12" s="343"/>
    </row>
    <row r="13" spans="1:9" ht="26.25" customHeight="1" x14ac:dyDescent="0.25">
      <c r="A13" s="348">
        <v>8</v>
      </c>
      <c r="B13" s="357" t="s">
        <v>861</v>
      </c>
      <c r="C13" s="354">
        <v>697928.54</v>
      </c>
      <c r="D13" s="354" t="s">
        <v>587</v>
      </c>
      <c r="E13" s="354">
        <v>6621974.4199999999</v>
      </c>
      <c r="F13" s="354" t="s">
        <v>587</v>
      </c>
      <c r="G13" s="350">
        <v>0</v>
      </c>
      <c r="H13" s="355" t="s">
        <v>587</v>
      </c>
      <c r="I13" s="343"/>
    </row>
    <row r="14" spans="1:9" ht="24" customHeight="1" x14ac:dyDescent="0.25">
      <c r="A14" s="348">
        <v>9</v>
      </c>
      <c r="B14" s="357" t="s">
        <v>862</v>
      </c>
      <c r="C14" s="354" t="s">
        <v>587</v>
      </c>
      <c r="D14" s="353">
        <v>82109.240000000005</v>
      </c>
      <c r="E14" s="354" t="s">
        <v>587</v>
      </c>
      <c r="F14" s="353">
        <v>779055.82</v>
      </c>
      <c r="G14" s="356" t="s">
        <v>587</v>
      </c>
      <c r="H14" s="351">
        <v>0</v>
      </c>
      <c r="I14" s="343"/>
    </row>
    <row r="15" spans="1:9" ht="24.75" customHeight="1" x14ac:dyDescent="0.2">
      <c r="A15" s="348">
        <v>10</v>
      </c>
      <c r="B15" s="349" t="s">
        <v>589</v>
      </c>
      <c r="C15" s="350">
        <f>C6+C9+C12</f>
        <v>697928.54</v>
      </c>
      <c r="D15" s="350">
        <f t="shared" ref="D15:F15" si="0">D6+D9+D12</f>
        <v>82109.240000000005</v>
      </c>
      <c r="E15" s="350">
        <f t="shared" si="0"/>
        <v>6621974.4199999999</v>
      </c>
      <c r="F15" s="350">
        <f t="shared" si="0"/>
        <v>779055.82</v>
      </c>
      <c r="G15" s="350">
        <v>0</v>
      </c>
      <c r="H15" s="351">
        <v>0</v>
      </c>
      <c r="I15" s="358"/>
    </row>
    <row r="16" spans="1:9" ht="23.25" customHeight="1" x14ac:dyDescent="0.25">
      <c r="A16" s="348">
        <v>11</v>
      </c>
      <c r="B16" s="349" t="s">
        <v>590</v>
      </c>
      <c r="C16" s="350">
        <f>C17</f>
        <v>382882.05</v>
      </c>
      <c r="D16" s="350">
        <f t="shared" ref="D16:F16" si="1">D17</f>
        <v>45044.95</v>
      </c>
      <c r="E16" s="350">
        <f t="shared" si="1"/>
        <v>0</v>
      </c>
      <c r="F16" s="350">
        <f t="shared" si="1"/>
        <v>0</v>
      </c>
      <c r="G16" s="350">
        <v>0</v>
      </c>
      <c r="H16" s="351">
        <v>0</v>
      </c>
      <c r="I16" s="343"/>
    </row>
    <row r="17" spans="1:8" x14ac:dyDescent="0.2">
      <c r="A17" s="348">
        <v>12</v>
      </c>
      <c r="B17" s="349" t="s">
        <v>863</v>
      </c>
      <c r="C17" s="350">
        <f>C18+C19</f>
        <v>382882.05</v>
      </c>
      <c r="D17" s="350">
        <f t="shared" ref="D17:F17" si="2">D18+D19</f>
        <v>45044.95</v>
      </c>
      <c r="E17" s="350">
        <f t="shared" si="2"/>
        <v>0</v>
      </c>
      <c r="F17" s="350">
        <f t="shared" si="2"/>
        <v>0</v>
      </c>
      <c r="G17" s="350">
        <v>0</v>
      </c>
      <c r="H17" s="351">
        <v>0</v>
      </c>
    </row>
    <row r="18" spans="1:8" x14ac:dyDescent="0.2">
      <c r="A18" s="348">
        <v>13</v>
      </c>
      <c r="B18" s="359" t="s">
        <v>864</v>
      </c>
      <c r="C18" s="360">
        <v>382882.05</v>
      </c>
      <c r="D18" s="360"/>
      <c r="E18" s="360"/>
      <c r="F18" s="360"/>
      <c r="G18" s="350">
        <v>0</v>
      </c>
      <c r="H18" s="351">
        <v>0</v>
      </c>
    </row>
    <row r="19" spans="1:8" x14ac:dyDescent="0.2">
      <c r="A19" s="361"/>
      <c r="B19" s="359" t="s">
        <v>865</v>
      </c>
      <c r="C19" s="360"/>
      <c r="D19" s="360">
        <v>45044.95</v>
      </c>
      <c r="E19" s="360"/>
      <c r="F19" s="360"/>
      <c r="G19" s="362">
        <v>0</v>
      </c>
      <c r="H19" s="363">
        <v>0</v>
      </c>
    </row>
    <row r="20" spans="1:8" ht="16.5" thickBot="1" x14ac:dyDescent="0.25">
      <c r="A20" s="364">
        <v>14</v>
      </c>
      <c r="B20" s="365" t="s">
        <v>591</v>
      </c>
      <c r="C20" s="366">
        <f>C15+C16</f>
        <v>1080810.5900000001</v>
      </c>
      <c r="D20" s="366">
        <f t="shared" ref="D20:F20" si="3">D15+D16</f>
        <v>127154.19</v>
      </c>
      <c r="E20" s="366">
        <f t="shared" si="3"/>
        <v>6621974.4199999999</v>
      </c>
      <c r="F20" s="366">
        <f t="shared" si="3"/>
        <v>779055.82</v>
      </c>
      <c r="G20" s="367">
        <v>0</v>
      </c>
      <c r="H20" s="368">
        <v>0</v>
      </c>
    </row>
  </sheetData>
  <sheetProtection selectLockedCells="1"/>
  <mergeCells count="7">
    <mergeCell ref="A1:H1"/>
    <mergeCell ref="A2:H2"/>
    <mergeCell ref="A3:A4"/>
    <mergeCell ref="B3:B4"/>
    <mergeCell ref="C3:D3"/>
    <mergeCell ref="E3:F3"/>
    <mergeCell ref="G3:H3"/>
  </mergeCells>
  <printOptions gridLines="1"/>
  <pageMargins left="0.74803149606299213" right="0.74803149606299213" top="0.98425196850393704" bottom="0.88" header="0.51181102362204722" footer="0.51181102362204722"/>
  <pageSetup paperSize="9" scale="78"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2">
    <tabColor indexed="42"/>
    <pageSetUpPr fitToPage="1"/>
  </sheetPr>
  <dimension ref="A1:I24"/>
  <sheetViews>
    <sheetView zoomScaleNormal="100" workbookViewId="0">
      <pane xSplit="2" ySplit="4" topLeftCell="C5" activePane="bottomRight" state="frozen"/>
      <selection pane="topRight" activeCell="C1" sqref="C1"/>
      <selection pane="bottomLeft" activeCell="A5" sqref="A5"/>
      <selection pane="bottomRight" activeCell="I7" sqref="I7"/>
    </sheetView>
  </sheetViews>
  <sheetFormatPr defaultRowHeight="15.75" x14ac:dyDescent="0.25"/>
  <cols>
    <col min="1" max="1" width="9.5703125" style="132" customWidth="1"/>
    <col min="2" max="2" width="58.42578125" style="8" customWidth="1"/>
    <col min="3" max="3" width="22.140625" style="22" customWidth="1"/>
    <col min="4" max="4" width="21.140625" style="22" customWidth="1"/>
    <col min="5" max="5" width="24.140625" style="22" customWidth="1"/>
    <col min="6" max="16384" width="9.140625" style="8"/>
  </cols>
  <sheetData>
    <row r="1" spans="1:9" ht="80.25" customHeight="1" thickBot="1" x14ac:dyDescent="0.3">
      <c r="A1" s="622" t="s">
        <v>723</v>
      </c>
      <c r="B1" s="623"/>
      <c r="C1" s="623"/>
      <c r="D1" s="623"/>
      <c r="E1" s="624"/>
      <c r="F1" s="146"/>
      <c r="G1" s="146"/>
    </row>
    <row r="2" spans="1:9" ht="35.1" customHeight="1" x14ac:dyDescent="0.25">
      <c r="A2" s="485" t="s">
        <v>792</v>
      </c>
      <c r="B2" s="486"/>
      <c r="C2" s="486"/>
      <c r="D2" s="486"/>
      <c r="E2" s="487"/>
      <c r="F2" s="146"/>
      <c r="G2" s="146"/>
    </row>
    <row r="3" spans="1:9" s="147" customFormat="1" ht="46.9" customHeight="1" x14ac:dyDescent="0.25">
      <c r="A3" s="28" t="s">
        <v>134</v>
      </c>
      <c r="B3" s="129" t="s">
        <v>213</v>
      </c>
      <c r="C3" s="129" t="s">
        <v>193</v>
      </c>
      <c r="D3" s="129" t="s">
        <v>194</v>
      </c>
      <c r="E3" s="130" t="s">
        <v>135</v>
      </c>
    </row>
    <row r="4" spans="1:9" s="147" customFormat="1" ht="16.5" customHeight="1" x14ac:dyDescent="0.25">
      <c r="A4" s="28"/>
      <c r="B4" s="129"/>
      <c r="C4" s="129" t="s">
        <v>178</v>
      </c>
      <c r="D4" s="129" t="s">
        <v>179</v>
      </c>
      <c r="E4" s="130" t="s">
        <v>13</v>
      </c>
    </row>
    <row r="5" spans="1:9" s="147" customFormat="1" ht="17.45" customHeight="1" x14ac:dyDescent="0.25">
      <c r="A5" s="28"/>
      <c r="B5" s="30" t="s">
        <v>240</v>
      </c>
      <c r="C5" s="12"/>
      <c r="D5" s="12"/>
      <c r="E5" s="25"/>
    </row>
    <row r="6" spans="1:9" s="147" customFormat="1" ht="17.45" customHeight="1" x14ac:dyDescent="0.25">
      <c r="A6" s="24">
        <v>1</v>
      </c>
      <c r="B6" s="369" t="s">
        <v>268</v>
      </c>
      <c r="C6" s="135">
        <f>SUM(C7:C10)</f>
        <v>1620685.84</v>
      </c>
      <c r="D6" s="135">
        <f>SUM(D7:D10)</f>
        <v>0</v>
      </c>
      <c r="E6" s="101">
        <f>C6+D6</f>
        <v>1620685.84</v>
      </c>
    </row>
    <row r="7" spans="1:9" s="22" customFormat="1" x14ac:dyDescent="0.2">
      <c r="A7" s="7">
        <f>A6+1</f>
        <v>2</v>
      </c>
      <c r="B7" s="23" t="s">
        <v>87</v>
      </c>
      <c r="C7" s="97">
        <v>1601685.84</v>
      </c>
      <c r="D7" s="154"/>
      <c r="E7" s="101">
        <f>C7+D7</f>
        <v>1601685.84</v>
      </c>
    </row>
    <row r="8" spans="1:9" s="22" customFormat="1" x14ac:dyDescent="0.2">
      <c r="A8" s="7">
        <f>A7+1</f>
        <v>3</v>
      </c>
      <c r="B8" s="23" t="s">
        <v>266</v>
      </c>
      <c r="C8" s="97">
        <v>19000</v>
      </c>
      <c r="D8" s="97"/>
      <c r="E8" s="101">
        <f t="shared" ref="E8:E16" si="0">C8+D8</f>
        <v>19000</v>
      </c>
      <c r="G8" s="370"/>
    </row>
    <row r="9" spans="1:9" s="22" customFormat="1" x14ac:dyDescent="0.2">
      <c r="A9" s="7">
        <f>A8+1</f>
        <v>4</v>
      </c>
      <c r="B9" s="23"/>
      <c r="C9" s="97"/>
      <c r="D9" s="97"/>
      <c r="E9" s="101"/>
    </row>
    <row r="10" spans="1:9" s="22" customFormat="1" x14ac:dyDescent="0.2">
      <c r="A10" s="7">
        <f>A9+1</f>
        <v>5</v>
      </c>
      <c r="B10" s="23"/>
      <c r="C10" s="97"/>
      <c r="D10" s="97"/>
      <c r="E10" s="101">
        <f t="shared" si="0"/>
        <v>0</v>
      </c>
    </row>
    <row r="11" spans="1:9" s="22" customFormat="1" x14ac:dyDescent="0.2">
      <c r="A11" s="7"/>
      <c r="B11" s="30" t="s">
        <v>561</v>
      </c>
      <c r="C11" s="97"/>
      <c r="D11" s="97"/>
      <c r="E11" s="101"/>
    </row>
    <row r="12" spans="1:9" x14ac:dyDescent="0.25">
      <c r="A12" s="7">
        <v>6</v>
      </c>
      <c r="B12" s="23" t="s">
        <v>5</v>
      </c>
      <c r="C12" s="102">
        <v>5028</v>
      </c>
      <c r="D12" s="102"/>
      <c r="E12" s="101">
        <f t="shared" si="0"/>
        <v>5028</v>
      </c>
    </row>
    <row r="13" spans="1:9" x14ac:dyDescent="0.25">
      <c r="A13" s="7">
        <v>7</v>
      </c>
      <c r="B13" s="23" t="s">
        <v>6</v>
      </c>
      <c r="C13" s="97"/>
      <c r="D13" s="97"/>
      <c r="E13" s="101">
        <f t="shared" si="0"/>
        <v>0</v>
      </c>
    </row>
    <row r="14" spans="1:9" x14ac:dyDescent="0.25">
      <c r="A14" s="7"/>
      <c r="B14" s="14"/>
      <c r="C14" s="102"/>
      <c r="D14" s="102"/>
      <c r="E14" s="101"/>
    </row>
    <row r="15" spans="1:9" x14ac:dyDescent="0.25">
      <c r="A15" s="7">
        <v>8</v>
      </c>
      <c r="B15" s="14" t="s">
        <v>269</v>
      </c>
      <c r="C15" s="371">
        <f>SUM(C16:C17)</f>
        <v>0</v>
      </c>
      <c r="D15" s="371">
        <f>SUM(D16:D17)</f>
        <v>0</v>
      </c>
      <c r="E15" s="101">
        <f t="shared" si="0"/>
        <v>0</v>
      </c>
    </row>
    <row r="16" spans="1:9" ht="31.5" x14ac:dyDescent="0.25">
      <c r="A16" s="7" t="s">
        <v>267</v>
      </c>
      <c r="B16" s="57" t="s">
        <v>614</v>
      </c>
      <c r="C16" s="102"/>
      <c r="D16" s="102"/>
      <c r="E16" s="101">
        <f t="shared" si="0"/>
        <v>0</v>
      </c>
      <c r="I16" s="372"/>
    </row>
    <row r="17" spans="1:5" x14ac:dyDescent="0.25">
      <c r="A17" s="7"/>
      <c r="B17" s="14"/>
      <c r="C17" s="102"/>
      <c r="D17" s="102"/>
      <c r="E17" s="101"/>
    </row>
    <row r="18" spans="1:5" ht="16.5" thickBot="1" x14ac:dyDescent="0.3">
      <c r="A18" s="26">
        <v>9</v>
      </c>
      <c r="B18" s="27" t="s">
        <v>547</v>
      </c>
      <c r="C18" s="175">
        <f>C6+C12+C13+C15</f>
        <v>1625713.84</v>
      </c>
      <c r="D18" s="175">
        <f>D6+D12+D13+D15</f>
        <v>0</v>
      </c>
      <c r="E18" s="160">
        <f>E6+E12+E13+E15</f>
        <v>1625713.84</v>
      </c>
    </row>
    <row r="19" spans="1:5" x14ac:dyDescent="0.25">
      <c r="E19" s="141"/>
    </row>
    <row r="21" spans="1:5" x14ac:dyDescent="0.25">
      <c r="B21" s="40"/>
      <c r="C21" s="132"/>
    </row>
    <row r="22" spans="1:5" x14ac:dyDescent="0.25">
      <c r="B22" s="132"/>
      <c r="C22" s="132"/>
    </row>
    <row r="23" spans="1:5" x14ac:dyDescent="0.25">
      <c r="B23" s="132"/>
      <c r="C23" s="132"/>
    </row>
    <row r="24" spans="1:5" x14ac:dyDescent="0.25">
      <c r="D24" s="370"/>
    </row>
  </sheetData>
  <protectedRanges>
    <protectedRange sqref="C8:D10" name="Rozsah2_1"/>
    <protectedRange sqref="C11:D11" name="Rozsah2_2"/>
  </protectedRanges>
  <mergeCells count="2">
    <mergeCell ref="A1:E1"/>
    <mergeCell ref="A2:E2"/>
  </mergeCells>
  <phoneticPr fontId="6" type="noConversion"/>
  <pageMargins left="0.79" right="0.74803149606299213" top="0.98425196850393704" bottom="0.77" header="0.51181102362204722" footer="0.51181102362204722"/>
  <pageSetup paperSize="9" scale="91"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G26"/>
  <sheetViews>
    <sheetView workbookViewId="0">
      <pane xSplit="2" ySplit="5" topLeftCell="C6" activePane="bottomRight" state="frozen"/>
      <selection pane="topRight" activeCell="C1" sqref="C1"/>
      <selection pane="bottomLeft" activeCell="A6" sqref="A6"/>
      <selection pane="bottomRight" activeCell="G20" sqref="G20"/>
    </sheetView>
  </sheetViews>
  <sheetFormatPr defaultRowHeight="15.75" x14ac:dyDescent="0.2"/>
  <cols>
    <col min="1" max="1" width="9.140625" style="22"/>
    <col min="2" max="2" width="75.42578125" style="273" customWidth="1"/>
    <col min="3" max="6" width="17.28515625" style="22" customWidth="1"/>
    <col min="7" max="7" width="66.42578125" style="22" customWidth="1"/>
    <col min="8" max="16384" width="9.140625" style="22"/>
  </cols>
  <sheetData>
    <row r="1" spans="1:7" ht="35.1" customHeight="1" thickBot="1" x14ac:dyDescent="0.25">
      <c r="A1" s="464" t="s">
        <v>724</v>
      </c>
      <c r="B1" s="589"/>
      <c r="C1" s="589"/>
      <c r="D1" s="589"/>
      <c r="E1" s="589"/>
      <c r="F1" s="590"/>
    </row>
    <row r="2" spans="1:7" ht="35.1" customHeight="1" x14ac:dyDescent="0.2">
      <c r="A2" s="467" t="s">
        <v>792</v>
      </c>
      <c r="B2" s="558"/>
      <c r="C2" s="559" t="s">
        <v>638</v>
      </c>
      <c r="D2" s="559"/>
      <c r="E2" s="559"/>
      <c r="F2" s="560"/>
    </row>
    <row r="3" spans="1:7" ht="22.9" customHeight="1" x14ac:dyDescent="0.2">
      <c r="A3" s="488" t="s">
        <v>134</v>
      </c>
      <c r="B3" s="524" t="s">
        <v>213</v>
      </c>
      <c r="C3" s="521">
        <v>2016</v>
      </c>
      <c r="D3" s="521"/>
      <c r="E3" s="521">
        <v>2017</v>
      </c>
      <c r="F3" s="568"/>
    </row>
    <row r="4" spans="1:7" ht="75" customHeight="1" x14ac:dyDescent="0.2">
      <c r="A4" s="488"/>
      <c r="B4" s="524"/>
      <c r="C4" s="129" t="s">
        <v>18</v>
      </c>
      <c r="D4" s="129" t="s">
        <v>128</v>
      </c>
      <c r="E4" s="129" t="s">
        <v>18</v>
      </c>
      <c r="F4" s="130" t="s">
        <v>129</v>
      </c>
    </row>
    <row r="5" spans="1:7" x14ac:dyDescent="0.2">
      <c r="A5" s="7"/>
      <c r="B5" s="373"/>
      <c r="C5" s="5" t="s">
        <v>178</v>
      </c>
      <c r="D5" s="5" t="s">
        <v>179</v>
      </c>
      <c r="E5" s="5" t="s">
        <v>180</v>
      </c>
      <c r="F5" s="6" t="s">
        <v>186</v>
      </c>
    </row>
    <row r="6" spans="1:7" ht="31.5" x14ac:dyDescent="0.2">
      <c r="A6" s="7">
        <v>1</v>
      </c>
      <c r="B6" s="14" t="s">
        <v>653</v>
      </c>
      <c r="C6" s="374">
        <f>C7+C10+C16+C19+C13</f>
        <v>34413.96</v>
      </c>
      <c r="D6" s="375">
        <f t="shared" ref="D6:F6" si="0">D7+D10+D16+D19+D13</f>
        <v>274</v>
      </c>
      <c r="E6" s="152">
        <f t="shared" si="0"/>
        <v>48274.22</v>
      </c>
      <c r="F6" s="375">
        <f t="shared" si="0"/>
        <v>396</v>
      </c>
      <c r="G6" s="376"/>
    </row>
    <row r="7" spans="1:7" x14ac:dyDescent="0.2">
      <c r="A7" s="7">
        <v>2</v>
      </c>
      <c r="B7" s="14" t="s">
        <v>71</v>
      </c>
      <c r="C7" s="374">
        <f>SUM(C8:C9)</f>
        <v>5890</v>
      </c>
      <c r="D7" s="375">
        <f t="shared" ref="D7:F7" si="1">SUM(D8:D9)</f>
        <v>24</v>
      </c>
      <c r="E7" s="152">
        <f t="shared" si="1"/>
        <v>3079.9700000000003</v>
      </c>
      <c r="F7" s="375">
        <f t="shared" si="1"/>
        <v>28</v>
      </c>
      <c r="G7" s="376"/>
    </row>
    <row r="8" spans="1:7" x14ac:dyDescent="0.2">
      <c r="A8" s="7">
        <v>3</v>
      </c>
      <c r="B8" s="9" t="s">
        <v>21</v>
      </c>
      <c r="C8" s="377">
        <v>5890</v>
      </c>
      <c r="D8" s="378">
        <v>24</v>
      </c>
      <c r="E8" s="97">
        <f>1780+1299.97</f>
        <v>3079.9700000000003</v>
      </c>
      <c r="F8" s="379">
        <v>28</v>
      </c>
      <c r="G8" s="380"/>
    </row>
    <row r="9" spans="1:7" ht="18.75" x14ac:dyDescent="0.2">
      <c r="A9" s="7">
        <v>4</v>
      </c>
      <c r="B9" s="9" t="s">
        <v>90</v>
      </c>
      <c r="C9" s="377"/>
      <c r="D9" s="378"/>
      <c r="E9" s="97"/>
      <c r="F9" s="379"/>
      <c r="G9" s="380"/>
    </row>
    <row r="10" spans="1:7" ht="21" customHeight="1" x14ac:dyDescent="0.2">
      <c r="A10" s="7">
        <v>5</v>
      </c>
      <c r="B10" s="14" t="s">
        <v>649</v>
      </c>
      <c r="C10" s="374">
        <f>SUM(C11:C12)</f>
        <v>12323</v>
      </c>
      <c r="D10" s="375">
        <f t="shared" ref="D10:F10" si="2">SUM(D11:D12)</f>
        <v>64</v>
      </c>
      <c r="E10" s="152">
        <f t="shared" si="2"/>
        <v>12060</v>
      </c>
      <c r="F10" s="375">
        <f t="shared" si="2"/>
        <v>123</v>
      </c>
      <c r="G10" s="380"/>
    </row>
    <row r="11" spans="1:7" x14ac:dyDescent="0.2">
      <c r="A11" s="7">
        <v>6</v>
      </c>
      <c r="B11" s="9" t="s">
        <v>21</v>
      </c>
      <c r="C11" s="377">
        <v>12323</v>
      </c>
      <c r="D11" s="378">
        <v>64</v>
      </c>
      <c r="E11" s="97">
        <v>6379.5</v>
      </c>
      <c r="F11" s="379">
        <v>109</v>
      </c>
      <c r="G11" s="380"/>
    </row>
    <row r="12" spans="1:7" ht="18.75" x14ac:dyDescent="0.2">
      <c r="A12" s="7">
        <v>7</v>
      </c>
      <c r="B12" s="9" t="s">
        <v>90</v>
      </c>
      <c r="C12" s="377"/>
      <c r="D12" s="378"/>
      <c r="E12" s="97">
        <v>5680.5</v>
      </c>
      <c r="F12" s="379">
        <v>14</v>
      </c>
      <c r="G12" s="380"/>
    </row>
    <row r="13" spans="1:7" x14ac:dyDescent="0.2">
      <c r="A13" s="7">
        <v>8</v>
      </c>
      <c r="B13" s="10" t="s">
        <v>650</v>
      </c>
      <c r="C13" s="374">
        <f>C14+C15</f>
        <v>12255.96</v>
      </c>
      <c r="D13" s="375">
        <f t="shared" ref="D13:F13" si="3">D14+D15</f>
        <v>150</v>
      </c>
      <c r="E13" s="152">
        <f t="shared" si="3"/>
        <v>30964.25</v>
      </c>
      <c r="F13" s="375">
        <f t="shared" si="3"/>
        <v>230</v>
      </c>
      <c r="G13" s="380"/>
    </row>
    <row r="14" spans="1:7" x14ac:dyDescent="0.2">
      <c r="A14" s="7">
        <v>9</v>
      </c>
      <c r="B14" s="9" t="s">
        <v>21</v>
      </c>
      <c r="C14" s="377">
        <v>12255.96</v>
      </c>
      <c r="D14" s="378">
        <v>150</v>
      </c>
      <c r="E14" s="97">
        <f>1870+29094.25</f>
        <v>30964.25</v>
      </c>
      <c r="F14" s="379">
        <v>230</v>
      </c>
      <c r="G14" s="380"/>
    </row>
    <row r="15" spans="1:7" ht="18.75" x14ac:dyDescent="0.2">
      <c r="A15" s="7">
        <v>10</v>
      </c>
      <c r="B15" s="9" t="s">
        <v>725</v>
      </c>
      <c r="C15" s="377"/>
      <c r="D15" s="378"/>
      <c r="E15" s="97"/>
      <c r="F15" s="379"/>
      <c r="G15" s="380"/>
    </row>
    <row r="16" spans="1:7" x14ac:dyDescent="0.2">
      <c r="A16" s="7">
        <v>11</v>
      </c>
      <c r="B16" s="14" t="s">
        <v>651</v>
      </c>
      <c r="C16" s="374">
        <f>SUM(C17:C18)</f>
        <v>975</v>
      </c>
      <c r="D16" s="375">
        <f t="shared" ref="D16:F16" si="4">SUM(D17:D18)</f>
        <v>19</v>
      </c>
      <c r="E16" s="152">
        <f t="shared" si="4"/>
        <v>1870</v>
      </c>
      <c r="F16" s="375">
        <f t="shared" si="4"/>
        <v>14</v>
      </c>
      <c r="G16" s="380"/>
    </row>
    <row r="17" spans="1:7" x14ac:dyDescent="0.2">
      <c r="A17" s="7">
        <v>12</v>
      </c>
      <c r="B17" s="9" t="s">
        <v>21</v>
      </c>
      <c r="C17" s="377">
        <v>975</v>
      </c>
      <c r="D17" s="378">
        <v>19</v>
      </c>
      <c r="E17" s="97">
        <v>1870</v>
      </c>
      <c r="F17" s="379">
        <v>14</v>
      </c>
      <c r="G17" s="380"/>
    </row>
    <row r="18" spans="1:7" ht="18.75" x14ac:dyDescent="0.2">
      <c r="A18" s="7">
        <v>13</v>
      </c>
      <c r="B18" s="9" t="s">
        <v>90</v>
      </c>
      <c r="C18" s="377"/>
      <c r="D18" s="378"/>
      <c r="E18" s="97"/>
      <c r="F18" s="379"/>
      <c r="G18" s="380"/>
    </row>
    <row r="19" spans="1:7" x14ac:dyDescent="0.2">
      <c r="A19" s="7">
        <v>14</v>
      </c>
      <c r="B19" s="14" t="s">
        <v>652</v>
      </c>
      <c r="C19" s="374">
        <f>SUM(C20:C21)</f>
        <v>2970</v>
      </c>
      <c r="D19" s="375">
        <f t="shared" ref="D19:F19" si="5">SUM(D20:D21)</f>
        <v>17</v>
      </c>
      <c r="E19" s="152">
        <f t="shared" si="5"/>
        <v>300</v>
      </c>
      <c r="F19" s="375">
        <f t="shared" si="5"/>
        <v>1</v>
      </c>
      <c r="G19" s="380"/>
    </row>
    <row r="20" spans="1:7" x14ac:dyDescent="0.2">
      <c r="A20" s="7">
        <v>15</v>
      </c>
      <c r="B20" s="9" t="s">
        <v>21</v>
      </c>
      <c r="C20" s="377">
        <v>2970</v>
      </c>
      <c r="D20" s="378">
        <v>17</v>
      </c>
      <c r="E20" s="97">
        <v>300</v>
      </c>
      <c r="F20" s="379">
        <v>1</v>
      </c>
      <c r="G20" s="380"/>
    </row>
    <row r="21" spans="1:7" ht="18.75" x14ac:dyDescent="0.2">
      <c r="A21" s="7">
        <v>16</v>
      </c>
      <c r="B21" s="61" t="s">
        <v>90</v>
      </c>
      <c r="C21" s="381"/>
      <c r="D21" s="382"/>
      <c r="E21" s="382"/>
      <c r="F21" s="383"/>
    </row>
    <row r="22" spans="1:7" ht="19.5" thickBot="1" x14ac:dyDescent="0.25">
      <c r="A22" s="7">
        <v>17</v>
      </c>
      <c r="B22" s="21" t="s">
        <v>581</v>
      </c>
      <c r="C22" s="29" t="s">
        <v>200</v>
      </c>
      <c r="D22" s="384"/>
      <c r="E22" s="29" t="s">
        <v>200</v>
      </c>
      <c r="F22" s="385">
        <v>396</v>
      </c>
    </row>
    <row r="23" spans="1:7" x14ac:dyDescent="0.2">
      <c r="A23" s="70"/>
      <c r="B23" s="131"/>
      <c r="C23" s="71"/>
      <c r="D23" s="72"/>
      <c r="E23" s="71"/>
      <c r="F23" s="72"/>
    </row>
    <row r="24" spans="1:7" x14ac:dyDescent="0.2">
      <c r="A24" s="626" t="s">
        <v>552</v>
      </c>
      <c r="B24" s="627"/>
      <c r="C24" s="627"/>
      <c r="D24" s="627"/>
      <c r="E24" s="627"/>
      <c r="F24" s="628"/>
    </row>
    <row r="25" spans="1:7" x14ac:dyDescent="0.2">
      <c r="A25" s="629" t="s">
        <v>553</v>
      </c>
      <c r="B25" s="630"/>
      <c r="C25" s="630"/>
      <c r="D25" s="630"/>
      <c r="E25" s="630"/>
      <c r="F25" s="631"/>
    </row>
    <row r="26" spans="1:7" x14ac:dyDescent="0.2">
      <c r="A26" s="625" t="s">
        <v>647</v>
      </c>
      <c r="B26" s="625"/>
      <c r="C26" s="625"/>
      <c r="D26" s="625"/>
      <c r="E26" s="625"/>
      <c r="F26" s="625"/>
    </row>
  </sheetData>
  <mergeCells count="10">
    <mergeCell ref="C2:F2"/>
    <mergeCell ref="A26:F26"/>
    <mergeCell ref="A24:F24"/>
    <mergeCell ref="A25:F25"/>
    <mergeCell ref="A1:F1"/>
    <mergeCell ref="A3:A4"/>
    <mergeCell ref="B3:B4"/>
    <mergeCell ref="C3:D3"/>
    <mergeCell ref="E3:F3"/>
    <mergeCell ref="A2:B2"/>
  </mergeCells>
  <pageMargins left="0.74803149606299213" right="0.56000000000000005" top="0.98425196850393704" bottom="0.98425196850393704" header="0.51181102362204722" footer="0.51181102362204722"/>
  <pageSetup paperSize="9" scale="83"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H16"/>
  <sheetViews>
    <sheetView zoomScaleNormal="100" workbookViewId="0">
      <pane xSplit="2" ySplit="5" topLeftCell="C6" activePane="bottomRight" state="frozen"/>
      <selection pane="topRight" activeCell="C1" sqref="C1"/>
      <selection pane="bottomLeft" activeCell="A5" sqref="A5"/>
      <selection pane="bottomRight" activeCell="J8" sqref="J8"/>
    </sheetView>
  </sheetViews>
  <sheetFormatPr defaultRowHeight="18.75" x14ac:dyDescent="0.25"/>
  <cols>
    <col min="1" max="1" width="9.140625" style="108"/>
    <col min="2" max="2" width="67" style="303" customWidth="1"/>
    <col min="3" max="3" width="20.28515625" style="404" customWidth="1"/>
    <col min="4" max="4" width="23.5703125" style="404" customWidth="1"/>
    <col min="5" max="5" width="22.140625" style="404" customWidth="1"/>
    <col min="6" max="6" width="18.42578125" style="108" customWidth="1"/>
    <col min="7" max="7" width="37.85546875" style="108" customWidth="1"/>
    <col min="8" max="16384" width="9.140625" style="108"/>
  </cols>
  <sheetData>
    <row r="1" spans="1:8" ht="50.1" customHeight="1" thickBot="1" x14ac:dyDescent="0.3">
      <c r="A1" s="580" t="s">
        <v>726</v>
      </c>
      <c r="B1" s="632"/>
      <c r="C1" s="632"/>
      <c r="D1" s="633"/>
      <c r="E1" s="633"/>
      <c r="F1" s="634"/>
    </row>
    <row r="2" spans="1:8" ht="35.1" customHeight="1" thickBot="1" x14ac:dyDescent="0.3">
      <c r="A2" s="635" t="s">
        <v>792</v>
      </c>
      <c r="B2" s="636"/>
      <c r="C2" s="636"/>
      <c r="D2" s="637"/>
      <c r="E2" s="637"/>
      <c r="F2" s="638"/>
    </row>
    <row r="3" spans="1:8" ht="33" customHeight="1" x14ac:dyDescent="0.25">
      <c r="A3" s="488" t="s">
        <v>134</v>
      </c>
      <c r="B3" s="642" t="s">
        <v>213</v>
      </c>
      <c r="C3" s="639">
        <v>2016</v>
      </c>
      <c r="D3" s="639"/>
      <c r="E3" s="639">
        <v>2017</v>
      </c>
      <c r="F3" s="640"/>
    </row>
    <row r="4" spans="1:8" ht="78.75" customHeight="1" x14ac:dyDescent="0.25">
      <c r="A4" s="488"/>
      <c r="B4" s="643"/>
      <c r="C4" s="386" t="s">
        <v>696</v>
      </c>
      <c r="D4" s="386" t="s">
        <v>697</v>
      </c>
      <c r="E4" s="386" t="s">
        <v>696</v>
      </c>
      <c r="F4" s="387" t="s">
        <v>697</v>
      </c>
    </row>
    <row r="5" spans="1:8" ht="18.75" customHeight="1" x14ac:dyDescent="0.25">
      <c r="A5" s="284"/>
      <c r="B5" s="285"/>
      <c r="C5" s="286" t="s">
        <v>178</v>
      </c>
      <c r="D5" s="286" t="s">
        <v>179</v>
      </c>
      <c r="E5" s="388" t="s">
        <v>180</v>
      </c>
      <c r="F5" s="389" t="s">
        <v>186</v>
      </c>
    </row>
    <row r="6" spans="1:8" s="394" customFormat="1" ht="34.5" customHeight="1" x14ac:dyDescent="0.2">
      <c r="A6" s="110">
        <v>1</v>
      </c>
      <c r="B6" s="390" t="s">
        <v>585</v>
      </c>
      <c r="C6" s="105"/>
      <c r="D6" s="105">
        <v>3295</v>
      </c>
      <c r="E6" s="291">
        <f>C9</f>
        <v>0</v>
      </c>
      <c r="F6" s="391">
        <f>D9</f>
        <v>3</v>
      </c>
      <c r="G6" s="392"/>
      <c r="H6" s="393"/>
    </row>
    <row r="7" spans="1:8" ht="36" customHeight="1" x14ac:dyDescent="0.25">
      <c r="A7" s="110">
        <v>2</v>
      </c>
      <c r="B7" s="390" t="s">
        <v>690</v>
      </c>
      <c r="C7" s="105">
        <v>126900</v>
      </c>
      <c r="D7" s="105">
        <v>278838</v>
      </c>
      <c r="E7" s="105">
        <v>66300</v>
      </c>
      <c r="F7" s="395">
        <v>272451</v>
      </c>
    </row>
    <row r="8" spans="1:8" ht="132.75" customHeight="1" x14ac:dyDescent="0.25">
      <c r="A8" s="110">
        <v>3</v>
      </c>
      <c r="B8" s="390" t="s">
        <v>586</v>
      </c>
      <c r="C8" s="105">
        <v>126900</v>
      </c>
      <c r="D8" s="105">
        <v>282130</v>
      </c>
      <c r="E8" s="105">
        <v>66300</v>
      </c>
      <c r="F8" s="395">
        <v>272410</v>
      </c>
      <c r="G8" s="396"/>
    </row>
    <row r="9" spans="1:8" ht="39.75" customHeight="1" x14ac:dyDescent="0.25">
      <c r="A9" s="110">
        <v>4</v>
      </c>
      <c r="B9" s="390" t="s">
        <v>691</v>
      </c>
      <c r="C9" s="291">
        <f>C6+C7-C8</f>
        <v>0</v>
      </c>
      <c r="D9" s="291">
        <f>D6+D7-D8</f>
        <v>3</v>
      </c>
      <c r="E9" s="291">
        <f>E6+E7-E8</f>
        <v>0</v>
      </c>
      <c r="F9" s="391">
        <f>F6+F7-F8</f>
        <v>44</v>
      </c>
    </row>
    <row r="10" spans="1:8" ht="36" customHeight="1" thickBot="1" x14ac:dyDescent="0.3">
      <c r="A10" s="111">
        <v>5</v>
      </c>
      <c r="B10" s="397" t="s">
        <v>692</v>
      </c>
      <c r="C10" s="398">
        <v>3295</v>
      </c>
      <c r="D10" s="398">
        <v>767</v>
      </c>
      <c r="E10" s="398">
        <v>97</v>
      </c>
      <c r="F10" s="399">
        <v>745</v>
      </c>
    </row>
    <row r="11" spans="1:8" ht="45" customHeight="1" x14ac:dyDescent="0.25">
      <c r="A11" s="644" t="s">
        <v>870</v>
      </c>
      <c r="B11" s="644"/>
      <c r="C11" s="644"/>
      <c r="D11" s="644"/>
      <c r="E11" s="644"/>
      <c r="F11" s="644"/>
      <c r="G11" s="394"/>
    </row>
    <row r="12" spans="1:8" ht="21" customHeight="1" x14ac:dyDescent="0.25">
      <c r="A12" s="641" t="s">
        <v>693</v>
      </c>
      <c r="B12" s="641"/>
      <c r="C12" s="641"/>
      <c r="D12" s="641"/>
      <c r="E12" s="641"/>
      <c r="F12" s="641"/>
    </row>
    <row r="13" spans="1:8" ht="18" x14ac:dyDescent="0.25">
      <c r="A13" s="400" t="s">
        <v>694</v>
      </c>
      <c r="B13" s="401"/>
      <c r="C13" s="402"/>
      <c r="D13" s="402"/>
      <c r="E13" s="402"/>
      <c r="F13" s="403"/>
    </row>
    <row r="14" spans="1:8" ht="18" x14ac:dyDescent="0.25">
      <c r="A14" s="400" t="s">
        <v>695</v>
      </c>
      <c r="B14" s="401"/>
      <c r="C14" s="402"/>
      <c r="D14" s="402"/>
      <c r="E14" s="402"/>
      <c r="F14" s="403"/>
    </row>
    <row r="16" spans="1:8" x14ac:dyDescent="0.25">
      <c r="C16" s="404" t="s">
        <v>99</v>
      </c>
    </row>
  </sheetData>
  <mergeCells count="8">
    <mergeCell ref="A1:F1"/>
    <mergeCell ref="A2:F2"/>
    <mergeCell ref="E3:F3"/>
    <mergeCell ref="A12:F12"/>
    <mergeCell ref="C3:D3"/>
    <mergeCell ref="B3:B4"/>
    <mergeCell ref="A3:A4"/>
    <mergeCell ref="A11:F11"/>
  </mergeCells>
  <printOptions horizontalCentered="1"/>
  <pageMargins left="0.65" right="0.64" top="0.98425196850393704" bottom="0.73" header="0.51181102362204722" footer="0.51181102362204722"/>
  <pageSetup paperSize="9" scale="81"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6">
    <tabColor indexed="42"/>
    <pageSetUpPr fitToPage="1"/>
  </sheetPr>
  <dimension ref="A1:G32"/>
  <sheetViews>
    <sheetView workbookViewId="0">
      <pane xSplit="2" ySplit="4" topLeftCell="C17" activePane="bottomRight" state="frozen"/>
      <selection pane="topRight" activeCell="C1" sqref="C1"/>
      <selection pane="bottomLeft" activeCell="A5" sqref="A5"/>
      <selection pane="bottomRight" activeCell="C38" sqref="C38"/>
    </sheetView>
  </sheetViews>
  <sheetFormatPr defaultRowHeight="15.75" x14ac:dyDescent="0.25"/>
  <cols>
    <col min="1" max="1" width="10.140625" style="132" customWidth="1"/>
    <col min="2" max="2" width="83" style="163" customWidth="1"/>
    <col min="3" max="3" width="15.42578125" style="8" customWidth="1"/>
    <col min="4" max="4" width="14.28515625" style="8" customWidth="1"/>
    <col min="5" max="5" width="14.7109375" style="8" customWidth="1"/>
    <col min="6" max="16384" width="9.140625" style="8"/>
  </cols>
  <sheetData>
    <row r="1" spans="1:7" ht="50.1" customHeight="1" thickBot="1" x14ac:dyDescent="0.3">
      <c r="A1" s="470" t="s">
        <v>704</v>
      </c>
      <c r="B1" s="471"/>
      <c r="C1" s="471"/>
      <c r="D1" s="471"/>
      <c r="E1" s="472"/>
      <c r="F1" s="146"/>
      <c r="G1" s="146"/>
    </row>
    <row r="2" spans="1:7" s="134" customFormat="1" ht="38.25" customHeight="1" x14ac:dyDescent="0.2">
      <c r="A2" s="473" t="s">
        <v>789</v>
      </c>
      <c r="B2" s="474"/>
      <c r="C2" s="474"/>
      <c r="D2" s="474"/>
      <c r="E2" s="475"/>
    </row>
    <row r="3" spans="1:7" s="147" customFormat="1" ht="35.25" customHeight="1" x14ac:dyDescent="0.25">
      <c r="A3" s="28" t="s">
        <v>134</v>
      </c>
      <c r="B3" s="129" t="s">
        <v>213</v>
      </c>
      <c r="C3" s="129" t="s">
        <v>193</v>
      </c>
      <c r="D3" s="129" t="s">
        <v>194</v>
      </c>
      <c r="E3" s="6" t="s">
        <v>137</v>
      </c>
    </row>
    <row r="4" spans="1:7" s="22" customFormat="1" ht="17.25" customHeight="1" x14ac:dyDescent="0.2">
      <c r="A4" s="7"/>
      <c r="B4" s="10"/>
      <c r="C4" s="2" t="s">
        <v>178</v>
      </c>
      <c r="D4" s="2" t="s">
        <v>179</v>
      </c>
      <c r="E4" s="3" t="s">
        <v>13</v>
      </c>
    </row>
    <row r="5" spans="1:7" ht="31.5" x14ac:dyDescent="0.25">
      <c r="A5" s="42">
        <v>1</v>
      </c>
      <c r="B5" s="148" t="s">
        <v>576</v>
      </c>
      <c r="C5" s="149">
        <f>SUM(C6:C9)</f>
        <v>1230271.69</v>
      </c>
      <c r="D5" s="149">
        <f>SUM(D6:D7)</f>
        <v>0</v>
      </c>
      <c r="E5" s="150">
        <f>C5+D5</f>
        <v>1230271.69</v>
      </c>
    </row>
    <row r="6" spans="1:7" x14ac:dyDescent="0.25">
      <c r="A6" s="42" t="s">
        <v>204</v>
      </c>
      <c r="B6" s="91" t="s">
        <v>795</v>
      </c>
      <c r="C6" s="12">
        <v>1050220.69</v>
      </c>
      <c r="D6" s="12"/>
      <c r="E6" s="150">
        <f t="shared" ref="E6:E30" si="0">C6+D6</f>
        <v>1050220.69</v>
      </c>
    </row>
    <row r="7" spans="1:7" x14ac:dyDescent="0.25">
      <c r="A7" s="42" t="s">
        <v>256</v>
      </c>
      <c r="B7" s="91" t="s">
        <v>796</v>
      </c>
      <c r="C7" s="97">
        <v>175051</v>
      </c>
      <c r="D7" s="97"/>
      <c r="E7" s="151">
        <f t="shared" si="0"/>
        <v>175051</v>
      </c>
    </row>
    <row r="8" spans="1:7" x14ac:dyDescent="0.25">
      <c r="A8" s="42" t="s">
        <v>797</v>
      </c>
      <c r="B8" s="91" t="s">
        <v>798</v>
      </c>
      <c r="C8" s="97">
        <v>3000</v>
      </c>
      <c r="D8" s="97"/>
      <c r="E8" s="151">
        <f t="shared" si="0"/>
        <v>3000</v>
      </c>
    </row>
    <row r="9" spans="1:7" x14ac:dyDescent="0.25">
      <c r="A9" s="42" t="s">
        <v>805</v>
      </c>
      <c r="B9" s="91" t="s">
        <v>806</v>
      </c>
      <c r="C9" s="97">
        <v>2000</v>
      </c>
      <c r="D9" s="97"/>
      <c r="E9" s="151">
        <f t="shared" si="0"/>
        <v>2000</v>
      </c>
    </row>
    <row r="10" spans="1:7" x14ac:dyDescent="0.25">
      <c r="A10" s="42"/>
      <c r="B10" s="91"/>
      <c r="C10" s="97"/>
      <c r="D10" s="97"/>
      <c r="E10" s="151"/>
    </row>
    <row r="11" spans="1:7" x14ac:dyDescent="0.25">
      <c r="A11" s="42">
        <v>2</v>
      </c>
      <c r="B11" s="148" t="s">
        <v>36</v>
      </c>
      <c r="C11" s="152">
        <f>SUM(C12:C14)</f>
        <v>1500</v>
      </c>
      <c r="D11" s="152">
        <f>SUM(D12:D13)</f>
        <v>0</v>
      </c>
      <c r="E11" s="151">
        <f t="shared" si="0"/>
        <v>1500</v>
      </c>
    </row>
    <row r="12" spans="1:7" x14ac:dyDescent="0.25">
      <c r="A12" s="42" t="s">
        <v>205</v>
      </c>
      <c r="B12" s="91" t="s">
        <v>799</v>
      </c>
      <c r="C12" s="97">
        <v>1000</v>
      </c>
      <c r="D12" s="97"/>
      <c r="E12" s="151">
        <f t="shared" si="0"/>
        <v>1000</v>
      </c>
    </row>
    <row r="13" spans="1:7" x14ac:dyDescent="0.25">
      <c r="A13" s="42" t="s">
        <v>257</v>
      </c>
      <c r="B13" s="91" t="s">
        <v>801</v>
      </c>
      <c r="C13" s="97">
        <v>300</v>
      </c>
      <c r="D13" s="97"/>
      <c r="E13" s="151">
        <f t="shared" si="0"/>
        <v>300</v>
      </c>
    </row>
    <row r="14" spans="1:7" x14ac:dyDescent="0.25">
      <c r="A14" s="42" t="s">
        <v>802</v>
      </c>
      <c r="B14" s="91" t="s">
        <v>803</v>
      </c>
      <c r="C14" s="97">
        <v>200</v>
      </c>
      <c r="D14" s="97"/>
      <c r="E14" s="151">
        <f t="shared" si="0"/>
        <v>200</v>
      </c>
    </row>
    <row r="15" spans="1:7" x14ac:dyDescent="0.25">
      <c r="A15" s="42"/>
      <c r="B15" s="91"/>
      <c r="C15" s="97"/>
      <c r="D15" s="97"/>
      <c r="E15" s="151"/>
    </row>
    <row r="16" spans="1:7" x14ac:dyDescent="0.25">
      <c r="A16" s="42">
        <v>3</v>
      </c>
      <c r="B16" s="148" t="s">
        <v>161</v>
      </c>
      <c r="C16" s="152">
        <f>SUM(C17:C18)</f>
        <v>8050</v>
      </c>
      <c r="D16" s="152">
        <f>SUM(D17:D18)</f>
        <v>0</v>
      </c>
      <c r="E16" s="151">
        <f t="shared" si="0"/>
        <v>8050</v>
      </c>
    </row>
    <row r="17" spans="1:5" x14ac:dyDescent="0.25">
      <c r="A17" s="42" t="s">
        <v>206</v>
      </c>
      <c r="B17" s="153" t="s">
        <v>800</v>
      </c>
      <c r="C17" s="97">
        <v>7500</v>
      </c>
      <c r="D17" s="97"/>
      <c r="E17" s="151">
        <f t="shared" si="0"/>
        <v>7500</v>
      </c>
    </row>
    <row r="18" spans="1:5" x14ac:dyDescent="0.25">
      <c r="A18" s="42" t="s">
        <v>258</v>
      </c>
      <c r="B18" s="153" t="s">
        <v>804</v>
      </c>
      <c r="C18" s="97">
        <v>550</v>
      </c>
      <c r="D18" s="97"/>
      <c r="E18" s="151">
        <f t="shared" si="0"/>
        <v>550</v>
      </c>
    </row>
    <row r="19" spans="1:5" x14ac:dyDescent="0.25">
      <c r="A19" s="42"/>
      <c r="B19" s="91"/>
      <c r="C19" s="97"/>
      <c r="D19" s="97"/>
      <c r="E19" s="151">
        <f t="shared" si="0"/>
        <v>0</v>
      </c>
    </row>
    <row r="20" spans="1:5" x14ac:dyDescent="0.25">
      <c r="A20" s="42">
        <v>4</v>
      </c>
      <c r="B20" s="148" t="s">
        <v>162</v>
      </c>
      <c r="C20" s="152">
        <f>SUM(C21:C30)</f>
        <v>928819.84000000008</v>
      </c>
      <c r="D20" s="152">
        <f>SUM(D21:D22)</f>
        <v>0</v>
      </c>
      <c r="E20" s="151">
        <f t="shared" si="0"/>
        <v>928819.84000000008</v>
      </c>
    </row>
    <row r="21" spans="1:5" x14ac:dyDescent="0.25">
      <c r="A21" s="42" t="s">
        <v>152</v>
      </c>
      <c r="B21" s="91" t="s">
        <v>807</v>
      </c>
      <c r="C21" s="154">
        <v>60000</v>
      </c>
      <c r="D21" s="154"/>
      <c r="E21" s="151">
        <f t="shared" si="0"/>
        <v>60000</v>
      </c>
    </row>
    <row r="22" spans="1:5" x14ac:dyDescent="0.25">
      <c r="A22" s="42" t="s">
        <v>259</v>
      </c>
      <c r="B22" s="91" t="s">
        <v>808</v>
      </c>
      <c r="C22" s="154">
        <v>6152.6</v>
      </c>
      <c r="D22" s="154"/>
      <c r="E22" s="151">
        <f t="shared" si="0"/>
        <v>6152.6</v>
      </c>
    </row>
    <row r="23" spans="1:5" x14ac:dyDescent="0.25">
      <c r="A23" s="42" t="s">
        <v>810</v>
      </c>
      <c r="B23" s="91" t="s">
        <v>809</v>
      </c>
      <c r="C23" s="97">
        <v>44200</v>
      </c>
      <c r="D23" s="97"/>
      <c r="E23" s="151">
        <f t="shared" si="0"/>
        <v>44200</v>
      </c>
    </row>
    <row r="24" spans="1:5" x14ac:dyDescent="0.25">
      <c r="A24" s="155" t="s">
        <v>811</v>
      </c>
      <c r="B24" s="92" t="s">
        <v>816</v>
      </c>
      <c r="C24" s="102">
        <v>50</v>
      </c>
      <c r="D24" s="102"/>
      <c r="E24" s="151">
        <f t="shared" si="0"/>
        <v>50</v>
      </c>
    </row>
    <row r="25" spans="1:5" x14ac:dyDescent="0.25">
      <c r="A25" s="155" t="s">
        <v>812</v>
      </c>
      <c r="B25" s="92" t="s">
        <v>813</v>
      </c>
      <c r="C25" s="102">
        <v>3861.5</v>
      </c>
      <c r="D25" s="102"/>
      <c r="E25" s="151">
        <f t="shared" si="0"/>
        <v>3861.5</v>
      </c>
    </row>
    <row r="26" spans="1:5" x14ac:dyDescent="0.25">
      <c r="A26" s="155" t="s">
        <v>811</v>
      </c>
      <c r="B26" s="92" t="s">
        <v>814</v>
      </c>
      <c r="C26" s="102">
        <v>15000</v>
      </c>
      <c r="D26" s="102"/>
      <c r="E26" s="151">
        <f t="shared" si="0"/>
        <v>15000</v>
      </c>
    </row>
    <row r="27" spans="1:5" x14ac:dyDescent="0.25">
      <c r="A27" s="42" t="s">
        <v>812</v>
      </c>
      <c r="B27" s="91" t="s">
        <v>815</v>
      </c>
      <c r="C27" s="102">
        <v>428.74</v>
      </c>
      <c r="D27" s="154"/>
      <c r="E27" s="151">
        <f t="shared" si="0"/>
        <v>428.74</v>
      </c>
    </row>
    <row r="28" spans="1:5" x14ac:dyDescent="0.25">
      <c r="A28" s="42" t="s">
        <v>817</v>
      </c>
      <c r="B28" s="156" t="s">
        <v>819</v>
      </c>
      <c r="C28" s="154">
        <v>17815</v>
      </c>
      <c r="D28" s="97"/>
      <c r="E28" s="151">
        <f t="shared" si="0"/>
        <v>17815</v>
      </c>
    </row>
    <row r="29" spans="1:5" s="157" customFormat="1" x14ac:dyDescent="0.25">
      <c r="A29" s="42" t="s">
        <v>818</v>
      </c>
      <c r="B29" s="92" t="s">
        <v>821</v>
      </c>
      <c r="C29" s="97">
        <v>694610</v>
      </c>
      <c r="D29" s="102"/>
      <c r="E29" s="151">
        <f t="shared" si="0"/>
        <v>694610</v>
      </c>
    </row>
    <row r="30" spans="1:5" x14ac:dyDescent="0.25">
      <c r="A30" s="158" t="s">
        <v>820</v>
      </c>
      <c r="B30" s="92" t="s">
        <v>822</v>
      </c>
      <c r="C30" s="102">
        <v>86702</v>
      </c>
      <c r="D30" s="102"/>
      <c r="E30" s="151">
        <f t="shared" si="0"/>
        <v>86702</v>
      </c>
    </row>
    <row r="31" spans="1:5" ht="16.5" thickBot="1" x14ac:dyDescent="0.3">
      <c r="A31" s="26">
        <v>5</v>
      </c>
      <c r="B31" s="27" t="s">
        <v>195</v>
      </c>
      <c r="C31" s="159">
        <f>C5+C11+C16+C20</f>
        <v>2168641.5300000003</v>
      </c>
      <c r="D31" s="159">
        <f>D5+D11+D16+D20</f>
        <v>0</v>
      </c>
      <c r="E31" s="160">
        <f>C31+D31</f>
        <v>2168641.5300000003</v>
      </c>
    </row>
    <row r="32" spans="1:5" x14ac:dyDescent="0.25">
      <c r="A32" s="161"/>
      <c r="B32" s="162"/>
      <c r="C32" s="157"/>
      <c r="D32" s="157"/>
      <c r="E32" s="157"/>
    </row>
  </sheetData>
  <mergeCells count="2">
    <mergeCell ref="A1:E1"/>
    <mergeCell ref="A2:E2"/>
  </mergeCells>
  <phoneticPr fontId="0" type="noConversion"/>
  <printOptions gridLines="1"/>
  <pageMargins left="0.74803149606299213" right="0.74803149606299213" top="0.98425196850393704" bottom="0.98425196850393704" header="0.51181102362204722" footer="0.51181102362204722"/>
  <pageSetup paperSize="9" scale="77" orientation="landscape"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5">
    <tabColor indexed="42"/>
    <pageSetUpPr fitToPage="1"/>
  </sheetPr>
  <dimension ref="A1:T11"/>
  <sheetViews>
    <sheetView zoomScale="80" zoomScaleNormal="80" workbookViewId="0">
      <pane xSplit="1" ySplit="5" topLeftCell="B6" activePane="bottomRight" state="frozen"/>
      <selection pane="topRight" activeCell="B1" sqref="B1"/>
      <selection pane="bottomLeft" activeCell="A6" sqref="A6"/>
      <selection pane="bottomRight" activeCell="J11" sqref="J11"/>
    </sheetView>
  </sheetViews>
  <sheetFormatPr defaultRowHeight="15.75" x14ac:dyDescent="0.2"/>
  <cols>
    <col min="1" max="1" width="8.85546875" style="414" customWidth="1"/>
    <col min="2" max="2" width="20.5703125" style="414" customWidth="1"/>
    <col min="3" max="3" width="19.140625" style="414" customWidth="1"/>
    <col min="4" max="4" width="15.85546875" style="414" customWidth="1"/>
    <col min="5" max="5" width="15.7109375" style="414" customWidth="1"/>
    <col min="6" max="6" width="14.5703125" style="414" customWidth="1"/>
    <col min="7" max="7" width="18.7109375" style="414" customWidth="1"/>
    <col min="8" max="8" width="20.28515625" style="414" customWidth="1"/>
    <col min="9" max="9" width="18" style="414" customWidth="1"/>
    <col min="10" max="10" width="14.28515625" style="414" customWidth="1"/>
    <col min="11" max="11" width="16.85546875" style="414" customWidth="1"/>
    <col min="12" max="12" width="15" style="414" customWidth="1"/>
    <col min="13" max="13" width="17.7109375" style="414" customWidth="1"/>
    <col min="14" max="15" width="9.140625" style="414"/>
    <col min="16" max="16" width="17.28515625" style="414" customWidth="1"/>
    <col min="17" max="16384" width="9.140625" style="414"/>
  </cols>
  <sheetData>
    <row r="1" spans="1:20" s="405" customFormat="1" ht="35.1" customHeight="1" thickBot="1" x14ac:dyDescent="0.25">
      <c r="A1" s="647" t="s">
        <v>727</v>
      </c>
      <c r="B1" s="648"/>
      <c r="C1" s="648"/>
      <c r="D1" s="648"/>
      <c r="E1" s="648"/>
      <c r="F1" s="648"/>
      <c r="G1" s="648"/>
      <c r="H1" s="648"/>
      <c r="I1" s="648"/>
      <c r="J1" s="648"/>
      <c r="K1" s="648"/>
      <c r="L1" s="648"/>
      <c r="M1" s="649"/>
    </row>
    <row r="2" spans="1:20" s="405" customFormat="1" ht="42.75" customHeight="1" x14ac:dyDescent="0.2">
      <c r="A2" s="467" t="s">
        <v>793</v>
      </c>
      <c r="B2" s="468"/>
      <c r="C2" s="468"/>
      <c r="D2" s="468"/>
      <c r="E2" s="468"/>
      <c r="F2" s="468"/>
      <c r="G2" s="468"/>
      <c r="H2" s="468"/>
      <c r="I2" s="468"/>
      <c r="J2" s="468"/>
      <c r="K2" s="468"/>
      <c r="L2" s="468"/>
      <c r="M2" s="469"/>
    </row>
    <row r="3" spans="1:20" s="405" customFormat="1" ht="45.75" customHeight="1" x14ac:dyDescent="0.2">
      <c r="A3" s="650" t="s">
        <v>134</v>
      </c>
      <c r="B3" s="652" t="s">
        <v>655</v>
      </c>
      <c r="C3" s="652"/>
      <c r="D3" s="652"/>
      <c r="E3" s="652"/>
      <c r="F3" s="652"/>
      <c r="G3" s="652"/>
      <c r="H3" s="652" t="s">
        <v>728</v>
      </c>
      <c r="I3" s="652"/>
      <c r="J3" s="652"/>
      <c r="K3" s="652"/>
      <c r="L3" s="652"/>
      <c r="M3" s="653"/>
    </row>
    <row r="4" spans="1:20" s="409" customFormat="1" ht="171.75" customHeight="1" x14ac:dyDescent="0.2">
      <c r="A4" s="651"/>
      <c r="B4" s="406" t="s">
        <v>582</v>
      </c>
      <c r="C4" s="406" t="s">
        <v>583</v>
      </c>
      <c r="D4" s="406" t="s">
        <v>138</v>
      </c>
      <c r="E4" s="406" t="s">
        <v>37</v>
      </c>
      <c r="F4" s="406" t="s">
        <v>38</v>
      </c>
      <c r="G4" s="406" t="s">
        <v>132</v>
      </c>
      <c r="H4" s="406" t="s">
        <v>582</v>
      </c>
      <c r="I4" s="406" t="s">
        <v>583</v>
      </c>
      <c r="J4" s="406" t="s">
        <v>138</v>
      </c>
      <c r="K4" s="406" t="s">
        <v>37</v>
      </c>
      <c r="L4" s="407" t="s">
        <v>38</v>
      </c>
      <c r="M4" s="408" t="s">
        <v>132</v>
      </c>
    </row>
    <row r="5" spans="1:20" x14ac:dyDescent="0.2">
      <c r="A5" s="410"/>
      <c r="B5" s="411" t="s">
        <v>178</v>
      </c>
      <c r="C5" s="411" t="s">
        <v>179</v>
      </c>
      <c r="D5" s="411" t="s">
        <v>180</v>
      </c>
      <c r="E5" s="411" t="s">
        <v>186</v>
      </c>
      <c r="F5" s="411" t="s">
        <v>181</v>
      </c>
      <c r="G5" s="411" t="s">
        <v>554</v>
      </c>
      <c r="H5" s="411" t="s">
        <v>183</v>
      </c>
      <c r="I5" s="411" t="s">
        <v>184</v>
      </c>
      <c r="J5" s="411" t="s">
        <v>185</v>
      </c>
      <c r="K5" s="411" t="s">
        <v>555</v>
      </c>
      <c r="L5" s="412" t="s">
        <v>556</v>
      </c>
      <c r="M5" s="413" t="s">
        <v>648</v>
      </c>
    </row>
    <row r="6" spans="1:20" ht="107.25" customHeight="1" thickBot="1" x14ac:dyDescent="0.25">
      <c r="A6" s="415">
        <v>1</v>
      </c>
      <c r="B6" s="416">
        <v>16584221.359999999</v>
      </c>
      <c r="C6" s="416">
        <v>30036634.670000002</v>
      </c>
      <c r="D6" s="416">
        <v>974890.66</v>
      </c>
      <c r="E6" s="416">
        <v>1974844.76</v>
      </c>
      <c r="F6" s="416">
        <v>2140325.1</v>
      </c>
      <c r="G6" s="417">
        <f>SUM(B6:F6)</f>
        <v>51710916.549999997</v>
      </c>
      <c r="H6" s="416">
        <f>B6+'[2]T11-Zdroje KV'!D15-'[2]T5 - Analýza nákladov'!E91-'T5 - Analýza nákladov'!E94</f>
        <v>15133861.899999999</v>
      </c>
      <c r="I6" s="416">
        <f>C6+'[2]T11-Zdroje KV'!D16-'[2]T5 - Analýza nákladov'!E93-29849.21-1221024.22</f>
        <v>31857618.790000007</v>
      </c>
      <c r="J6" s="416">
        <v>873894.26</v>
      </c>
      <c r="K6" s="416">
        <v>1533366.42</v>
      </c>
      <c r="L6" s="416">
        <v>2347004.73</v>
      </c>
      <c r="M6" s="418">
        <f>SUM(H6:L6)</f>
        <v>51745746.100000001</v>
      </c>
      <c r="N6" s="645"/>
      <c r="O6" s="645"/>
      <c r="P6" s="645"/>
      <c r="Q6" s="645"/>
      <c r="R6" s="645"/>
      <c r="S6" s="645"/>
      <c r="T6" s="645"/>
    </row>
    <row r="7" spans="1:20" ht="60" customHeight="1" x14ac:dyDescent="0.2">
      <c r="A7" s="646" t="s">
        <v>879</v>
      </c>
      <c r="B7" s="646"/>
      <c r="C7" s="646"/>
      <c r="D7" s="646"/>
      <c r="E7" s="646"/>
      <c r="F7" s="646"/>
      <c r="G7" s="646"/>
      <c r="H7" s="646"/>
      <c r="I7" s="646"/>
      <c r="J7" s="646"/>
      <c r="K7" s="646"/>
      <c r="L7" s="646"/>
      <c r="M7" s="646"/>
      <c r="P7" s="419"/>
    </row>
    <row r="8" spans="1:20" ht="15.75" customHeight="1" x14ac:dyDescent="0.2">
      <c r="B8" s="420"/>
      <c r="H8" s="421"/>
      <c r="I8" s="421"/>
      <c r="P8" s="419"/>
    </row>
    <row r="9" spans="1:20" ht="51.75" customHeight="1" x14ac:dyDescent="0.2">
      <c r="B9" s="420"/>
      <c r="C9" s="420"/>
      <c r="E9" s="645"/>
      <c r="F9" s="645"/>
      <c r="G9" s="645"/>
      <c r="H9" s="645"/>
      <c r="I9" s="645"/>
      <c r="J9" s="645"/>
      <c r="K9" s="645"/>
      <c r="P9" s="421"/>
    </row>
    <row r="11" spans="1:20" x14ac:dyDescent="0.2">
      <c r="B11" s="420"/>
      <c r="C11" s="420"/>
    </row>
  </sheetData>
  <mergeCells count="8">
    <mergeCell ref="E9:K9"/>
    <mergeCell ref="A7:M7"/>
    <mergeCell ref="N6:T6"/>
    <mergeCell ref="A1:M1"/>
    <mergeCell ref="A2:M2"/>
    <mergeCell ref="A3:A4"/>
    <mergeCell ref="B3:G3"/>
    <mergeCell ref="H3:M3"/>
  </mergeCells>
  <phoneticPr fontId="22" type="noConversion"/>
  <pageMargins left="0.4" right="0.27" top="0.98425196850393704" bottom="0.98425196850393704" header="0.51181102362204722" footer="0.51181102362204722"/>
  <pageSetup paperSize="9" scale="65"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44"/>
  <sheetViews>
    <sheetView workbookViewId="0">
      <pane xSplit="3" ySplit="3" topLeftCell="D28" activePane="bottomRight" state="frozen"/>
      <selection pane="topRight" activeCell="D1" sqref="D1"/>
      <selection pane="bottomLeft" activeCell="A4" sqref="A4"/>
      <selection pane="bottomRight" activeCell="M22" sqref="M22"/>
    </sheetView>
  </sheetViews>
  <sheetFormatPr defaultRowHeight="15.75" x14ac:dyDescent="0.2"/>
  <cols>
    <col min="1" max="1" width="7.28515625" style="422" customWidth="1"/>
    <col min="2" max="2" width="39.85546875" style="422" customWidth="1"/>
    <col min="3" max="3" width="9.42578125" style="422" customWidth="1"/>
    <col min="4" max="4" width="18.42578125" style="422" customWidth="1"/>
    <col min="5" max="5" width="16.7109375" style="422" customWidth="1"/>
    <col min="6" max="6" width="15.42578125" style="422" customWidth="1"/>
    <col min="7" max="7" width="51" style="422" customWidth="1"/>
    <col min="8" max="16384" width="9.140625" style="422"/>
  </cols>
  <sheetData>
    <row r="1" spans="1:7" ht="66.75" customHeight="1" thickBot="1" x14ac:dyDescent="0.25">
      <c r="A1" s="658" t="s">
        <v>729</v>
      </c>
      <c r="B1" s="659"/>
      <c r="C1" s="659"/>
      <c r="D1" s="659"/>
      <c r="E1" s="659"/>
      <c r="F1" s="660"/>
    </row>
    <row r="2" spans="1:7" ht="36.75" customHeight="1" thickBot="1" x14ac:dyDescent="0.25">
      <c r="A2" s="661" t="s">
        <v>788</v>
      </c>
      <c r="B2" s="662"/>
      <c r="C2" s="662"/>
      <c r="D2" s="662"/>
      <c r="E2" s="662"/>
      <c r="F2" s="663"/>
    </row>
    <row r="3" spans="1:7" s="426" customFormat="1" ht="69" customHeight="1" x14ac:dyDescent="0.2">
      <c r="A3" s="74" t="s">
        <v>396</v>
      </c>
      <c r="B3" s="74" t="s">
        <v>270</v>
      </c>
      <c r="C3" s="423" t="s">
        <v>134</v>
      </c>
      <c r="D3" s="423" t="s">
        <v>730</v>
      </c>
      <c r="E3" s="424" t="s">
        <v>731</v>
      </c>
      <c r="F3" s="425" t="s">
        <v>706</v>
      </c>
      <c r="G3" s="422"/>
    </row>
    <row r="4" spans="1:7" s="426" customFormat="1" x14ac:dyDescent="0.2">
      <c r="A4" s="76"/>
      <c r="B4" s="75"/>
      <c r="C4" s="427"/>
      <c r="D4" s="427" t="s">
        <v>178</v>
      </c>
      <c r="E4" s="427" t="s">
        <v>179</v>
      </c>
      <c r="F4" s="428" t="s">
        <v>180</v>
      </c>
      <c r="G4" s="422"/>
    </row>
    <row r="5" spans="1:7" s="434" customFormat="1" x14ac:dyDescent="0.25">
      <c r="A5" s="429">
        <v>601</v>
      </c>
      <c r="B5" s="430" t="s">
        <v>470</v>
      </c>
      <c r="C5" s="431" t="s">
        <v>471</v>
      </c>
      <c r="D5" s="432">
        <v>233480.72</v>
      </c>
      <c r="E5" s="432">
        <v>255396.56</v>
      </c>
      <c r="F5" s="433">
        <f>E5-D5</f>
        <v>21915.839999999997</v>
      </c>
      <c r="G5" s="422"/>
    </row>
    <row r="6" spans="1:7" s="434" customFormat="1" x14ac:dyDescent="0.25">
      <c r="A6" s="117">
        <v>602</v>
      </c>
      <c r="B6" s="435" t="s">
        <v>472</v>
      </c>
      <c r="C6" s="436" t="s">
        <v>473</v>
      </c>
      <c r="D6" s="437">
        <v>842980.42</v>
      </c>
      <c r="E6" s="437">
        <v>863555.93</v>
      </c>
      <c r="F6" s="433">
        <f t="shared" ref="F6:F39" si="0">E6-D6</f>
        <v>20575.510000000009</v>
      </c>
      <c r="G6" s="422"/>
    </row>
    <row r="7" spans="1:7" s="434" customFormat="1" x14ac:dyDescent="0.25">
      <c r="A7" s="117">
        <v>604</v>
      </c>
      <c r="B7" s="438" t="s">
        <v>474</v>
      </c>
      <c r="C7" s="436" t="s">
        <v>475</v>
      </c>
      <c r="D7" s="439"/>
      <c r="E7" s="437"/>
      <c r="F7" s="433">
        <f t="shared" si="0"/>
        <v>0</v>
      </c>
      <c r="G7" s="422"/>
    </row>
    <row r="8" spans="1:7" s="434" customFormat="1" x14ac:dyDescent="0.25">
      <c r="A8" s="117">
        <v>611</v>
      </c>
      <c r="B8" s="435" t="s">
        <v>476</v>
      </c>
      <c r="C8" s="436" t="s">
        <v>477</v>
      </c>
      <c r="D8" s="439"/>
      <c r="E8" s="437"/>
      <c r="F8" s="433">
        <f t="shared" si="0"/>
        <v>0</v>
      </c>
      <c r="G8" s="422"/>
    </row>
    <row r="9" spans="1:7" s="434" customFormat="1" x14ac:dyDescent="0.25">
      <c r="A9" s="117">
        <v>612</v>
      </c>
      <c r="B9" s="435" t="s">
        <v>478</v>
      </c>
      <c r="C9" s="436" t="s">
        <v>479</v>
      </c>
      <c r="D9" s="439"/>
      <c r="E9" s="437"/>
      <c r="F9" s="433">
        <f t="shared" si="0"/>
        <v>0</v>
      </c>
      <c r="G9" s="422"/>
    </row>
    <row r="10" spans="1:7" s="434" customFormat="1" x14ac:dyDescent="0.25">
      <c r="A10" s="117">
        <v>613</v>
      </c>
      <c r="B10" s="435" t="s">
        <v>480</v>
      </c>
      <c r="C10" s="436" t="s">
        <v>481</v>
      </c>
      <c r="D10" s="439"/>
      <c r="E10" s="437"/>
      <c r="F10" s="433">
        <f t="shared" si="0"/>
        <v>0</v>
      </c>
      <c r="G10" s="422"/>
    </row>
    <row r="11" spans="1:7" s="434" customFormat="1" x14ac:dyDescent="0.25">
      <c r="A11" s="117">
        <v>614</v>
      </c>
      <c r="B11" s="435" t="s">
        <v>482</v>
      </c>
      <c r="C11" s="436" t="s">
        <v>483</v>
      </c>
      <c r="D11" s="439"/>
      <c r="E11" s="437"/>
      <c r="F11" s="433">
        <f t="shared" si="0"/>
        <v>0</v>
      </c>
      <c r="G11" s="422"/>
    </row>
    <row r="12" spans="1:7" s="434" customFormat="1" x14ac:dyDescent="0.25">
      <c r="A12" s="117">
        <v>621</v>
      </c>
      <c r="B12" s="435" t="s">
        <v>484</v>
      </c>
      <c r="C12" s="436" t="s">
        <v>485</v>
      </c>
      <c r="D12" s="439"/>
      <c r="E12" s="437"/>
      <c r="F12" s="433">
        <f t="shared" si="0"/>
        <v>0</v>
      </c>
      <c r="G12" s="422"/>
    </row>
    <row r="13" spans="1:7" s="434" customFormat="1" x14ac:dyDescent="0.25">
      <c r="A13" s="117">
        <v>622</v>
      </c>
      <c r="B13" s="435" t="s">
        <v>486</v>
      </c>
      <c r="C13" s="436" t="s">
        <v>487</v>
      </c>
      <c r="D13" s="439"/>
      <c r="E13" s="437"/>
      <c r="F13" s="433">
        <f t="shared" si="0"/>
        <v>0</v>
      </c>
      <c r="G13" s="422"/>
    </row>
    <row r="14" spans="1:7" s="434" customFormat="1" x14ac:dyDescent="0.25">
      <c r="A14" s="117">
        <v>623</v>
      </c>
      <c r="B14" s="435" t="s">
        <v>488</v>
      </c>
      <c r="C14" s="436" t="s">
        <v>489</v>
      </c>
      <c r="D14" s="439"/>
      <c r="E14" s="437"/>
      <c r="F14" s="433">
        <f t="shared" si="0"/>
        <v>0</v>
      </c>
    </row>
    <row r="15" spans="1:7" s="434" customFormat="1" x14ac:dyDescent="0.25">
      <c r="A15" s="117">
        <v>624</v>
      </c>
      <c r="B15" s="435" t="s">
        <v>490</v>
      </c>
      <c r="C15" s="436" t="s">
        <v>491</v>
      </c>
      <c r="D15" s="439"/>
      <c r="E15" s="437"/>
      <c r="F15" s="433">
        <f t="shared" si="0"/>
        <v>0</v>
      </c>
    </row>
    <row r="16" spans="1:7" s="434" customFormat="1" x14ac:dyDescent="0.25">
      <c r="A16" s="117">
        <v>641</v>
      </c>
      <c r="B16" s="435" t="s">
        <v>427</v>
      </c>
      <c r="C16" s="436" t="s">
        <v>492</v>
      </c>
      <c r="D16" s="439"/>
      <c r="E16" s="437"/>
      <c r="F16" s="433">
        <f t="shared" si="0"/>
        <v>0</v>
      </c>
    </row>
    <row r="17" spans="1:7" s="434" customFormat="1" x14ac:dyDescent="0.25">
      <c r="A17" s="117">
        <v>642</v>
      </c>
      <c r="B17" s="435" t="s">
        <v>429</v>
      </c>
      <c r="C17" s="436" t="s">
        <v>493</v>
      </c>
      <c r="D17" s="439"/>
      <c r="E17" s="437"/>
      <c r="F17" s="433">
        <f t="shared" si="0"/>
        <v>0</v>
      </c>
    </row>
    <row r="18" spans="1:7" s="434" customFormat="1" x14ac:dyDescent="0.25">
      <c r="A18" s="117">
        <v>643</v>
      </c>
      <c r="B18" s="435" t="s">
        <v>494</v>
      </c>
      <c r="C18" s="436" t="s">
        <v>495</v>
      </c>
      <c r="D18" s="439"/>
      <c r="E18" s="437"/>
      <c r="F18" s="433">
        <f t="shared" si="0"/>
        <v>0</v>
      </c>
    </row>
    <row r="19" spans="1:7" s="434" customFormat="1" x14ac:dyDescent="0.25">
      <c r="A19" s="117">
        <v>644</v>
      </c>
      <c r="B19" s="435" t="s">
        <v>433</v>
      </c>
      <c r="C19" s="436" t="s">
        <v>496</v>
      </c>
      <c r="D19" s="439"/>
      <c r="E19" s="437"/>
      <c r="F19" s="433">
        <f t="shared" si="0"/>
        <v>0</v>
      </c>
    </row>
    <row r="20" spans="1:7" s="434" customFormat="1" x14ac:dyDescent="0.25">
      <c r="A20" s="117">
        <v>645</v>
      </c>
      <c r="B20" s="435" t="s">
        <v>497</v>
      </c>
      <c r="C20" s="436" t="s">
        <v>498</v>
      </c>
      <c r="D20" s="439"/>
      <c r="E20" s="437"/>
      <c r="F20" s="433">
        <f t="shared" si="0"/>
        <v>0</v>
      </c>
    </row>
    <row r="21" spans="1:7" s="434" customFormat="1" x14ac:dyDescent="0.25">
      <c r="A21" s="117">
        <v>646</v>
      </c>
      <c r="B21" s="435" t="s">
        <v>499</v>
      </c>
      <c r="C21" s="436" t="s">
        <v>500</v>
      </c>
      <c r="D21" s="439"/>
      <c r="E21" s="437"/>
      <c r="F21" s="433">
        <f t="shared" si="0"/>
        <v>0</v>
      </c>
    </row>
    <row r="22" spans="1:7" s="434" customFormat="1" x14ac:dyDescent="0.25">
      <c r="A22" s="117">
        <v>647</v>
      </c>
      <c r="B22" s="435" t="s">
        <v>501</v>
      </c>
      <c r="C22" s="436" t="s">
        <v>502</v>
      </c>
      <c r="D22" s="439"/>
      <c r="E22" s="437"/>
      <c r="F22" s="433">
        <f t="shared" si="0"/>
        <v>0</v>
      </c>
    </row>
    <row r="23" spans="1:7" s="434" customFormat="1" x14ac:dyDescent="0.25">
      <c r="A23" s="117">
        <v>648</v>
      </c>
      <c r="B23" s="435" t="s">
        <v>503</v>
      </c>
      <c r="C23" s="436" t="s">
        <v>504</v>
      </c>
      <c r="D23" s="439">
        <v>48967.9</v>
      </c>
      <c r="E23" s="437">
        <v>64729.47</v>
      </c>
      <c r="F23" s="433">
        <f t="shared" si="0"/>
        <v>15761.57</v>
      </c>
      <c r="G23" s="125"/>
    </row>
    <row r="24" spans="1:7" s="434" customFormat="1" ht="37.5" customHeight="1" x14ac:dyDescent="0.25">
      <c r="A24" s="117">
        <v>649</v>
      </c>
      <c r="B24" s="435" t="s">
        <v>505</v>
      </c>
      <c r="C24" s="436" t="s">
        <v>506</v>
      </c>
      <c r="D24" s="437">
        <f>14415.15</f>
        <v>14415.15</v>
      </c>
      <c r="E24" s="437">
        <f>3871.55</f>
        <v>3871.55</v>
      </c>
      <c r="F24" s="433">
        <f t="shared" si="0"/>
        <v>-10543.599999999999</v>
      </c>
      <c r="G24" s="125"/>
    </row>
    <row r="25" spans="1:7" s="434" customFormat="1" x14ac:dyDescent="0.25">
      <c r="A25" s="117">
        <v>651</v>
      </c>
      <c r="B25" s="435" t="s">
        <v>507</v>
      </c>
      <c r="C25" s="436" t="s">
        <v>508</v>
      </c>
      <c r="D25" s="439"/>
      <c r="E25" s="437">
        <v>43300.46</v>
      </c>
      <c r="F25" s="433">
        <f t="shared" si="0"/>
        <v>43300.46</v>
      </c>
    </row>
    <row r="26" spans="1:7" s="434" customFormat="1" x14ac:dyDescent="0.25">
      <c r="A26" s="117">
        <v>652</v>
      </c>
      <c r="B26" s="435" t="s">
        <v>509</v>
      </c>
      <c r="C26" s="436" t="s">
        <v>510</v>
      </c>
      <c r="D26" s="439"/>
      <c r="E26" s="437"/>
      <c r="F26" s="433">
        <f t="shared" si="0"/>
        <v>0</v>
      </c>
    </row>
    <row r="27" spans="1:7" s="434" customFormat="1" x14ac:dyDescent="0.25">
      <c r="A27" s="117">
        <v>653</v>
      </c>
      <c r="B27" s="435" t="s">
        <v>511</v>
      </c>
      <c r="C27" s="436" t="s">
        <v>512</v>
      </c>
      <c r="D27" s="439"/>
      <c r="E27" s="437"/>
      <c r="F27" s="433">
        <f t="shared" si="0"/>
        <v>0</v>
      </c>
    </row>
    <row r="28" spans="1:7" s="434" customFormat="1" x14ac:dyDescent="0.25">
      <c r="A28" s="117">
        <v>654</v>
      </c>
      <c r="B28" s="435" t="s">
        <v>513</v>
      </c>
      <c r="C28" s="436" t="s">
        <v>514</v>
      </c>
      <c r="D28" s="439"/>
      <c r="E28" s="437"/>
      <c r="F28" s="433">
        <f t="shared" si="0"/>
        <v>0</v>
      </c>
    </row>
    <row r="29" spans="1:7" s="434" customFormat="1" x14ac:dyDescent="0.25">
      <c r="A29" s="117">
        <v>655</v>
      </c>
      <c r="B29" s="435" t="s">
        <v>515</v>
      </c>
      <c r="C29" s="436" t="s">
        <v>516</v>
      </c>
      <c r="D29" s="439"/>
      <c r="E29" s="437"/>
      <c r="F29" s="433">
        <f t="shared" si="0"/>
        <v>0</v>
      </c>
    </row>
    <row r="30" spans="1:7" s="434" customFormat="1" x14ac:dyDescent="0.25">
      <c r="A30" s="117">
        <v>656</v>
      </c>
      <c r="B30" s="435" t="s">
        <v>517</v>
      </c>
      <c r="C30" s="436" t="s">
        <v>518</v>
      </c>
      <c r="D30" s="439">
        <v>34413.96</v>
      </c>
      <c r="E30" s="437">
        <v>48274.22</v>
      </c>
      <c r="F30" s="433">
        <f t="shared" si="0"/>
        <v>13860.260000000002</v>
      </c>
    </row>
    <row r="31" spans="1:7" s="434" customFormat="1" x14ac:dyDescent="0.25">
      <c r="A31" s="117">
        <v>657</v>
      </c>
      <c r="B31" s="435" t="s">
        <v>519</v>
      </c>
      <c r="C31" s="436" t="s">
        <v>520</v>
      </c>
      <c r="D31" s="439"/>
      <c r="E31" s="437"/>
      <c r="F31" s="433">
        <f t="shared" si="0"/>
        <v>0</v>
      </c>
    </row>
    <row r="32" spans="1:7" s="434" customFormat="1" x14ac:dyDescent="0.25">
      <c r="A32" s="117">
        <v>658</v>
      </c>
      <c r="B32" s="435" t="s">
        <v>521</v>
      </c>
      <c r="C32" s="436" t="s">
        <v>522</v>
      </c>
      <c r="D32" s="439"/>
      <c r="E32" s="437"/>
      <c r="F32" s="433">
        <f t="shared" si="0"/>
        <v>0</v>
      </c>
    </row>
    <row r="33" spans="1:7" s="434" customFormat="1" x14ac:dyDescent="0.25">
      <c r="A33" s="117">
        <v>661</v>
      </c>
      <c r="B33" s="435" t="s">
        <v>523</v>
      </c>
      <c r="C33" s="436" t="s">
        <v>524</v>
      </c>
      <c r="D33" s="439"/>
      <c r="E33" s="437"/>
      <c r="F33" s="433">
        <f t="shared" si="0"/>
        <v>0</v>
      </c>
    </row>
    <row r="34" spans="1:7" s="434" customFormat="1" x14ac:dyDescent="0.25">
      <c r="A34" s="117">
        <v>662</v>
      </c>
      <c r="B34" s="435" t="s">
        <v>525</v>
      </c>
      <c r="C34" s="436" t="s">
        <v>526</v>
      </c>
      <c r="D34" s="439"/>
      <c r="E34" s="437"/>
      <c r="F34" s="433">
        <f t="shared" si="0"/>
        <v>0</v>
      </c>
    </row>
    <row r="35" spans="1:7" s="434" customFormat="1" x14ac:dyDescent="0.25">
      <c r="A35" s="117">
        <v>663</v>
      </c>
      <c r="B35" s="435" t="s">
        <v>527</v>
      </c>
      <c r="C35" s="436" t="s">
        <v>528</v>
      </c>
      <c r="D35" s="439"/>
      <c r="E35" s="437"/>
      <c r="F35" s="433">
        <f t="shared" si="0"/>
        <v>0</v>
      </c>
    </row>
    <row r="36" spans="1:7" s="434" customFormat="1" x14ac:dyDescent="0.25">
      <c r="A36" s="117">
        <v>664</v>
      </c>
      <c r="B36" s="435" t="s">
        <v>529</v>
      </c>
      <c r="C36" s="436" t="s">
        <v>530</v>
      </c>
      <c r="D36" s="439"/>
      <c r="E36" s="440"/>
      <c r="F36" s="433">
        <f t="shared" si="0"/>
        <v>0</v>
      </c>
      <c r="G36" s="422"/>
    </row>
    <row r="37" spans="1:7" s="434" customFormat="1" x14ac:dyDescent="0.25">
      <c r="A37" s="117">
        <v>665</v>
      </c>
      <c r="B37" s="435" t="s">
        <v>531</v>
      </c>
      <c r="C37" s="436" t="s">
        <v>532</v>
      </c>
      <c r="D37" s="439"/>
      <c r="E37" s="440"/>
      <c r="F37" s="433">
        <f t="shared" si="0"/>
        <v>0</v>
      </c>
      <c r="G37" s="422"/>
    </row>
    <row r="38" spans="1:7" x14ac:dyDescent="0.25">
      <c r="A38" s="117">
        <v>667</v>
      </c>
      <c r="B38" s="435" t="s">
        <v>533</v>
      </c>
      <c r="C38" s="436" t="s">
        <v>534</v>
      </c>
      <c r="D38" s="439"/>
      <c r="E38" s="440"/>
      <c r="F38" s="433">
        <f t="shared" si="0"/>
        <v>0</v>
      </c>
    </row>
    <row r="39" spans="1:7" x14ac:dyDescent="0.25">
      <c r="A39" s="117">
        <v>691</v>
      </c>
      <c r="B39" s="435" t="s">
        <v>535</v>
      </c>
      <c r="C39" s="436" t="s">
        <v>536</v>
      </c>
      <c r="D39" s="440">
        <v>962617.62</v>
      </c>
      <c r="E39" s="440">
        <v>991996.79</v>
      </c>
      <c r="F39" s="433">
        <f t="shared" si="0"/>
        <v>29379.170000000042</v>
      </c>
    </row>
    <row r="40" spans="1:7" x14ac:dyDescent="0.2">
      <c r="A40" s="654" t="s">
        <v>537</v>
      </c>
      <c r="B40" s="655"/>
      <c r="C40" s="441" t="s">
        <v>538</v>
      </c>
      <c r="D40" s="442">
        <f>SUM(D5:D39)</f>
        <v>2136875.77</v>
      </c>
      <c r="E40" s="443">
        <f>SUM(E5:E39)</f>
        <v>2271124.98</v>
      </c>
      <c r="F40" s="433">
        <f>SUM(F5:F39)</f>
        <v>134249.21000000005</v>
      </c>
    </row>
    <row r="41" spans="1:7" x14ac:dyDescent="0.2">
      <c r="A41" s="654" t="s">
        <v>539</v>
      </c>
      <c r="B41" s="655"/>
      <c r="C41" s="441" t="s">
        <v>540</v>
      </c>
      <c r="D41" s="135">
        <f>D40-[3]T23_Náklady_soc_oblasť!D42</f>
        <v>406464.81000000029</v>
      </c>
      <c r="E41" s="444">
        <f>E40-[3]T23_Náklady_soc_oblasť!E42</f>
        <v>372056.30000000005</v>
      </c>
      <c r="F41" s="433">
        <f>F40-[3]T23_Náklady_soc_oblasť!F42</f>
        <v>-34408.510000000009</v>
      </c>
    </row>
    <row r="42" spans="1:7" x14ac:dyDescent="0.25">
      <c r="A42" s="117">
        <v>591</v>
      </c>
      <c r="B42" s="435" t="s">
        <v>541</v>
      </c>
      <c r="C42" s="436" t="s">
        <v>542</v>
      </c>
      <c r="D42" s="439"/>
      <c r="E42" s="437"/>
      <c r="F42" s="433">
        <f>E42-D42</f>
        <v>0</v>
      </c>
    </row>
    <row r="43" spans="1:7" x14ac:dyDescent="0.25">
      <c r="A43" s="117">
        <v>595</v>
      </c>
      <c r="B43" s="435" t="s">
        <v>543</v>
      </c>
      <c r="C43" s="436" t="s">
        <v>544</v>
      </c>
      <c r="D43" s="439"/>
      <c r="E43" s="437"/>
      <c r="F43" s="433">
        <f>E43-D43</f>
        <v>0</v>
      </c>
    </row>
    <row r="44" spans="1:7" ht="16.5" thickBot="1" x14ac:dyDescent="0.25">
      <c r="A44" s="656" t="s">
        <v>545</v>
      </c>
      <c r="B44" s="657"/>
      <c r="C44" s="445" t="s">
        <v>546</v>
      </c>
      <c r="D44" s="446">
        <f>D41-D42-D43</f>
        <v>406464.81000000029</v>
      </c>
      <c r="E44" s="446">
        <f>E41-E42-E43</f>
        <v>372056.30000000005</v>
      </c>
      <c r="F44" s="447">
        <f>E44-D44</f>
        <v>-34408.510000000242</v>
      </c>
    </row>
  </sheetData>
  <mergeCells count="5">
    <mergeCell ref="A40:B40"/>
    <mergeCell ref="A41:B41"/>
    <mergeCell ref="A44:B44"/>
    <mergeCell ref="A1:F1"/>
    <mergeCell ref="A2:F2"/>
  </mergeCells>
  <pageMargins left="0.55118110236220474" right="0.47244094488188981" top="0.59055118110236227" bottom="0.47244094488188981" header="0.15748031496062992" footer="0.15748031496062992"/>
  <pageSetup paperSize="9" scale="86"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43"/>
  <sheetViews>
    <sheetView tabSelected="1" workbookViewId="0">
      <pane xSplit="3" ySplit="3" topLeftCell="D4" activePane="bottomRight" state="frozen"/>
      <selection pane="topRight" activeCell="D1" sqref="D1"/>
      <selection pane="bottomLeft" activeCell="A4" sqref="A4"/>
      <selection pane="bottomRight" activeCell="O24" sqref="O24"/>
    </sheetView>
  </sheetViews>
  <sheetFormatPr defaultRowHeight="12.75" x14ac:dyDescent="0.2"/>
  <cols>
    <col min="1" max="1" width="8.28515625" style="434" customWidth="1"/>
    <col min="2" max="2" width="42.140625" style="434" customWidth="1"/>
    <col min="3" max="3" width="10.140625" style="434" customWidth="1"/>
    <col min="4" max="4" width="17.42578125" style="434" customWidth="1"/>
    <col min="5" max="5" width="17.140625" style="434" customWidth="1"/>
    <col min="6" max="6" width="16.5703125" style="434" customWidth="1"/>
    <col min="7" max="16384" width="9.140625" style="434"/>
  </cols>
  <sheetData>
    <row r="1" spans="1:6" ht="61.5" customHeight="1" thickBot="1" x14ac:dyDescent="0.25">
      <c r="A1" s="667" t="s">
        <v>732</v>
      </c>
      <c r="B1" s="668"/>
      <c r="C1" s="668"/>
      <c r="D1" s="668"/>
      <c r="E1" s="668"/>
      <c r="F1" s="669"/>
    </row>
    <row r="2" spans="1:6" ht="47.25" customHeight="1" thickBot="1" x14ac:dyDescent="0.25">
      <c r="A2" s="664" t="s">
        <v>788</v>
      </c>
      <c r="B2" s="665"/>
      <c r="C2" s="665"/>
      <c r="D2" s="665"/>
      <c r="E2" s="665"/>
      <c r="F2" s="666"/>
    </row>
    <row r="3" spans="1:6" ht="64.5" customHeight="1" x14ac:dyDescent="0.2">
      <c r="A3" s="74" t="s">
        <v>396</v>
      </c>
      <c r="B3" s="77" t="s">
        <v>270</v>
      </c>
      <c r="C3" s="78" t="s">
        <v>134</v>
      </c>
      <c r="D3" s="423" t="s">
        <v>656</v>
      </c>
      <c r="E3" s="424" t="s">
        <v>733</v>
      </c>
      <c r="F3" s="425" t="s">
        <v>734</v>
      </c>
    </row>
    <row r="4" spans="1:6" ht="15.75" x14ac:dyDescent="0.2">
      <c r="A4" s="76"/>
      <c r="B4" s="79"/>
      <c r="C4" s="79"/>
      <c r="D4" s="427" t="s">
        <v>178</v>
      </c>
      <c r="E4" s="427" t="s">
        <v>179</v>
      </c>
      <c r="F4" s="428" t="s">
        <v>180</v>
      </c>
    </row>
    <row r="5" spans="1:6" ht="15.75" x14ac:dyDescent="0.25">
      <c r="A5" s="448">
        <v>501</v>
      </c>
      <c r="B5" s="449" t="s">
        <v>397</v>
      </c>
      <c r="C5" s="450" t="s">
        <v>398</v>
      </c>
      <c r="D5" s="432">
        <v>237922.15</v>
      </c>
      <c r="E5" s="432">
        <v>224769.96</v>
      </c>
      <c r="F5" s="433">
        <f>E5-D5</f>
        <v>-13152.190000000002</v>
      </c>
    </row>
    <row r="6" spans="1:6" ht="15.75" x14ac:dyDescent="0.25">
      <c r="A6" s="116">
        <v>502</v>
      </c>
      <c r="B6" s="451" t="s">
        <v>399</v>
      </c>
      <c r="C6" s="452" t="s">
        <v>400</v>
      </c>
      <c r="D6" s="437">
        <v>377756.31</v>
      </c>
      <c r="E6" s="437">
        <v>356162.75</v>
      </c>
      <c r="F6" s="453">
        <f t="shared" ref="F6:F41" si="0">E6-D6</f>
        <v>-21593.559999999998</v>
      </c>
    </row>
    <row r="7" spans="1:6" ht="15.75" x14ac:dyDescent="0.25">
      <c r="A7" s="116">
        <v>504</v>
      </c>
      <c r="B7" s="451" t="s">
        <v>401</v>
      </c>
      <c r="C7" s="452" t="s">
        <v>402</v>
      </c>
      <c r="D7" s="437"/>
      <c r="E7" s="437">
        <v>0</v>
      </c>
      <c r="F7" s="453">
        <f t="shared" si="0"/>
        <v>0</v>
      </c>
    </row>
    <row r="8" spans="1:6" ht="15.75" x14ac:dyDescent="0.25">
      <c r="A8" s="116">
        <v>511</v>
      </c>
      <c r="B8" s="451" t="s">
        <v>403</v>
      </c>
      <c r="C8" s="452" t="s">
        <v>404</v>
      </c>
      <c r="D8" s="437">
        <v>74888.94</v>
      </c>
      <c r="E8" s="437">
        <v>50789.26</v>
      </c>
      <c r="F8" s="453">
        <f t="shared" si="0"/>
        <v>-24099.68</v>
      </c>
    </row>
    <row r="9" spans="1:6" ht="15.75" x14ac:dyDescent="0.25">
      <c r="A9" s="116">
        <v>512</v>
      </c>
      <c r="B9" s="451" t="s">
        <v>405</v>
      </c>
      <c r="C9" s="452" t="s">
        <v>406</v>
      </c>
      <c r="D9" s="437">
        <v>830</v>
      </c>
      <c r="E9" s="437">
        <v>4737.1499999999996</v>
      </c>
      <c r="F9" s="453">
        <f t="shared" si="0"/>
        <v>3907.1499999999996</v>
      </c>
    </row>
    <row r="10" spans="1:6" ht="15.75" x14ac:dyDescent="0.25">
      <c r="A10" s="116">
        <v>513</v>
      </c>
      <c r="B10" s="451" t="s">
        <v>407</v>
      </c>
      <c r="C10" s="452" t="s">
        <v>408</v>
      </c>
      <c r="D10" s="437">
        <v>738.49</v>
      </c>
      <c r="E10" s="437">
        <v>0</v>
      </c>
      <c r="F10" s="453">
        <f t="shared" si="0"/>
        <v>-738.49</v>
      </c>
    </row>
    <row r="11" spans="1:6" ht="15.75" x14ac:dyDescent="0.25">
      <c r="A11" s="116">
        <v>518</v>
      </c>
      <c r="B11" s="451" t="s">
        <v>409</v>
      </c>
      <c r="C11" s="452" t="s">
        <v>410</v>
      </c>
      <c r="D11" s="437">
        <v>67181.279999999999</v>
      </c>
      <c r="E11" s="437">
        <v>59559.44</v>
      </c>
      <c r="F11" s="453">
        <f t="shared" si="0"/>
        <v>-7621.8399999999965</v>
      </c>
    </row>
    <row r="12" spans="1:6" ht="15.75" x14ac:dyDescent="0.25">
      <c r="A12" s="116">
        <v>521</v>
      </c>
      <c r="B12" s="451" t="s">
        <v>411</v>
      </c>
      <c r="C12" s="452" t="s">
        <v>412</v>
      </c>
      <c r="D12" s="437">
        <v>522063.15</v>
      </c>
      <c r="E12" s="437">
        <v>629773.28</v>
      </c>
      <c r="F12" s="453">
        <f t="shared" si="0"/>
        <v>107710.13</v>
      </c>
    </row>
    <row r="13" spans="1:6" ht="15.75" x14ac:dyDescent="0.25">
      <c r="A13" s="116">
        <v>524</v>
      </c>
      <c r="B13" s="451" t="s">
        <v>413</v>
      </c>
      <c r="C13" s="452" t="s">
        <v>414</v>
      </c>
      <c r="D13" s="437">
        <v>179421.08</v>
      </c>
      <c r="E13" s="437">
        <v>220975.28</v>
      </c>
      <c r="F13" s="453">
        <f t="shared" si="0"/>
        <v>41554.200000000012</v>
      </c>
    </row>
    <row r="14" spans="1:6" ht="15.75" x14ac:dyDescent="0.25">
      <c r="A14" s="116">
        <v>525</v>
      </c>
      <c r="B14" s="451" t="s">
        <v>415</v>
      </c>
      <c r="C14" s="452" t="s">
        <v>416</v>
      </c>
      <c r="D14" s="437">
        <v>10493.89</v>
      </c>
      <c r="E14" s="437">
        <v>13522.43</v>
      </c>
      <c r="F14" s="453">
        <f t="shared" si="0"/>
        <v>3028.5400000000009</v>
      </c>
    </row>
    <row r="15" spans="1:6" ht="15.75" x14ac:dyDescent="0.25">
      <c r="A15" s="116">
        <v>527</v>
      </c>
      <c r="B15" s="451" t="s">
        <v>417</v>
      </c>
      <c r="C15" s="452" t="s">
        <v>418</v>
      </c>
      <c r="D15" s="437">
        <v>36168.639999999999</v>
      </c>
      <c r="E15" s="437">
        <v>38590.5</v>
      </c>
      <c r="F15" s="453">
        <f t="shared" si="0"/>
        <v>2421.8600000000006</v>
      </c>
    </row>
    <row r="16" spans="1:6" ht="15.75" x14ac:dyDescent="0.25">
      <c r="A16" s="116">
        <v>528</v>
      </c>
      <c r="B16" s="451" t="s">
        <v>419</v>
      </c>
      <c r="C16" s="452" t="s">
        <v>420</v>
      </c>
      <c r="D16" s="437"/>
      <c r="E16" s="437">
        <v>0</v>
      </c>
      <c r="F16" s="453">
        <f t="shared" si="0"/>
        <v>0</v>
      </c>
    </row>
    <row r="17" spans="1:6" ht="15.75" x14ac:dyDescent="0.25">
      <c r="A17" s="116">
        <v>531</v>
      </c>
      <c r="B17" s="451" t="s">
        <v>421</v>
      </c>
      <c r="C17" s="452" t="s">
        <v>422</v>
      </c>
      <c r="D17" s="437"/>
      <c r="E17" s="437">
        <v>0</v>
      </c>
      <c r="F17" s="453">
        <f t="shared" si="0"/>
        <v>0</v>
      </c>
    </row>
    <row r="18" spans="1:6" ht="15.75" x14ac:dyDescent="0.25">
      <c r="A18" s="116">
        <v>532</v>
      </c>
      <c r="B18" s="451" t="s">
        <v>423</v>
      </c>
      <c r="C18" s="452" t="s">
        <v>424</v>
      </c>
      <c r="D18" s="437">
        <v>20269.099999999999</v>
      </c>
      <c r="E18" s="437">
        <v>20269.099999999999</v>
      </c>
      <c r="F18" s="453">
        <f t="shared" si="0"/>
        <v>0</v>
      </c>
    </row>
    <row r="19" spans="1:6" ht="15.75" x14ac:dyDescent="0.25">
      <c r="A19" s="116">
        <v>538</v>
      </c>
      <c r="B19" s="451" t="s">
        <v>425</v>
      </c>
      <c r="C19" s="452" t="s">
        <v>426</v>
      </c>
      <c r="D19" s="437">
        <v>3360.6</v>
      </c>
      <c r="E19" s="437">
        <v>1522.44</v>
      </c>
      <c r="F19" s="453">
        <f t="shared" si="0"/>
        <v>-1838.1599999999999</v>
      </c>
    </row>
    <row r="20" spans="1:6" ht="15.75" x14ac:dyDescent="0.25">
      <c r="A20" s="116">
        <v>541</v>
      </c>
      <c r="B20" s="451" t="s">
        <v>427</v>
      </c>
      <c r="C20" s="452" t="s">
        <v>428</v>
      </c>
      <c r="D20" s="437"/>
      <c r="E20" s="437"/>
      <c r="F20" s="453">
        <f t="shared" si="0"/>
        <v>0</v>
      </c>
    </row>
    <row r="21" spans="1:6" ht="15.75" x14ac:dyDescent="0.25">
      <c r="A21" s="116">
        <v>542</v>
      </c>
      <c r="B21" s="451" t="s">
        <v>429</v>
      </c>
      <c r="C21" s="452" t="s">
        <v>430</v>
      </c>
      <c r="D21" s="437"/>
      <c r="E21" s="437"/>
      <c r="F21" s="453">
        <f t="shared" si="0"/>
        <v>0</v>
      </c>
    </row>
    <row r="22" spans="1:6" ht="15.75" x14ac:dyDescent="0.25">
      <c r="A22" s="116">
        <v>543</v>
      </c>
      <c r="B22" s="451" t="s">
        <v>431</v>
      </c>
      <c r="C22" s="452" t="s">
        <v>432</v>
      </c>
      <c r="D22" s="437"/>
      <c r="E22" s="437"/>
      <c r="F22" s="453">
        <f t="shared" si="0"/>
        <v>0</v>
      </c>
    </row>
    <row r="23" spans="1:6" ht="15.75" x14ac:dyDescent="0.25">
      <c r="A23" s="116">
        <v>544</v>
      </c>
      <c r="B23" s="451" t="s">
        <v>433</v>
      </c>
      <c r="C23" s="452" t="s">
        <v>434</v>
      </c>
      <c r="D23" s="437"/>
      <c r="E23" s="437"/>
      <c r="F23" s="453">
        <f t="shared" si="0"/>
        <v>0</v>
      </c>
    </row>
    <row r="24" spans="1:6" ht="15.75" x14ac:dyDescent="0.25">
      <c r="A24" s="116">
        <v>545</v>
      </c>
      <c r="B24" s="451" t="s">
        <v>435</v>
      </c>
      <c r="C24" s="452" t="s">
        <v>436</v>
      </c>
      <c r="D24" s="437"/>
      <c r="E24" s="437">
        <v>13.21</v>
      </c>
      <c r="F24" s="453">
        <f t="shared" si="0"/>
        <v>13.21</v>
      </c>
    </row>
    <row r="25" spans="1:6" ht="15.75" x14ac:dyDescent="0.25">
      <c r="A25" s="116">
        <v>546</v>
      </c>
      <c r="B25" s="451" t="s">
        <v>437</v>
      </c>
      <c r="C25" s="452" t="s">
        <v>438</v>
      </c>
      <c r="D25" s="437"/>
      <c r="E25" s="437"/>
      <c r="F25" s="453">
        <f t="shared" si="0"/>
        <v>0</v>
      </c>
    </row>
    <row r="26" spans="1:6" ht="15.75" x14ac:dyDescent="0.25">
      <c r="A26" s="116">
        <v>547</v>
      </c>
      <c r="B26" s="451" t="s">
        <v>439</v>
      </c>
      <c r="C26" s="452" t="s">
        <v>440</v>
      </c>
      <c r="D26" s="437"/>
      <c r="E26" s="437"/>
      <c r="F26" s="453">
        <f t="shared" si="0"/>
        <v>0</v>
      </c>
    </row>
    <row r="27" spans="1:6" ht="15.75" x14ac:dyDescent="0.25">
      <c r="A27" s="116">
        <v>548</v>
      </c>
      <c r="B27" s="451" t="s">
        <v>441</v>
      </c>
      <c r="C27" s="452" t="s">
        <v>442</v>
      </c>
      <c r="D27" s="437"/>
      <c r="E27" s="437"/>
      <c r="F27" s="453">
        <f t="shared" si="0"/>
        <v>0</v>
      </c>
    </row>
    <row r="28" spans="1:6" ht="43.5" customHeight="1" x14ac:dyDescent="0.25">
      <c r="A28" s="116">
        <v>549</v>
      </c>
      <c r="B28" s="451" t="s">
        <v>443</v>
      </c>
      <c r="C28" s="452" t="s">
        <v>444</v>
      </c>
      <c r="D28" s="437">
        <f>'T19-Štip_ z vlastných '!C6</f>
        <v>34413.96</v>
      </c>
      <c r="E28" s="437">
        <f>'T19-Štip_ z vlastných '!E6</f>
        <v>48274.22</v>
      </c>
      <c r="F28" s="453">
        <f t="shared" si="0"/>
        <v>13860.260000000002</v>
      </c>
    </row>
    <row r="29" spans="1:6" ht="15.75" x14ac:dyDescent="0.25">
      <c r="A29" s="116">
        <v>551</v>
      </c>
      <c r="B29" s="451" t="s">
        <v>445</v>
      </c>
      <c r="C29" s="452" t="s">
        <v>446</v>
      </c>
      <c r="D29" s="437">
        <v>52270.04</v>
      </c>
      <c r="E29" s="437">
        <v>46796.44</v>
      </c>
      <c r="F29" s="453">
        <f t="shared" si="0"/>
        <v>-5473.5999999999985</v>
      </c>
    </row>
    <row r="30" spans="1:6" ht="15.75" x14ac:dyDescent="0.25">
      <c r="A30" s="116">
        <v>552</v>
      </c>
      <c r="B30" s="451" t="s">
        <v>560</v>
      </c>
      <c r="C30" s="452" t="s">
        <v>447</v>
      </c>
      <c r="D30" s="437"/>
      <c r="E30" s="437"/>
      <c r="F30" s="453">
        <f t="shared" si="0"/>
        <v>0</v>
      </c>
    </row>
    <row r="31" spans="1:6" ht="15.75" x14ac:dyDescent="0.25">
      <c r="A31" s="116">
        <v>553</v>
      </c>
      <c r="B31" s="451" t="s">
        <v>448</v>
      </c>
      <c r="C31" s="452" t="s">
        <v>449</v>
      </c>
      <c r="D31" s="437"/>
      <c r="E31" s="437"/>
      <c r="F31" s="453">
        <f t="shared" si="0"/>
        <v>0</v>
      </c>
    </row>
    <row r="32" spans="1:6" ht="15.75" x14ac:dyDescent="0.25">
      <c r="A32" s="116">
        <v>554</v>
      </c>
      <c r="B32" s="451" t="s">
        <v>450</v>
      </c>
      <c r="C32" s="452" t="s">
        <v>451</v>
      </c>
      <c r="D32" s="437"/>
      <c r="E32" s="437"/>
      <c r="F32" s="453">
        <f t="shared" si="0"/>
        <v>0</v>
      </c>
    </row>
    <row r="33" spans="1:6" ht="15.75" x14ac:dyDescent="0.25">
      <c r="A33" s="116">
        <v>555</v>
      </c>
      <c r="B33" s="451" t="s">
        <v>452</v>
      </c>
      <c r="C33" s="452" t="s">
        <v>453</v>
      </c>
      <c r="D33" s="437"/>
      <c r="E33" s="437"/>
      <c r="F33" s="453">
        <f t="shared" si="0"/>
        <v>0</v>
      </c>
    </row>
    <row r="34" spans="1:6" ht="15.75" x14ac:dyDescent="0.25">
      <c r="A34" s="116">
        <v>556</v>
      </c>
      <c r="B34" s="451" t="s">
        <v>454</v>
      </c>
      <c r="C34" s="452" t="s">
        <v>455</v>
      </c>
      <c r="D34" s="439">
        <v>48967.9</v>
      </c>
      <c r="E34" s="437">
        <v>64729.47</v>
      </c>
      <c r="F34" s="453">
        <f t="shared" si="0"/>
        <v>15761.57</v>
      </c>
    </row>
    <row r="35" spans="1:6" ht="15.75" x14ac:dyDescent="0.25">
      <c r="A35" s="116">
        <v>557</v>
      </c>
      <c r="B35" s="451" t="s">
        <v>456</v>
      </c>
      <c r="C35" s="452" t="s">
        <v>457</v>
      </c>
      <c r="D35" s="439"/>
      <c r="E35" s="437"/>
      <c r="F35" s="453">
        <f t="shared" si="0"/>
        <v>0</v>
      </c>
    </row>
    <row r="36" spans="1:6" ht="15.75" x14ac:dyDescent="0.25">
      <c r="A36" s="116">
        <v>558</v>
      </c>
      <c r="B36" s="451" t="s">
        <v>458</v>
      </c>
      <c r="C36" s="452" t="s">
        <v>459</v>
      </c>
      <c r="D36" s="439"/>
      <c r="E36" s="437"/>
      <c r="F36" s="453">
        <f t="shared" si="0"/>
        <v>0</v>
      </c>
    </row>
    <row r="37" spans="1:6" ht="20.25" customHeight="1" x14ac:dyDescent="0.25">
      <c r="A37" s="116">
        <v>561</v>
      </c>
      <c r="B37" s="451" t="s">
        <v>461</v>
      </c>
      <c r="C37" s="452" t="s">
        <v>460</v>
      </c>
      <c r="D37" s="439"/>
      <c r="E37" s="437"/>
      <c r="F37" s="453">
        <f t="shared" si="0"/>
        <v>0</v>
      </c>
    </row>
    <row r="38" spans="1:6" ht="15.75" x14ac:dyDescent="0.25">
      <c r="A38" s="116">
        <v>562</v>
      </c>
      <c r="B38" s="451" t="s">
        <v>463</v>
      </c>
      <c r="C38" s="452" t="s">
        <v>462</v>
      </c>
      <c r="D38" s="437">
        <v>17110</v>
      </c>
      <c r="E38" s="437">
        <v>16495</v>
      </c>
      <c r="F38" s="453">
        <f t="shared" si="0"/>
        <v>-615</v>
      </c>
    </row>
    <row r="39" spans="1:6" ht="15.75" x14ac:dyDescent="0.25">
      <c r="A39" s="116">
        <v>563</v>
      </c>
      <c r="B39" s="451" t="s">
        <v>465</v>
      </c>
      <c r="C39" s="452" t="s">
        <v>464</v>
      </c>
      <c r="D39" s="439"/>
      <c r="E39" s="437"/>
      <c r="F39" s="453">
        <f t="shared" si="0"/>
        <v>0</v>
      </c>
    </row>
    <row r="40" spans="1:6" ht="15.75" x14ac:dyDescent="0.25">
      <c r="A40" s="115">
        <v>565</v>
      </c>
      <c r="B40" s="454" t="s">
        <v>559</v>
      </c>
      <c r="C40" s="452" t="s">
        <v>466</v>
      </c>
      <c r="D40" s="455"/>
      <c r="E40" s="440"/>
      <c r="F40" s="453">
        <f t="shared" si="0"/>
        <v>0</v>
      </c>
    </row>
    <row r="41" spans="1:6" ht="16.5" thickBot="1" x14ac:dyDescent="0.3">
      <c r="A41" s="115">
        <v>567</v>
      </c>
      <c r="B41" s="456" t="s">
        <v>467</v>
      </c>
      <c r="C41" s="457" t="s">
        <v>468</v>
      </c>
      <c r="D41" s="455"/>
      <c r="E41" s="440"/>
      <c r="F41" s="458">
        <f t="shared" si="0"/>
        <v>0</v>
      </c>
    </row>
    <row r="42" spans="1:6" ht="24.75" customHeight="1" thickBot="1" x14ac:dyDescent="0.25">
      <c r="A42" s="670" t="s">
        <v>579</v>
      </c>
      <c r="B42" s="671"/>
      <c r="C42" s="459" t="s">
        <v>469</v>
      </c>
      <c r="D42" s="460">
        <f>SUM(D5:D41)</f>
        <v>1683855.5299999998</v>
      </c>
      <c r="E42" s="461">
        <f>SUM(E5:E41)</f>
        <v>1796979.93</v>
      </c>
      <c r="F42" s="462">
        <f>SUM(F5:F41)</f>
        <v>113124.40000000005</v>
      </c>
    </row>
    <row r="43" spans="1:6" x14ac:dyDescent="0.2">
      <c r="B43" s="463"/>
      <c r="C43" s="463"/>
      <c r="D43" s="463"/>
      <c r="E43" s="463"/>
    </row>
  </sheetData>
  <mergeCells count="3">
    <mergeCell ref="A2:F2"/>
    <mergeCell ref="A1:F1"/>
    <mergeCell ref="A42:B42"/>
  </mergeCells>
  <pageMargins left="0.39370078740157483" right="0.23622047244094491" top="0.59055118110236227" bottom="0.74803149606299213" header="0.31496062992125984" footer="0.31496062992125984"/>
  <pageSetup paperSize="9" scale="8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workbookViewId="0">
      <selection sqref="A1:F1"/>
    </sheetView>
  </sheetViews>
  <sheetFormatPr defaultRowHeight="12.75" x14ac:dyDescent="0.2"/>
  <cols>
    <col min="1" max="1" width="60.85546875" customWidth="1"/>
    <col min="2" max="2" width="8.85546875" customWidth="1"/>
    <col min="3" max="3" width="13.140625" customWidth="1"/>
    <col min="4" max="4" width="14.7109375" customWidth="1"/>
    <col min="5" max="5" width="14.28515625" customWidth="1"/>
    <col min="6" max="6" width="13.7109375" customWidth="1"/>
  </cols>
  <sheetData>
    <row r="1" spans="1:6" ht="45.75" customHeight="1" x14ac:dyDescent="0.2">
      <c r="A1" s="673" t="s">
        <v>393</v>
      </c>
      <c r="B1" s="674"/>
      <c r="C1" s="674"/>
      <c r="D1" s="674"/>
      <c r="E1" s="674"/>
      <c r="F1" s="675"/>
    </row>
    <row r="2" spans="1:6" ht="19.5" customHeight="1" x14ac:dyDescent="0.25">
      <c r="A2" s="672" t="s">
        <v>263</v>
      </c>
      <c r="B2" s="672"/>
      <c r="C2" s="672"/>
      <c r="D2" s="672"/>
      <c r="E2" s="672"/>
      <c r="F2" s="672"/>
    </row>
    <row r="3" spans="1:6" ht="42" customHeight="1" x14ac:dyDescent="0.2">
      <c r="A3" s="31" t="s">
        <v>271</v>
      </c>
      <c r="B3" s="32" t="s">
        <v>272</v>
      </c>
      <c r="C3" s="39" t="s">
        <v>395</v>
      </c>
      <c r="D3" s="32" t="s">
        <v>390</v>
      </c>
      <c r="E3" s="32" t="s">
        <v>391</v>
      </c>
      <c r="F3" s="32" t="s">
        <v>392</v>
      </c>
    </row>
    <row r="4" spans="1:6" ht="15.75" x14ac:dyDescent="0.25">
      <c r="A4" s="33" t="s">
        <v>273</v>
      </c>
      <c r="B4" s="33" t="s">
        <v>274</v>
      </c>
      <c r="C4" s="34"/>
      <c r="D4" s="34"/>
      <c r="E4" s="34"/>
      <c r="F4" s="34"/>
    </row>
    <row r="5" spans="1:6" ht="15.75" x14ac:dyDescent="0.25">
      <c r="A5" s="38" t="s">
        <v>275</v>
      </c>
      <c r="B5" s="33" t="s">
        <v>276</v>
      </c>
      <c r="C5" s="34"/>
      <c r="D5" s="34"/>
      <c r="E5" s="34"/>
      <c r="F5" s="34"/>
    </row>
    <row r="6" spans="1:6" ht="15.75" x14ac:dyDescent="0.25">
      <c r="A6" s="33" t="s">
        <v>277</v>
      </c>
      <c r="B6" s="33" t="s">
        <v>278</v>
      </c>
      <c r="C6" s="34"/>
      <c r="D6" s="34"/>
      <c r="E6" s="34"/>
      <c r="F6" s="34"/>
    </row>
    <row r="7" spans="1:6" ht="15.75" x14ac:dyDescent="0.25">
      <c r="A7" s="33" t="s">
        <v>279</v>
      </c>
      <c r="B7" s="33" t="s">
        <v>280</v>
      </c>
      <c r="C7" s="34"/>
      <c r="D7" s="34"/>
      <c r="E7" s="34"/>
      <c r="F7" s="34"/>
    </row>
    <row r="8" spans="1:6" ht="15.75" x14ac:dyDescent="0.25">
      <c r="A8" s="37" t="s">
        <v>394</v>
      </c>
      <c r="B8" s="33" t="s">
        <v>281</v>
      </c>
      <c r="C8" s="34"/>
      <c r="D8" s="34"/>
      <c r="E8" s="34"/>
      <c r="F8" s="34"/>
    </row>
    <row r="9" spans="1:6" ht="15.75" x14ac:dyDescent="0.25">
      <c r="A9" s="33" t="s">
        <v>282</v>
      </c>
      <c r="B9" s="33" t="s">
        <v>283</v>
      </c>
      <c r="C9" s="34"/>
      <c r="D9" s="34"/>
      <c r="E9" s="34"/>
      <c r="F9" s="34"/>
    </row>
    <row r="10" spans="1:6" ht="15.75" x14ac:dyDescent="0.25">
      <c r="A10" s="33" t="s">
        <v>284</v>
      </c>
      <c r="B10" s="33" t="s">
        <v>285</v>
      </c>
      <c r="C10" s="34"/>
      <c r="D10" s="34"/>
      <c r="E10" s="34"/>
      <c r="F10" s="34"/>
    </row>
    <row r="11" spans="1:6" ht="15.75" x14ac:dyDescent="0.25">
      <c r="A11" s="33" t="s">
        <v>286</v>
      </c>
      <c r="B11" s="33" t="s">
        <v>287</v>
      </c>
      <c r="C11" s="34"/>
      <c r="D11" s="34"/>
      <c r="E11" s="34"/>
      <c r="F11" s="34"/>
    </row>
    <row r="12" spans="1:6" ht="15.75" x14ac:dyDescent="0.25">
      <c r="A12" s="38" t="s">
        <v>288</v>
      </c>
      <c r="B12" s="33" t="s">
        <v>289</v>
      </c>
      <c r="C12" s="34"/>
      <c r="D12" s="34"/>
      <c r="E12" s="34"/>
      <c r="F12" s="34"/>
    </row>
    <row r="13" spans="1:6" ht="15.75" x14ac:dyDescent="0.25">
      <c r="A13" s="33" t="s">
        <v>290</v>
      </c>
      <c r="B13" s="33" t="s">
        <v>291</v>
      </c>
      <c r="C13" s="34"/>
      <c r="D13" s="34"/>
      <c r="E13" s="34"/>
      <c r="F13" s="34"/>
    </row>
    <row r="14" spans="1:6" ht="15.75" x14ac:dyDescent="0.25">
      <c r="A14" s="33" t="s">
        <v>292</v>
      </c>
      <c r="B14" s="33" t="s">
        <v>293</v>
      </c>
      <c r="C14" s="34"/>
      <c r="D14" s="34"/>
      <c r="E14" s="34"/>
      <c r="F14" s="34"/>
    </row>
    <row r="15" spans="1:6" ht="15.75" x14ac:dyDescent="0.25">
      <c r="A15" s="33" t="s">
        <v>294</v>
      </c>
      <c r="B15" s="33" t="s">
        <v>295</v>
      </c>
      <c r="C15" s="34"/>
      <c r="D15" s="34"/>
      <c r="E15" s="34"/>
      <c r="F15" s="34"/>
    </row>
    <row r="16" spans="1:6" ht="15.75" x14ac:dyDescent="0.25">
      <c r="A16" s="33" t="s">
        <v>296</v>
      </c>
      <c r="B16" s="33" t="s">
        <v>297</v>
      </c>
      <c r="C16" s="34"/>
      <c r="D16" s="34"/>
      <c r="E16" s="34"/>
      <c r="F16" s="34"/>
    </row>
    <row r="17" spans="1:6" ht="15.75" x14ac:dyDescent="0.25">
      <c r="A17" s="33" t="s">
        <v>298</v>
      </c>
      <c r="B17" s="33" t="s">
        <v>299</v>
      </c>
      <c r="C17" s="34"/>
      <c r="D17" s="34"/>
      <c r="E17" s="34"/>
      <c r="F17" s="34"/>
    </row>
    <row r="18" spans="1:6" ht="15.75" x14ac:dyDescent="0.25">
      <c r="A18" s="33" t="s">
        <v>300</v>
      </c>
      <c r="B18" s="33" t="s">
        <v>301</v>
      </c>
      <c r="C18" s="34"/>
      <c r="D18" s="34"/>
      <c r="E18" s="34"/>
      <c r="F18" s="34"/>
    </row>
    <row r="19" spans="1:6" ht="15.75" x14ac:dyDescent="0.25">
      <c r="A19" s="33" t="s">
        <v>302</v>
      </c>
      <c r="B19" s="33" t="s">
        <v>303</v>
      </c>
      <c r="C19" s="34"/>
      <c r="D19" s="34"/>
      <c r="E19" s="34"/>
      <c r="F19" s="34"/>
    </row>
    <row r="20" spans="1:6" ht="15.75" x14ac:dyDescent="0.25">
      <c r="A20" s="33" t="s">
        <v>304</v>
      </c>
      <c r="B20" s="33" t="s">
        <v>305</v>
      </c>
      <c r="C20" s="34"/>
      <c r="D20" s="34"/>
      <c r="E20" s="34"/>
      <c r="F20" s="34"/>
    </row>
    <row r="21" spans="1:6" ht="15.75" x14ac:dyDescent="0.25">
      <c r="A21" s="33" t="s">
        <v>306</v>
      </c>
      <c r="B21" s="33" t="s">
        <v>307</v>
      </c>
      <c r="C21" s="34"/>
      <c r="D21" s="34"/>
      <c r="E21" s="34"/>
      <c r="F21" s="34"/>
    </row>
    <row r="22" spans="1:6" ht="15.75" x14ac:dyDescent="0.25">
      <c r="A22" s="33" t="s">
        <v>308</v>
      </c>
      <c r="B22" s="33" t="s">
        <v>309</v>
      </c>
      <c r="C22" s="34"/>
      <c r="D22" s="34"/>
      <c r="E22" s="34"/>
      <c r="F22" s="34"/>
    </row>
    <row r="23" spans="1:6" ht="15.75" x14ac:dyDescent="0.25">
      <c r="A23" s="33" t="s">
        <v>310</v>
      </c>
      <c r="B23" s="33" t="s">
        <v>311</v>
      </c>
      <c r="C23" s="34"/>
      <c r="D23" s="34"/>
      <c r="E23" s="34"/>
      <c r="F23" s="34"/>
    </row>
    <row r="24" spans="1:6" ht="15.75" x14ac:dyDescent="0.25">
      <c r="A24" s="38" t="s">
        <v>312</v>
      </c>
      <c r="B24" s="33" t="s">
        <v>313</v>
      </c>
      <c r="C24" s="34"/>
      <c r="D24" s="34"/>
      <c r="E24" s="34"/>
      <c r="F24" s="34"/>
    </row>
    <row r="25" spans="1:6" ht="15.75" x14ac:dyDescent="0.25">
      <c r="A25" s="33" t="s">
        <v>314</v>
      </c>
      <c r="B25" s="33" t="s">
        <v>315</v>
      </c>
      <c r="C25" s="34"/>
      <c r="D25" s="34"/>
      <c r="E25" s="34"/>
      <c r="F25" s="34"/>
    </row>
    <row r="26" spans="1:6" ht="15.75" x14ac:dyDescent="0.25">
      <c r="A26" s="33" t="s">
        <v>316</v>
      </c>
      <c r="B26" s="33" t="s">
        <v>317</v>
      </c>
      <c r="C26" s="34"/>
      <c r="D26" s="34"/>
      <c r="E26" s="34"/>
      <c r="F26" s="34"/>
    </row>
    <row r="27" spans="1:6" ht="15.75" x14ac:dyDescent="0.25">
      <c r="A27" s="33" t="s">
        <v>318</v>
      </c>
      <c r="B27" s="33" t="s">
        <v>319</v>
      </c>
      <c r="C27" s="34"/>
      <c r="D27" s="34"/>
      <c r="E27" s="34"/>
      <c r="F27" s="34"/>
    </row>
    <row r="28" spans="1:6" ht="15.75" x14ac:dyDescent="0.25">
      <c r="A28" s="33" t="s">
        <v>320</v>
      </c>
      <c r="B28" s="33" t="s">
        <v>321</v>
      </c>
      <c r="C28" s="34"/>
      <c r="D28" s="34"/>
      <c r="E28" s="34"/>
      <c r="F28" s="34"/>
    </row>
    <row r="29" spans="1:6" ht="15.75" x14ac:dyDescent="0.25">
      <c r="A29" s="33" t="s">
        <v>322</v>
      </c>
      <c r="B29" s="33" t="s">
        <v>323</v>
      </c>
      <c r="C29" s="34"/>
      <c r="D29" s="34"/>
      <c r="E29" s="34"/>
      <c r="F29" s="34"/>
    </row>
    <row r="30" spans="1:6" ht="15.75" x14ac:dyDescent="0.25">
      <c r="A30" s="33" t="s">
        <v>324</v>
      </c>
      <c r="B30" s="33" t="s">
        <v>325</v>
      </c>
      <c r="C30" s="34"/>
      <c r="D30" s="34"/>
      <c r="E30" s="34"/>
      <c r="F30" s="34"/>
    </row>
    <row r="31" spans="1:6" ht="15.75" x14ac:dyDescent="0.25">
      <c r="A31" s="33" t="s">
        <v>326</v>
      </c>
      <c r="B31" s="33" t="s">
        <v>327</v>
      </c>
      <c r="C31" s="34"/>
      <c r="D31" s="34"/>
      <c r="E31" s="34"/>
      <c r="F31" s="34"/>
    </row>
    <row r="32" spans="1:6" ht="15.75" x14ac:dyDescent="0.25">
      <c r="A32" s="33" t="s">
        <v>328</v>
      </c>
      <c r="B32" s="33" t="s">
        <v>329</v>
      </c>
      <c r="C32" s="34"/>
      <c r="D32" s="34"/>
      <c r="E32" s="34"/>
      <c r="F32" s="34"/>
    </row>
    <row r="33" spans="1:6" ht="15.75" x14ac:dyDescent="0.25">
      <c r="A33" s="38" t="s">
        <v>330</v>
      </c>
      <c r="B33" s="33" t="s">
        <v>331</v>
      </c>
      <c r="C33" s="34"/>
      <c r="D33" s="34"/>
      <c r="E33" s="34"/>
      <c r="F33" s="34"/>
    </row>
    <row r="34" spans="1:6" ht="15.75" x14ac:dyDescent="0.25">
      <c r="A34" s="33" t="s">
        <v>332</v>
      </c>
      <c r="B34" s="33" t="s">
        <v>333</v>
      </c>
      <c r="C34" s="34"/>
      <c r="D34" s="34"/>
      <c r="E34" s="34"/>
      <c r="F34" s="34"/>
    </row>
    <row r="35" spans="1:6" ht="15.75" x14ac:dyDescent="0.25">
      <c r="A35" s="33" t="s">
        <v>334</v>
      </c>
      <c r="B35" s="33" t="s">
        <v>335</v>
      </c>
      <c r="C35" s="34"/>
      <c r="D35" s="34"/>
      <c r="E35" s="34"/>
      <c r="F35" s="34"/>
    </row>
    <row r="36" spans="1:6" ht="15.75" x14ac:dyDescent="0.25">
      <c r="A36" s="33" t="s">
        <v>336</v>
      </c>
      <c r="B36" s="33" t="s">
        <v>337</v>
      </c>
      <c r="C36" s="34"/>
      <c r="D36" s="34"/>
      <c r="E36" s="34"/>
      <c r="F36" s="34"/>
    </row>
    <row r="37" spans="1:6" ht="15.75" x14ac:dyDescent="0.25">
      <c r="A37" s="33" t="s">
        <v>338</v>
      </c>
      <c r="B37" s="33" t="s">
        <v>339</v>
      </c>
      <c r="C37" s="34"/>
      <c r="D37" s="34"/>
      <c r="E37" s="34"/>
      <c r="F37" s="34"/>
    </row>
    <row r="38" spans="1:6" ht="15.75" x14ac:dyDescent="0.25">
      <c r="A38" s="33" t="s">
        <v>340</v>
      </c>
      <c r="B38" s="33" t="s">
        <v>341</v>
      </c>
      <c r="C38" s="34"/>
      <c r="D38" s="34"/>
      <c r="E38" s="34"/>
      <c r="F38" s="34"/>
    </row>
    <row r="39" spans="1:6" ht="15.75" x14ac:dyDescent="0.25">
      <c r="A39" s="33" t="s">
        <v>342</v>
      </c>
      <c r="B39" s="33" t="s">
        <v>343</v>
      </c>
      <c r="C39" s="34"/>
      <c r="D39" s="34"/>
      <c r="E39" s="34"/>
      <c r="F39" s="34"/>
    </row>
    <row r="40" spans="1:6" ht="15.75" x14ac:dyDescent="0.25">
      <c r="A40" s="38" t="s">
        <v>344</v>
      </c>
      <c r="B40" s="33" t="s">
        <v>345</v>
      </c>
      <c r="C40" s="34"/>
      <c r="D40" s="34"/>
      <c r="E40" s="34"/>
      <c r="F40" s="34"/>
    </row>
    <row r="41" spans="1:6" ht="15.75" x14ac:dyDescent="0.25">
      <c r="A41" s="33" t="s">
        <v>346</v>
      </c>
      <c r="B41" s="33" t="s">
        <v>347</v>
      </c>
      <c r="C41" s="34"/>
      <c r="D41" s="34"/>
      <c r="E41" s="34"/>
      <c r="F41" s="34"/>
    </row>
    <row r="42" spans="1:6" ht="15.75" x14ac:dyDescent="0.25">
      <c r="A42" s="33" t="s">
        <v>348</v>
      </c>
      <c r="B42" s="33" t="s">
        <v>349</v>
      </c>
      <c r="C42" s="34"/>
      <c r="D42" s="34"/>
      <c r="E42" s="34"/>
      <c r="F42" s="34"/>
    </row>
    <row r="43" spans="1:6" ht="15.75" x14ac:dyDescent="0.25">
      <c r="A43" s="33" t="s">
        <v>350</v>
      </c>
      <c r="B43" s="33" t="s">
        <v>351</v>
      </c>
      <c r="C43" s="34"/>
      <c r="D43" s="34"/>
      <c r="E43" s="34"/>
      <c r="F43" s="34"/>
    </row>
    <row r="44" spans="1:6" ht="15.75" x14ac:dyDescent="0.25">
      <c r="A44" s="33" t="s">
        <v>352</v>
      </c>
      <c r="B44" s="33" t="s">
        <v>353</v>
      </c>
      <c r="C44" s="34"/>
      <c r="D44" s="34"/>
      <c r="E44" s="34"/>
      <c r="F44" s="34"/>
    </row>
    <row r="45" spans="1:6" ht="15.75" x14ac:dyDescent="0.25">
      <c r="A45" s="38" t="s">
        <v>354</v>
      </c>
      <c r="B45" s="33" t="s">
        <v>355</v>
      </c>
      <c r="C45" s="34"/>
      <c r="D45" s="34"/>
      <c r="E45" s="34"/>
      <c r="F45" s="34"/>
    </row>
    <row r="46" spans="1:6" ht="15.75" x14ac:dyDescent="0.25">
      <c r="A46" s="33" t="s">
        <v>356</v>
      </c>
      <c r="B46" s="33" t="s">
        <v>357</v>
      </c>
      <c r="C46" s="34"/>
      <c r="D46" s="34"/>
      <c r="E46" s="34"/>
      <c r="F46" s="34"/>
    </row>
    <row r="47" spans="1:6" ht="15.75" x14ac:dyDescent="0.25">
      <c r="A47" s="33" t="s">
        <v>348</v>
      </c>
      <c r="B47" s="33" t="s">
        <v>358</v>
      </c>
      <c r="C47" s="34"/>
      <c r="D47" s="34"/>
      <c r="E47" s="34"/>
      <c r="F47" s="34"/>
    </row>
    <row r="48" spans="1:6" ht="15.75" x14ac:dyDescent="0.25">
      <c r="A48" s="33" t="s">
        <v>359</v>
      </c>
      <c r="B48" s="33" t="s">
        <v>360</v>
      </c>
      <c r="C48" s="34"/>
      <c r="D48" s="34"/>
      <c r="E48" s="34"/>
      <c r="F48" s="34"/>
    </row>
    <row r="49" spans="1:6" ht="15.75" x14ac:dyDescent="0.25">
      <c r="A49" s="33" t="s">
        <v>361</v>
      </c>
      <c r="B49" s="33" t="s">
        <v>362</v>
      </c>
      <c r="C49" s="34"/>
      <c r="D49" s="34"/>
      <c r="E49" s="34"/>
      <c r="F49" s="34"/>
    </row>
    <row r="50" spans="1:6" ht="15.75" x14ac:dyDescent="0.25">
      <c r="A50" s="33" t="s">
        <v>363</v>
      </c>
      <c r="B50" s="33" t="s">
        <v>364</v>
      </c>
      <c r="C50" s="34"/>
      <c r="D50" s="34"/>
      <c r="E50" s="34"/>
      <c r="F50" s="34"/>
    </row>
    <row r="51" spans="1:6" ht="15.75" x14ac:dyDescent="0.25">
      <c r="A51" s="33" t="s">
        <v>350</v>
      </c>
      <c r="B51" s="33" t="s">
        <v>365</v>
      </c>
      <c r="C51" s="34"/>
      <c r="D51" s="34"/>
      <c r="E51" s="34"/>
      <c r="F51" s="34"/>
    </row>
    <row r="52" spans="1:6" ht="15.75" x14ac:dyDescent="0.25">
      <c r="A52" s="33" t="s">
        <v>366</v>
      </c>
      <c r="B52" s="33" t="s">
        <v>367</v>
      </c>
      <c r="C52" s="34"/>
      <c r="D52" s="34"/>
      <c r="E52" s="34"/>
      <c r="F52" s="34"/>
    </row>
    <row r="53" spans="1:6" ht="15.75" x14ac:dyDescent="0.25">
      <c r="A53" s="33" t="s">
        <v>352</v>
      </c>
      <c r="B53" s="33" t="s">
        <v>368</v>
      </c>
      <c r="C53" s="34"/>
      <c r="D53" s="34"/>
      <c r="E53" s="34"/>
      <c r="F53" s="34"/>
    </row>
    <row r="54" spans="1:6" ht="15.75" x14ac:dyDescent="0.25">
      <c r="A54" s="38" t="s">
        <v>369</v>
      </c>
      <c r="B54" s="33" t="s">
        <v>370</v>
      </c>
      <c r="C54" s="34"/>
      <c r="D54" s="34"/>
      <c r="E54" s="34"/>
      <c r="F54" s="34"/>
    </row>
    <row r="55" spans="1:6" ht="15.75" x14ac:dyDescent="0.25">
      <c r="A55" s="33" t="s">
        <v>371</v>
      </c>
      <c r="B55" s="33" t="s">
        <v>372</v>
      </c>
      <c r="C55" s="34"/>
      <c r="D55" s="34"/>
      <c r="E55" s="34"/>
      <c r="F55" s="34"/>
    </row>
    <row r="56" spans="1:6" ht="15.75" x14ac:dyDescent="0.25">
      <c r="A56" s="33" t="s">
        <v>373</v>
      </c>
      <c r="B56" s="33" t="s">
        <v>374</v>
      </c>
      <c r="C56" s="34"/>
      <c r="D56" s="34"/>
      <c r="E56" s="34"/>
      <c r="F56" s="34"/>
    </row>
    <row r="57" spans="1:6" ht="15.75" x14ac:dyDescent="0.25">
      <c r="A57" s="33" t="s">
        <v>375</v>
      </c>
      <c r="B57" s="33" t="s">
        <v>376</v>
      </c>
      <c r="C57" s="34"/>
      <c r="D57" s="34"/>
      <c r="E57" s="34"/>
      <c r="F57" s="34"/>
    </row>
    <row r="58" spans="1:6" ht="15.75" x14ac:dyDescent="0.25">
      <c r="A58" s="33" t="s">
        <v>377</v>
      </c>
      <c r="B58" s="33" t="s">
        <v>378</v>
      </c>
      <c r="C58" s="34"/>
      <c r="D58" s="34"/>
      <c r="E58" s="34"/>
      <c r="F58" s="34"/>
    </row>
    <row r="59" spans="1:6" ht="15.75" x14ac:dyDescent="0.25">
      <c r="A59" s="33" t="s">
        <v>379</v>
      </c>
      <c r="B59" s="33" t="s">
        <v>380</v>
      </c>
      <c r="C59" s="34"/>
      <c r="D59" s="34"/>
      <c r="E59" s="34"/>
      <c r="F59" s="34"/>
    </row>
    <row r="60" spans="1:6" ht="15.75" x14ac:dyDescent="0.25">
      <c r="A60" s="33" t="s">
        <v>381</v>
      </c>
      <c r="B60" s="33" t="s">
        <v>382</v>
      </c>
      <c r="C60" s="34"/>
      <c r="D60" s="34"/>
      <c r="E60" s="34"/>
      <c r="F60" s="34"/>
    </row>
    <row r="61" spans="1:6" ht="15.75" x14ac:dyDescent="0.25">
      <c r="A61" s="38" t="s">
        <v>383</v>
      </c>
      <c r="B61" s="33" t="s">
        <v>384</v>
      </c>
      <c r="C61" s="34"/>
      <c r="D61" s="34"/>
      <c r="E61" s="34"/>
      <c r="F61" s="34"/>
    </row>
    <row r="62" spans="1:6" ht="15.75" x14ac:dyDescent="0.25">
      <c r="A62" s="33" t="s">
        <v>385</v>
      </c>
      <c r="B62" s="33" t="s">
        <v>386</v>
      </c>
      <c r="C62" s="34"/>
      <c r="D62" s="34"/>
      <c r="E62" s="34"/>
      <c r="F62" s="34"/>
    </row>
    <row r="63" spans="1:6" ht="15.75" x14ac:dyDescent="0.25">
      <c r="A63" s="33" t="s">
        <v>387</v>
      </c>
      <c r="B63" s="33" t="s">
        <v>388</v>
      </c>
      <c r="C63" s="34"/>
      <c r="D63" s="34"/>
      <c r="E63" s="34"/>
      <c r="F63" s="34"/>
    </row>
    <row r="64" spans="1:6" ht="15.75" x14ac:dyDescent="0.25">
      <c r="A64" s="35" t="s">
        <v>389</v>
      </c>
      <c r="B64" s="36"/>
      <c r="C64" s="34"/>
      <c r="D64" s="34"/>
      <c r="E64" s="34"/>
      <c r="F64" s="34"/>
    </row>
    <row r="65" spans="1:6" ht="15.75" x14ac:dyDescent="0.25">
      <c r="A65" s="18"/>
      <c r="B65" s="18"/>
      <c r="C65" s="18"/>
      <c r="D65" s="18"/>
      <c r="E65" s="18"/>
      <c r="F65" s="18"/>
    </row>
    <row r="66" spans="1:6" ht="15.75" x14ac:dyDescent="0.25">
      <c r="A66" s="18"/>
      <c r="B66" s="18"/>
      <c r="C66" s="18"/>
      <c r="D66" s="18"/>
      <c r="E66" s="18"/>
      <c r="F66" s="18"/>
    </row>
    <row r="67" spans="1:6" ht="15.75" x14ac:dyDescent="0.25">
      <c r="A67" s="18"/>
      <c r="B67" s="18"/>
      <c r="C67" s="18"/>
      <c r="D67" s="18"/>
      <c r="E67" s="18"/>
      <c r="F67" s="18"/>
    </row>
  </sheetData>
  <mergeCells count="2">
    <mergeCell ref="A2:F2"/>
    <mergeCell ref="A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I75"/>
  <sheetViews>
    <sheetView zoomScaleNormal="100" workbookViewId="0">
      <pane xSplit="2" ySplit="5" topLeftCell="C55" activePane="bottomRight" state="frozen"/>
      <selection pane="topRight" activeCell="C1" sqref="C1"/>
      <selection pane="bottomLeft" activeCell="A6" sqref="A6"/>
      <selection pane="bottomRight" activeCell="B58" sqref="B58"/>
    </sheetView>
  </sheetViews>
  <sheetFormatPr defaultRowHeight="15.75" x14ac:dyDescent="0.25"/>
  <cols>
    <col min="1" max="1" width="7.85546875" style="132" customWidth="1"/>
    <col min="2" max="2" width="79.85546875" style="180" customWidth="1"/>
    <col min="3" max="3" width="16.42578125" style="182" customWidth="1"/>
    <col min="4" max="4" width="16.5703125" style="182" customWidth="1"/>
    <col min="5" max="5" width="16.42578125" style="182" customWidth="1"/>
    <col min="6" max="6" width="19.140625" style="182" customWidth="1"/>
    <col min="7" max="7" width="16.85546875" style="182" customWidth="1"/>
    <col min="8" max="8" width="17.28515625" style="182" customWidth="1"/>
    <col min="9" max="9" width="9.140625" style="8" customWidth="1"/>
    <col min="10" max="16384" width="9.140625" style="8"/>
  </cols>
  <sheetData>
    <row r="1" spans="1:9" ht="35.1" customHeight="1" thickBot="1" x14ac:dyDescent="0.3">
      <c r="A1" s="482" t="s">
        <v>705</v>
      </c>
      <c r="B1" s="483"/>
      <c r="C1" s="483"/>
      <c r="D1" s="483"/>
      <c r="E1" s="483"/>
      <c r="F1" s="483"/>
      <c r="G1" s="483"/>
      <c r="H1" s="484"/>
    </row>
    <row r="2" spans="1:9" ht="31.9" customHeight="1" x14ac:dyDescent="0.25">
      <c r="A2" s="485" t="s">
        <v>790</v>
      </c>
      <c r="B2" s="486"/>
      <c r="C2" s="486"/>
      <c r="D2" s="486"/>
      <c r="E2" s="486"/>
      <c r="F2" s="486"/>
      <c r="G2" s="486"/>
      <c r="H2" s="487"/>
    </row>
    <row r="3" spans="1:9" ht="24" customHeight="1" x14ac:dyDescent="0.25">
      <c r="A3" s="488" t="s">
        <v>134</v>
      </c>
      <c r="B3" s="489" t="s">
        <v>213</v>
      </c>
      <c r="C3" s="491">
        <v>2016</v>
      </c>
      <c r="D3" s="492"/>
      <c r="E3" s="491">
        <v>2017</v>
      </c>
      <c r="F3" s="492"/>
      <c r="G3" s="491" t="s">
        <v>706</v>
      </c>
      <c r="H3" s="493"/>
    </row>
    <row r="4" spans="1:9" s="147" customFormat="1" ht="31.5" x14ac:dyDescent="0.25">
      <c r="A4" s="488"/>
      <c r="B4" s="490"/>
      <c r="C4" s="129" t="s">
        <v>214</v>
      </c>
      <c r="D4" s="129" t="s">
        <v>215</v>
      </c>
      <c r="E4" s="129" t="s">
        <v>214</v>
      </c>
      <c r="F4" s="129" t="s">
        <v>215</v>
      </c>
      <c r="G4" s="129" t="s">
        <v>214</v>
      </c>
      <c r="H4" s="130" t="s">
        <v>215</v>
      </c>
      <c r="I4" s="8"/>
    </row>
    <row r="5" spans="1:9" s="147" customFormat="1" x14ac:dyDescent="0.25">
      <c r="A5" s="28"/>
      <c r="B5" s="10"/>
      <c r="C5" s="129" t="s">
        <v>178</v>
      </c>
      <c r="D5" s="129" t="s">
        <v>179</v>
      </c>
      <c r="E5" s="129" t="s">
        <v>180</v>
      </c>
      <c r="F5" s="129" t="s">
        <v>186</v>
      </c>
      <c r="G5" s="129" t="s">
        <v>14</v>
      </c>
      <c r="H5" s="130" t="s">
        <v>15</v>
      </c>
      <c r="I5" s="8"/>
    </row>
    <row r="6" spans="1:9" x14ac:dyDescent="0.25">
      <c r="A6" s="42">
        <v>1</v>
      </c>
      <c r="B6" s="10" t="s">
        <v>157</v>
      </c>
      <c r="C6" s="149">
        <f>SUM(C7:C10)</f>
        <v>234808.4</v>
      </c>
      <c r="D6" s="149">
        <f t="shared" ref="D6:F6" si="0">SUM(D7:D10)</f>
        <v>464022.35000000003</v>
      </c>
      <c r="E6" s="152">
        <f t="shared" si="0"/>
        <v>256392.98</v>
      </c>
      <c r="F6" s="152">
        <f t="shared" si="0"/>
        <v>487949.03</v>
      </c>
      <c r="G6" s="164">
        <f>E6-C6</f>
        <v>21584.580000000016</v>
      </c>
      <c r="H6" s="165">
        <f t="shared" ref="G6:H69" si="1">F6-D6</f>
        <v>23926.679999999993</v>
      </c>
    </row>
    <row r="7" spans="1:9" x14ac:dyDescent="0.25">
      <c r="A7" s="42">
        <f>A6+1</f>
        <v>2</v>
      </c>
      <c r="B7" s="55" t="s">
        <v>172</v>
      </c>
      <c r="C7" s="166"/>
      <c r="D7" s="166"/>
      <c r="E7" s="167"/>
      <c r="F7" s="167"/>
      <c r="G7" s="164">
        <f t="shared" si="1"/>
        <v>0</v>
      </c>
      <c r="H7" s="165">
        <f t="shared" si="1"/>
        <v>0</v>
      </c>
      <c r="I7" s="168"/>
    </row>
    <row r="8" spans="1:9" x14ac:dyDescent="0.25">
      <c r="A8" s="42">
        <f t="shared" ref="A8:A69" si="2">A7+1</f>
        <v>3</v>
      </c>
      <c r="B8" s="55" t="s">
        <v>191</v>
      </c>
      <c r="C8" s="166"/>
      <c r="D8" s="166"/>
      <c r="E8" s="167"/>
      <c r="F8" s="167"/>
      <c r="G8" s="164">
        <f t="shared" si="1"/>
        <v>0</v>
      </c>
      <c r="H8" s="165">
        <f t="shared" si="1"/>
        <v>0</v>
      </c>
      <c r="I8" s="168"/>
    </row>
    <row r="9" spans="1:9" x14ac:dyDescent="0.25">
      <c r="A9" s="42">
        <f t="shared" si="2"/>
        <v>4</v>
      </c>
      <c r="B9" s="55" t="s">
        <v>27</v>
      </c>
      <c r="C9" s="166">
        <v>233480.72</v>
      </c>
      <c r="D9" s="166">
        <v>462155.2</v>
      </c>
      <c r="E9" s="167">
        <v>255396.56</v>
      </c>
      <c r="F9" s="167">
        <v>485444.95</v>
      </c>
      <c r="G9" s="164">
        <f t="shared" si="1"/>
        <v>21915.839999999997</v>
      </c>
      <c r="H9" s="165">
        <f t="shared" si="1"/>
        <v>23289.75</v>
      </c>
      <c r="I9" s="168"/>
    </row>
    <row r="10" spans="1:9" x14ac:dyDescent="0.25">
      <c r="A10" s="42">
        <f t="shared" si="2"/>
        <v>5</v>
      </c>
      <c r="B10" s="55" t="s">
        <v>190</v>
      </c>
      <c r="C10" s="166">
        <v>1327.68</v>
      </c>
      <c r="D10" s="166">
        <v>1867.15</v>
      </c>
      <c r="E10" s="167">
        <v>996.42</v>
      </c>
      <c r="F10" s="167">
        <v>2504.08</v>
      </c>
      <c r="G10" s="164">
        <f t="shared" si="1"/>
        <v>-331.2600000000001</v>
      </c>
      <c r="H10" s="165">
        <f t="shared" si="1"/>
        <v>636.92999999999984</v>
      </c>
      <c r="I10" s="168"/>
    </row>
    <row r="11" spans="1:9" x14ac:dyDescent="0.25">
      <c r="A11" s="42">
        <f t="shared" si="2"/>
        <v>6</v>
      </c>
      <c r="B11" s="58" t="s">
        <v>611</v>
      </c>
      <c r="C11" s="149">
        <f>SUM(C12:C15)</f>
        <v>1062748.58</v>
      </c>
      <c r="D11" s="149">
        <f t="shared" ref="D11:F11" si="3">SUM(D12:D15)</f>
        <v>811925.2</v>
      </c>
      <c r="E11" s="152">
        <f t="shared" si="3"/>
        <v>1078497.31</v>
      </c>
      <c r="F11" s="152">
        <f t="shared" si="3"/>
        <v>812444.88</v>
      </c>
      <c r="G11" s="164">
        <f t="shared" si="1"/>
        <v>15748.729999999981</v>
      </c>
      <c r="H11" s="165">
        <f t="shared" si="1"/>
        <v>519.68000000005122</v>
      </c>
    </row>
    <row r="12" spans="1:9" x14ac:dyDescent="0.25">
      <c r="A12" s="42">
        <f t="shared" si="2"/>
        <v>7</v>
      </c>
      <c r="B12" s="55" t="s">
        <v>49</v>
      </c>
      <c r="C12" s="166">
        <v>842980.42</v>
      </c>
      <c r="D12" s="166">
        <v>175</v>
      </c>
      <c r="E12" s="167">
        <v>863555.93</v>
      </c>
      <c r="F12" s="167"/>
      <c r="G12" s="164">
        <f t="shared" si="1"/>
        <v>20575.510000000009</v>
      </c>
      <c r="H12" s="165">
        <f t="shared" si="1"/>
        <v>-175</v>
      </c>
    </row>
    <row r="13" spans="1:9" x14ac:dyDescent="0.25">
      <c r="A13" s="42">
        <f t="shared" si="2"/>
        <v>8</v>
      </c>
      <c r="B13" s="55" t="s">
        <v>50</v>
      </c>
      <c r="C13" s="166"/>
      <c r="D13" s="166"/>
      <c r="E13" s="167"/>
      <c r="F13" s="167"/>
      <c r="G13" s="164">
        <f t="shared" si="1"/>
        <v>0</v>
      </c>
      <c r="H13" s="165">
        <f t="shared" si="1"/>
        <v>0</v>
      </c>
    </row>
    <row r="14" spans="1:9" x14ac:dyDescent="0.25">
      <c r="A14" s="42">
        <f>A13+1</f>
        <v>9</v>
      </c>
      <c r="B14" s="55" t="s">
        <v>51</v>
      </c>
      <c r="C14" s="166"/>
      <c r="D14" s="166">
        <v>103605.86</v>
      </c>
      <c r="E14" s="167"/>
      <c r="F14" s="167"/>
      <c r="G14" s="164">
        <f t="shared" si="1"/>
        <v>0</v>
      </c>
      <c r="H14" s="165">
        <f t="shared" si="1"/>
        <v>-103605.86</v>
      </c>
    </row>
    <row r="15" spans="1:9" ht="31.5" x14ac:dyDescent="0.25">
      <c r="A15" s="169">
        <f t="shared" si="2"/>
        <v>10</v>
      </c>
      <c r="B15" s="55" t="s">
        <v>673</v>
      </c>
      <c r="C15" s="166">
        <v>219768.16</v>
      </c>
      <c r="D15" s="166">
        <v>708144.34</v>
      </c>
      <c r="E15" s="167">
        <v>214941.38</v>
      </c>
      <c r="F15" s="167">
        <f>812084.73+360.15</f>
        <v>812444.88</v>
      </c>
      <c r="G15" s="164">
        <f t="shared" si="1"/>
        <v>-4826.7799999999988</v>
      </c>
      <c r="H15" s="165">
        <f t="shared" si="1"/>
        <v>104300.54000000004</v>
      </c>
    </row>
    <row r="16" spans="1:9" x14ac:dyDescent="0.25">
      <c r="A16" s="42">
        <f t="shared" si="2"/>
        <v>11</v>
      </c>
      <c r="B16" s="58" t="s">
        <v>11</v>
      </c>
      <c r="C16" s="166"/>
      <c r="D16" s="166">
        <v>84170.54</v>
      </c>
      <c r="E16" s="167"/>
      <c r="F16" s="167">
        <v>110739.33</v>
      </c>
      <c r="G16" s="164">
        <f t="shared" si="1"/>
        <v>0</v>
      </c>
      <c r="H16" s="165">
        <f t="shared" si="1"/>
        <v>26568.790000000008</v>
      </c>
    </row>
    <row r="17" spans="1:8" x14ac:dyDescent="0.25">
      <c r="A17" s="42">
        <f t="shared" si="2"/>
        <v>12</v>
      </c>
      <c r="B17" s="58" t="s">
        <v>657</v>
      </c>
      <c r="C17" s="166"/>
      <c r="D17" s="166"/>
      <c r="E17" s="167"/>
      <c r="F17" s="167"/>
      <c r="G17" s="164">
        <f t="shared" si="1"/>
        <v>0</v>
      </c>
      <c r="H17" s="165">
        <f t="shared" si="1"/>
        <v>0</v>
      </c>
    </row>
    <row r="18" spans="1:8" x14ac:dyDescent="0.25">
      <c r="A18" s="42">
        <f t="shared" si="2"/>
        <v>13</v>
      </c>
      <c r="B18" s="58" t="s">
        <v>658</v>
      </c>
      <c r="C18" s="166"/>
      <c r="D18" s="166"/>
      <c r="E18" s="167"/>
      <c r="F18" s="167"/>
      <c r="G18" s="164">
        <f t="shared" si="1"/>
        <v>0</v>
      </c>
      <c r="H18" s="165">
        <f t="shared" si="1"/>
        <v>0</v>
      </c>
    </row>
    <row r="19" spans="1:8" x14ac:dyDescent="0.25">
      <c r="A19" s="42">
        <f t="shared" si="2"/>
        <v>14</v>
      </c>
      <c r="B19" s="58" t="s">
        <v>220</v>
      </c>
      <c r="C19" s="166">
        <v>4.96</v>
      </c>
      <c r="D19" s="166">
        <v>120.36</v>
      </c>
      <c r="E19" s="167">
        <v>421.18</v>
      </c>
      <c r="F19" s="167">
        <v>2104.35</v>
      </c>
      <c r="G19" s="164">
        <f t="shared" si="1"/>
        <v>416.22</v>
      </c>
      <c r="H19" s="165">
        <f t="shared" si="1"/>
        <v>1983.99</v>
      </c>
    </row>
    <row r="20" spans="1:8" x14ac:dyDescent="0.25">
      <c r="A20" s="42">
        <f t="shared" si="2"/>
        <v>15</v>
      </c>
      <c r="B20" s="58" t="s">
        <v>221</v>
      </c>
      <c r="C20" s="167"/>
      <c r="D20" s="167"/>
      <c r="E20" s="167"/>
      <c r="F20" s="167"/>
      <c r="G20" s="164">
        <f t="shared" si="1"/>
        <v>0</v>
      </c>
      <c r="H20" s="165">
        <f t="shared" si="1"/>
        <v>0</v>
      </c>
    </row>
    <row r="21" spans="1:8" x14ac:dyDescent="0.25">
      <c r="A21" s="42">
        <f t="shared" si="2"/>
        <v>16</v>
      </c>
      <c r="B21" s="58" t="s">
        <v>612</v>
      </c>
      <c r="C21" s="152">
        <f>SUM(C22:C23)</f>
        <v>55.58</v>
      </c>
      <c r="D21" s="152">
        <f t="shared" ref="D21:F21" si="4">SUM(D22:D23)</f>
        <v>31.15</v>
      </c>
      <c r="E21" s="152">
        <f t="shared" si="4"/>
        <v>66.41</v>
      </c>
      <c r="F21" s="152">
        <f t="shared" si="4"/>
        <v>41.4</v>
      </c>
      <c r="G21" s="164">
        <f t="shared" si="1"/>
        <v>10.829999999999998</v>
      </c>
      <c r="H21" s="165">
        <f t="shared" si="1"/>
        <v>10.25</v>
      </c>
    </row>
    <row r="22" spans="1:8" x14ac:dyDescent="0.25">
      <c r="A22" s="42">
        <f t="shared" si="2"/>
        <v>17</v>
      </c>
      <c r="B22" s="55" t="s">
        <v>54</v>
      </c>
      <c r="C22" s="167"/>
      <c r="D22" s="167"/>
      <c r="E22" s="167"/>
      <c r="F22" s="167"/>
      <c r="G22" s="164">
        <f t="shared" si="1"/>
        <v>0</v>
      </c>
      <c r="H22" s="165">
        <f t="shared" si="1"/>
        <v>0</v>
      </c>
    </row>
    <row r="23" spans="1:8" x14ac:dyDescent="0.25">
      <c r="A23" s="42">
        <f t="shared" si="2"/>
        <v>18</v>
      </c>
      <c r="B23" s="55" t="s">
        <v>55</v>
      </c>
      <c r="C23" s="167">
        <v>55.58</v>
      </c>
      <c r="D23" s="170">
        <v>31.15</v>
      </c>
      <c r="E23" s="167">
        <v>66.41</v>
      </c>
      <c r="F23" s="170">
        <v>41.4</v>
      </c>
      <c r="G23" s="164">
        <f t="shared" si="1"/>
        <v>10.829999999999998</v>
      </c>
      <c r="H23" s="165">
        <f t="shared" si="1"/>
        <v>10.25</v>
      </c>
    </row>
    <row r="24" spans="1:8" x14ac:dyDescent="0.25">
      <c r="A24" s="42">
        <f t="shared" si="2"/>
        <v>19</v>
      </c>
      <c r="B24" s="58" t="s">
        <v>222</v>
      </c>
      <c r="C24" s="167">
        <v>3621.62</v>
      </c>
      <c r="D24" s="167"/>
      <c r="E24" s="167">
        <v>2252.15</v>
      </c>
      <c r="F24" s="167"/>
      <c r="G24" s="164">
        <f t="shared" si="1"/>
        <v>-1369.4699999999998</v>
      </c>
      <c r="H24" s="165">
        <f t="shared" si="1"/>
        <v>0</v>
      </c>
    </row>
    <row r="25" spans="1:8" x14ac:dyDescent="0.25">
      <c r="A25" s="42">
        <f t="shared" si="2"/>
        <v>20</v>
      </c>
      <c r="B25" s="87" t="s">
        <v>760</v>
      </c>
      <c r="C25" s="152">
        <f>C26+C27+C28+C29</f>
        <v>10807697.720000001</v>
      </c>
      <c r="D25" s="152">
        <f t="shared" ref="D25:F25" si="5">D26+D27+D28+D29</f>
        <v>0</v>
      </c>
      <c r="E25" s="152">
        <f>E26+E27+E28+E29</f>
        <v>12173648.570000002</v>
      </c>
      <c r="F25" s="152">
        <f t="shared" si="5"/>
        <v>0</v>
      </c>
      <c r="G25" s="164">
        <f t="shared" ref="G25:G34" si="6">E25-C25</f>
        <v>1365950.8500000015</v>
      </c>
      <c r="H25" s="165">
        <f t="shared" ref="H25:H34" si="7">F25-D25</f>
        <v>0</v>
      </c>
    </row>
    <row r="26" spans="1:8" x14ac:dyDescent="0.25">
      <c r="A26" s="42">
        <f t="shared" si="2"/>
        <v>21</v>
      </c>
      <c r="B26" s="88" t="s">
        <v>764</v>
      </c>
      <c r="C26" s="167">
        <v>228352.5</v>
      </c>
      <c r="D26" s="167"/>
      <c r="E26" s="167">
        <v>263843.46999999997</v>
      </c>
      <c r="F26" s="167"/>
      <c r="G26" s="164">
        <f t="shared" si="6"/>
        <v>35490.969999999972</v>
      </c>
      <c r="H26" s="165">
        <f t="shared" si="7"/>
        <v>0</v>
      </c>
    </row>
    <row r="27" spans="1:8" x14ac:dyDescent="0.25">
      <c r="A27" s="42">
        <f t="shared" si="2"/>
        <v>22</v>
      </c>
      <c r="B27" s="88" t="s">
        <v>765</v>
      </c>
      <c r="C27" s="167">
        <f>10287485</f>
        <v>10287485</v>
      </c>
      <c r="D27" s="167"/>
      <c r="E27" s="167">
        <v>11598064.890000001</v>
      </c>
      <c r="F27" s="167"/>
      <c r="G27" s="164">
        <f t="shared" si="6"/>
        <v>1310579.8900000006</v>
      </c>
      <c r="H27" s="165">
        <f t="shared" si="7"/>
        <v>0</v>
      </c>
    </row>
    <row r="28" spans="1:8" x14ac:dyDescent="0.25">
      <c r="A28" s="42">
        <f t="shared" si="2"/>
        <v>23</v>
      </c>
      <c r="B28" s="88" t="s">
        <v>766</v>
      </c>
      <c r="C28" s="167">
        <v>291860.21999999997</v>
      </c>
      <c r="D28" s="167"/>
      <c r="E28" s="167">
        <v>311740.21000000002</v>
      </c>
      <c r="F28" s="167"/>
      <c r="G28" s="164">
        <f t="shared" si="6"/>
        <v>19879.990000000049</v>
      </c>
      <c r="H28" s="165">
        <f t="shared" si="7"/>
        <v>0</v>
      </c>
    </row>
    <row r="29" spans="1:8" x14ac:dyDescent="0.25">
      <c r="A29" s="42">
        <f t="shared" si="2"/>
        <v>24</v>
      </c>
      <c r="B29" s="88" t="s">
        <v>767</v>
      </c>
      <c r="C29" s="167">
        <v>0</v>
      </c>
      <c r="D29" s="167"/>
      <c r="E29" s="167"/>
      <c r="F29" s="167"/>
      <c r="G29" s="164">
        <f t="shared" si="6"/>
        <v>0</v>
      </c>
      <c r="H29" s="165">
        <f t="shared" si="7"/>
        <v>0</v>
      </c>
    </row>
    <row r="30" spans="1:8" x14ac:dyDescent="0.25">
      <c r="A30" s="42">
        <f t="shared" si="2"/>
        <v>25</v>
      </c>
      <c r="B30" s="87" t="s">
        <v>773</v>
      </c>
      <c r="C30" s="152">
        <f>SUM(C31:C36)</f>
        <v>341929.42</v>
      </c>
      <c r="D30" s="152">
        <f t="shared" ref="D30:F30" si="8">SUM(D31:D36)</f>
        <v>19.63</v>
      </c>
      <c r="E30" s="152">
        <f>SUM(E31:E36)</f>
        <v>356963.9</v>
      </c>
      <c r="F30" s="152">
        <f t="shared" si="8"/>
        <v>0</v>
      </c>
      <c r="G30" s="164">
        <f t="shared" ref="G30" si="9">E30-C30</f>
        <v>15034.48000000004</v>
      </c>
      <c r="H30" s="165">
        <f t="shared" ref="H30" si="10">F30-D30</f>
        <v>-19.63</v>
      </c>
    </row>
    <row r="31" spans="1:8" x14ac:dyDescent="0.25">
      <c r="A31" s="42">
        <f t="shared" si="2"/>
        <v>26</v>
      </c>
      <c r="B31" s="88" t="s">
        <v>768</v>
      </c>
      <c r="C31" s="167">
        <v>243760.5</v>
      </c>
      <c r="D31" s="167"/>
      <c r="E31" s="167">
        <v>230098</v>
      </c>
      <c r="F31" s="167"/>
      <c r="G31" s="164">
        <f t="shared" si="6"/>
        <v>-13662.5</v>
      </c>
      <c r="H31" s="165">
        <f t="shared" si="7"/>
        <v>0</v>
      </c>
    </row>
    <row r="32" spans="1:8" x14ac:dyDescent="0.25">
      <c r="A32" s="42">
        <f t="shared" si="2"/>
        <v>27</v>
      </c>
      <c r="B32" s="88" t="s">
        <v>769</v>
      </c>
      <c r="C32" s="167">
        <v>47395.09</v>
      </c>
      <c r="D32" s="167"/>
      <c r="E32" s="167">
        <v>84819.9</v>
      </c>
      <c r="F32" s="167"/>
      <c r="G32" s="164">
        <f t="shared" si="6"/>
        <v>37424.81</v>
      </c>
      <c r="H32" s="165">
        <f t="shared" si="7"/>
        <v>0</v>
      </c>
    </row>
    <row r="33" spans="1:9" x14ac:dyDescent="0.25">
      <c r="A33" s="42">
        <f t="shared" si="2"/>
        <v>28</v>
      </c>
      <c r="B33" s="88" t="s">
        <v>770</v>
      </c>
      <c r="C33" s="167">
        <v>29804</v>
      </c>
      <c r="D33" s="167"/>
      <c r="E33" s="167">
        <v>25587</v>
      </c>
      <c r="F33" s="167"/>
      <c r="G33" s="164">
        <f t="shared" si="6"/>
        <v>-4217</v>
      </c>
      <c r="H33" s="165">
        <f t="shared" si="7"/>
        <v>0</v>
      </c>
    </row>
    <row r="34" spans="1:9" x14ac:dyDescent="0.25">
      <c r="A34" s="42">
        <f t="shared" si="2"/>
        <v>29</v>
      </c>
      <c r="B34" s="88" t="s">
        <v>771</v>
      </c>
      <c r="C34" s="167">
        <f>20969.83</f>
        <v>20969.830000000002</v>
      </c>
      <c r="D34" s="167">
        <v>19.63</v>
      </c>
      <c r="E34" s="167">
        <v>16261</v>
      </c>
      <c r="F34" s="167"/>
      <c r="G34" s="164">
        <f t="shared" si="6"/>
        <v>-4708.8300000000017</v>
      </c>
      <c r="H34" s="165">
        <f t="shared" si="7"/>
        <v>-19.63</v>
      </c>
    </row>
    <row r="35" spans="1:9" x14ac:dyDescent="0.25">
      <c r="A35" s="42">
        <f t="shared" si="2"/>
        <v>30</v>
      </c>
      <c r="B35" s="88" t="s">
        <v>761</v>
      </c>
      <c r="C35" s="167"/>
      <c r="D35" s="167"/>
      <c r="E35" s="167"/>
      <c r="F35" s="167"/>
      <c r="G35" s="164">
        <f t="shared" ref="G35:G36" si="11">E35-C35</f>
        <v>0</v>
      </c>
      <c r="H35" s="165">
        <f t="shared" ref="H35:H36" si="12">F35-D35</f>
        <v>0</v>
      </c>
    </row>
    <row r="36" spans="1:9" x14ac:dyDescent="0.25">
      <c r="A36" s="42">
        <f t="shared" si="2"/>
        <v>31</v>
      </c>
      <c r="B36" s="88" t="s">
        <v>762</v>
      </c>
      <c r="C36" s="167"/>
      <c r="D36" s="167"/>
      <c r="E36" s="167">
        <v>198</v>
      </c>
      <c r="F36" s="167"/>
      <c r="G36" s="164">
        <f t="shared" si="11"/>
        <v>198</v>
      </c>
      <c r="H36" s="165">
        <f t="shared" si="12"/>
        <v>0</v>
      </c>
    </row>
    <row r="37" spans="1:9" x14ac:dyDescent="0.25">
      <c r="A37" s="42">
        <v>32</v>
      </c>
      <c r="B37" s="87" t="s">
        <v>787</v>
      </c>
      <c r="C37" s="167"/>
      <c r="D37" s="167"/>
      <c r="E37" s="167">
        <v>287952.05</v>
      </c>
      <c r="F37" s="167"/>
      <c r="G37" s="164">
        <f t="shared" ref="G37" si="13">E37-C37</f>
        <v>287952.05</v>
      </c>
      <c r="H37" s="165">
        <f t="shared" ref="H37" si="14">F37-D37</f>
        <v>0</v>
      </c>
    </row>
    <row r="38" spans="1:9" s="172" customFormat="1" ht="15.75" customHeight="1" x14ac:dyDescent="0.3">
      <c r="A38" s="42">
        <v>33</v>
      </c>
      <c r="B38" s="87" t="s">
        <v>777</v>
      </c>
      <c r="C38" s="171">
        <f t="shared" ref="C38:F38" si="15">SUM(C39:C48)</f>
        <v>5806630.3700000001</v>
      </c>
      <c r="D38" s="171">
        <f t="shared" si="15"/>
        <v>14554.58</v>
      </c>
      <c r="E38" s="171">
        <f t="shared" si="15"/>
        <v>4740227.09</v>
      </c>
      <c r="F38" s="171">
        <f t="shared" si="15"/>
        <v>31000.48</v>
      </c>
      <c r="G38" s="164">
        <f t="shared" ref="G38" si="16">E38-C38</f>
        <v>-1066403.2800000003</v>
      </c>
      <c r="H38" s="165">
        <f t="shared" ref="H38" si="17">F38-D38</f>
        <v>16445.900000000001</v>
      </c>
      <c r="I38" s="8"/>
    </row>
    <row r="39" spans="1:9" x14ac:dyDescent="0.25">
      <c r="A39" s="42">
        <v>34</v>
      </c>
      <c r="B39" s="55" t="s">
        <v>698</v>
      </c>
      <c r="C39" s="167">
        <v>22546</v>
      </c>
      <c r="D39" s="167"/>
      <c r="E39" s="167">
        <f>333+46531</f>
        <v>46864</v>
      </c>
      <c r="F39" s="167"/>
      <c r="G39" s="164">
        <f t="shared" si="1"/>
        <v>24318</v>
      </c>
      <c r="H39" s="165">
        <f t="shared" si="1"/>
        <v>0</v>
      </c>
    </row>
    <row r="40" spans="1:9" x14ac:dyDescent="0.25">
      <c r="A40" s="42">
        <v>35</v>
      </c>
      <c r="B40" s="55" t="s">
        <v>56</v>
      </c>
      <c r="C40" s="167">
        <v>79258.880000000005</v>
      </c>
      <c r="D40" s="167"/>
      <c r="E40" s="167"/>
      <c r="F40" s="167"/>
      <c r="G40" s="164">
        <f t="shared" si="1"/>
        <v>-79258.880000000005</v>
      </c>
      <c r="H40" s="165">
        <f t="shared" si="1"/>
        <v>0</v>
      </c>
    </row>
    <row r="41" spans="1:9" x14ac:dyDescent="0.25">
      <c r="A41" s="42">
        <v>36</v>
      </c>
      <c r="B41" s="55" t="s">
        <v>57</v>
      </c>
      <c r="C41" s="167">
        <v>0</v>
      </c>
      <c r="D41" s="167"/>
      <c r="E41" s="167"/>
      <c r="F41" s="167"/>
      <c r="G41" s="164">
        <f t="shared" si="1"/>
        <v>0</v>
      </c>
      <c r="H41" s="165">
        <f t="shared" si="1"/>
        <v>0</v>
      </c>
    </row>
    <row r="42" spans="1:9" x14ac:dyDescent="0.25">
      <c r="A42" s="42">
        <f t="shared" si="2"/>
        <v>37</v>
      </c>
      <c r="B42" s="55" t="s">
        <v>58</v>
      </c>
      <c r="C42" s="167">
        <v>0</v>
      </c>
      <c r="D42" s="167"/>
      <c r="E42" s="167">
        <v>-9997.85</v>
      </c>
      <c r="F42" s="167"/>
      <c r="G42" s="164">
        <f t="shared" si="1"/>
        <v>-9997.85</v>
      </c>
      <c r="H42" s="165">
        <f t="shared" si="1"/>
        <v>0</v>
      </c>
    </row>
    <row r="43" spans="1:9" x14ac:dyDescent="0.25">
      <c r="A43" s="42">
        <f t="shared" si="2"/>
        <v>38</v>
      </c>
      <c r="B43" s="55" t="s">
        <v>59</v>
      </c>
      <c r="C43" s="167">
        <v>-176683.9</v>
      </c>
      <c r="D43" s="167"/>
      <c r="E43" s="167">
        <v>1619521.52</v>
      </c>
      <c r="F43" s="167">
        <v>335</v>
      </c>
      <c r="G43" s="164">
        <f t="shared" si="1"/>
        <v>1796205.42</v>
      </c>
      <c r="H43" s="165">
        <f t="shared" si="1"/>
        <v>335</v>
      </c>
    </row>
    <row r="44" spans="1:9" x14ac:dyDescent="0.25">
      <c r="A44" s="42">
        <f t="shared" si="2"/>
        <v>39</v>
      </c>
      <c r="B44" s="55" t="s">
        <v>60</v>
      </c>
      <c r="C44" s="167">
        <v>623</v>
      </c>
      <c r="D44" s="167">
        <v>335</v>
      </c>
      <c r="E44" s="167">
        <v>1372006.34</v>
      </c>
      <c r="F44" s="167"/>
      <c r="G44" s="164">
        <f t="shared" si="1"/>
        <v>1371383.34</v>
      </c>
      <c r="H44" s="165">
        <f t="shared" si="1"/>
        <v>-335</v>
      </c>
    </row>
    <row r="45" spans="1:9" x14ac:dyDescent="0.25">
      <c r="A45" s="42">
        <f t="shared" si="2"/>
        <v>40</v>
      </c>
      <c r="B45" s="59" t="s">
        <v>595</v>
      </c>
      <c r="C45" s="167">
        <v>1362304.76</v>
      </c>
      <c r="D45" s="167"/>
      <c r="E45" s="167"/>
      <c r="F45" s="167"/>
      <c r="G45" s="164">
        <f t="shared" si="1"/>
        <v>-1362304.76</v>
      </c>
      <c r="H45" s="165">
        <f t="shared" si="1"/>
        <v>0</v>
      </c>
    </row>
    <row r="46" spans="1:9" x14ac:dyDescent="0.25">
      <c r="A46" s="42">
        <f t="shared" si="2"/>
        <v>41</v>
      </c>
      <c r="B46" s="55" t="s">
        <v>61</v>
      </c>
      <c r="C46" s="167">
        <v>0</v>
      </c>
      <c r="D46" s="167"/>
      <c r="E46" s="167"/>
      <c r="F46" s="167"/>
      <c r="G46" s="164">
        <f t="shared" si="1"/>
        <v>0</v>
      </c>
      <c r="H46" s="165">
        <f t="shared" si="1"/>
        <v>0</v>
      </c>
    </row>
    <row r="47" spans="1:9" x14ac:dyDescent="0.25">
      <c r="A47" s="42">
        <f t="shared" si="2"/>
        <v>42</v>
      </c>
      <c r="B47" s="55" t="s">
        <v>675</v>
      </c>
      <c r="C47" s="167">
        <v>0</v>
      </c>
      <c r="D47" s="167"/>
      <c r="E47" s="167">
        <v>2722.46</v>
      </c>
      <c r="F47" s="167"/>
      <c r="G47" s="164">
        <f t="shared" ref="G47" si="18">E47-C47</f>
        <v>2722.46</v>
      </c>
      <c r="H47" s="165">
        <f t="shared" ref="H47" si="19">F47-D47</f>
        <v>0</v>
      </c>
    </row>
    <row r="48" spans="1:9" x14ac:dyDescent="0.25">
      <c r="A48" s="42">
        <f t="shared" si="2"/>
        <v>43</v>
      </c>
      <c r="B48" s="55" t="s">
        <v>778</v>
      </c>
      <c r="C48" s="167">
        <f>5382+4513199.63</f>
        <v>4518581.63</v>
      </c>
      <c r="D48" s="167">
        <v>14219.58</v>
      </c>
      <c r="E48" s="167">
        <f>-252621.8+1961732.42</f>
        <v>1709110.6199999999</v>
      </c>
      <c r="F48" s="167">
        <f>0.2+30665.28</f>
        <v>30665.48</v>
      </c>
      <c r="G48" s="164">
        <f t="shared" si="1"/>
        <v>-2809471.01</v>
      </c>
      <c r="H48" s="165">
        <f t="shared" si="1"/>
        <v>16445.900000000001</v>
      </c>
    </row>
    <row r="49" spans="1:9" x14ac:dyDescent="0.25">
      <c r="A49" s="42">
        <f t="shared" si="2"/>
        <v>44</v>
      </c>
      <c r="B49" s="58" t="s">
        <v>225</v>
      </c>
      <c r="C49" s="167">
        <v>6060</v>
      </c>
      <c r="D49" s="167"/>
      <c r="E49" s="167">
        <v>884994.92</v>
      </c>
      <c r="F49" s="167"/>
      <c r="G49" s="164">
        <f t="shared" si="1"/>
        <v>878934.92</v>
      </c>
      <c r="H49" s="165">
        <f t="shared" si="1"/>
        <v>0</v>
      </c>
    </row>
    <row r="50" spans="1:9" x14ac:dyDescent="0.25">
      <c r="A50" s="42">
        <f t="shared" si="2"/>
        <v>45</v>
      </c>
      <c r="B50" s="58" t="s">
        <v>91</v>
      </c>
      <c r="C50" s="93"/>
      <c r="D50" s="93"/>
      <c r="E50" s="167"/>
      <c r="F50" s="167"/>
      <c r="G50" s="164">
        <f t="shared" si="1"/>
        <v>0</v>
      </c>
      <c r="H50" s="165">
        <f t="shared" si="1"/>
        <v>0</v>
      </c>
    </row>
    <row r="51" spans="1:9" x14ac:dyDescent="0.25">
      <c r="A51" s="42">
        <f t="shared" si="2"/>
        <v>46</v>
      </c>
      <c r="B51" s="58" t="s">
        <v>88</v>
      </c>
      <c r="C51" s="167"/>
      <c r="D51" s="167"/>
      <c r="E51" s="167"/>
      <c r="F51" s="167"/>
      <c r="G51" s="164">
        <f t="shared" si="1"/>
        <v>0</v>
      </c>
      <c r="H51" s="165">
        <f t="shared" si="1"/>
        <v>0</v>
      </c>
    </row>
    <row r="52" spans="1:9" x14ac:dyDescent="0.25">
      <c r="A52" s="42">
        <f t="shared" si="2"/>
        <v>47</v>
      </c>
      <c r="B52" s="58" t="s">
        <v>209</v>
      </c>
      <c r="C52" s="167"/>
      <c r="D52" s="167"/>
      <c r="E52" s="167">
        <v>56.4</v>
      </c>
      <c r="F52" s="167"/>
      <c r="G52" s="164">
        <f t="shared" si="1"/>
        <v>56.4</v>
      </c>
      <c r="H52" s="165">
        <f t="shared" si="1"/>
        <v>0</v>
      </c>
    </row>
    <row r="53" spans="1:9" x14ac:dyDescent="0.25">
      <c r="A53" s="42">
        <f t="shared" si="2"/>
        <v>48</v>
      </c>
      <c r="B53" s="58" t="s">
        <v>158</v>
      </c>
      <c r="C53" s="167"/>
      <c r="D53" s="167"/>
      <c r="E53" s="167"/>
      <c r="F53" s="167"/>
      <c r="G53" s="164">
        <f t="shared" si="1"/>
        <v>0</v>
      </c>
      <c r="H53" s="165">
        <f t="shared" si="1"/>
        <v>0</v>
      </c>
    </row>
    <row r="54" spans="1:9" ht="18.75" x14ac:dyDescent="0.25">
      <c r="A54" s="42">
        <f t="shared" si="2"/>
        <v>49</v>
      </c>
      <c r="B54" s="58" t="s">
        <v>742</v>
      </c>
      <c r="C54" s="173">
        <f>SUM(C55:C59)</f>
        <v>34413.96</v>
      </c>
      <c r="D54" s="173">
        <f t="shared" ref="D54:F54" si="20">SUM(D55:D59)</f>
        <v>43847.32</v>
      </c>
      <c r="E54" s="173">
        <f t="shared" si="20"/>
        <v>48274.22</v>
      </c>
      <c r="F54" s="173">
        <f t="shared" si="20"/>
        <v>0</v>
      </c>
      <c r="G54" s="164">
        <f t="shared" si="1"/>
        <v>13860.260000000002</v>
      </c>
      <c r="H54" s="165">
        <f t="shared" si="1"/>
        <v>-43847.32</v>
      </c>
      <c r="I54" s="168"/>
    </row>
    <row r="55" spans="1:9" x14ac:dyDescent="0.25">
      <c r="A55" s="42">
        <f t="shared" si="2"/>
        <v>50</v>
      </c>
      <c r="B55" s="55" t="s">
        <v>149</v>
      </c>
      <c r="C55" s="167">
        <v>0</v>
      </c>
      <c r="D55" s="167">
        <v>43847.32</v>
      </c>
      <c r="E55" s="167"/>
      <c r="F55" s="136" t="s">
        <v>200</v>
      </c>
      <c r="G55" s="164">
        <f t="shared" si="1"/>
        <v>0</v>
      </c>
      <c r="H55" s="165" t="s">
        <v>200</v>
      </c>
    </row>
    <row r="56" spans="1:9" x14ac:dyDescent="0.25">
      <c r="A56" s="42">
        <f t="shared" si="2"/>
        <v>51</v>
      </c>
      <c r="B56" s="55" t="s">
        <v>62</v>
      </c>
      <c r="C56" s="167">
        <v>34413.96</v>
      </c>
      <c r="D56" s="136" t="s">
        <v>200</v>
      </c>
      <c r="E56" s="167">
        <v>48274.22</v>
      </c>
      <c r="F56" s="136" t="s">
        <v>200</v>
      </c>
      <c r="G56" s="164">
        <f t="shared" si="1"/>
        <v>13860.260000000002</v>
      </c>
      <c r="H56" s="165" t="s">
        <v>200</v>
      </c>
    </row>
    <row r="57" spans="1:9" ht="31.5" x14ac:dyDescent="0.25">
      <c r="A57" s="42">
        <f t="shared" si="2"/>
        <v>52</v>
      </c>
      <c r="B57" s="55" t="s">
        <v>627</v>
      </c>
      <c r="C57" s="167"/>
      <c r="D57" s="136" t="s">
        <v>200</v>
      </c>
      <c r="E57" s="167"/>
      <c r="F57" s="136" t="s">
        <v>200</v>
      </c>
      <c r="G57" s="164">
        <f t="shared" si="1"/>
        <v>0</v>
      </c>
      <c r="H57" s="165" t="s">
        <v>200</v>
      </c>
    </row>
    <row r="58" spans="1:9" ht="18.75" x14ac:dyDescent="0.25">
      <c r="A58" s="42">
        <f t="shared" si="2"/>
        <v>53</v>
      </c>
      <c r="B58" s="55" t="s">
        <v>613</v>
      </c>
      <c r="C58" s="167"/>
      <c r="D58" s="136" t="s">
        <v>200</v>
      </c>
      <c r="E58" s="167"/>
      <c r="F58" s="136" t="s">
        <v>200</v>
      </c>
      <c r="G58" s="164">
        <f t="shared" si="1"/>
        <v>0</v>
      </c>
      <c r="H58" s="165" t="s">
        <v>200</v>
      </c>
    </row>
    <row r="59" spans="1:9" x14ac:dyDescent="0.25">
      <c r="A59" s="42">
        <f t="shared" si="2"/>
        <v>54</v>
      </c>
      <c r="B59" s="55" t="s">
        <v>625</v>
      </c>
      <c r="C59" s="167"/>
      <c r="D59" s="136" t="s">
        <v>200</v>
      </c>
      <c r="E59" s="167"/>
      <c r="F59" s="136" t="s">
        <v>200</v>
      </c>
      <c r="G59" s="164">
        <f t="shared" si="1"/>
        <v>0</v>
      </c>
      <c r="H59" s="165" t="s">
        <v>200</v>
      </c>
    </row>
    <row r="60" spans="1:9" x14ac:dyDescent="0.25">
      <c r="A60" s="42">
        <f t="shared" si="2"/>
        <v>55</v>
      </c>
      <c r="B60" s="58" t="s">
        <v>226</v>
      </c>
      <c r="C60" s="167"/>
      <c r="D60" s="167"/>
      <c r="E60" s="167"/>
      <c r="F60" s="167"/>
      <c r="G60" s="164">
        <f t="shared" si="1"/>
        <v>0</v>
      </c>
      <c r="H60" s="165">
        <f t="shared" si="1"/>
        <v>0</v>
      </c>
    </row>
    <row r="61" spans="1:9" x14ac:dyDescent="0.25">
      <c r="A61" s="42">
        <f t="shared" si="2"/>
        <v>56</v>
      </c>
      <c r="B61" s="58" t="s">
        <v>89</v>
      </c>
      <c r="C61" s="167">
        <v>1428.82</v>
      </c>
      <c r="D61" s="167">
        <v>117485.14</v>
      </c>
      <c r="E61" s="167">
        <v>216.77</v>
      </c>
      <c r="F61" s="167">
        <v>119325.71</v>
      </c>
      <c r="G61" s="164">
        <f t="shared" si="1"/>
        <v>-1212.05</v>
      </c>
      <c r="H61" s="165">
        <f t="shared" si="1"/>
        <v>1840.570000000007</v>
      </c>
    </row>
    <row r="62" spans="1:9" x14ac:dyDescent="0.25">
      <c r="A62" s="42">
        <f t="shared" si="2"/>
        <v>57</v>
      </c>
      <c r="B62" s="60" t="s">
        <v>92</v>
      </c>
      <c r="C62" s="167">
        <v>6702.94</v>
      </c>
      <c r="D62" s="167"/>
      <c r="E62" s="167">
        <v>19315</v>
      </c>
      <c r="F62" s="167"/>
      <c r="G62" s="164">
        <f t="shared" si="1"/>
        <v>12612.060000000001</v>
      </c>
      <c r="H62" s="165">
        <f t="shared" si="1"/>
        <v>0</v>
      </c>
      <c r="I62" s="80"/>
    </row>
    <row r="63" spans="1:9" x14ac:dyDescent="0.25">
      <c r="A63" s="42">
        <f t="shared" si="2"/>
        <v>58</v>
      </c>
      <c r="B63" s="60" t="s">
        <v>743</v>
      </c>
      <c r="C63" s="167"/>
      <c r="D63" s="167"/>
      <c r="E63" s="167"/>
      <c r="F63" s="167"/>
      <c r="G63" s="164">
        <f t="shared" ref="G63" si="21">E63-C63</f>
        <v>0</v>
      </c>
      <c r="H63" s="165">
        <f t="shared" ref="H63" si="22">F63-D63</f>
        <v>0</v>
      </c>
      <c r="I63" s="80"/>
    </row>
    <row r="64" spans="1:9" x14ac:dyDescent="0.25">
      <c r="A64" s="42">
        <f t="shared" si="2"/>
        <v>59</v>
      </c>
      <c r="B64" s="60" t="s">
        <v>659</v>
      </c>
      <c r="C64" s="167"/>
      <c r="D64" s="167"/>
      <c r="E64" s="167"/>
      <c r="F64" s="167"/>
      <c r="G64" s="164">
        <f>E64-C64</f>
        <v>0</v>
      </c>
      <c r="H64" s="165">
        <f t="shared" si="1"/>
        <v>0</v>
      </c>
      <c r="I64" s="80"/>
    </row>
    <row r="65" spans="1:9" x14ac:dyDescent="0.25">
      <c r="A65" s="42">
        <f t="shared" si="2"/>
        <v>60</v>
      </c>
      <c r="B65" s="60" t="s">
        <v>676</v>
      </c>
      <c r="C65" s="174"/>
      <c r="D65" s="174"/>
      <c r="E65" s="167"/>
      <c r="F65" s="167"/>
      <c r="G65" s="164">
        <f>E65-C65</f>
        <v>0</v>
      </c>
      <c r="H65" s="165">
        <f t="shared" ref="H65" si="23">F65-D65</f>
        <v>0</v>
      </c>
      <c r="I65" s="80"/>
    </row>
    <row r="66" spans="1:9" x14ac:dyDescent="0.25">
      <c r="A66" s="42">
        <f t="shared" si="2"/>
        <v>61</v>
      </c>
      <c r="B66" s="58" t="s">
        <v>93</v>
      </c>
      <c r="C66" s="167">
        <v>38135993.560000002</v>
      </c>
      <c r="D66" s="167"/>
      <c r="E66" s="167">
        <v>40698128.07</v>
      </c>
      <c r="F66" s="167"/>
      <c r="G66" s="164">
        <f t="shared" si="1"/>
        <v>2562134.5099999979</v>
      </c>
      <c r="H66" s="165">
        <f t="shared" si="1"/>
        <v>0</v>
      </c>
    </row>
    <row r="67" spans="1:9" x14ac:dyDescent="0.25">
      <c r="A67" s="42">
        <f t="shared" si="2"/>
        <v>62</v>
      </c>
      <c r="B67" s="61" t="s">
        <v>192</v>
      </c>
      <c r="C67" s="95"/>
      <c r="D67" s="95"/>
      <c r="E67" s="95"/>
      <c r="F67" s="95"/>
      <c r="G67" s="164">
        <f t="shared" si="1"/>
        <v>0</v>
      </c>
      <c r="H67" s="165">
        <f t="shared" si="1"/>
        <v>0</v>
      </c>
    </row>
    <row r="68" spans="1:9" x14ac:dyDescent="0.25">
      <c r="A68" s="42">
        <f t="shared" si="2"/>
        <v>63</v>
      </c>
      <c r="B68" s="61" t="s">
        <v>100</v>
      </c>
      <c r="C68" s="95">
        <v>462494.82</v>
      </c>
      <c r="D68" s="95"/>
      <c r="E68" s="95">
        <v>1769631.46</v>
      </c>
      <c r="F68" s="95"/>
      <c r="G68" s="164">
        <f t="shared" si="1"/>
        <v>1307136.6399999999</v>
      </c>
      <c r="H68" s="165">
        <f t="shared" si="1"/>
        <v>0</v>
      </c>
    </row>
    <row r="69" spans="1:9" s="179" customFormat="1" ht="30" thickBot="1" x14ac:dyDescent="0.3">
      <c r="A69" s="42">
        <f t="shared" si="2"/>
        <v>64</v>
      </c>
      <c r="B69" s="83" t="s">
        <v>774</v>
      </c>
      <c r="C69" s="175">
        <f>C6+C11+C16+C17+C18+C19+C20+C21+C24+C25+C30+C37+C38+C49+C50+C51+C52+C53+C54+C60+C61+C62+C63+C64+C65+C66</f>
        <v>56442095.930000007</v>
      </c>
      <c r="D69" s="175">
        <f t="shared" ref="D69:F69" si="24">D6+D11+D16+D17+D18+D19+D20+D21+D24+D25+D30+D37+D38+D49+D50+D51+D52+D53+D54+D60+D61+D62+D63+D64+D65+D66</f>
        <v>1536176.27</v>
      </c>
      <c r="E69" s="175">
        <f t="shared" si="24"/>
        <v>60547407.019999996</v>
      </c>
      <c r="F69" s="175">
        <f t="shared" si="24"/>
        <v>1563605.1800000002</v>
      </c>
      <c r="G69" s="176">
        <f t="shared" si="1"/>
        <v>4105311.0899999887</v>
      </c>
      <c r="H69" s="177">
        <f t="shared" si="1"/>
        <v>27428.910000000149</v>
      </c>
      <c r="I69" s="178"/>
    </row>
    <row r="70" spans="1:9" ht="21" customHeight="1" x14ac:dyDescent="0.25">
      <c r="B70" s="132"/>
      <c r="C70" s="132"/>
      <c r="D70" s="133"/>
      <c r="E70" s="73"/>
      <c r="F70" s="133"/>
      <c r="G70" s="132"/>
      <c r="H70" s="132"/>
    </row>
    <row r="71" spans="1:9" x14ac:dyDescent="0.25">
      <c r="A71" s="476" t="s">
        <v>674</v>
      </c>
      <c r="B71" s="477"/>
      <c r="C71" s="477"/>
      <c r="D71" s="477"/>
      <c r="E71" s="477"/>
      <c r="F71" s="477"/>
      <c r="G71" s="477"/>
      <c r="H71" s="478"/>
      <c r="I71" s="168"/>
    </row>
    <row r="72" spans="1:9" ht="30.75" customHeight="1" x14ac:dyDescent="0.25">
      <c r="A72" s="479" t="s">
        <v>150</v>
      </c>
      <c r="B72" s="480"/>
      <c r="C72" s="480"/>
      <c r="D72" s="480"/>
      <c r="E72" s="480"/>
      <c r="F72" s="480"/>
      <c r="G72" s="480"/>
      <c r="H72" s="481"/>
    </row>
    <row r="74" spans="1:9" x14ac:dyDescent="0.25">
      <c r="C74" s="181"/>
    </row>
    <row r="75" spans="1:9" ht="18.75" customHeight="1" x14ac:dyDescent="0.25"/>
  </sheetData>
  <mergeCells count="9">
    <mergeCell ref="A71:H71"/>
    <mergeCell ref="A72:H72"/>
    <mergeCell ref="A1:H1"/>
    <mergeCell ref="A2:H2"/>
    <mergeCell ref="A3:A4"/>
    <mergeCell ref="B3:B4"/>
    <mergeCell ref="C3:D3"/>
    <mergeCell ref="E3:F3"/>
    <mergeCell ref="G3:H3"/>
  </mergeCells>
  <printOptions gridLines="1"/>
  <pageMargins left="0.51181102362204722" right="0.31496062992125984" top="0.43307086614173229" bottom="0.47244094488188981" header="0.39370078740157483" footer="0.23622047244094491"/>
  <pageSetup paperSize="9" scale="74" fitToHeight="2" orientation="landscape" r:id="rId1"/>
  <headerFooter alignWithMargins="0">
    <oddFooter>&amp;C&amp;P z &amp;N</oddFooter>
  </headerFooter>
  <rowBreaks count="1" manualBreakCount="1">
    <brk id="4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zoomScaleNormal="100" workbookViewId="0">
      <selection activeCell="G8" sqref="G8"/>
    </sheetView>
  </sheetViews>
  <sheetFormatPr defaultRowHeight="15.75" x14ac:dyDescent="0.25"/>
  <cols>
    <col min="1" max="1" width="7.85546875" style="132" customWidth="1"/>
    <col min="2" max="2" width="98.28515625" style="195" customWidth="1"/>
    <col min="3" max="3" width="16.85546875" style="8" customWidth="1"/>
    <col min="4" max="4" width="17.28515625" style="8" customWidth="1"/>
    <col min="5" max="5" width="10" style="8" customWidth="1"/>
    <col min="6" max="8" width="9.140625" style="8"/>
    <col min="9" max="9" width="9.140625" style="8" customWidth="1"/>
    <col min="10" max="16384" width="9.140625" style="8"/>
  </cols>
  <sheetData>
    <row r="1" spans="1:9" ht="45.75" customHeight="1" thickBot="1" x14ac:dyDescent="0.3">
      <c r="A1" s="470" t="s">
        <v>707</v>
      </c>
      <c r="B1" s="471"/>
      <c r="C1" s="471"/>
      <c r="D1" s="472"/>
    </row>
    <row r="2" spans="1:9" ht="37.5" customHeight="1" x14ac:dyDescent="0.25">
      <c r="A2" s="485" t="s">
        <v>791</v>
      </c>
      <c r="B2" s="486"/>
      <c r="C2" s="486"/>
      <c r="D2" s="487"/>
    </row>
    <row r="3" spans="1:9" s="147" customFormat="1" ht="31.5" x14ac:dyDescent="0.25">
      <c r="A3" s="28" t="s">
        <v>134</v>
      </c>
      <c r="B3" s="126" t="s">
        <v>213</v>
      </c>
      <c r="C3" s="129">
        <v>2016</v>
      </c>
      <c r="D3" s="128">
        <v>2017</v>
      </c>
    </row>
    <row r="4" spans="1:9" s="147" customFormat="1" x14ac:dyDescent="0.25">
      <c r="A4" s="28"/>
      <c r="B4" s="126"/>
      <c r="C4" s="129" t="s">
        <v>178</v>
      </c>
      <c r="D4" s="128" t="s">
        <v>179</v>
      </c>
      <c r="F4" s="183"/>
    </row>
    <row r="5" spans="1:9" x14ac:dyDescent="0.25">
      <c r="A5" s="42">
        <v>1</v>
      </c>
      <c r="B5" s="58" t="s">
        <v>786</v>
      </c>
      <c r="C5" s="184">
        <f>+SUM(C6:C9)</f>
        <v>10807697.720000001</v>
      </c>
      <c r="D5" s="184">
        <f>+SUM(D6:D9)</f>
        <v>12173648.570000002</v>
      </c>
      <c r="E5" s="147"/>
      <c r="F5" s="185"/>
      <c r="G5" s="186"/>
    </row>
    <row r="6" spans="1:9" x14ac:dyDescent="0.25">
      <c r="A6" s="42">
        <v>2</v>
      </c>
      <c r="B6" s="86" t="s">
        <v>750</v>
      </c>
      <c r="C6" s="97">
        <v>0</v>
      </c>
      <c r="D6" s="187">
        <v>0</v>
      </c>
      <c r="E6" s="81"/>
      <c r="F6" s="147"/>
      <c r="I6" s="80"/>
    </row>
    <row r="7" spans="1:9" x14ac:dyDescent="0.25">
      <c r="A7" s="42">
        <v>3</v>
      </c>
      <c r="B7" s="86" t="s">
        <v>751</v>
      </c>
      <c r="C7" s="97">
        <v>228352.5</v>
      </c>
      <c r="D7" s="187">
        <v>263843.46999999997</v>
      </c>
      <c r="E7" s="81"/>
      <c r="F7" s="147"/>
      <c r="I7" s="80"/>
    </row>
    <row r="8" spans="1:9" x14ac:dyDescent="0.25">
      <c r="A8" s="42">
        <v>4</v>
      </c>
      <c r="B8" s="86" t="s">
        <v>752</v>
      </c>
      <c r="C8" s="97">
        <v>10287485</v>
      </c>
      <c r="D8" s="187">
        <v>11598064.890000001</v>
      </c>
      <c r="E8" s="81"/>
      <c r="F8" s="147"/>
      <c r="I8" s="80"/>
    </row>
    <row r="9" spans="1:9" x14ac:dyDescent="0.25">
      <c r="A9" s="42">
        <v>5</v>
      </c>
      <c r="B9" s="86" t="s">
        <v>753</v>
      </c>
      <c r="C9" s="97">
        <v>291860.21999999997</v>
      </c>
      <c r="D9" s="187">
        <v>311740.21000000002</v>
      </c>
      <c r="E9" s="81"/>
      <c r="F9" s="147"/>
      <c r="I9" s="80"/>
    </row>
    <row r="10" spans="1:9" ht="18.75" x14ac:dyDescent="0.25">
      <c r="A10" s="42">
        <v>6</v>
      </c>
      <c r="B10" s="86" t="s">
        <v>775</v>
      </c>
      <c r="C10" s="154"/>
      <c r="D10" s="188"/>
    </row>
    <row r="11" spans="1:9" x14ac:dyDescent="0.25">
      <c r="A11" s="42">
        <v>7</v>
      </c>
      <c r="B11" s="10" t="s">
        <v>618</v>
      </c>
      <c r="C11" s="152">
        <f>SUM(C12:C17)</f>
        <v>341929.42</v>
      </c>
      <c r="D11" s="189">
        <f>SUM(D12:D17)</f>
        <v>356963.9</v>
      </c>
    </row>
    <row r="12" spans="1:9" x14ac:dyDescent="0.25">
      <c r="A12" s="42">
        <v>8</v>
      </c>
      <c r="B12" s="86" t="s">
        <v>754</v>
      </c>
      <c r="C12" s="97">
        <v>243760.5</v>
      </c>
      <c r="D12" s="187">
        <v>230098</v>
      </c>
    </row>
    <row r="13" spans="1:9" x14ac:dyDescent="0.25">
      <c r="A13" s="42">
        <v>9</v>
      </c>
      <c r="B13" s="86" t="s">
        <v>755</v>
      </c>
      <c r="C13" s="97">
        <v>47395.09</v>
      </c>
      <c r="D13" s="187">
        <v>84819.9</v>
      </c>
    </row>
    <row r="14" spans="1:9" x14ac:dyDescent="0.25">
      <c r="A14" s="42">
        <v>10</v>
      </c>
      <c r="B14" s="86" t="s">
        <v>756</v>
      </c>
      <c r="C14" s="97">
        <v>29804</v>
      </c>
      <c r="D14" s="187">
        <v>25587</v>
      </c>
    </row>
    <row r="15" spans="1:9" x14ac:dyDescent="0.25">
      <c r="A15" s="42">
        <v>11</v>
      </c>
      <c r="B15" s="86" t="s">
        <v>757</v>
      </c>
      <c r="C15" s="97">
        <v>20969.830000000002</v>
      </c>
      <c r="D15" s="187">
        <v>16261</v>
      </c>
    </row>
    <row r="16" spans="1:9" ht="31.5" x14ac:dyDescent="0.25">
      <c r="A16" s="42">
        <v>12</v>
      </c>
      <c r="B16" s="86" t="s">
        <v>758</v>
      </c>
      <c r="C16" s="97"/>
      <c r="D16" s="187"/>
    </row>
    <row r="17" spans="1:4" x14ac:dyDescent="0.25">
      <c r="A17" s="42">
        <v>13</v>
      </c>
      <c r="B17" s="86" t="s">
        <v>759</v>
      </c>
      <c r="C17" s="97"/>
      <c r="D17" s="187">
        <v>198</v>
      </c>
    </row>
    <row r="18" spans="1:4" x14ac:dyDescent="0.25">
      <c r="A18" s="42">
        <v>14</v>
      </c>
      <c r="B18" s="10" t="s">
        <v>153</v>
      </c>
      <c r="C18" s="152">
        <f>(C6+C7)*0.2</f>
        <v>45670.5</v>
      </c>
      <c r="D18" s="189">
        <f>(D6+D7)*0.2</f>
        <v>52768.693999999996</v>
      </c>
    </row>
    <row r="19" spans="1:4" ht="16.5" thickBot="1" x14ac:dyDescent="0.3">
      <c r="A19" s="26">
        <v>15</v>
      </c>
      <c r="B19" s="11" t="s">
        <v>219</v>
      </c>
      <c r="C19" s="159">
        <v>48967.9</v>
      </c>
      <c r="D19" s="190">
        <v>64729.47</v>
      </c>
    </row>
    <row r="20" spans="1:4" x14ac:dyDescent="0.25">
      <c r="B20" s="191"/>
    </row>
    <row r="21" spans="1:4" ht="18.75" x14ac:dyDescent="0.25">
      <c r="A21" s="192"/>
      <c r="B21" s="193" t="s">
        <v>634</v>
      </c>
    </row>
    <row r="22" spans="1:4" x14ac:dyDescent="0.25">
      <c r="B22" s="194" t="s">
        <v>763</v>
      </c>
    </row>
    <row r="23" spans="1:4" x14ac:dyDescent="0.25">
      <c r="B23" s="194"/>
    </row>
    <row r="24" spans="1:4" x14ac:dyDescent="0.25">
      <c r="B24" s="191"/>
    </row>
    <row r="25" spans="1:4" x14ac:dyDescent="0.25">
      <c r="B25" s="191"/>
    </row>
    <row r="26" spans="1:4" x14ac:dyDescent="0.25">
      <c r="B26" s="191"/>
    </row>
    <row r="27" spans="1:4" x14ac:dyDescent="0.25">
      <c r="B27" s="191"/>
    </row>
  </sheetData>
  <mergeCells count="2">
    <mergeCell ref="A1:D1"/>
    <mergeCell ref="A2:D2"/>
  </mergeCells>
  <pageMargins left="0.70866141732283472" right="0.2" top="0.74803149606299213" bottom="0.74803149606299213" header="0.31496062992125984" footer="0.31496062992125984"/>
  <pageSetup paperSize="9" scale="9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92"/>
  <sheetViews>
    <sheetView zoomScaleNormal="100" zoomScaleSheetLayoutView="80" workbookViewId="0">
      <pane xSplit="2" ySplit="5" topLeftCell="C96" activePane="bottomRight" state="frozen"/>
      <selection pane="topRight" activeCell="C1" sqref="C1"/>
      <selection pane="bottomLeft" activeCell="A6" sqref="A6"/>
      <selection pane="bottomRight" activeCell="E111" sqref="E111"/>
    </sheetView>
  </sheetViews>
  <sheetFormatPr defaultRowHeight="15.75" x14ac:dyDescent="0.25"/>
  <cols>
    <col min="1" max="1" width="8.42578125" style="132" customWidth="1"/>
    <col min="2" max="2" width="35.7109375" style="204" customWidth="1"/>
    <col min="3" max="3" width="18" style="8" customWidth="1"/>
    <col min="4" max="4" width="15" style="8" customWidth="1"/>
    <col min="5" max="5" width="17" style="8" customWidth="1"/>
    <col min="6" max="6" width="16" style="8" customWidth="1"/>
    <col min="7" max="7" width="17" style="8" customWidth="1"/>
    <col min="8" max="8" width="18" style="8" customWidth="1"/>
    <col min="9" max="9" width="28.42578125" style="8" customWidth="1"/>
    <col min="10" max="16384" width="9.140625" style="8"/>
  </cols>
  <sheetData>
    <row r="1" spans="1:8" ht="35.1" customHeight="1" thickBot="1" x14ac:dyDescent="0.3">
      <c r="A1" s="494" t="s">
        <v>708</v>
      </c>
      <c r="B1" s="495"/>
      <c r="C1" s="495"/>
      <c r="D1" s="495"/>
      <c r="E1" s="495"/>
      <c r="F1" s="495"/>
      <c r="G1" s="495"/>
      <c r="H1" s="496"/>
    </row>
    <row r="2" spans="1:8" ht="32.450000000000003" customHeight="1" x14ac:dyDescent="0.25">
      <c r="A2" s="467" t="s">
        <v>792</v>
      </c>
      <c r="B2" s="468"/>
      <c r="C2" s="468"/>
      <c r="D2" s="468"/>
      <c r="E2" s="468"/>
      <c r="F2" s="468"/>
      <c r="G2" s="468"/>
      <c r="H2" s="469"/>
    </row>
    <row r="3" spans="1:8" s="147" customFormat="1" ht="31.5" customHeight="1" x14ac:dyDescent="0.25">
      <c r="A3" s="488" t="s">
        <v>134</v>
      </c>
      <c r="B3" s="489" t="s">
        <v>213</v>
      </c>
      <c r="C3" s="497">
        <v>2016</v>
      </c>
      <c r="D3" s="497"/>
      <c r="E3" s="497">
        <v>2017</v>
      </c>
      <c r="F3" s="497"/>
      <c r="G3" s="491" t="s">
        <v>706</v>
      </c>
      <c r="H3" s="493"/>
    </row>
    <row r="4" spans="1:8" ht="31.5" customHeight="1" x14ac:dyDescent="0.25">
      <c r="A4" s="488"/>
      <c r="B4" s="490"/>
      <c r="C4" s="129" t="s">
        <v>214</v>
      </c>
      <c r="D4" s="129" t="s">
        <v>215</v>
      </c>
      <c r="E4" s="129" t="s">
        <v>214</v>
      </c>
      <c r="F4" s="129" t="s">
        <v>215</v>
      </c>
      <c r="G4" s="129" t="s">
        <v>214</v>
      </c>
      <c r="H4" s="130" t="s">
        <v>215</v>
      </c>
    </row>
    <row r="5" spans="1:8" x14ac:dyDescent="0.25">
      <c r="A5" s="42"/>
      <c r="B5" s="54"/>
      <c r="C5" s="4" t="s">
        <v>178</v>
      </c>
      <c r="D5" s="4" t="s">
        <v>179</v>
      </c>
      <c r="E5" s="4" t="s">
        <v>180</v>
      </c>
      <c r="F5" s="4" t="s">
        <v>186</v>
      </c>
      <c r="G5" s="4" t="s">
        <v>14</v>
      </c>
      <c r="H5" s="13" t="s">
        <v>15</v>
      </c>
    </row>
    <row r="6" spans="1:8" ht="31.5" x14ac:dyDescent="0.25">
      <c r="A6" s="42">
        <v>1</v>
      </c>
      <c r="B6" s="52" t="s">
        <v>678</v>
      </c>
      <c r="C6" s="152">
        <f>SUM(C7:C18)</f>
        <v>2121488.21</v>
      </c>
      <c r="D6" s="152">
        <f>SUM(D7:D18)</f>
        <v>352811.49000000005</v>
      </c>
      <c r="E6" s="152">
        <f>SUM(E7:E18)</f>
        <v>2974876.22</v>
      </c>
      <c r="F6" s="152">
        <f>SUM(F7:F18)</f>
        <v>388561.9599999999</v>
      </c>
      <c r="G6" s="152">
        <f>E6-C6</f>
        <v>853388.01000000024</v>
      </c>
      <c r="H6" s="151">
        <f>F6-D6</f>
        <v>35750.469999999856</v>
      </c>
    </row>
    <row r="7" spans="1:8" ht="17.25" customHeight="1" x14ac:dyDescent="0.25">
      <c r="A7" s="42">
        <f>A6+1</f>
        <v>2</v>
      </c>
      <c r="B7" s="51" t="s">
        <v>596</v>
      </c>
      <c r="C7" s="97">
        <v>154692.44</v>
      </c>
      <c r="D7" s="97">
        <v>3655.73</v>
      </c>
      <c r="E7" s="97">
        <v>196752.43</v>
      </c>
      <c r="F7" s="97">
        <v>4704.66</v>
      </c>
      <c r="G7" s="154">
        <f>E7-C7</f>
        <v>42059.989999999991</v>
      </c>
      <c r="H7" s="196">
        <f>F7-D7</f>
        <v>1048.9299999999998</v>
      </c>
    </row>
    <row r="8" spans="1:8" ht="30.6" customHeight="1" x14ac:dyDescent="0.25">
      <c r="A8" s="42">
        <f t="shared" ref="A8:A71" si="0">A7+1</f>
        <v>3</v>
      </c>
      <c r="B8" s="53" t="s">
        <v>665</v>
      </c>
      <c r="C8" s="97">
        <v>550784.91</v>
      </c>
      <c r="D8" s="97">
        <v>97.27</v>
      </c>
      <c r="E8" s="97">
        <v>622388.28</v>
      </c>
      <c r="F8" s="97">
        <v>1353.34</v>
      </c>
      <c r="G8" s="154">
        <f t="shared" ref="G8:H71" si="1">E8-C8</f>
        <v>71603.37</v>
      </c>
      <c r="H8" s="196">
        <f t="shared" si="1"/>
        <v>1256.07</v>
      </c>
    </row>
    <row r="9" spans="1:8" ht="31.5" x14ac:dyDescent="0.25">
      <c r="A9" s="42">
        <f t="shared" si="0"/>
        <v>4</v>
      </c>
      <c r="B9" s="51" t="s">
        <v>597</v>
      </c>
      <c r="C9" s="97">
        <v>154894.25</v>
      </c>
      <c r="D9" s="97">
        <v>4000.02</v>
      </c>
      <c r="E9" s="97">
        <v>203533.14</v>
      </c>
      <c r="F9" s="97">
        <v>4629.79</v>
      </c>
      <c r="G9" s="154">
        <f t="shared" si="1"/>
        <v>48638.890000000014</v>
      </c>
      <c r="H9" s="196">
        <f t="shared" si="1"/>
        <v>629.77</v>
      </c>
    </row>
    <row r="10" spans="1:8" x14ac:dyDescent="0.25">
      <c r="A10" s="42">
        <f t="shared" si="0"/>
        <v>5</v>
      </c>
      <c r="B10" s="51" t="s">
        <v>598</v>
      </c>
      <c r="C10" s="97">
        <v>10686.6</v>
      </c>
      <c r="D10" s="97">
        <v>226.29</v>
      </c>
      <c r="E10" s="97">
        <v>12676.019999999999</v>
      </c>
      <c r="F10" s="97">
        <v>396.49</v>
      </c>
      <c r="G10" s="154">
        <f t="shared" si="1"/>
        <v>1989.4199999999983</v>
      </c>
      <c r="H10" s="196">
        <f t="shared" si="1"/>
        <v>170.20000000000002</v>
      </c>
    </row>
    <row r="11" spans="1:8" ht="47.25" x14ac:dyDescent="0.25">
      <c r="A11" s="42">
        <f t="shared" si="0"/>
        <v>6</v>
      </c>
      <c r="B11" s="51" t="s">
        <v>599</v>
      </c>
      <c r="C11" s="97">
        <v>25454.69</v>
      </c>
      <c r="D11" s="97">
        <v>5286.18</v>
      </c>
      <c r="E11" s="97">
        <v>26674.39</v>
      </c>
      <c r="F11" s="97">
        <v>5174.1900000000005</v>
      </c>
      <c r="G11" s="154">
        <f t="shared" si="1"/>
        <v>1219.7000000000007</v>
      </c>
      <c r="H11" s="196">
        <f t="shared" si="1"/>
        <v>-111.98999999999978</v>
      </c>
    </row>
    <row r="12" spans="1:8" ht="31.5" x14ac:dyDescent="0.25">
      <c r="A12" s="42">
        <f t="shared" si="0"/>
        <v>7</v>
      </c>
      <c r="B12" s="51" t="s">
        <v>600</v>
      </c>
      <c r="C12" s="97">
        <v>50879.839999999997</v>
      </c>
      <c r="D12" s="97">
        <v>19485.18</v>
      </c>
      <c r="E12" s="97">
        <v>71961.720000000016</v>
      </c>
      <c r="F12" s="97">
        <v>21752.87</v>
      </c>
      <c r="G12" s="154">
        <f t="shared" si="1"/>
        <v>21081.880000000019</v>
      </c>
      <c r="H12" s="196">
        <f t="shared" si="1"/>
        <v>2267.6899999999987</v>
      </c>
    </row>
    <row r="13" spans="1:8" ht="47.25" x14ac:dyDescent="0.25">
      <c r="A13" s="42">
        <f t="shared" si="0"/>
        <v>8</v>
      </c>
      <c r="B13" s="51" t="s">
        <v>63</v>
      </c>
      <c r="C13" s="97">
        <v>105509.24</v>
      </c>
      <c r="D13" s="97">
        <v>3536.39</v>
      </c>
      <c r="E13" s="97">
        <v>115430.13</v>
      </c>
      <c r="F13" s="97">
        <v>4406.25</v>
      </c>
      <c r="G13" s="154">
        <f t="shared" si="1"/>
        <v>9920.89</v>
      </c>
      <c r="H13" s="196">
        <f t="shared" si="1"/>
        <v>869.86000000000013</v>
      </c>
    </row>
    <row r="14" spans="1:8" x14ac:dyDescent="0.25">
      <c r="A14" s="42">
        <f t="shared" si="0"/>
        <v>9</v>
      </c>
      <c r="B14" s="51" t="s">
        <v>64</v>
      </c>
      <c r="C14" s="97">
        <v>154328.35</v>
      </c>
      <c r="D14" s="97">
        <v>264781.82</v>
      </c>
      <c r="E14" s="97">
        <v>151105</v>
      </c>
      <c r="F14" s="97">
        <v>311053.21999999997</v>
      </c>
      <c r="G14" s="154">
        <f t="shared" si="1"/>
        <v>-3223.3500000000058</v>
      </c>
      <c r="H14" s="196">
        <f t="shared" si="1"/>
        <v>46271.399999999965</v>
      </c>
    </row>
    <row r="15" spans="1:8" ht="47.25" x14ac:dyDescent="0.25">
      <c r="A15" s="42">
        <f t="shared" si="0"/>
        <v>10</v>
      </c>
      <c r="B15" s="55" t="s">
        <v>65</v>
      </c>
      <c r="C15" s="97">
        <v>307442.93</v>
      </c>
      <c r="D15" s="97">
        <v>7157.51</v>
      </c>
      <c r="E15" s="97">
        <v>496272.42</v>
      </c>
      <c r="F15" s="97">
        <v>987.5</v>
      </c>
      <c r="G15" s="154">
        <f t="shared" si="1"/>
        <v>188829.49</v>
      </c>
      <c r="H15" s="196">
        <f t="shared" si="1"/>
        <v>-6170.01</v>
      </c>
    </row>
    <row r="16" spans="1:8" ht="16.149999999999999" customHeight="1" x14ac:dyDescent="0.25">
      <c r="A16" s="42">
        <f t="shared" si="0"/>
        <v>11</v>
      </c>
      <c r="B16" s="51" t="s">
        <v>66</v>
      </c>
      <c r="C16" s="97">
        <v>268334.86</v>
      </c>
      <c r="D16" s="97">
        <v>1332.27</v>
      </c>
      <c r="E16" s="97">
        <v>710340.91</v>
      </c>
      <c r="F16" s="97">
        <v>4994.99</v>
      </c>
      <c r="G16" s="154">
        <f t="shared" si="1"/>
        <v>442006.05000000005</v>
      </c>
      <c r="H16" s="196">
        <f t="shared" si="1"/>
        <v>3662.72</v>
      </c>
    </row>
    <row r="17" spans="1:8" ht="47.25" x14ac:dyDescent="0.25">
      <c r="A17" s="42">
        <f t="shared" si="0"/>
        <v>12</v>
      </c>
      <c r="B17" s="55" t="s">
        <v>699</v>
      </c>
      <c r="C17" s="97">
        <v>263894.65999999997</v>
      </c>
      <c r="D17" s="97">
        <v>29825.38</v>
      </c>
      <c r="E17" s="97">
        <v>343897.18000000011</v>
      </c>
      <c r="F17" s="97">
        <v>25450.800000000003</v>
      </c>
      <c r="G17" s="154">
        <f t="shared" si="1"/>
        <v>80002.520000000135</v>
      </c>
      <c r="H17" s="196">
        <f t="shared" si="1"/>
        <v>-4374.5799999999981</v>
      </c>
    </row>
    <row r="18" spans="1:8" ht="31.5" x14ac:dyDescent="0.25">
      <c r="A18" s="42">
        <f t="shared" si="0"/>
        <v>13</v>
      </c>
      <c r="B18" s="51" t="s">
        <v>660</v>
      </c>
      <c r="C18" s="97">
        <v>74585.440000000002</v>
      </c>
      <c r="D18" s="97">
        <v>13427.45</v>
      </c>
      <c r="E18" s="97">
        <v>23844.6</v>
      </c>
      <c r="F18" s="97">
        <v>3657.8599999999997</v>
      </c>
      <c r="G18" s="154">
        <f t="shared" si="1"/>
        <v>-50740.840000000004</v>
      </c>
      <c r="H18" s="196">
        <f t="shared" si="1"/>
        <v>-9769.59</v>
      </c>
    </row>
    <row r="19" spans="1:8" ht="31.5" x14ac:dyDescent="0.25">
      <c r="A19" s="42">
        <f t="shared" si="0"/>
        <v>14</v>
      </c>
      <c r="B19" s="52" t="s">
        <v>679</v>
      </c>
      <c r="C19" s="152">
        <f>SUM(C20:C25)</f>
        <v>1721309.7000000002</v>
      </c>
      <c r="D19" s="152">
        <f>SUM(D20:D25)</f>
        <v>62831.29</v>
      </c>
      <c r="E19" s="152">
        <f>SUM(E20:E25)</f>
        <v>1671271.1199999996</v>
      </c>
      <c r="F19" s="152">
        <f>SUM(F20:F25)</f>
        <v>57085.380000000005</v>
      </c>
      <c r="G19" s="152">
        <f t="shared" si="1"/>
        <v>-50038.58000000054</v>
      </c>
      <c r="H19" s="151">
        <f t="shared" si="1"/>
        <v>-5745.9099999999962</v>
      </c>
    </row>
    <row r="20" spans="1:8" ht="31.5" x14ac:dyDescent="0.25">
      <c r="A20" s="42">
        <f t="shared" si="0"/>
        <v>15</v>
      </c>
      <c r="B20" s="51" t="s">
        <v>601</v>
      </c>
      <c r="C20" s="97">
        <v>554916.53</v>
      </c>
      <c r="D20" s="97">
        <v>20924.740000000002</v>
      </c>
      <c r="E20" s="97">
        <v>528227.57999999996</v>
      </c>
      <c r="F20" s="97">
        <v>19084.260000000002</v>
      </c>
      <c r="G20" s="154">
        <f t="shared" si="1"/>
        <v>-26688.95000000007</v>
      </c>
      <c r="H20" s="196">
        <f t="shared" si="1"/>
        <v>-1840.4799999999996</v>
      </c>
    </row>
    <row r="21" spans="1:8" ht="31.5" x14ac:dyDescent="0.25">
      <c r="A21" s="42">
        <f t="shared" si="0"/>
        <v>16</v>
      </c>
      <c r="B21" s="51" t="s">
        <v>602</v>
      </c>
      <c r="C21" s="97">
        <v>888027.79</v>
      </c>
      <c r="D21" s="97">
        <v>16302.31</v>
      </c>
      <c r="E21" s="97">
        <v>901301.95</v>
      </c>
      <c r="F21" s="97">
        <v>15415.27</v>
      </c>
      <c r="G21" s="154">
        <f t="shared" si="1"/>
        <v>13274.159999999916</v>
      </c>
      <c r="H21" s="196">
        <f t="shared" si="1"/>
        <v>-887.03999999999905</v>
      </c>
    </row>
    <row r="22" spans="1:8" ht="31.5" x14ac:dyDescent="0.25">
      <c r="A22" s="42">
        <f t="shared" si="0"/>
        <v>17</v>
      </c>
      <c r="B22" s="51" t="s">
        <v>603</v>
      </c>
      <c r="C22" s="97">
        <v>166973.97</v>
      </c>
      <c r="D22" s="97">
        <v>19823.060000000001</v>
      </c>
      <c r="E22" s="97">
        <v>155143.13999999998</v>
      </c>
      <c r="F22" s="97">
        <v>16664.079999999998</v>
      </c>
      <c r="G22" s="154">
        <f t="shared" si="1"/>
        <v>-11830.830000000016</v>
      </c>
      <c r="H22" s="196">
        <f t="shared" si="1"/>
        <v>-3158.9800000000032</v>
      </c>
    </row>
    <row r="23" spans="1:8" x14ac:dyDescent="0.25">
      <c r="A23" s="42">
        <f t="shared" si="0"/>
        <v>18</v>
      </c>
      <c r="B23" s="51" t="s">
        <v>604</v>
      </c>
      <c r="C23" s="97">
        <v>106459.81</v>
      </c>
      <c r="D23" s="97">
        <v>5781.18</v>
      </c>
      <c r="E23" s="97">
        <v>85366.55</v>
      </c>
      <c r="F23" s="97">
        <v>5921.77</v>
      </c>
      <c r="G23" s="154">
        <f t="shared" si="1"/>
        <v>-21093.259999999995</v>
      </c>
      <c r="H23" s="196">
        <f t="shared" si="1"/>
        <v>140.59000000000015</v>
      </c>
    </row>
    <row r="24" spans="1:8" x14ac:dyDescent="0.25">
      <c r="A24" s="42">
        <f t="shared" si="0"/>
        <v>19</v>
      </c>
      <c r="B24" s="51" t="s">
        <v>605</v>
      </c>
      <c r="C24" s="97">
        <v>1275.81</v>
      </c>
      <c r="D24" s="97"/>
      <c r="E24" s="97">
        <v>1231.9000000000001</v>
      </c>
      <c r="F24" s="97" t="s">
        <v>823</v>
      </c>
      <c r="G24" s="154">
        <f t="shared" si="1"/>
        <v>-43.909999999999854</v>
      </c>
      <c r="H24" s="196">
        <f t="shared" si="1"/>
        <v>0</v>
      </c>
    </row>
    <row r="25" spans="1:8" x14ac:dyDescent="0.25">
      <c r="A25" s="42">
        <f t="shared" si="0"/>
        <v>20</v>
      </c>
      <c r="B25" s="51" t="s">
        <v>661</v>
      </c>
      <c r="C25" s="97">
        <v>3655.79</v>
      </c>
      <c r="D25" s="97"/>
      <c r="E25" s="97" t="s">
        <v>823</v>
      </c>
      <c r="F25" s="97" t="s">
        <v>823</v>
      </c>
      <c r="G25" s="154">
        <f t="shared" si="1"/>
        <v>-3655.79</v>
      </c>
      <c r="H25" s="196">
        <f t="shared" si="1"/>
        <v>0</v>
      </c>
    </row>
    <row r="26" spans="1:8" ht="47.25" x14ac:dyDescent="0.25">
      <c r="A26" s="42">
        <f t="shared" si="0"/>
        <v>21</v>
      </c>
      <c r="B26" s="52" t="s">
        <v>210</v>
      </c>
      <c r="C26" s="96" t="s">
        <v>200</v>
      </c>
      <c r="D26" s="96" t="s">
        <v>200</v>
      </c>
      <c r="E26" s="96" t="s">
        <v>200</v>
      </c>
      <c r="F26" s="96" t="s">
        <v>200</v>
      </c>
      <c r="G26" s="97" t="s">
        <v>99</v>
      </c>
      <c r="H26" s="98" t="s">
        <v>99</v>
      </c>
    </row>
    <row r="27" spans="1:8" ht="31.5" x14ac:dyDescent="0.25">
      <c r="A27" s="42">
        <f t="shared" si="0"/>
        <v>22</v>
      </c>
      <c r="B27" s="52" t="s">
        <v>680</v>
      </c>
      <c r="C27" s="152">
        <f>SUM(C28:C31)</f>
        <v>329.14</v>
      </c>
      <c r="D27" s="152">
        <f>SUM(D28:D31)</f>
        <v>49349.33</v>
      </c>
      <c r="E27" s="152">
        <f>SUM(E28:E31)</f>
        <v>0</v>
      </c>
      <c r="F27" s="152">
        <f>SUM(F28:F31)</f>
        <v>60805.279999999999</v>
      </c>
      <c r="G27" s="152">
        <f t="shared" si="1"/>
        <v>-329.14</v>
      </c>
      <c r="H27" s="151">
        <f t="shared" si="1"/>
        <v>11455.949999999997</v>
      </c>
    </row>
    <row r="28" spans="1:8" ht="9.75" customHeight="1" x14ac:dyDescent="0.25">
      <c r="A28" s="42">
        <f t="shared" si="0"/>
        <v>23</v>
      </c>
      <c r="B28" s="51" t="s">
        <v>172</v>
      </c>
      <c r="C28" s="97"/>
      <c r="D28" s="97"/>
      <c r="E28" s="97"/>
      <c r="F28" s="97"/>
      <c r="G28" s="154">
        <f t="shared" si="1"/>
        <v>0</v>
      </c>
      <c r="H28" s="196">
        <f t="shared" si="1"/>
        <v>0</v>
      </c>
    </row>
    <row r="29" spans="1:8" ht="6" customHeight="1" x14ac:dyDescent="0.25">
      <c r="A29" s="42">
        <f t="shared" si="0"/>
        <v>24</v>
      </c>
      <c r="B29" s="53" t="s">
        <v>191</v>
      </c>
      <c r="C29" s="97"/>
      <c r="D29" s="97"/>
      <c r="E29" s="97"/>
      <c r="F29" s="97"/>
      <c r="G29" s="154">
        <f t="shared" si="1"/>
        <v>0</v>
      </c>
      <c r="H29" s="196">
        <f t="shared" si="1"/>
        <v>0</v>
      </c>
    </row>
    <row r="30" spans="1:8" ht="9.75" customHeight="1" x14ac:dyDescent="0.25">
      <c r="A30" s="42">
        <f t="shared" si="0"/>
        <v>25</v>
      </c>
      <c r="B30" s="53" t="s">
        <v>27</v>
      </c>
      <c r="C30" s="97"/>
      <c r="D30" s="97"/>
      <c r="E30" s="97"/>
      <c r="F30" s="97"/>
      <c r="G30" s="154">
        <f t="shared" si="1"/>
        <v>0</v>
      </c>
      <c r="H30" s="196">
        <f t="shared" si="1"/>
        <v>0</v>
      </c>
    </row>
    <row r="31" spans="1:8" x14ac:dyDescent="0.25">
      <c r="A31" s="42">
        <f t="shared" si="0"/>
        <v>26</v>
      </c>
      <c r="B31" s="51" t="s">
        <v>28</v>
      </c>
      <c r="C31" s="97">
        <v>329.14</v>
      </c>
      <c r="D31" s="97">
        <v>49349.33</v>
      </c>
      <c r="E31" s="97"/>
      <c r="F31" s="97">
        <v>60805.279999999999</v>
      </c>
      <c r="G31" s="154"/>
      <c r="H31" s="196">
        <f t="shared" si="1"/>
        <v>11455.949999999997</v>
      </c>
    </row>
    <row r="32" spans="1:8" ht="25.5" customHeight="1" x14ac:dyDescent="0.25">
      <c r="A32" s="42">
        <f t="shared" si="0"/>
        <v>27</v>
      </c>
      <c r="B32" s="52" t="s">
        <v>681</v>
      </c>
      <c r="C32" s="152">
        <f>SUM(C33:C39)</f>
        <v>891621.1</v>
      </c>
      <c r="D32" s="152">
        <f>SUM(D33:D39)</f>
        <v>13489.87</v>
      </c>
      <c r="E32" s="152">
        <f>SUM(E33:E39)</f>
        <v>1265862.7899999998</v>
      </c>
      <c r="F32" s="152">
        <f>SUM(F33:F39)</f>
        <v>15347.409999999998</v>
      </c>
      <c r="G32" s="152">
        <f t="shared" si="1"/>
        <v>374241.68999999983</v>
      </c>
      <c r="H32" s="151">
        <f t="shared" si="1"/>
        <v>1857.5399999999972</v>
      </c>
    </row>
    <row r="33" spans="1:8" ht="31.5" x14ac:dyDescent="0.25">
      <c r="A33" s="42">
        <f t="shared" si="0"/>
        <v>28</v>
      </c>
      <c r="B33" s="51" t="s">
        <v>67</v>
      </c>
      <c r="C33" s="97">
        <v>568105.84</v>
      </c>
      <c r="D33" s="97">
        <v>2118.52</v>
      </c>
      <c r="E33" s="97">
        <v>970346.17</v>
      </c>
      <c r="F33" s="97" t="s">
        <v>823</v>
      </c>
      <c r="G33" s="154">
        <f t="shared" si="1"/>
        <v>402240.33000000007</v>
      </c>
      <c r="H33" s="196">
        <f t="shared" si="1"/>
        <v>-2118.52</v>
      </c>
    </row>
    <row r="34" spans="1:8" ht="47.25" x14ac:dyDescent="0.25">
      <c r="A34" s="42">
        <f t="shared" si="0"/>
        <v>29</v>
      </c>
      <c r="B34" s="51" t="s">
        <v>68</v>
      </c>
      <c r="C34" s="97">
        <v>219954.73</v>
      </c>
      <c r="D34" s="97">
        <v>7012.61</v>
      </c>
      <c r="E34" s="97">
        <v>152110.75999999998</v>
      </c>
      <c r="F34" s="97">
        <v>6331.98</v>
      </c>
      <c r="G34" s="154">
        <f t="shared" si="1"/>
        <v>-67843.97000000003</v>
      </c>
      <c r="H34" s="196">
        <f t="shared" si="1"/>
        <v>-680.63000000000011</v>
      </c>
    </row>
    <row r="35" spans="1:8" ht="31.5" x14ac:dyDescent="0.25">
      <c r="A35" s="42">
        <f t="shared" si="0"/>
        <v>30</v>
      </c>
      <c r="B35" s="51" t="s">
        <v>69</v>
      </c>
      <c r="C35" s="97">
        <v>19366.93</v>
      </c>
      <c r="D35" s="97">
        <v>1621.71</v>
      </c>
      <c r="E35" s="97">
        <v>16027.62</v>
      </c>
      <c r="F35" s="97">
        <v>1668.11</v>
      </c>
      <c r="G35" s="154">
        <f t="shared" si="1"/>
        <v>-3339.3099999999995</v>
      </c>
      <c r="H35" s="196">
        <f t="shared" si="1"/>
        <v>46.399999999999864</v>
      </c>
    </row>
    <row r="36" spans="1:8" ht="36" customHeight="1" x14ac:dyDescent="0.25">
      <c r="A36" s="42">
        <f t="shared" si="0"/>
        <v>31</v>
      </c>
      <c r="B36" s="51" t="s">
        <v>70</v>
      </c>
      <c r="C36" s="97">
        <v>45365.34</v>
      </c>
      <c r="D36" s="97">
        <v>2336.83</v>
      </c>
      <c r="E36" s="97">
        <v>45154.13</v>
      </c>
      <c r="F36" s="97">
        <v>5072.2199999999993</v>
      </c>
      <c r="G36" s="154">
        <f t="shared" si="1"/>
        <v>-211.20999999999913</v>
      </c>
      <c r="H36" s="196">
        <f t="shared" si="1"/>
        <v>2735.3899999999994</v>
      </c>
    </row>
    <row r="37" spans="1:8" ht="43.5" customHeight="1" x14ac:dyDescent="0.25">
      <c r="A37" s="42">
        <f t="shared" si="0"/>
        <v>32</v>
      </c>
      <c r="B37" s="55" t="s">
        <v>72</v>
      </c>
      <c r="C37" s="97">
        <v>3433.67</v>
      </c>
      <c r="D37" s="97">
        <v>0</v>
      </c>
      <c r="E37" s="97">
        <v>17019.75</v>
      </c>
      <c r="F37" s="97">
        <v>1266.0999999999999</v>
      </c>
      <c r="G37" s="154">
        <f t="shared" si="1"/>
        <v>13586.08</v>
      </c>
      <c r="H37" s="196">
        <f t="shared" si="1"/>
        <v>1266.0999999999999</v>
      </c>
    </row>
    <row r="38" spans="1:8" ht="30.75" customHeight="1" x14ac:dyDescent="0.25">
      <c r="A38" s="42">
        <f t="shared" si="0"/>
        <v>33</v>
      </c>
      <c r="B38" s="62" t="s">
        <v>616</v>
      </c>
      <c r="C38" s="97">
        <v>20177.099999999999</v>
      </c>
      <c r="D38" s="97">
        <v>378.58</v>
      </c>
      <c r="E38" s="97">
        <v>38941.15</v>
      </c>
      <c r="F38" s="97">
        <v>946</v>
      </c>
      <c r="G38" s="154">
        <f t="shared" si="1"/>
        <v>18764.050000000003</v>
      </c>
      <c r="H38" s="196">
        <f t="shared" si="1"/>
        <v>567.42000000000007</v>
      </c>
    </row>
    <row r="39" spans="1:8" ht="31.5" x14ac:dyDescent="0.25">
      <c r="A39" s="42">
        <f t="shared" si="0"/>
        <v>34</v>
      </c>
      <c r="B39" s="51" t="s">
        <v>73</v>
      </c>
      <c r="C39" s="97">
        <v>15217.49</v>
      </c>
      <c r="D39" s="97">
        <v>21.62</v>
      </c>
      <c r="E39" s="97">
        <v>26263.21</v>
      </c>
      <c r="F39" s="97">
        <v>63</v>
      </c>
      <c r="G39" s="154">
        <f t="shared" si="1"/>
        <v>11045.72</v>
      </c>
      <c r="H39" s="196">
        <f t="shared" si="1"/>
        <v>41.379999999999995</v>
      </c>
    </row>
    <row r="40" spans="1:8" ht="31.5" x14ac:dyDescent="0.25">
      <c r="A40" s="42">
        <f t="shared" si="0"/>
        <v>35</v>
      </c>
      <c r="B40" s="52" t="s">
        <v>682</v>
      </c>
      <c r="C40" s="152">
        <f>C41+C42</f>
        <v>1098697.68</v>
      </c>
      <c r="D40" s="152">
        <f>D41+D42</f>
        <v>7819.34</v>
      </c>
      <c r="E40" s="152">
        <f>E41+E42</f>
        <v>1119298.8400000001</v>
      </c>
      <c r="F40" s="152">
        <f>F41+F42</f>
        <v>11017.960000000001</v>
      </c>
      <c r="G40" s="152">
        <f t="shared" si="1"/>
        <v>20601.160000000149</v>
      </c>
      <c r="H40" s="151">
        <f t="shared" si="1"/>
        <v>3198.6200000000008</v>
      </c>
    </row>
    <row r="41" spans="1:8" ht="31.5" x14ac:dyDescent="0.25">
      <c r="A41" s="42">
        <f t="shared" si="0"/>
        <v>36</v>
      </c>
      <c r="B41" s="51" t="s">
        <v>606</v>
      </c>
      <c r="C41" s="97">
        <v>120236.03</v>
      </c>
      <c r="D41" s="97">
        <v>7819.34</v>
      </c>
      <c r="E41" s="97">
        <v>123369.45000000001</v>
      </c>
      <c r="F41" s="97">
        <v>10467.69</v>
      </c>
      <c r="G41" s="154">
        <f t="shared" si="1"/>
        <v>3133.4200000000128</v>
      </c>
      <c r="H41" s="196">
        <f t="shared" si="1"/>
        <v>2648.3500000000004</v>
      </c>
    </row>
    <row r="42" spans="1:8" ht="31.5" x14ac:dyDescent="0.25">
      <c r="A42" s="42">
        <f t="shared" si="0"/>
        <v>37</v>
      </c>
      <c r="B42" s="51" t="s">
        <v>700</v>
      </c>
      <c r="C42" s="97">
        <v>978461.65</v>
      </c>
      <c r="D42" s="97">
        <v>0</v>
      </c>
      <c r="E42" s="97">
        <v>995929.39</v>
      </c>
      <c r="F42" s="97">
        <v>550.27</v>
      </c>
      <c r="G42" s="154">
        <f t="shared" si="1"/>
        <v>17467.739999999991</v>
      </c>
      <c r="H42" s="196">
        <f t="shared" si="1"/>
        <v>550.27</v>
      </c>
    </row>
    <row r="43" spans="1:8" ht="31.5" x14ac:dyDescent="0.25">
      <c r="A43" s="42">
        <f t="shared" si="0"/>
        <v>38</v>
      </c>
      <c r="B43" s="52" t="s">
        <v>211</v>
      </c>
      <c r="C43" s="152">
        <v>55083.62</v>
      </c>
      <c r="D43" s="152">
        <v>119.29</v>
      </c>
      <c r="E43" s="152">
        <v>41354.050000000003</v>
      </c>
      <c r="F43" s="152">
        <v>1236.99</v>
      </c>
      <c r="G43" s="154">
        <f t="shared" si="1"/>
        <v>-13729.57</v>
      </c>
      <c r="H43" s="196">
        <f t="shared" si="1"/>
        <v>1117.7</v>
      </c>
    </row>
    <row r="44" spans="1:8" ht="31.5" x14ac:dyDescent="0.25">
      <c r="A44" s="42">
        <f t="shared" si="0"/>
        <v>39</v>
      </c>
      <c r="B44" s="52" t="s">
        <v>776</v>
      </c>
      <c r="C44" s="152">
        <f>SUM(C45:C59)</f>
        <v>5303048.1899999995</v>
      </c>
      <c r="D44" s="152">
        <f>SUM(D45:D59)</f>
        <v>198199.84</v>
      </c>
      <c r="E44" s="152">
        <f>SUM(E45:E59)</f>
        <v>5019460.8300000019</v>
      </c>
      <c r="F44" s="152">
        <f>SUM(F45:F59)</f>
        <v>188890.95</v>
      </c>
      <c r="G44" s="152">
        <f t="shared" si="1"/>
        <v>-283587.35999999754</v>
      </c>
      <c r="H44" s="151">
        <f t="shared" si="1"/>
        <v>-9308.8899999999849</v>
      </c>
    </row>
    <row r="45" spans="1:8" ht="31.5" x14ac:dyDescent="0.25">
      <c r="A45" s="42">
        <f t="shared" si="0"/>
        <v>40</v>
      </c>
      <c r="B45" s="51" t="s">
        <v>75</v>
      </c>
      <c r="C45" s="97">
        <v>73483.199999999997</v>
      </c>
      <c r="D45" s="97">
        <v>18160</v>
      </c>
      <c r="E45" s="97">
        <v>-6008.7099999999991</v>
      </c>
      <c r="F45" s="97">
        <v>26387</v>
      </c>
      <c r="G45" s="154">
        <f t="shared" si="1"/>
        <v>-79491.91</v>
      </c>
      <c r="H45" s="196">
        <f t="shared" si="1"/>
        <v>8227</v>
      </c>
    </row>
    <row r="46" spans="1:8" x14ac:dyDescent="0.25">
      <c r="A46" s="42">
        <f t="shared" si="0"/>
        <v>41</v>
      </c>
      <c r="B46" s="51" t="s">
        <v>74</v>
      </c>
      <c r="C46" s="97">
        <v>30373.79</v>
      </c>
      <c r="D46" s="97">
        <v>1142.4000000000001</v>
      </c>
      <c r="E46" s="97">
        <v>8183.02</v>
      </c>
      <c r="F46" s="97">
        <v>1202.5</v>
      </c>
      <c r="G46" s="154">
        <f t="shared" si="1"/>
        <v>-22190.77</v>
      </c>
      <c r="H46" s="196">
        <f t="shared" si="1"/>
        <v>60.099999999999909</v>
      </c>
    </row>
    <row r="47" spans="1:8" ht="31.5" x14ac:dyDescent="0.25">
      <c r="A47" s="42">
        <f t="shared" si="0"/>
        <v>42</v>
      </c>
      <c r="B47" s="51" t="s">
        <v>76</v>
      </c>
      <c r="C47" s="97">
        <v>131494.17000000001</v>
      </c>
      <c r="D47" s="97">
        <v>135</v>
      </c>
      <c r="E47" s="97">
        <v>143997.09000000003</v>
      </c>
      <c r="F47" s="97">
        <v>378.93</v>
      </c>
      <c r="G47" s="154">
        <f t="shared" si="1"/>
        <v>12502.920000000013</v>
      </c>
      <c r="H47" s="196">
        <f t="shared" si="1"/>
        <v>243.93</v>
      </c>
    </row>
    <row r="48" spans="1:8" ht="31.5" x14ac:dyDescent="0.25">
      <c r="A48" s="42">
        <f t="shared" si="0"/>
        <v>43</v>
      </c>
      <c r="B48" s="51" t="s">
        <v>77</v>
      </c>
      <c r="C48" s="97">
        <v>17254.900000000001</v>
      </c>
      <c r="D48" s="97">
        <v>99975.72</v>
      </c>
      <c r="E48" s="97">
        <v>12602.94</v>
      </c>
      <c r="F48" s="97">
        <v>127158.17</v>
      </c>
      <c r="G48" s="154">
        <f t="shared" si="1"/>
        <v>-4651.9600000000009</v>
      </c>
      <c r="H48" s="196">
        <f t="shared" si="1"/>
        <v>27182.449999999997</v>
      </c>
    </row>
    <row r="49" spans="1:9" ht="31.5" x14ac:dyDescent="0.25">
      <c r="A49" s="42">
        <f t="shared" si="0"/>
        <v>44</v>
      </c>
      <c r="B49" s="51" t="s">
        <v>607</v>
      </c>
      <c r="C49" s="97">
        <v>52969.4</v>
      </c>
      <c r="D49" s="97">
        <v>6064.22</v>
      </c>
      <c r="E49" s="97">
        <v>51235.710000000006</v>
      </c>
      <c r="F49" s="97">
        <v>5641.2900000000009</v>
      </c>
      <c r="G49" s="154">
        <f t="shared" si="1"/>
        <v>-1733.6899999999951</v>
      </c>
      <c r="H49" s="196">
        <f t="shared" si="1"/>
        <v>-422.92999999999938</v>
      </c>
    </row>
    <row r="50" spans="1:9" ht="31.5" x14ac:dyDescent="0.25">
      <c r="A50" s="42">
        <f t="shared" si="0"/>
        <v>45</v>
      </c>
      <c r="B50" s="51" t="s">
        <v>78</v>
      </c>
      <c r="C50" s="97">
        <v>1369.25</v>
      </c>
      <c r="D50" s="97">
        <v>1463.42</v>
      </c>
      <c r="E50" s="97">
        <v>11266.21</v>
      </c>
      <c r="F50" s="97">
        <v>2366.64</v>
      </c>
      <c r="G50" s="154">
        <f t="shared" si="1"/>
        <v>9896.9599999999991</v>
      </c>
      <c r="H50" s="196">
        <f t="shared" si="1"/>
        <v>903.2199999999998</v>
      </c>
    </row>
    <row r="51" spans="1:9" x14ac:dyDescent="0.25">
      <c r="A51" s="42">
        <f t="shared" si="0"/>
        <v>46</v>
      </c>
      <c r="B51" s="51" t="s">
        <v>608</v>
      </c>
      <c r="C51" s="97">
        <v>49166.47</v>
      </c>
      <c r="D51" s="97">
        <v>2093</v>
      </c>
      <c r="E51" s="97">
        <v>47717.290000000008</v>
      </c>
      <c r="F51" s="97">
        <v>2671.8999999999996</v>
      </c>
      <c r="G51" s="154">
        <f t="shared" si="1"/>
        <v>-1449.179999999993</v>
      </c>
      <c r="H51" s="196">
        <f t="shared" si="1"/>
        <v>578.89999999999964</v>
      </c>
    </row>
    <row r="52" spans="1:9" ht="31.5" x14ac:dyDescent="0.25">
      <c r="A52" s="42">
        <f t="shared" si="0"/>
        <v>47</v>
      </c>
      <c r="B52" s="51" t="s">
        <v>609</v>
      </c>
      <c r="C52" s="97">
        <v>8624.33</v>
      </c>
      <c r="D52" s="97">
        <v>54.1</v>
      </c>
      <c r="E52" s="97">
        <v>40225.57</v>
      </c>
      <c r="F52" s="97">
        <v>615.24</v>
      </c>
      <c r="G52" s="154">
        <f t="shared" si="1"/>
        <v>31601.239999999998</v>
      </c>
      <c r="H52" s="196">
        <f t="shared" si="1"/>
        <v>561.14</v>
      </c>
    </row>
    <row r="53" spans="1:9" x14ac:dyDescent="0.25">
      <c r="A53" s="42">
        <f t="shared" si="0"/>
        <v>48</v>
      </c>
      <c r="B53" s="51" t="s">
        <v>79</v>
      </c>
      <c r="C53" s="97">
        <v>20860.43</v>
      </c>
      <c r="D53" s="97">
        <v>103</v>
      </c>
      <c r="E53" s="97">
        <v>43536.909999999989</v>
      </c>
      <c r="F53" s="97">
        <v>834.45</v>
      </c>
      <c r="G53" s="154">
        <f t="shared" si="1"/>
        <v>22676.479999999989</v>
      </c>
      <c r="H53" s="196">
        <f t="shared" si="1"/>
        <v>731.45</v>
      </c>
    </row>
    <row r="54" spans="1:9" ht="31.5" x14ac:dyDescent="0.25">
      <c r="A54" s="42">
        <f t="shared" si="0"/>
        <v>49</v>
      </c>
      <c r="B54" s="51" t="s">
        <v>80</v>
      </c>
      <c r="C54" s="97"/>
      <c r="D54" s="97"/>
      <c r="E54" s="97">
        <v>899.76</v>
      </c>
      <c r="F54" s="97" t="s">
        <v>823</v>
      </c>
      <c r="G54" s="154">
        <f t="shared" si="1"/>
        <v>899.76</v>
      </c>
      <c r="H54" s="196">
        <f t="shared" si="1"/>
        <v>0</v>
      </c>
    </row>
    <row r="55" spans="1:9" ht="31.5" x14ac:dyDescent="0.25">
      <c r="A55" s="42">
        <f t="shared" si="0"/>
        <v>50</v>
      </c>
      <c r="B55" s="51" t="s">
        <v>662</v>
      </c>
      <c r="C55" s="97">
        <v>13236.76</v>
      </c>
      <c r="D55" s="97">
        <v>669.51</v>
      </c>
      <c r="E55" s="97">
        <v>14496.69</v>
      </c>
      <c r="F55" s="97">
        <v>545.01</v>
      </c>
      <c r="G55" s="154">
        <f t="shared" si="1"/>
        <v>1259.9300000000003</v>
      </c>
      <c r="H55" s="196">
        <f t="shared" si="1"/>
        <v>-124.5</v>
      </c>
    </row>
    <row r="56" spans="1:9" ht="31.5" x14ac:dyDescent="0.25">
      <c r="A56" s="42">
        <f t="shared" si="0"/>
        <v>51</v>
      </c>
      <c r="B56" s="51" t="s">
        <v>52</v>
      </c>
      <c r="C56" s="97">
        <v>53502.23</v>
      </c>
      <c r="D56" s="97">
        <v>705.96</v>
      </c>
      <c r="E56" s="97">
        <v>46550.46</v>
      </c>
      <c r="F56" s="97">
        <v>710.83</v>
      </c>
      <c r="G56" s="154">
        <f t="shared" si="1"/>
        <v>-6951.7700000000041</v>
      </c>
      <c r="H56" s="196">
        <f t="shared" si="1"/>
        <v>4.8700000000000045</v>
      </c>
    </row>
    <row r="57" spans="1:9" x14ac:dyDescent="0.25">
      <c r="A57" s="42">
        <f t="shared" si="0"/>
        <v>52</v>
      </c>
      <c r="B57" s="51" t="s">
        <v>53</v>
      </c>
      <c r="C57" s="97">
        <v>284.2</v>
      </c>
      <c r="D57" s="97"/>
      <c r="E57" s="97">
        <v>100</v>
      </c>
      <c r="F57" s="97" t="s">
        <v>823</v>
      </c>
      <c r="G57" s="154">
        <f t="shared" si="1"/>
        <v>-184.2</v>
      </c>
      <c r="H57" s="196">
        <f t="shared" si="1"/>
        <v>0</v>
      </c>
    </row>
    <row r="58" spans="1:9" ht="78.75" x14ac:dyDescent="0.25">
      <c r="A58" s="42">
        <f t="shared" si="0"/>
        <v>53</v>
      </c>
      <c r="B58" s="89" t="s">
        <v>772</v>
      </c>
      <c r="C58" s="97">
        <v>3224496.92</v>
      </c>
      <c r="D58" s="97">
        <v>63833.02</v>
      </c>
      <c r="E58" s="97">
        <v>4604657.8900000015</v>
      </c>
      <c r="F58" s="97">
        <v>20378.989999999998</v>
      </c>
      <c r="G58" s="154">
        <f t="shared" si="1"/>
        <v>1380160.9700000016</v>
      </c>
      <c r="H58" s="196">
        <f t="shared" si="1"/>
        <v>-43454.03</v>
      </c>
      <c r="I58" s="80"/>
    </row>
    <row r="59" spans="1:9" x14ac:dyDescent="0.25">
      <c r="A59" s="42">
        <f t="shared" si="0"/>
        <v>54</v>
      </c>
      <c r="B59" s="89" t="s">
        <v>781</v>
      </c>
      <c r="C59" s="97">
        <v>1625932.14</v>
      </c>
      <c r="D59" s="97">
        <v>3800.49</v>
      </c>
      <c r="E59" s="97" t="s">
        <v>823</v>
      </c>
      <c r="F59" s="97" t="s">
        <v>823</v>
      </c>
      <c r="G59" s="154">
        <f t="shared" si="1"/>
        <v>-1625932.14</v>
      </c>
      <c r="H59" s="196">
        <f t="shared" si="1"/>
        <v>-3800.49</v>
      </c>
    </row>
    <row r="60" spans="1:9" ht="31.5" x14ac:dyDescent="0.25">
      <c r="A60" s="42">
        <f t="shared" si="0"/>
        <v>55</v>
      </c>
      <c r="B60" s="52" t="s">
        <v>683</v>
      </c>
      <c r="C60" s="152">
        <f>C61+C62</f>
        <v>21774075.59</v>
      </c>
      <c r="D60" s="152">
        <f>D61+D62</f>
        <v>521791.97</v>
      </c>
      <c r="E60" s="152">
        <f>E61+E62</f>
        <v>23580576.659999996</v>
      </c>
      <c r="F60" s="152">
        <f>F61+F62</f>
        <v>409114.15</v>
      </c>
      <c r="G60" s="152">
        <f t="shared" si="1"/>
        <v>1806501.0699999966</v>
      </c>
      <c r="H60" s="151">
        <f t="shared" si="1"/>
        <v>-112677.81999999995</v>
      </c>
    </row>
    <row r="61" spans="1:9" ht="31.5" x14ac:dyDescent="0.25">
      <c r="A61" s="42">
        <f t="shared" si="0"/>
        <v>56</v>
      </c>
      <c r="B61" s="51" t="s">
        <v>677</v>
      </c>
      <c r="C61" s="97">
        <v>21444123.48</v>
      </c>
      <c r="D61" s="97">
        <v>473444.31</v>
      </c>
      <c r="E61" s="97">
        <v>23143619.549999997</v>
      </c>
      <c r="F61" s="197">
        <v>351192.71</v>
      </c>
      <c r="G61" s="152">
        <f t="shared" si="1"/>
        <v>1699496.0699999966</v>
      </c>
      <c r="H61" s="196">
        <f>F61-D61</f>
        <v>-122251.59999999998</v>
      </c>
      <c r="I61" s="198"/>
    </row>
    <row r="62" spans="1:9" x14ac:dyDescent="0.25">
      <c r="A62" s="42">
        <f t="shared" si="0"/>
        <v>57</v>
      </c>
      <c r="B62" s="52" t="s">
        <v>684</v>
      </c>
      <c r="C62" s="152">
        <f>SUM(C63:C65)</f>
        <v>329952.11</v>
      </c>
      <c r="D62" s="152">
        <f>SUM(D63:D65)</f>
        <v>48347.659999999996</v>
      </c>
      <c r="E62" s="152">
        <f>SUM(E63:E65)</f>
        <v>436957.11</v>
      </c>
      <c r="F62" s="152">
        <f>SUM(F63:F65)</f>
        <v>57921.439999999995</v>
      </c>
      <c r="G62" s="152">
        <f t="shared" si="1"/>
        <v>107005</v>
      </c>
      <c r="H62" s="151">
        <f t="shared" si="1"/>
        <v>9573.7799999999988</v>
      </c>
    </row>
    <row r="63" spans="1:9" s="182" customFormat="1" ht="31.5" x14ac:dyDescent="0.2">
      <c r="A63" s="42">
        <f t="shared" si="0"/>
        <v>58</v>
      </c>
      <c r="B63" s="56" t="s">
        <v>2</v>
      </c>
      <c r="C63" s="199">
        <v>300049.86</v>
      </c>
      <c r="D63" s="199">
        <v>39208.78</v>
      </c>
      <c r="E63" s="199" t="s">
        <v>823</v>
      </c>
      <c r="F63" s="199"/>
      <c r="G63" s="154">
        <f t="shared" si="1"/>
        <v>-300049.86</v>
      </c>
      <c r="H63" s="196">
        <f t="shared" si="1"/>
        <v>-39208.78</v>
      </c>
    </row>
    <row r="64" spans="1:9" ht="47.25" x14ac:dyDescent="0.25">
      <c r="A64" s="42">
        <f t="shared" si="0"/>
        <v>59</v>
      </c>
      <c r="B64" s="56" t="s">
        <v>3</v>
      </c>
      <c r="C64" s="97">
        <v>29902.25</v>
      </c>
      <c r="D64" s="97">
        <v>9138.8799999999992</v>
      </c>
      <c r="E64" s="97">
        <v>402697.11</v>
      </c>
      <c r="F64" s="97">
        <v>52168.45</v>
      </c>
      <c r="G64" s="154">
        <f t="shared" si="1"/>
        <v>372794.86</v>
      </c>
      <c r="H64" s="196">
        <f t="shared" si="1"/>
        <v>43029.57</v>
      </c>
    </row>
    <row r="65" spans="1:9" ht="31.5" x14ac:dyDescent="0.25">
      <c r="A65" s="42">
        <f t="shared" si="0"/>
        <v>60</v>
      </c>
      <c r="B65" s="51" t="s">
        <v>151</v>
      </c>
      <c r="C65" s="97"/>
      <c r="D65" s="97"/>
      <c r="E65" s="97">
        <v>34260</v>
      </c>
      <c r="F65" s="97">
        <v>5752.99</v>
      </c>
      <c r="G65" s="154">
        <f t="shared" si="1"/>
        <v>34260</v>
      </c>
      <c r="H65" s="196">
        <f t="shared" si="1"/>
        <v>5752.99</v>
      </c>
    </row>
    <row r="66" spans="1:9" ht="31.5" x14ac:dyDescent="0.25">
      <c r="A66" s="42">
        <f t="shared" si="0"/>
        <v>61</v>
      </c>
      <c r="B66" s="52" t="s">
        <v>114</v>
      </c>
      <c r="C66" s="152">
        <v>7359529.7999999998</v>
      </c>
      <c r="D66" s="152">
        <v>175814.38</v>
      </c>
      <c r="E66" s="152">
        <v>8117685.9600000018</v>
      </c>
      <c r="F66" s="152">
        <v>141288.86000000002</v>
      </c>
      <c r="G66" s="154">
        <f t="shared" si="1"/>
        <v>758156.16000000201</v>
      </c>
      <c r="H66" s="196">
        <f t="shared" si="1"/>
        <v>-34525.51999999999</v>
      </c>
    </row>
    <row r="67" spans="1:9" ht="31.5" x14ac:dyDescent="0.25">
      <c r="A67" s="42">
        <f t="shared" si="0"/>
        <v>62</v>
      </c>
      <c r="B67" s="52" t="s">
        <v>12</v>
      </c>
      <c r="C67" s="152">
        <v>157420.04</v>
      </c>
      <c r="D67" s="152">
        <v>5777.96</v>
      </c>
      <c r="E67" s="152">
        <v>188122.47</v>
      </c>
      <c r="F67" s="152">
        <v>4908.33</v>
      </c>
      <c r="G67" s="154">
        <f t="shared" si="1"/>
        <v>30702.429999999993</v>
      </c>
      <c r="H67" s="196">
        <f t="shared" si="1"/>
        <v>-869.63000000000011</v>
      </c>
    </row>
    <row r="68" spans="1:9" ht="18.75" customHeight="1" x14ac:dyDescent="0.25">
      <c r="A68" s="42">
        <f t="shared" si="0"/>
        <v>63</v>
      </c>
      <c r="B68" s="52" t="s">
        <v>685</v>
      </c>
      <c r="C68" s="152">
        <f>SUM(C69:C74)</f>
        <v>717502.22</v>
      </c>
      <c r="D68" s="152">
        <f>SUM(D69:D74)</f>
        <v>7309.06</v>
      </c>
      <c r="E68" s="152">
        <f>SUM(E69:E74)</f>
        <v>745446.29</v>
      </c>
      <c r="F68" s="152">
        <f>SUM(F69:F74)</f>
        <v>5681.8899999999994</v>
      </c>
      <c r="G68" s="152">
        <f t="shared" si="1"/>
        <v>27944.070000000065</v>
      </c>
      <c r="H68" s="151">
        <f t="shared" si="1"/>
        <v>-1627.170000000001</v>
      </c>
    </row>
    <row r="69" spans="1:9" ht="31.5" x14ac:dyDescent="0.25">
      <c r="A69" s="42">
        <f t="shared" si="0"/>
        <v>64</v>
      </c>
      <c r="B69" s="51" t="s">
        <v>41</v>
      </c>
      <c r="C69" s="97">
        <v>232215.96</v>
      </c>
      <c r="D69" s="97">
        <v>5297.81</v>
      </c>
      <c r="E69" s="97">
        <v>250802.64</v>
      </c>
      <c r="F69" s="97">
        <v>3886.3399999999997</v>
      </c>
      <c r="G69" s="154">
        <f t="shared" si="1"/>
        <v>18586.680000000022</v>
      </c>
      <c r="H69" s="196">
        <f t="shared" si="1"/>
        <v>-1411.4700000000007</v>
      </c>
    </row>
    <row r="70" spans="1:9" ht="47.25" x14ac:dyDescent="0.25">
      <c r="A70" s="42">
        <f t="shared" si="0"/>
        <v>65</v>
      </c>
      <c r="B70" s="51" t="s">
        <v>739</v>
      </c>
      <c r="C70" s="97">
        <v>334363.65999999997</v>
      </c>
      <c r="D70" s="97"/>
      <c r="E70" s="97">
        <v>336856.69</v>
      </c>
      <c r="F70" s="97">
        <v>0</v>
      </c>
      <c r="G70" s="154">
        <f t="shared" si="1"/>
        <v>2493.0300000000279</v>
      </c>
      <c r="H70" s="196">
        <f t="shared" si="1"/>
        <v>0</v>
      </c>
    </row>
    <row r="71" spans="1:9" ht="31.5" x14ac:dyDescent="0.25">
      <c r="A71" s="42">
        <f t="shared" si="0"/>
        <v>66</v>
      </c>
      <c r="B71" s="51" t="s">
        <v>81</v>
      </c>
      <c r="C71" s="97">
        <v>91090.84</v>
      </c>
      <c r="D71" s="97"/>
      <c r="E71" s="97">
        <v>81253.84</v>
      </c>
      <c r="F71" s="97" t="s">
        <v>823</v>
      </c>
      <c r="G71" s="154">
        <f t="shared" si="1"/>
        <v>-9837</v>
      </c>
      <c r="H71" s="196">
        <f t="shared" si="1"/>
        <v>0</v>
      </c>
    </row>
    <row r="72" spans="1:9" ht="31.5" x14ac:dyDescent="0.25">
      <c r="A72" s="42">
        <f t="shared" ref="A72:A102" si="2">A71+1</f>
        <v>67</v>
      </c>
      <c r="B72" s="51" t="s">
        <v>82</v>
      </c>
      <c r="C72" s="97">
        <v>59831.76</v>
      </c>
      <c r="D72" s="97">
        <v>2011.25</v>
      </c>
      <c r="E72" s="97">
        <v>76533.119999999995</v>
      </c>
      <c r="F72" s="97">
        <v>1795.5499999999997</v>
      </c>
      <c r="G72" s="154">
        <f t="shared" ref="G72:H101" si="3">E72-C72</f>
        <v>16701.359999999993</v>
      </c>
      <c r="H72" s="196">
        <f t="shared" si="3"/>
        <v>-215.70000000000027</v>
      </c>
    </row>
    <row r="73" spans="1:9" ht="9" customHeight="1" x14ac:dyDescent="0.25">
      <c r="A73" s="42">
        <f t="shared" si="2"/>
        <v>68</v>
      </c>
      <c r="B73" s="51" t="s">
        <v>83</v>
      </c>
      <c r="C73" s="97"/>
      <c r="D73" s="97"/>
      <c r="E73" s="97" t="s">
        <v>823</v>
      </c>
      <c r="F73" s="97" t="s">
        <v>823</v>
      </c>
      <c r="G73" s="154">
        <f t="shared" si="3"/>
        <v>0</v>
      </c>
      <c r="H73" s="196">
        <f t="shared" si="3"/>
        <v>0</v>
      </c>
    </row>
    <row r="74" spans="1:9" ht="8.25" customHeight="1" x14ac:dyDescent="0.25">
      <c r="A74" s="42">
        <f t="shared" si="2"/>
        <v>69</v>
      </c>
      <c r="B74" s="51" t="s">
        <v>84</v>
      </c>
      <c r="C74" s="97"/>
      <c r="D74" s="97"/>
      <c r="E74" s="97" t="s">
        <v>823</v>
      </c>
      <c r="F74" s="97" t="s">
        <v>823</v>
      </c>
      <c r="G74" s="154">
        <f t="shared" si="3"/>
        <v>0</v>
      </c>
      <c r="H74" s="196">
        <f t="shared" si="3"/>
        <v>0</v>
      </c>
    </row>
    <row r="75" spans="1:9" ht="9" customHeight="1" x14ac:dyDescent="0.25">
      <c r="A75" s="42">
        <f t="shared" si="2"/>
        <v>70</v>
      </c>
      <c r="B75" s="52" t="s">
        <v>19</v>
      </c>
      <c r="C75" s="97"/>
      <c r="D75" s="97"/>
      <c r="E75" s="152" t="s">
        <v>823</v>
      </c>
      <c r="F75" s="152" t="s">
        <v>823</v>
      </c>
      <c r="G75" s="154">
        <f t="shared" si="3"/>
        <v>0</v>
      </c>
      <c r="H75" s="196">
        <f t="shared" si="3"/>
        <v>0</v>
      </c>
    </row>
    <row r="76" spans="1:9" ht="31.5" x14ac:dyDescent="0.25">
      <c r="A76" s="42">
        <f t="shared" si="2"/>
        <v>71</v>
      </c>
      <c r="B76" s="52" t="s">
        <v>246</v>
      </c>
      <c r="C76" s="97"/>
      <c r="D76" s="97">
        <v>224.05</v>
      </c>
      <c r="E76" s="152" t="s">
        <v>823</v>
      </c>
      <c r="F76" s="152">
        <v>343.35</v>
      </c>
      <c r="G76" s="154">
        <f t="shared" si="3"/>
        <v>0</v>
      </c>
      <c r="H76" s="196">
        <f t="shared" si="3"/>
        <v>119.30000000000001</v>
      </c>
    </row>
    <row r="77" spans="1:9" x14ac:dyDescent="0.25">
      <c r="A77" s="42">
        <f t="shared" si="2"/>
        <v>72</v>
      </c>
      <c r="B77" s="52" t="s">
        <v>115</v>
      </c>
      <c r="C77" s="97">
        <v>23290.04</v>
      </c>
      <c r="D77" s="97">
        <v>2100.38</v>
      </c>
      <c r="E77" s="152">
        <v>23205.500000000004</v>
      </c>
      <c r="F77" s="152">
        <v>2100.38</v>
      </c>
      <c r="G77" s="154">
        <f t="shared" si="3"/>
        <v>-84.539999999997235</v>
      </c>
      <c r="H77" s="196">
        <f t="shared" si="3"/>
        <v>0</v>
      </c>
    </row>
    <row r="78" spans="1:9" ht="31.5" x14ac:dyDescent="0.25">
      <c r="A78" s="42">
        <f t="shared" si="2"/>
        <v>73</v>
      </c>
      <c r="B78" s="52" t="s">
        <v>188</v>
      </c>
      <c r="C78" s="97">
        <v>129013.03</v>
      </c>
      <c r="D78" s="97">
        <v>727.83</v>
      </c>
      <c r="E78" s="152">
        <v>117053.03</v>
      </c>
      <c r="F78" s="152">
        <v>5036.6400000000003</v>
      </c>
      <c r="G78" s="154">
        <f t="shared" si="3"/>
        <v>-11960</v>
      </c>
      <c r="H78" s="196">
        <f t="shared" si="3"/>
        <v>4308.8100000000004</v>
      </c>
    </row>
    <row r="79" spans="1:9" ht="31.5" x14ac:dyDescent="0.25">
      <c r="A79" s="42">
        <f t="shared" si="2"/>
        <v>74</v>
      </c>
      <c r="B79" s="52" t="s">
        <v>686</v>
      </c>
      <c r="C79" s="152">
        <f>C80+C81</f>
        <v>7396767.54</v>
      </c>
      <c r="D79" s="152">
        <f>D80+D81</f>
        <v>50893.49</v>
      </c>
      <c r="E79" s="152">
        <f>E80+E81</f>
        <v>4347472.57</v>
      </c>
      <c r="F79" s="152">
        <f>F80+F81</f>
        <v>16823.61</v>
      </c>
      <c r="G79" s="152">
        <f t="shared" si="3"/>
        <v>-3049294.9699999997</v>
      </c>
      <c r="H79" s="151">
        <f t="shared" si="3"/>
        <v>-34069.879999999997</v>
      </c>
    </row>
    <row r="80" spans="1:9" ht="16.5" customHeight="1" x14ac:dyDescent="0.25">
      <c r="A80" s="42">
        <f t="shared" si="2"/>
        <v>75</v>
      </c>
      <c r="B80" s="52" t="s">
        <v>663</v>
      </c>
      <c r="C80" s="152">
        <v>2526932.34</v>
      </c>
      <c r="D80" s="152">
        <v>1764.32</v>
      </c>
      <c r="E80" s="152">
        <v>13997.679999999998</v>
      </c>
      <c r="F80" s="152"/>
      <c r="G80" s="154">
        <f t="shared" si="3"/>
        <v>-2512934.6599999997</v>
      </c>
      <c r="H80" s="196">
        <f t="shared" si="3"/>
        <v>-1764.32</v>
      </c>
      <c r="I80" s="200"/>
    </row>
    <row r="81" spans="1:13" ht="31.5" x14ac:dyDescent="0.25">
      <c r="A81" s="42">
        <f t="shared" si="2"/>
        <v>76</v>
      </c>
      <c r="B81" s="52" t="s">
        <v>4</v>
      </c>
      <c r="C81" s="152">
        <f>SUM(C82:C89)</f>
        <v>4869835.2</v>
      </c>
      <c r="D81" s="152">
        <f>SUM(D82:D89)</f>
        <v>49129.17</v>
      </c>
      <c r="E81" s="152">
        <f>SUM(E82:E89)</f>
        <v>4333474.8900000006</v>
      </c>
      <c r="F81" s="152">
        <f>SUM(F82:F89)</f>
        <v>16823.61</v>
      </c>
      <c r="G81" s="152">
        <f t="shared" si="3"/>
        <v>-536360.30999999959</v>
      </c>
      <c r="H81" s="151">
        <f t="shared" si="3"/>
        <v>-32305.559999999998</v>
      </c>
    </row>
    <row r="82" spans="1:13" ht="16.5" customHeight="1" x14ac:dyDescent="0.25">
      <c r="A82" s="42">
        <f t="shared" si="2"/>
        <v>77</v>
      </c>
      <c r="B82" s="51" t="s">
        <v>575</v>
      </c>
      <c r="C82" s="97">
        <v>2154547.9700000002</v>
      </c>
      <c r="D82" s="97"/>
      <c r="E82" s="97">
        <v>2236573.71</v>
      </c>
      <c r="F82" s="97" t="s">
        <v>823</v>
      </c>
      <c r="G82" s="154">
        <f t="shared" si="3"/>
        <v>82025.739999999758</v>
      </c>
      <c r="H82" s="196">
        <f t="shared" si="3"/>
        <v>0</v>
      </c>
    </row>
    <row r="83" spans="1:13" x14ac:dyDescent="0.25">
      <c r="A83" s="42">
        <f t="shared" si="2"/>
        <v>78</v>
      </c>
      <c r="B83" s="51" t="s">
        <v>85</v>
      </c>
      <c r="C83" s="97">
        <v>3529.53</v>
      </c>
      <c r="D83" s="97">
        <v>281.55</v>
      </c>
      <c r="E83" s="97">
        <v>4447.6000000000013</v>
      </c>
      <c r="F83" s="97">
        <v>286.77999999999997</v>
      </c>
      <c r="G83" s="154">
        <f t="shared" si="3"/>
        <v>918.07000000000107</v>
      </c>
      <c r="H83" s="196">
        <f t="shared" si="3"/>
        <v>5.2299999999999613</v>
      </c>
    </row>
    <row r="84" spans="1:13" ht="31.5" x14ac:dyDescent="0.25">
      <c r="A84" s="42">
        <f t="shared" si="2"/>
        <v>79</v>
      </c>
      <c r="B84" s="51" t="s">
        <v>86</v>
      </c>
      <c r="C84" s="97"/>
      <c r="D84" s="97"/>
      <c r="E84" s="97" t="s">
        <v>823</v>
      </c>
      <c r="F84" s="97" t="s">
        <v>823</v>
      </c>
      <c r="G84" s="154">
        <f t="shared" si="3"/>
        <v>0</v>
      </c>
      <c r="H84" s="196">
        <f t="shared" si="3"/>
        <v>0</v>
      </c>
    </row>
    <row r="85" spans="1:13" ht="47.25" x14ac:dyDescent="0.25">
      <c r="A85" s="42">
        <f t="shared" si="2"/>
        <v>80</v>
      </c>
      <c r="B85" s="62" t="s">
        <v>617</v>
      </c>
      <c r="C85" s="97">
        <v>52817.54</v>
      </c>
      <c r="D85" s="97">
        <v>844.09</v>
      </c>
      <c r="E85" s="97">
        <v>49736.67</v>
      </c>
      <c r="F85" s="97">
        <v>35.61</v>
      </c>
      <c r="G85" s="154">
        <f t="shared" si="3"/>
        <v>-3080.8700000000026</v>
      </c>
      <c r="H85" s="196">
        <f t="shared" si="3"/>
        <v>-808.48</v>
      </c>
      <c r="I85" s="81"/>
      <c r="J85" s="80"/>
      <c r="K85" s="80"/>
      <c r="L85" s="80"/>
      <c r="M85" s="80"/>
    </row>
    <row r="86" spans="1:13" ht="31.5" x14ac:dyDescent="0.25">
      <c r="A86" s="42">
        <f t="shared" si="2"/>
        <v>81</v>
      </c>
      <c r="B86" s="51" t="s">
        <v>669</v>
      </c>
      <c r="C86" s="97">
        <v>34413.96</v>
      </c>
      <c r="D86" s="97"/>
      <c r="E86" s="97">
        <v>48274.22</v>
      </c>
      <c r="F86" s="97" t="s">
        <v>823</v>
      </c>
      <c r="G86" s="154">
        <f t="shared" si="3"/>
        <v>13860.260000000002</v>
      </c>
      <c r="H86" s="196">
        <f t="shared" si="3"/>
        <v>0</v>
      </c>
      <c r="I86" s="80"/>
      <c r="J86" s="80"/>
    </row>
    <row r="87" spans="1:13" ht="31.5" x14ac:dyDescent="0.25">
      <c r="A87" s="42" t="s">
        <v>667</v>
      </c>
      <c r="B87" s="51" t="s">
        <v>666</v>
      </c>
      <c r="C87" s="97"/>
      <c r="D87" s="97"/>
      <c r="E87" s="97" t="s">
        <v>823</v>
      </c>
      <c r="F87" s="97" t="s">
        <v>823</v>
      </c>
      <c r="G87" s="154">
        <f t="shared" ref="G87" si="4">E87-C87</f>
        <v>0</v>
      </c>
      <c r="H87" s="196">
        <f t="shared" ref="H87" si="5">F87-D87</f>
        <v>0</v>
      </c>
      <c r="I87" s="80"/>
      <c r="J87" s="80"/>
    </row>
    <row r="88" spans="1:13" ht="31.5" x14ac:dyDescent="0.25">
      <c r="A88" s="42">
        <f>A86+1</f>
        <v>82</v>
      </c>
      <c r="B88" s="51" t="s">
        <v>671</v>
      </c>
      <c r="C88" s="97">
        <v>4090</v>
      </c>
      <c r="D88" s="97"/>
      <c r="E88" s="97">
        <v>2200</v>
      </c>
      <c r="F88" s="97" t="s">
        <v>823</v>
      </c>
      <c r="G88" s="154">
        <f t="shared" si="3"/>
        <v>-1890</v>
      </c>
      <c r="H88" s="196">
        <f t="shared" si="3"/>
        <v>0</v>
      </c>
      <c r="I88" s="80"/>
    </row>
    <row r="89" spans="1:13" ht="31.5" x14ac:dyDescent="0.25">
      <c r="A89" s="42">
        <f t="shared" si="2"/>
        <v>83</v>
      </c>
      <c r="B89" s="62" t="s">
        <v>670</v>
      </c>
      <c r="C89" s="97">
        <v>2620436.2000000002</v>
      </c>
      <c r="D89" s="97">
        <v>48003.53</v>
      </c>
      <c r="E89" s="97">
        <f>16346.21+1975896.48</f>
        <v>1992242.69</v>
      </c>
      <c r="F89" s="97">
        <v>16501.22</v>
      </c>
      <c r="G89" s="154">
        <f t="shared" si="3"/>
        <v>-628193.51000000024</v>
      </c>
      <c r="H89" s="196">
        <f t="shared" si="3"/>
        <v>-31502.309999999998</v>
      </c>
      <c r="I89" s="80"/>
    </row>
    <row r="90" spans="1:13" ht="47.25" x14ac:dyDescent="0.25">
      <c r="A90" s="42">
        <f t="shared" si="2"/>
        <v>84</v>
      </c>
      <c r="B90" s="63" t="s">
        <v>687</v>
      </c>
      <c r="C90" s="152">
        <f>SUM(C91:C99)</f>
        <v>6565877.9700000007</v>
      </c>
      <c r="D90" s="152">
        <f>SUM(D91:D99)</f>
        <v>61186.5</v>
      </c>
      <c r="E90" s="152">
        <f>SUM(E91:E99)</f>
        <v>7497199.5199999996</v>
      </c>
      <c r="F90" s="152">
        <f>SUM(F91:F99)</f>
        <v>74136.34</v>
      </c>
      <c r="G90" s="152">
        <f t="shared" si="3"/>
        <v>931321.54999999888</v>
      </c>
      <c r="H90" s="151">
        <f t="shared" si="3"/>
        <v>12949.839999999997</v>
      </c>
      <c r="I90" s="80"/>
    </row>
    <row r="91" spans="1:13" ht="31.5" customHeight="1" x14ac:dyDescent="0.25">
      <c r="A91" s="42">
        <f t="shared" si="2"/>
        <v>85</v>
      </c>
      <c r="B91" s="51" t="s">
        <v>610</v>
      </c>
      <c r="C91" s="97">
        <v>462494.82</v>
      </c>
      <c r="D91" s="97"/>
      <c r="E91" s="97">
        <v>1270938.75</v>
      </c>
      <c r="F91" s="97" t="s">
        <v>823</v>
      </c>
      <c r="G91" s="154">
        <f t="shared" si="3"/>
        <v>808443.92999999993</v>
      </c>
      <c r="H91" s="196">
        <f t="shared" si="3"/>
        <v>0</v>
      </c>
      <c r="I91" s="80"/>
    </row>
    <row r="92" spans="1:13" ht="63" x14ac:dyDescent="0.25">
      <c r="A92" s="42">
        <f t="shared" si="2"/>
        <v>86</v>
      </c>
      <c r="B92" s="51" t="s">
        <v>701</v>
      </c>
      <c r="C92" s="97">
        <v>1264537.26</v>
      </c>
      <c r="D92" s="97">
        <v>61186.5</v>
      </c>
      <c r="E92" s="97">
        <v>1333665.8999999999</v>
      </c>
      <c r="F92" s="97">
        <v>74136.34</v>
      </c>
      <c r="G92" s="154">
        <f t="shared" si="3"/>
        <v>69128.639999999898</v>
      </c>
      <c r="H92" s="196">
        <f t="shared" si="3"/>
        <v>12949.839999999997</v>
      </c>
      <c r="I92" s="201"/>
    </row>
    <row r="93" spans="1:13" ht="63" x14ac:dyDescent="0.25">
      <c r="A93" s="42" t="s">
        <v>550</v>
      </c>
      <c r="B93" s="51" t="s">
        <v>702</v>
      </c>
      <c r="C93" s="97">
        <v>4789771.99</v>
      </c>
      <c r="D93" s="97"/>
      <c r="E93" s="97">
        <v>4329172.6899999995</v>
      </c>
      <c r="F93" s="97" t="s">
        <v>823</v>
      </c>
      <c r="G93" s="154">
        <f>E93-C93</f>
        <v>-460599.30000000075</v>
      </c>
      <c r="H93" s="196">
        <f>F93-D93</f>
        <v>0</v>
      </c>
    </row>
    <row r="94" spans="1:13" ht="15.75" customHeight="1" x14ac:dyDescent="0.25">
      <c r="A94" s="42">
        <f>A92+1</f>
        <v>87</v>
      </c>
      <c r="B94" s="51" t="s">
        <v>664</v>
      </c>
      <c r="C94" s="97">
        <v>106</v>
      </c>
      <c r="D94" s="97"/>
      <c r="E94" s="97">
        <v>498692.71</v>
      </c>
      <c r="F94" s="97" t="s">
        <v>823</v>
      </c>
      <c r="G94" s="154">
        <f t="shared" si="3"/>
        <v>498586.71</v>
      </c>
      <c r="H94" s="196">
        <f t="shared" si="3"/>
        <v>0</v>
      </c>
    </row>
    <row r="95" spans="1:13" ht="31.5" x14ac:dyDescent="0.25">
      <c r="A95" s="42">
        <f t="shared" si="2"/>
        <v>88</v>
      </c>
      <c r="B95" s="51" t="s">
        <v>101</v>
      </c>
      <c r="C95" s="97"/>
      <c r="D95" s="97"/>
      <c r="E95" s="97" t="s">
        <v>823</v>
      </c>
      <c r="F95" s="97" t="s">
        <v>823</v>
      </c>
      <c r="G95" s="154">
        <f t="shared" si="3"/>
        <v>0</v>
      </c>
      <c r="H95" s="196">
        <f t="shared" si="3"/>
        <v>0</v>
      </c>
    </row>
    <row r="96" spans="1:13" ht="31.5" x14ac:dyDescent="0.25">
      <c r="A96" s="42">
        <f t="shared" si="2"/>
        <v>89</v>
      </c>
      <c r="B96" s="51" t="s">
        <v>102</v>
      </c>
      <c r="C96" s="97">
        <v>48967.9</v>
      </c>
      <c r="D96" s="97"/>
      <c r="E96" s="97">
        <v>64729.47</v>
      </c>
      <c r="F96" s="97" t="s">
        <v>823</v>
      </c>
      <c r="G96" s="154">
        <f t="shared" si="3"/>
        <v>15761.57</v>
      </c>
      <c r="H96" s="196">
        <f t="shared" si="3"/>
        <v>0</v>
      </c>
    </row>
    <row r="97" spans="1:9" ht="47.25" x14ac:dyDescent="0.25">
      <c r="A97" s="42">
        <f t="shared" si="2"/>
        <v>90</v>
      </c>
      <c r="B97" s="82" t="s">
        <v>668</v>
      </c>
      <c r="C97" s="97"/>
      <c r="D97" s="97"/>
      <c r="E97" s="97" t="s">
        <v>823</v>
      </c>
      <c r="F97" s="97" t="s">
        <v>823</v>
      </c>
      <c r="G97" s="154">
        <f t="shared" si="3"/>
        <v>0</v>
      </c>
      <c r="H97" s="196">
        <f t="shared" si="3"/>
        <v>0</v>
      </c>
      <c r="I97" s="202"/>
    </row>
    <row r="98" spans="1:9" ht="32.25" customHeight="1" x14ac:dyDescent="0.25">
      <c r="A98" s="42">
        <f t="shared" si="2"/>
        <v>91</v>
      </c>
      <c r="B98" s="9" t="s">
        <v>626</v>
      </c>
      <c r="C98" s="97"/>
      <c r="D98" s="97"/>
      <c r="E98" s="97" t="s">
        <v>823</v>
      </c>
      <c r="F98" s="97" t="s">
        <v>823</v>
      </c>
      <c r="G98" s="154">
        <f t="shared" ref="G98" si="6">E98-C98</f>
        <v>0</v>
      </c>
      <c r="H98" s="196">
        <f t="shared" ref="H98" si="7">F98-D98</f>
        <v>0</v>
      </c>
    </row>
    <row r="99" spans="1:9" ht="16.5" customHeight="1" x14ac:dyDescent="0.25">
      <c r="A99" s="42">
        <f>A98+1</f>
        <v>92</v>
      </c>
      <c r="B99" s="51" t="s">
        <v>624</v>
      </c>
      <c r="C99" s="97"/>
      <c r="D99" s="97"/>
      <c r="E99" s="97" t="s">
        <v>823</v>
      </c>
      <c r="F99" s="97" t="s">
        <v>823</v>
      </c>
      <c r="G99" s="154">
        <f t="shared" si="3"/>
        <v>0</v>
      </c>
      <c r="H99" s="196">
        <f t="shared" si="3"/>
        <v>0</v>
      </c>
    </row>
    <row r="100" spans="1:9" ht="16.5" customHeight="1" x14ac:dyDescent="0.25">
      <c r="A100" s="42">
        <f t="shared" si="2"/>
        <v>93</v>
      </c>
      <c r="B100" s="52" t="s">
        <v>740</v>
      </c>
      <c r="C100" s="97">
        <v>19905</v>
      </c>
      <c r="D100" s="97"/>
      <c r="E100" s="97">
        <v>259857.47</v>
      </c>
      <c r="F100" s="97" t="s">
        <v>823</v>
      </c>
      <c r="G100" s="154">
        <f t="shared" si="3"/>
        <v>239952.47</v>
      </c>
      <c r="H100" s="196">
        <f t="shared" si="3"/>
        <v>0</v>
      </c>
    </row>
    <row r="101" spans="1:9" ht="31.5" x14ac:dyDescent="0.25">
      <c r="A101" s="42">
        <f>A100+1</f>
        <v>94</v>
      </c>
      <c r="B101" s="52" t="s">
        <v>741</v>
      </c>
      <c r="C101" s="97">
        <v>324.58</v>
      </c>
      <c r="D101" s="97">
        <v>14208.87</v>
      </c>
      <c r="E101" s="97">
        <v>49184.160000000003</v>
      </c>
      <c r="F101" s="97">
        <v>36538.379999999997</v>
      </c>
      <c r="G101" s="154">
        <f t="shared" si="3"/>
        <v>48859.58</v>
      </c>
      <c r="H101" s="196">
        <f t="shared" si="3"/>
        <v>22329.509999999995</v>
      </c>
    </row>
    <row r="102" spans="1:9" ht="34.5" customHeight="1" thickBot="1" x14ac:dyDescent="0.3">
      <c r="A102" s="26">
        <f t="shared" si="2"/>
        <v>95</v>
      </c>
      <c r="B102" s="64" t="s">
        <v>635</v>
      </c>
      <c r="C102" s="175">
        <f>C6+C19+C27+C32+C40+C43+C44+C60+C66+C67+C68+C75+C76+C77+C78+C79+C90+C100+C101</f>
        <v>55335283.449999996</v>
      </c>
      <c r="D102" s="175">
        <f t="shared" ref="D102:F102" si="8">D6+D19+D27+D32+D40+D43+D44+D60+D66+D67+D68+D75+D76+D77+D78+D79+D90+D100+D101</f>
        <v>1524654.94</v>
      </c>
      <c r="E102" s="175">
        <f>E6+E19+E27+E32+E40+E43+E44+E60+E66+E67+E68+E75+E76+E77+E78+E79+E90+E100+E101</f>
        <v>57017927.479999989</v>
      </c>
      <c r="F102" s="175">
        <f t="shared" si="8"/>
        <v>1418917.86</v>
      </c>
      <c r="G102" s="175">
        <f>E102-C102</f>
        <v>1682644.0299999937</v>
      </c>
      <c r="H102" s="160">
        <f>F102-D102</f>
        <v>-105737.07999999984</v>
      </c>
      <c r="I102" s="178"/>
    </row>
    <row r="103" spans="1:9" x14ac:dyDescent="0.25">
      <c r="A103" s="203"/>
      <c r="D103" s="205"/>
      <c r="E103" s="205"/>
      <c r="F103" s="205"/>
    </row>
    <row r="105" spans="1:9" x14ac:dyDescent="0.25">
      <c r="A105" s="676"/>
      <c r="B105" s="677"/>
    </row>
    <row r="973" spans="6:6" x14ac:dyDescent="0.25">
      <c r="F973" s="8" t="s">
        <v>250</v>
      </c>
    </row>
    <row r="992" spans="4:4" x14ac:dyDescent="0.25">
      <c r="D992" s="8" t="s">
        <v>249</v>
      </c>
    </row>
  </sheetData>
  <mergeCells count="7">
    <mergeCell ref="A1:H1"/>
    <mergeCell ref="A2:H2"/>
    <mergeCell ref="A3:A4"/>
    <mergeCell ref="B3:B4"/>
    <mergeCell ref="C3:D3"/>
    <mergeCell ref="E3:F3"/>
    <mergeCell ref="G3:H3"/>
  </mergeCells>
  <printOptions gridLines="1"/>
  <pageMargins left="0.27559055118110237" right="0.19685039370078741" top="0.62992125984251968" bottom="0.39370078740157483" header="0.39370078740157483" footer="0.23622047244094491"/>
  <pageSetup paperSize="9" scale="70" fitToHeight="0" orientation="portrait" r:id="rId1"/>
  <headerFooter alignWithMargins="0">
    <oddFooter xml:space="preserve">&amp;C &amp;P z &amp;N  </oddFooter>
  </headerFooter>
  <rowBreaks count="2" manualBreakCount="2">
    <brk id="39" max="7" man="1"/>
    <brk id="78"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0">
    <tabColor indexed="42"/>
    <pageSetUpPr fitToPage="1"/>
  </sheetPr>
  <dimension ref="A1:O46"/>
  <sheetViews>
    <sheetView zoomScale="90" zoomScaleNormal="90" workbookViewId="0">
      <pane xSplit="2" ySplit="6" topLeftCell="C7" activePane="bottomRight" state="frozen"/>
      <selection pane="topRight" activeCell="C1" sqref="C1"/>
      <selection pane="bottomLeft" activeCell="A7" sqref="A7"/>
      <selection pane="bottomRight" activeCell="E10" sqref="E10"/>
    </sheetView>
  </sheetViews>
  <sheetFormatPr defaultRowHeight="15.75" x14ac:dyDescent="0.2"/>
  <cols>
    <col min="1" max="1" width="5.5703125" style="144" customWidth="1"/>
    <col min="2" max="2" width="65.42578125" style="145" customWidth="1"/>
    <col min="3" max="3" width="14.7109375" style="22" customWidth="1"/>
    <col min="4" max="4" width="14" style="22" customWidth="1"/>
    <col min="5" max="5" width="15.85546875" style="22" customWidth="1"/>
    <col min="6" max="6" width="15.7109375" style="22" customWidth="1"/>
    <col min="7" max="7" width="19.140625" style="22" customWidth="1"/>
    <col min="8" max="8" width="18.7109375" style="22" customWidth="1"/>
    <col min="9" max="9" width="16.28515625" style="22" customWidth="1"/>
    <col min="10" max="10" width="17.7109375" style="22" bestFit="1" customWidth="1"/>
    <col min="11" max="11" width="13.28515625" style="22" customWidth="1"/>
    <col min="12" max="12" width="10" style="22" customWidth="1"/>
    <col min="13" max="13" width="11.5703125" style="22" customWidth="1"/>
    <col min="14" max="14" width="13.85546875" style="22" customWidth="1"/>
    <col min="15" max="15" width="32.5703125" style="22" customWidth="1"/>
    <col min="16" max="16384" width="9.140625" style="22"/>
  </cols>
  <sheetData>
    <row r="1" spans="1:14" ht="35.1" customHeight="1" thickBot="1" x14ac:dyDescent="0.25">
      <c r="A1" s="514" t="s">
        <v>709</v>
      </c>
      <c r="B1" s="515"/>
      <c r="C1" s="515"/>
      <c r="D1" s="515"/>
      <c r="E1" s="515"/>
      <c r="F1" s="515"/>
      <c r="G1" s="515"/>
      <c r="H1" s="515"/>
      <c r="I1" s="515"/>
      <c r="J1" s="515"/>
      <c r="K1" s="515"/>
    </row>
    <row r="2" spans="1:14" ht="35.450000000000003" customHeight="1" thickBot="1" x14ac:dyDescent="0.25">
      <c r="A2" s="467" t="s">
        <v>866</v>
      </c>
      <c r="B2" s="468"/>
      <c r="C2" s="468"/>
      <c r="D2" s="468"/>
      <c r="E2" s="468"/>
      <c r="F2" s="468"/>
      <c r="G2" s="468"/>
      <c r="H2" s="468"/>
      <c r="I2" s="468"/>
      <c r="J2" s="468"/>
      <c r="K2" s="469"/>
    </row>
    <row r="3" spans="1:14" ht="42.75" customHeight="1" x14ac:dyDescent="0.2">
      <c r="A3" s="525" t="s">
        <v>134</v>
      </c>
      <c r="B3" s="490" t="s">
        <v>143</v>
      </c>
      <c r="C3" s="520" t="s">
        <v>710</v>
      </c>
      <c r="D3" s="520"/>
      <c r="E3" s="520"/>
      <c r="F3" s="520"/>
      <c r="G3" s="520" t="s">
        <v>567</v>
      </c>
      <c r="H3" s="520" t="s">
        <v>192</v>
      </c>
      <c r="I3" s="520" t="s">
        <v>569</v>
      </c>
      <c r="J3" s="516" t="s">
        <v>570</v>
      </c>
      <c r="K3" s="522" t="s">
        <v>619</v>
      </c>
      <c r="L3" s="499" t="s">
        <v>782</v>
      </c>
      <c r="M3" s="502" t="s">
        <v>784</v>
      </c>
      <c r="N3" s="505" t="s">
        <v>783</v>
      </c>
    </row>
    <row r="4" spans="1:14" ht="34.5" customHeight="1" x14ac:dyDescent="0.2">
      <c r="A4" s="526"/>
      <c r="B4" s="524"/>
      <c r="C4" s="521" t="s">
        <v>141</v>
      </c>
      <c r="D4" s="129" t="s">
        <v>192</v>
      </c>
      <c r="E4" s="521" t="s">
        <v>142</v>
      </c>
      <c r="F4" s="521" t="s">
        <v>119</v>
      </c>
      <c r="G4" s="521"/>
      <c r="H4" s="521"/>
      <c r="I4" s="521"/>
      <c r="J4" s="517"/>
      <c r="K4" s="522"/>
      <c r="L4" s="500"/>
      <c r="M4" s="503"/>
      <c r="N4" s="506"/>
    </row>
    <row r="5" spans="1:14" s="206" customFormat="1" ht="63.75" thickBot="1" x14ac:dyDescent="0.25">
      <c r="A5" s="526"/>
      <c r="B5" s="524"/>
      <c r="C5" s="521"/>
      <c r="D5" s="129" t="s">
        <v>548</v>
      </c>
      <c r="E5" s="521"/>
      <c r="F5" s="521"/>
      <c r="G5" s="521"/>
      <c r="H5" s="129" t="s">
        <v>568</v>
      </c>
      <c r="I5" s="521"/>
      <c r="J5" s="517"/>
      <c r="K5" s="523"/>
      <c r="L5" s="501"/>
      <c r="M5" s="504"/>
      <c r="N5" s="507"/>
    </row>
    <row r="6" spans="1:14" s="208" customFormat="1" ht="18" customHeight="1" x14ac:dyDescent="0.2">
      <c r="A6" s="28"/>
      <c r="B6" s="10"/>
      <c r="C6" s="129" t="s">
        <v>178</v>
      </c>
      <c r="D6" s="129" t="s">
        <v>179</v>
      </c>
      <c r="E6" s="129" t="s">
        <v>180</v>
      </c>
      <c r="F6" s="129" t="s">
        <v>120</v>
      </c>
      <c r="G6" s="129" t="s">
        <v>181</v>
      </c>
      <c r="H6" s="129" t="s">
        <v>182</v>
      </c>
      <c r="I6" s="129" t="s">
        <v>183</v>
      </c>
      <c r="J6" s="127" t="s">
        <v>121</v>
      </c>
      <c r="K6" s="207" t="s">
        <v>620</v>
      </c>
    </row>
    <row r="7" spans="1:14" s="141" customFormat="1" x14ac:dyDescent="0.2">
      <c r="A7" s="7">
        <v>1</v>
      </c>
      <c r="B7" s="10" t="s">
        <v>175</v>
      </c>
      <c r="C7" s="152">
        <f>SUM(C8:C12)</f>
        <v>576.30000000000007</v>
      </c>
      <c r="D7" s="152">
        <f>SUM(D8:D12)</f>
        <v>571.5</v>
      </c>
      <c r="E7" s="152">
        <f>SUM(E8:E12)</f>
        <v>81.099999999999994</v>
      </c>
      <c r="F7" s="152">
        <f t="shared" ref="F7:F13" si="0">C7+E7</f>
        <v>657.40000000000009</v>
      </c>
      <c r="G7" s="152">
        <f>SUM(G8:G12)</f>
        <v>9701145.5600000005</v>
      </c>
      <c r="H7" s="152">
        <f>SUM(H8:H12)</f>
        <v>9393292.8000000007</v>
      </c>
      <c r="I7" s="152">
        <f>SUM(I8:I12)</f>
        <v>4394383.7300000004</v>
      </c>
      <c r="J7" s="209">
        <f t="shared" ref="J7:J13" si="1">G7+I7</f>
        <v>14095529.290000001</v>
      </c>
      <c r="K7" s="124">
        <f>IF(F7=0,0,J7/F7/12)</f>
        <v>1786.7773666463845</v>
      </c>
      <c r="L7" s="123">
        <v>1132.9590000000001</v>
      </c>
      <c r="M7" s="123">
        <v>1449.85</v>
      </c>
      <c r="N7" s="123">
        <v>2188.7060000000001</v>
      </c>
    </row>
    <row r="8" spans="1:14" x14ac:dyDescent="0.2">
      <c r="A8" s="7">
        <v>2</v>
      </c>
      <c r="B8" s="9" t="s">
        <v>621</v>
      </c>
      <c r="C8" s="210">
        <v>81.2</v>
      </c>
      <c r="D8" s="210">
        <v>80.599999999999994</v>
      </c>
      <c r="E8" s="210">
        <v>22.3</v>
      </c>
      <c r="F8" s="152">
        <f t="shared" si="0"/>
        <v>103.5</v>
      </c>
      <c r="G8" s="210">
        <v>2184814.9300000002</v>
      </c>
      <c r="H8" s="210">
        <v>2104777.2799999998</v>
      </c>
      <c r="I8" s="210">
        <v>1258630.3799999999</v>
      </c>
      <c r="J8" s="209">
        <f t="shared" si="1"/>
        <v>3443445.31</v>
      </c>
      <c r="K8" s="124">
        <f t="shared" ref="K8:K30" si="2">IF(F8=0,0,J8/F8/12)</f>
        <v>2772.5002495974236</v>
      </c>
      <c r="L8" s="123">
        <v>1906.518</v>
      </c>
      <c r="M8" s="123">
        <v>2526.1849999999999</v>
      </c>
      <c r="N8" s="123">
        <v>3434.76</v>
      </c>
    </row>
    <row r="9" spans="1:14" x14ac:dyDescent="0.2">
      <c r="A9" s="7">
        <v>3</v>
      </c>
      <c r="B9" s="9" t="s">
        <v>144</v>
      </c>
      <c r="C9" s="210">
        <v>128.9</v>
      </c>
      <c r="D9" s="210">
        <v>128.4</v>
      </c>
      <c r="E9" s="210">
        <v>14.9</v>
      </c>
      <c r="F9" s="152">
        <f t="shared" si="0"/>
        <v>143.80000000000001</v>
      </c>
      <c r="G9" s="210">
        <v>2573450.17</v>
      </c>
      <c r="H9" s="210">
        <v>2495536.12</v>
      </c>
      <c r="I9" s="210">
        <v>811337.35</v>
      </c>
      <c r="J9" s="209">
        <f t="shared" si="1"/>
        <v>3384787.52</v>
      </c>
      <c r="K9" s="124">
        <f t="shared" si="2"/>
        <v>1961.5133982382938</v>
      </c>
      <c r="L9" s="123">
        <v>1305.511</v>
      </c>
      <c r="M9" s="123">
        <v>1701.731</v>
      </c>
      <c r="N9" s="123">
        <v>2374.0129999999999</v>
      </c>
    </row>
    <row r="10" spans="1:14" x14ac:dyDescent="0.2">
      <c r="A10" s="7">
        <v>4</v>
      </c>
      <c r="B10" s="9" t="s">
        <v>145</v>
      </c>
      <c r="C10" s="210">
        <v>299.8</v>
      </c>
      <c r="D10" s="210">
        <v>296.3</v>
      </c>
      <c r="E10" s="210">
        <v>34.299999999999997</v>
      </c>
      <c r="F10" s="152">
        <f t="shared" si="0"/>
        <v>334.1</v>
      </c>
      <c r="G10" s="210">
        <v>4255090.16</v>
      </c>
      <c r="H10" s="210">
        <v>4110082.02</v>
      </c>
      <c r="I10" s="210">
        <v>1906173.04</v>
      </c>
      <c r="J10" s="209">
        <f t="shared" si="1"/>
        <v>6161263.2000000002</v>
      </c>
      <c r="K10" s="124">
        <f t="shared" si="2"/>
        <v>1536.7812032325648</v>
      </c>
      <c r="L10" s="123">
        <v>1057.7860000000001</v>
      </c>
      <c r="M10" s="123">
        <v>1347.5609999999999</v>
      </c>
      <c r="N10" s="123">
        <v>1920.3620000000001</v>
      </c>
    </row>
    <row r="11" spans="1:14" x14ac:dyDescent="0.2">
      <c r="A11" s="7">
        <v>5</v>
      </c>
      <c r="B11" s="9" t="s">
        <v>146</v>
      </c>
      <c r="C11" s="210">
        <v>56.3</v>
      </c>
      <c r="D11" s="210">
        <v>56.1</v>
      </c>
      <c r="E11" s="210">
        <v>3.6</v>
      </c>
      <c r="F11" s="152">
        <f t="shared" si="0"/>
        <v>59.9</v>
      </c>
      <c r="G11" s="210">
        <v>569846.06999999995</v>
      </c>
      <c r="H11" s="210">
        <v>565452.56000000006</v>
      </c>
      <c r="I11" s="210">
        <v>343494.56</v>
      </c>
      <c r="J11" s="209">
        <f t="shared" si="1"/>
        <v>913340.62999999989</v>
      </c>
      <c r="K11" s="124">
        <f t="shared" si="2"/>
        <v>1270.6463967723982</v>
      </c>
      <c r="L11" s="123">
        <v>991.70899999999995</v>
      </c>
      <c r="M11" s="123">
        <v>1152.4829999999999</v>
      </c>
      <c r="N11" s="123">
        <v>1408.097</v>
      </c>
    </row>
    <row r="12" spans="1:14" x14ac:dyDescent="0.2">
      <c r="A12" s="7">
        <v>6</v>
      </c>
      <c r="B12" s="9" t="s">
        <v>147</v>
      </c>
      <c r="C12" s="210">
        <v>10.1</v>
      </c>
      <c r="D12" s="210">
        <v>10.1</v>
      </c>
      <c r="E12" s="210">
        <v>6</v>
      </c>
      <c r="F12" s="152">
        <f t="shared" si="0"/>
        <v>16.100000000000001</v>
      </c>
      <c r="G12" s="210">
        <v>117944.23</v>
      </c>
      <c r="H12" s="210">
        <v>117444.82</v>
      </c>
      <c r="I12" s="210">
        <v>74748.399999999994</v>
      </c>
      <c r="J12" s="209">
        <f t="shared" si="1"/>
        <v>192692.63</v>
      </c>
      <c r="K12" s="124">
        <f t="shared" si="2"/>
        <v>997.37386128364381</v>
      </c>
      <c r="L12" s="123">
        <v>870.58799999999997</v>
      </c>
      <c r="M12" s="123">
        <v>909.49800000000005</v>
      </c>
      <c r="N12" s="123">
        <v>1071.7449999999999</v>
      </c>
    </row>
    <row r="13" spans="1:14" x14ac:dyDescent="0.2">
      <c r="A13" s="7">
        <v>7</v>
      </c>
      <c r="B13" s="10" t="s">
        <v>29</v>
      </c>
      <c r="C13" s="210">
        <v>178.4</v>
      </c>
      <c r="D13" s="210">
        <v>170.3</v>
      </c>
      <c r="E13" s="210">
        <v>27.3</v>
      </c>
      <c r="F13" s="152">
        <f t="shared" si="0"/>
        <v>205.70000000000002</v>
      </c>
      <c r="G13" s="210">
        <v>1985638.49</v>
      </c>
      <c r="H13" s="210">
        <v>1830291.92</v>
      </c>
      <c r="I13" s="210">
        <v>465141.49</v>
      </c>
      <c r="J13" s="209">
        <f t="shared" si="1"/>
        <v>2450779.98</v>
      </c>
      <c r="K13" s="124">
        <f t="shared" si="2"/>
        <v>992.86176470588225</v>
      </c>
      <c r="L13" s="123">
        <v>702.18799999999999</v>
      </c>
      <c r="M13" s="123">
        <v>909.66600000000005</v>
      </c>
      <c r="N13" s="123">
        <v>1303.943</v>
      </c>
    </row>
    <row r="14" spans="1:14" x14ac:dyDescent="0.2">
      <c r="A14" s="7"/>
      <c r="B14" s="9" t="s">
        <v>192</v>
      </c>
      <c r="C14" s="210"/>
      <c r="D14" s="210"/>
      <c r="E14" s="210"/>
      <c r="F14" s="152"/>
      <c r="G14" s="210"/>
      <c r="H14" s="210"/>
      <c r="I14" s="210"/>
      <c r="J14" s="209"/>
      <c r="K14" s="124"/>
      <c r="L14" s="211"/>
      <c r="M14" s="212"/>
      <c r="N14" s="213"/>
    </row>
    <row r="15" spans="1:14" x14ac:dyDescent="0.2">
      <c r="A15" s="7">
        <v>8</v>
      </c>
      <c r="B15" s="9" t="s">
        <v>33</v>
      </c>
      <c r="C15" s="210">
        <v>43.8</v>
      </c>
      <c r="D15" s="210">
        <v>43.1</v>
      </c>
      <c r="E15" s="210">
        <v>5.9</v>
      </c>
      <c r="F15" s="152">
        <f t="shared" ref="F15:F21" si="3">C15+E15</f>
        <v>49.699999999999996</v>
      </c>
      <c r="G15" s="210">
        <v>595151.99</v>
      </c>
      <c r="H15" s="210">
        <v>580156.27</v>
      </c>
      <c r="I15" s="210">
        <v>147932.43</v>
      </c>
      <c r="J15" s="209">
        <f t="shared" ref="J15:J21" si="4">G15+I15</f>
        <v>743084.41999999993</v>
      </c>
      <c r="K15" s="124">
        <f t="shared" si="2"/>
        <v>1245.9497317236753</v>
      </c>
      <c r="L15" s="123">
        <v>911.34500000000003</v>
      </c>
      <c r="M15" s="123">
        <v>1156.4549999999999</v>
      </c>
      <c r="N15" s="123">
        <v>1369.653</v>
      </c>
    </row>
    <row r="16" spans="1:14" x14ac:dyDescent="0.2">
      <c r="A16" s="7">
        <v>9</v>
      </c>
      <c r="B16" s="10" t="s">
        <v>176</v>
      </c>
      <c r="C16" s="152">
        <f>SUM(C17:C19)</f>
        <v>197.60000000000002</v>
      </c>
      <c r="D16" s="152">
        <f>SUM(D17:D19)</f>
        <v>195.79999999999998</v>
      </c>
      <c r="E16" s="152">
        <f>SUM(E17:E19)</f>
        <v>24.6</v>
      </c>
      <c r="F16" s="152">
        <f t="shared" si="3"/>
        <v>222.20000000000002</v>
      </c>
      <c r="G16" s="152">
        <f>SUM(G17:G19)</f>
        <v>2120702.4300000002</v>
      </c>
      <c r="H16" s="152">
        <f>SUM(H17:H19)</f>
        <v>2081997</v>
      </c>
      <c r="I16" s="152">
        <f>SUM(I17:I19)</f>
        <v>494275.1</v>
      </c>
      <c r="J16" s="209">
        <f t="shared" si="4"/>
        <v>2614977.5300000003</v>
      </c>
      <c r="K16" s="124">
        <f t="shared" si="2"/>
        <v>980.71464521452151</v>
      </c>
      <c r="L16" s="123">
        <v>723.48599999999999</v>
      </c>
      <c r="M16" s="123">
        <v>870.76900000000001</v>
      </c>
      <c r="N16" s="123">
        <v>1090.0150000000001</v>
      </c>
    </row>
    <row r="17" spans="1:15" x14ac:dyDescent="0.2">
      <c r="A17" s="7">
        <v>10</v>
      </c>
      <c r="B17" s="9" t="s">
        <v>148</v>
      </c>
      <c r="C17" s="210">
        <v>76.7</v>
      </c>
      <c r="D17" s="210">
        <v>75.099999999999994</v>
      </c>
      <c r="E17" s="210">
        <v>2.6</v>
      </c>
      <c r="F17" s="152">
        <f t="shared" si="3"/>
        <v>79.3</v>
      </c>
      <c r="G17" s="210">
        <v>914299.3</v>
      </c>
      <c r="H17" s="210">
        <v>888878.72</v>
      </c>
      <c r="I17" s="210">
        <v>43421.68</v>
      </c>
      <c r="J17" s="209">
        <f t="shared" si="4"/>
        <v>957720.9800000001</v>
      </c>
      <c r="K17" s="124">
        <f t="shared" si="2"/>
        <v>1006.4323034888611</v>
      </c>
      <c r="L17" s="123">
        <v>758.38800000000003</v>
      </c>
      <c r="M17" s="123">
        <v>912.23400000000004</v>
      </c>
      <c r="N17" s="123">
        <v>1139.1880000000001</v>
      </c>
    </row>
    <row r="18" spans="1:15" x14ac:dyDescent="0.2">
      <c r="A18" s="7">
        <v>11</v>
      </c>
      <c r="B18" s="9" t="s">
        <v>122</v>
      </c>
      <c r="C18" s="210">
        <v>74.599999999999994</v>
      </c>
      <c r="D18" s="210">
        <v>74.599999999999994</v>
      </c>
      <c r="E18" s="210">
        <v>12.5</v>
      </c>
      <c r="F18" s="152">
        <f t="shared" si="3"/>
        <v>87.1</v>
      </c>
      <c r="G18" s="210">
        <v>832204.13</v>
      </c>
      <c r="H18" s="210">
        <v>828512.06</v>
      </c>
      <c r="I18" s="210">
        <v>295182.02</v>
      </c>
      <c r="J18" s="209">
        <f t="shared" si="4"/>
        <v>1127386.1499999999</v>
      </c>
      <c r="K18" s="124">
        <f t="shared" si="2"/>
        <v>1078.6319843092231</v>
      </c>
      <c r="L18" s="7">
        <v>0</v>
      </c>
      <c r="M18" s="1">
        <v>0</v>
      </c>
      <c r="N18" s="214">
        <v>0</v>
      </c>
    </row>
    <row r="19" spans="1:15" x14ac:dyDescent="0.2">
      <c r="A19" s="7">
        <v>12</v>
      </c>
      <c r="B19" s="9" t="s">
        <v>104</v>
      </c>
      <c r="C19" s="210">
        <v>46.3</v>
      </c>
      <c r="D19" s="210">
        <v>46.1</v>
      </c>
      <c r="E19" s="210">
        <v>9.5</v>
      </c>
      <c r="F19" s="152">
        <f t="shared" si="3"/>
        <v>55.8</v>
      </c>
      <c r="G19" s="210">
        <v>374199</v>
      </c>
      <c r="H19" s="210">
        <v>364606.22</v>
      </c>
      <c r="I19" s="210">
        <v>155671.4</v>
      </c>
      <c r="J19" s="209">
        <f t="shared" si="4"/>
        <v>529870.4</v>
      </c>
      <c r="K19" s="124">
        <f t="shared" si="2"/>
        <v>791.32377538829166</v>
      </c>
      <c r="L19" s="123">
        <v>675.59699999999998</v>
      </c>
      <c r="M19" s="123">
        <v>804.54399999999998</v>
      </c>
      <c r="N19" s="123">
        <v>890.86699999999996</v>
      </c>
    </row>
    <row r="20" spans="1:15" x14ac:dyDescent="0.2">
      <c r="A20" s="7">
        <v>13</v>
      </c>
      <c r="B20" s="10" t="s">
        <v>173</v>
      </c>
      <c r="C20" s="210">
        <v>103.9</v>
      </c>
      <c r="D20" s="210">
        <v>97.1</v>
      </c>
      <c r="E20" s="210">
        <v>22</v>
      </c>
      <c r="F20" s="152">
        <f t="shared" si="3"/>
        <v>125.9</v>
      </c>
      <c r="G20" s="210">
        <v>1622173.83</v>
      </c>
      <c r="H20" s="210">
        <v>1508882.34</v>
      </c>
      <c r="I20" s="210">
        <v>716239.53</v>
      </c>
      <c r="J20" s="209">
        <f t="shared" si="4"/>
        <v>2338413.3600000003</v>
      </c>
      <c r="K20" s="124">
        <f t="shared" si="2"/>
        <v>1547.7980937251789</v>
      </c>
      <c r="L20" s="123">
        <v>917.94200000000001</v>
      </c>
      <c r="M20" s="123">
        <v>1186.0519999999999</v>
      </c>
      <c r="N20" s="123">
        <v>1842.5440000000001</v>
      </c>
    </row>
    <row r="21" spans="1:15" ht="31.5" x14ac:dyDescent="0.2">
      <c r="A21" s="7">
        <v>14</v>
      </c>
      <c r="B21" s="10" t="s">
        <v>30</v>
      </c>
      <c r="C21" s="210">
        <v>134.9</v>
      </c>
      <c r="D21" s="210">
        <v>134.9</v>
      </c>
      <c r="E21" s="210">
        <v>20.399999999999999</v>
      </c>
      <c r="F21" s="152">
        <f t="shared" si="3"/>
        <v>155.30000000000001</v>
      </c>
      <c r="G21" s="210">
        <v>948980.27</v>
      </c>
      <c r="H21" s="210">
        <v>948779.27</v>
      </c>
      <c r="I21" s="210">
        <v>225852.57</v>
      </c>
      <c r="J21" s="209">
        <f t="shared" si="4"/>
        <v>1174832.8400000001</v>
      </c>
      <c r="K21" s="124">
        <f t="shared" si="2"/>
        <v>630.41040995921878</v>
      </c>
      <c r="L21" s="215">
        <v>458.95</v>
      </c>
      <c r="M21" s="215">
        <v>552.077</v>
      </c>
      <c r="N21" s="215">
        <v>730.46900000000005</v>
      </c>
    </row>
    <row r="22" spans="1:15" ht="47.25" x14ac:dyDescent="0.2">
      <c r="A22" s="7">
        <v>15</v>
      </c>
      <c r="B22" s="10" t="s">
        <v>207</v>
      </c>
      <c r="C22" s="152">
        <f>SUM(C23:C26)</f>
        <v>33.409999999999997</v>
      </c>
      <c r="D22" s="152">
        <f>SUM(D23:D26)</f>
        <v>33.409999999999997</v>
      </c>
      <c r="E22" s="152">
        <f>SUM(E23:E26)</f>
        <v>5.3819999999999997</v>
      </c>
      <c r="F22" s="152">
        <f>SUM(F27:F27)</f>
        <v>0</v>
      </c>
      <c r="G22" s="152">
        <f>SUM(G23:G26)</f>
        <v>293547.39</v>
      </c>
      <c r="H22" s="152">
        <f>SUM(H23:H26)</f>
        <v>293547.39</v>
      </c>
      <c r="I22" s="152">
        <f>SUM(I23:I26)</f>
        <v>33900.720000000001</v>
      </c>
      <c r="J22" s="209">
        <f>SUM(J23:J26)</f>
        <v>327448.11</v>
      </c>
      <c r="K22" s="124">
        <f t="shared" si="2"/>
        <v>0</v>
      </c>
      <c r="L22" s="7">
        <v>0</v>
      </c>
      <c r="M22" s="7">
        <v>0</v>
      </c>
      <c r="N22" s="7">
        <v>0</v>
      </c>
    </row>
    <row r="23" spans="1:15" x14ac:dyDescent="0.2">
      <c r="A23" s="7" t="s">
        <v>174</v>
      </c>
      <c r="B23" s="9" t="s">
        <v>837</v>
      </c>
      <c r="C23" s="210">
        <v>33.409999999999997</v>
      </c>
      <c r="D23" s="210">
        <v>33.409999999999997</v>
      </c>
      <c r="E23" s="210">
        <v>5.3819999999999997</v>
      </c>
      <c r="F23" s="152">
        <f t="shared" ref="F23:F29" si="5">C23+E23</f>
        <v>38.791999999999994</v>
      </c>
      <c r="G23" s="210">
        <v>293547.39</v>
      </c>
      <c r="H23" s="210">
        <v>293547.39</v>
      </c>
      <c r="I23" s="210">
        <v>33900.720000000001</v>
      </c>
      <c r="J23" s="209">
        <f>G23+I23</f>
        <v>327448.11</v>
      </c>
      <c r="K23" s="124">
        <f t="shared" si="2"/>
        <v>703.42705970303166</v>
      </c>
      <c r="L23" s="7" t="s">
        <v>200</v>
      </c>
      <c r="M23" s="7" t="s">
        <v>200</v>
      </c>
      <c r="N23" s="7" t="s">
        <v>200</v>
      </c>
    </row>
    <row r="24" spans="1:15" x14ac:dyDescent="0.2">
      <c r="A24" s="7" t="s">
        <v>260</v>
      </c>
      <c r="B24" s="9"/>
      <c r="C24" s="210"/>
      <c r="D24" s="210"/>
      <c r="E24" s="210"/>
      <c r="F24" s="152">
        <f t="shared" si="5"/>
        <v>0</v>
      </c>
      <c r="G24" s="210"/>
      <c r="H24" s="210"/>
      <c r="I24" s="210"/>
      <c r="J24" s="209">
        <f>G24+I24</f>
        <v>0</v>
      </c>
      <c r="K24" s="124">
        <f t="shared" si="2"/>
        <v>0</v>
      </c>
      <c r="L24" s="7" t="s">
        <v>200</v>
      </c>
      <c r="M24" s="7" t="s">
        <v>200</v>
      </c>
      <c r="N24" s="7" t="s">
        <v>200</v>
      </c>
    </row>
    <row r="25" spans="1:15" x14ac:dyDescent="0.2">
      <c r="A25" s="7" t="s">
        <v>261</v>
      </c>
      <c r="B25" s="9"/>
      <c r="C25" s="210"/>
      <c r="D25" s="210"/>
      <c r="E25" s="210"/>
      <c r="F25" s="152">
        <f t="shared" si="5"/>
        <v>0</v>
      </c>
      <c r="G25" s="210"/>
      <c r="H25" s="210"/>
      <c r="I25" s="210"/>
      <c r="J25" s="209">
        <f>G25+I25</f>
        <v>0</v>
      </c>
      <c r="K25" s="124">
        <f t="shared" si="2"/>
        <v>0</v>
      </c>
      <c r="L25" s="7" t="s">
        <v>200</v>
      </c>
      <c r="M25" s="7" t="s">
        <v>200</v>
      </c>
      <c r="N25" s="7" t="s">
        <v>200</v>
      </c>
    </row>
    <row r="26" spans="1:15" ht="16.5" customHeight="1" x14ac:dyDescent="0.2">
      <c r="A26" s="7" t="s">
        <v>262</v>
      </c>
      <c r="B26" s="9"/>
      <c r="C26" s="210"/>
      <c r="D26" s="210"/>
      <c r="E26" s="210"/>
      <c r="F26" s="152">
        <f t="shared" si="5"/>
        <v>0</v>
      </c>
      <c r="G26" s="210"/>
      <c r="H26" s="210"/>
      <c r="I26" s="210"/>
      <c r="J26" s="209">
        <f>G26+I26</f>
        <v>0</v>
      </c>
      <c r="K26" s="124">
        <f t="shared" si="2"/>
        <v>0</v>
      </c>
      <c r="L26" s="7" t="s">
        <v>200</v>
      </c>
      <c r="M26" s="7" t="s">
        <v>200</v>
      </c>
      <c r="N26" s="7" t="s">
        <v>200</v>
      </c>
    </row>
    <row r="27" spans="1:15" x14ac:dyDescent="0.2">
      <c r="A27" s="7"/>
      <c r="B27" s="9"/>
      <c r="C27" s="210"/>
      <c r="D27" s="210"/>
      <c r="E27" s="210"/>
      <c r="F27" s="152">
        <f t="shared" si="5"/>
        <v>0</v>
      </c>
      <c r="G27" s="210"/>
      <c r="H27" s="210"/>
      <c r="I27" s="210"/>
      <c r="J27" s="209"/>
      <c r="K27" s="124"/>
      <c r="L27" s="211"/>
      <c r="M27" s="212"/>
      <c r="N27" s="213"/>
    </row>
    <row r="28" spans="1:15" x14ac:dyDescent="0.2">
      <c r="A28" s="7">
        <v>16</v>
      </c>
      <c r="B28" s="10" t="s">
        <v>31</v>
      </c>
      <c r="C28" s="210">
        <v>47.4</v>
      </c>
      <c r="D28" s="210">
        <v>47.4</v>
      </c>
      <c r="E28" s="210">
        <v>12.5</v>
      </c>
      <c r="F28" s="152">
        <f t="shared" si="5"/>
        <v>59.9</v>
      </c>
      <c r="G28" s="210">
        <v>353591.6</v>
      </c>
      <c r="H28" s="210">
        <v>385388.06</v>
      </c>
      <c r="I28" s="210">
        <v>150778.54</v>
      </c>
      <c r="J28" s="209">
        <f>G28+I28</f>
        <v>504370.14</v>
      </c>
      <c r="K28" s="124">
        <f t="shared" si="2"/>
        <v>701.68355592654427</v>
      </c>
      <c r="L28" s="123">
        <v>536.23699999999997</v>
      </c>
      <c r="M28" s="123">
        <v>641.40300000000002</v>
      </c>
      <c r="N28" s="123">
        <v>833.25699999999995</v>
      </c>
    </row>
    <row r="29" spans="1:15" x14ac:dyDescent="0.2">
      <c r="A29" s="7">
        <v>17</v>
      </c>
      <c r="B29" s="10" t="s">
        <v>32</v>
      </c>
      <c r="C29" s="210"/>
      <c r="D29" s="210"/>
      <c r="E29" s="210">
        <v>40.5</v>
      </c>
      <c r="F29" s="152">
        <f t="shared" si="5"/>
        <v>40.5</v>
      </c>
      <c r="G29" s="210">
        <v>31796.09</v>
      </c>
      <c r="H29" s="210"/>
      <c r="I29" s="210">
        <v>272877.21999999997</v>
      </c>
      <c r="J29" s="209">
        <f>G29+I29</f>
        <v>304673.31</v>
      </c>
      <c r="K29" s="124">
        <f t="shared" si="2"/>
        <v>626.89981481481482</v>
      </c>
      <c r="L29" s="216">
        <v>436.39</v>
      </c>
      <c r="M29" s="216">
        <v>549.53599999999994</v>
      </c>
      <c r="N29" s="216">
        <v>658.87800000000004</v>
      </c>
    </row>
    <row r="30" spans="1:15" ht="16.5" thickBot="1" x14ac:dyDescent="0.25">
      <c r="A30" s="47">
        <v>18</v>
      </c>
      <c r="B30" s="11" t="s">
        <v>208</v>
      </c>
      <c r="C30" s="175">
        <f t="shared" ref="C30:J30" si="6">C7+C13+C16+C20+C21+C28+C29</f>
        <v>1238.5000000000002</v>
      </c>
      <c r="D30" s="175">
        <f t="shared" si="6"/>
        <v>1217</v>
      </c>
      <c r="E30" s="175">
        <f t="shared" si="6"/>
        <v>228.4</v>
      </c>
      <c r="F30" s="175">
        <f t="shared" si="6"/>
        <v>1466.9000000000003</v>
      </c>
      <c r="G30" s="175">
        <f t="shared" si="6"/>
        <v>16764028.27</v>
      </c>
      <c r="H30" s="175">
        <f t="shared" si="6"/>
        <v>16148631.390000001</v>
      </c>
      <c r="I30" s="175">
        <f t="shared" si="6"/>
        <v>6719548.1800000006</v>
      </c>
      <c r="J30" s="217">
        <f t="shared" si="6"/>
        <v>23483576.449999999</v>
      </c>
      <c r="K30" s="218">
        <f t="shared" si="2"/>
        <v>1334.0818761787893</v>
      </c>
      <c r="L30" s="219">
        <v>821.86699999999996</v>
      </c>
      <c r="M30" s="219">
        <v>1170.5129999999999</v>
      </c>
      <c r="N30" s="219">
        <v>1750.846</v>
      </c>
      <c r="O30" s="220"/>
    </row>
    <row r="31" spans="1:15" ht="16.5" thickBot="1" x14ac:dyDescent="0.25">
      <c r="A31" s="134"/>
      <c r="B31" s="134"/>
      <c r="C31" s="221"/>
      <c r="D31" s="134"/>
      <c r="E31" s="134"/>
      <c r="F31" s="221"/>
      <c r="G31" s="221"/>
      <c r="H31" s="221"/>
      <c r="I31" s="221"/>
      <c r="J31" s="221"/>
    </row>
    <row r="32" spans="1:15" ht="16.5" thickBot="1" x14ac:dyDescent="0.3">
      <c r="A32" s="518" t="s">
        <v>0</v>
      </c>
      <c r="B32" s="519"/>
      <c r="C32" s="519"/>
      <c r="D32" s="519"/>
      <c r="E32" s="519"/>
      <c r="F32" s="519"/>
      <c r="G32" s="519"/>
      <c r="H32" s="519"/>
      <c r="I32" s="519"/>
      <c r="J32" s="519"/>
      <c r="K32" s="222"/>
      <c r="L32" s="223" t="s">
        <v>785</v>
      </c>
      <c r="M32" s="224"/>
      <c r="N32" s="225"/>
    </row>
    <row r="33" spans="1:14" x14ac:dyDescent="0.25">
      <c r="A33" s="509" t="s">
        <v>622</v>
      </c>
      <c r="B33" s="510"/>
      <c r="C33" s="510"/>
      <c r="D33" s="510"/>
      <c r="E33" s="510"/>
      <c r="F33" s="510"/>
      <c r="G33" s="510"/>
      <c r="H33" s="510"/>
      <c r="I33" s="510"/>
      <c r="J33" s="511"/>
    </row>
    <row r="34" spans="1:14" ht="50.25" customHeight="1" x14ac:dyDescent="0.2">
      <c r="B34" s="508" t="s">
        <v>572</v>
      </c>
      <c r="C34" s="508"/>
      <c r="D34" s="508"/>
      <c r="E34" s="508"/>
      <c r="F34" s="508"/>
      <c r="G34" s="508"/>
      <c r="H34" s="508"/>
      <c r="I34" s="508"/>
      <c r="J34" s="508"/>
      <c r="K34" s="122"/>
      <c r="L34" s="512"/>
      <c r="M34" s="512"/>
      <c r="N34" s="512"/>
    </row>
    <row r="35" spans="1:14" x14ac:dyDescent="0.2">
      <c r="B35" s="226" t="s">
        <v>563</v>
      </c>
    </row>
    <row r="36" spans="1:14" x14ac:dyDescent="0.2">
      <c r="B36" s="226" t="s">
        <v>564</v>
      </c>
    </row>
    <row r="37" spans="1:14" x14ac:dyDescent="0.2">
      <c r="B37" s="226" t="s">
        <v>565</v>
      </c>
    </row>
    <row r="39" spans="1:14" ht="30" customHeight="1" x14ac:dyDescent="0.2">
      <c r="A39" s="513" t="s">
        <v>878</v>
      </c>
      <c r="B39" s="513"/>
      <c r="C39" s="513"/>
      <c r="D39" s="513"/>
      <c r="E39" s="513"/>
      <c r="F39" s="513"/>
      <c r="G39" s="513"/>
      <c r="H39" s="513"/>
      <c r="I39" s="513"/>
      <c r="J39" s="513"/>
      <c r="K39" s="513"/>
    </row>
    <row r="40" spans="1:14" x14ac:dyDescent="0.2">
      <c r="B40" s="145" t="s">
        <v>877</v>
      </c>
    </row>
    <row r="41" spans="1:14" x14ac:dyDescent="0.2">
      <c r="B41" s="227" t="s">
        <v>876</v>
      </c>
    </row>
    <row r="42" spans="1:14" x14ac:dyDescent="0.2">
      <c r="B42" s="228" t="s">
        <v>872</v>
      </c>
    </row>
    <row r="43" spans="1:14" x14ac:dyDescent="0.2">
      <c r="B43" s="227" t="s">
        <v>873</v>
      </c>
    </row>
    <row r="44" spans="1:14" x14ac:dyDescent="0.2">
      <c r="B44" s="227"/>
    </row>
    <row r="45" spans="1:14" ht="55.5" customHeight="1" x14ac:dyDescent="0.2">
      <c r="B45" s="498" t="s">
        <v>874</v>
      </c>
      <c r="C45" s="498"/>
      <c r="D45" s="498"/>
      <c r="E45" s="498"/>
      <c r="F45" s="498"/>
      <c r="G45" s="498"/>
      <c r="H45" s="498"/>
      <c r="I45" s="498"/>
      <c r="J45" s="498"/>
      <c r="K45" s="498"/>
      <c r="L45" s="498"/>
      <c r="M45" s="498"/>
      <c r="N45" s="498"/>
    </row>
    <row r="46" spans="1:14" ht="37.5" customHeight="1" x14ac:dyDescent="0.2">
      <c r="B46" s="498" t="s">
        <v>875</v>
      </c>
      <c r="C46" s="498"/>
      <c r="D46" s="498"/>
      <c r="E46" s="498"/>
      <c r="F46" s="498"/>
      <c r="G46" s="498"/>
      <c r="H46" s="498"/>
      <c r="I46" s="498"/>
      <c r="J46" s="498"/>
      <c r="K46" s="498"/>
      <c r="L46" s="498"/>
      <c r="M46" s="498"/>
      <c r="N46" s="498"/>
    </row>
  </sheetData>
  <mergeCells count="23">
    <mergeCell ref="A1:K1"/>
    <mergeCell ref="A2:K2"/>
    <mergeCell ref="J3:J5"/>
    <mergeCell ref="A32:J32"/>
    <mergeCell ref="C3:F3"/>
    <mergeCell ref="H3:H4"/>
    <mergeCell ref="K3:K5"/>
    <mergeCell ref="G3:G5"/>
    <mergeCell ref="I3:I5"/>
    <mergeCell ref="C4:C5"/>
    <mergeCell ref="E4:E5"/>
    <mergeCell ref="F4:F5"/>
    <mergeCell ref="B3:B5"/>
    <mergeCell ref="A3:A5"/>
    <mergeCell ref="B45:N45"/>
    <mergeCell ref="B46:N46"/>
    <mergeCell ref="L3:L5"/>
    <mergeCell ref="M3:M5"/>
    <mergeCell ref="N3:N5"/>
    <mergeCell ref="B34:J34"/>
    <mergeCell ref="A33:J33"/>
    <mergeCell ref="L34:N34"/>
    <mergeCell ref="A39:K39"/>
  </mergeCells>
  <phoneticPr fontId="0" type="noConversion"/>
  <printOptions gridLines="1"/>
  <pageMargins left="0.47244094488188981" right="0.31496062992125984" top="0.74803149606299213" bottom="0.39370078740157483" header="0.51181102362204722" footer="0.27559055118110237"/>
  <pageSetup paperSize="9" scale="5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5"/>
  <sheetViews>
    <sheetView zoomScaleNormal="100" workbookViewId="0">
      <pane xSplit="2" ySplit="6" topLeftCell="D7" activePane="bottomRight" state="frozen"/>
      <selection pane="topRight" activeCell="C1" sqref="C1"/>
      <selection pane="bottomLeft" activeCell="A7" sqref="A7"/>
      <selection pane="bottomRight" activeCell="B39" sqref="B39"/>
    </sheetView>
  </sheetViews>
  <sheetFormatPr defaultRowHeight="15.75" x14ac:dyDescent="0.2"/>
  <cols>
    <col min="1" max="1" width="5.5703125" style="144" customWidth="1"/>
    <col min="2" max="2" width="65.42578125" style="145" customWidth="1"/>
    <col min="3" max="3" width="14.7109375" style="22" customWidth="1"/>
    <col min="4" max="4" width="14" style="22" customWidth="1"/>
    <col min="5" max="5" width="15.85546875" style="22" customWidth="1"/>
    <col min="6" max="6" width="15.7109375" style="22" customWidth="1"/>
    <col min="7" max="7" width="19.140625" style="22" customWidth="1"/>
    <col min="8" max="8" width="18.7109375" style="22" customWidth="1"/>
    <col min="9" max="9" width="16.28515625" style="22" customWidth="1"/>
    <col min="10" max="10" width="17.7109375" style="22" bestFit="1" customWidth="1"/>
    <col min="11" max="11" width="13.28515625" style="22" customWidth="1"/>
    <col min="12" max="12" width="13.140625" style="22" customWidth="1"/>
    <col min="13" max="13" width="10.7109375" style="22" customWidth="1"/>
    <col min="14" max="14" width="11.7109375" style="22" customWidth="1"/>
    <col min="15" max="15" width="11.85546875" style="22" customWidth="1"/>
    <col min="16" max="16384" width="9.140625" style="22"/>
  </cols>
  <sheetData>
    <row r="1" spans="1:15" ht="19.5" thickBot="1" x14ac:dyDescent="0.25">
      <c r="A1" s="530" t="s">
        <v>738</v>
      </c>
      <c r="B1" s="531"/>
      <c r="C1" s="531"/>
      <c r="D1" s="531"/>
      <c r="E1" s="531"/>
      <c r="F1" s="531"/>
      <c r="G1" s="531"/>
      <c r="H1" s="531"/>
      <c r="I1" s="531"/>
      <c r="J1" s="531"/>
      <c r="K1" s="531"/>
    </row>
    <row r="2" spans="1:15" ht="16.5" thickBot="1" x14ac:dyDescent="0.25">
      <c r="A2" s="467" t="s">
        <v>866</v>
      </c>
      <c r="B2" s="468"/>
      <c r="C2" s="468"/>
      <c r="D2" s="468"/>
      <c r="E2" s="468"/>
      <c r="F2" s="468"/>
      <c r="G2" s="468"/>
      <c r="H2" s="468"/>
      <c r="I2" s="468"/>
      <c r="J2" s="468"/>
      <c r="K2" s="468"/>
      <c r="L2" s="229" t="s">
        <v>640</v>
      </c>
    </row>
    <row r="3" spans="1:15" x14ac:dyDescent="0.2">
      <c r="A3" s="525" t="s">
        <v>134</v>
      </c>
      <c r="B3" s="490" t="s">
        <v>623</v>
      </c>
      <c r="C3" s="520" t="s">
        <v>654</v>
      </c>
      <c r="D3" s="520"/>
      <c r="E3" s="520"/>
      <c r="F3" s="520"/>
      <c r="G3" s="520" t="s">
        <v>567</v>
      </c>
      <c r="H3" s="520" t="s">
        <v>192</v>
      </c>
      <c r="I3" s="520" t="s">
        <v>569</v>
      </c>
      <c r="J3" s="516" t="s">
        <v>570</v>
      </c>
      <c r="K3" s="532" t="s">
        <v>642</v>
      </c>
      <c r="L3" s="528" t="s">
        <v>641</v>
      </c>
      <c r="M3" s="499" t="s">
        <v>782</v>
      </c>
      <c r="N3" s="502" t="s">
        <v>784</v>
      </c>
      <c r="O3" s="505" t="s">
        <v>783</v>
      </c>
    </row>
    <row r="4" spans="1:15" x14ac:dyDescent="0.2">
      <c r="A4" s="526"/>
      <c r="B4" s="524"/>
      <c r="C4" s="521" t="s">
        <v>643</v>
      </c>
      <c r="D4" s="129" t="s">
        <v>192</v>
      </c>
      <c r="E4" s="521" t="s">
        <v>645</v>
      </c>
      <c r="F4" s="521" t="s">
        <v>646</v>
      </c>
      <c r="G4" s="521"/>
      <c r="H4" s="521"/>
      <c r="I4" s="521"/>
      <c r="J4" s="517"/>
      <c r="K4" s="532"/>
      <c r="L4" s="528"/>
      <c r="M4" s="500"/>
      <c r="N4" s="503"/>
      <c r="O4" s="506"/>
    </row>
    <row r="5" spans="1:15" s="206" customFormat="1" ht="63.75" thickBot="1" x14ac:dyDescent="0.25">
      <c r="A5" s="526"/>
      <c r="B5" s="524"/>
      <c r="C5" s="521"/>
      <c r="D5" s="5" t="s">
        <v>644</v>
      </c>
      <c r="E5" s="521"/>
      <c r="F5" s="521"/>
      <c r="G5" s="521"/>
      <c r="H5" s="129" t="s">
        <v>568</v>
      </c>
      <c r="I5" s="521"/>
      <c r="J5" s="517"/>
      <c r="K5" s="533"/>
      <c r="L5" s="529"/>
      <c r="M5" s="501"/>
      <c r="N5" s="504"/>
      <c r="O5" s="507"/>
    </row>
    <row r="6" spans="1:15" s="208" customFormat="1" x14ac:dyDescent="0.2">
      <c r="A6" s="28"/>
      <c r="B6" s="10"/>
      <c r="C6" s="129" t="s">
        <v>178</v>
      </c>
      <c r="D6" s="129" t="s">
        <v>179</v>
      </c>
      <c r="E6" s="129" t="s">
        <v>180</v>
      </c>
      <c r="F6" s="129" t="s">
        <v>120</v>
      </c>
      <c r="G6" s="129" t="s">
        <v>181</v>
      </c>
      <c r="H6" s="129" t="s">
        <v>182</v>
      </c>
      <c r="I6" s="129" t="s">
        <v>183</v>
      </c>
      <c r="J6" s="127" t="s">
        <v>121</v>
      </c>
      <c r="K6" s="230" t="s">
        <v>620</v>
      </c>
      <c r="L6" s="207" t="s">
        <v>555</v>
      </c>
    </row>
    <row r="7" spans="1:15" s="141" customFormat="1" x14ac:dyDescent="0.2">
      <c r="A7" s="7">
        <v>1</v>
      </c>
      <c r="B7" s="10" t="s">
        <v>175</v>
      </c>
      <c r="C7" s="152">
        <f>SUM(C8:C12)</f>
        <v>293.7</v>
      </c>
      <c r="D7" s="152">
        <f>SUM(D8:D12)</f>
        <v>293.54000000000002</v>
      </c>
      <c r="E7" s="152">
        <f>SUM(E8:E12)</f>
        <v>42.63</v>
      </c>
      <c r="F7" s="152">
        <f t="shared" ref="F7:F21" si="0">C7+E7</f>
        <v>336.33</v>
      </c>
      <c r="G7" s="152">
        <f>SUM(G8:G12)</f>
        <v>4549340.66</v>
      </c>
      <c r="H7" s="152">
        <f>SUM(H8:H12)</f>
        <v>4545071.25</v>
      </c>
      <c r="I7" s="152">
        <f>SUM(I8:I12)</f>
        <v>2126260.96</v>
      </c>
      <c r="J7" s="209">
        <f t="shared" ref="J7:J13" si="1">G7+I7</f>
        <v>6675601.6200000001</v>
      </c>
      <c r="K7" s="124">
        <f>IF(F7=0,0,J7/F7/12)</f>
        <v>1654.0306692831446</v>
      </c>
      <c r="L7" s="231">
        <f>IF('T6-Zamestnanci_a_mzdy'!F7-'T6a-Zamestnanci_a_mzdy (ženy)'!F7=0,0,('T6-Zamestnanci_a_mzdy'!J7-'T6a-Zamestnanci_a_mzdy (ženy)'!J7)/('T6-Zamestnanci_a_mzdy'!F7-'T6a-Zamestnanci_a_mzdy (ženy)'!F7)/12)</f>
        <v>1925.8333255468688</v>
      </c>
      <c r="M7" s="232">
        <v>1061.2470000000001</v>
      </c>
      <c r="N7" s="232">
        <v>1323.009</v>
      </c>
      <c r="O7" s="232">
        <v>1934.1790000000001</v>
      </c>
    </row>
    <row r="8" spans="1:15" ht="15.75" customHeight="1" x14ac:dyDescent="0.2">
      <c r="A8" s="7">
        <v>2</v>
      </c>
      <c r="B8" s="9" t="s">
        <v>621</v>
      </c>
      <c r="C8" s="210">
        <v>18.3</v>
      </c>
      <c r="D8" s="210">
        <v>18.34</v>
      </c>
      <c r="E8" s="210">
        <v>8.16</v>
      </c>
      <c r="F8" s="152">
        <f t="shared" si="0"/>
        <v>26.46</v>
      </c>
      <c r="G8" s="210">
        <v>506033.69</v>
      </c>
      <c r="H8" s="210">
        <v>506033.69</v>
      </c>
      <c r="I8" s="210">
        <v>447878.82</v>
      </c>
      <c r="J8" s="209">
        <f t="shared" si="1"/>
        <v>953912.51</v>
      </c>
      <c r="K8" s="124">
        <f t="shared" ref="K8:K30" si="2">IF(F8=0,0,J8/F8/12)</f>
        <v>3004.2596056941293</v>
      </c>
      <c r="L8" s="231">
        <f>IF('T6-Zamestnanci_a_mzdy'!F8-'T6a-Zamestnanci_a_mzdy (ženy)'!F8=0,0,('T6-Zamestnanci_a_mzdy'!J8-'T6a-Zamestnanci_a_mzdy (ženy)'!J8)/('T6-Zamestnanci_a_mzdy'!F8-'T6a-Zamestnanci_a_mzdy (ženy)'!F8)/12)</f>
        <v>2692.9006576670131</v>
      </c>
      <c r="M8" s="233">
        <v>2273.261</v>
      </c>
      <c r="N8" s="233">
        <v>2961.73</v>
      </c>
      <c r="O8" s="233">
        <v>3731.4850000000001</v>
      </c>
    </row>
    <row r="9" spans="1:15" x14ac:dyDescent="0.2">
      <c r="A9" s="7">
        <v>3</v>
      </c>
      <c r="B9" s="9" t="s">
        <v>144</v>
      </c>
      <c r="C9" s="210">
        <v>62.03</v>
      </c>
      <c r="D9" s="210">
        <v>61.99</v>
      </c>
      <c r="E9" s="210">
        <v>7.67</v>
      </c>
      <c r="F9" s="152">
        <f t="shared" si="0"/>
        <v>69.7</v>
      </c>
      <c r="G9" s="210">
        <v>1232903.57</v>
      </c>
      <c r="H9" s="210">
        <v>1231458.06</v>
      </c>
      <c r="I9" s="210">
        <v>411962.89</v>
      </c>
      <c r="J9" s="209">
        <f t="shared" si="1"/>
        <v>1644866.46</v>
      </c>
      <c r="K9" s="124">
        <f t="shared" si="2"/>
        <v>1966.6026542324246</v>
      </c>
      <c r="L9" s="231">
        <f>IF('T6-Zamestnanci_a_mzdy'!F9-'T6a-Zamestnanci_a_mzdy (ženy)'!F9=0,0,('T6-Zamestnanci_a_mzdy'!J9-'T6a-Zamestnanci_a_mzdy (ženy)'!J9)/('T6-Zamestnanci_a_mzdy'!F9-'T6a-Zamestnanci_a_mzdy (ženy)'!F9)/12)</f>
        <v>1956.7263382816011</v>
      </c>
      <c r="M9" s="233">
        <v>1328.184</v>
      </c>
      <c r="N9" s="233">
        <v>1726.607</v>
      </c>
      <c r="O9" s="233">
        <v>2317.62</v>
      </c>
    </row>
    <row r="10" spans="1:15" x14ac:dyDescent="0.2">
      <c r="A10" s="7">
        <v>4</v>
      </c>
      <c r="B10" s="9" t="s">
        <v>145</v>
      </c>
      <c r="C10" s="210">
        <v>166.7</v>
      </c>
      <c r="D10" s="210">
        <v>166.54</v>
      </c>
      <c r="E10" s="210">
        <v>18.5</v>
      </c>
      <c r="F10" s="152">
        <f t="shared" si="0"/>
        <v>185.2</v>
      </c>
      <c r="G10" s="210">
        <v>2343323.2400000002</v>
      </c>
      <c r="H10" s="210">
        <v>2340499.34</v>
      </c>
      <c r="I10" s="210">
        <v>952883.12</v>
      </c>
      <c r="J10" s="209">
        <f t="shared" si="1"/>
        <v>3296206.3600000003</v>
      </c>
      <c r="K10" s="124">
        <f t="shared" si="2"/>
        <v>1483.1742080633551</v>
      </c>
      <c r="L10" s="231">
        <f>IF('T6-Zamestnanci_a_mzdy'!F10-'T6a-Zamestnanci_a_mzdy (ženy)'!F10=0,0,('T6-Zamestnanci_a_mzdy'!J10-'T6a-Zamestnanci_a_mzdy (ženy)'!J10)/('T6-Zamestnanci_a_mzdy'!F10-'T6a-Zamestnanci_a_mzdy (ženy)'!F10)/12)</f>
        <v>1603.4569285874184</v>
      </c>
      <c r="M10" s="233">
        <v>1014.832</v>
      </c>
      <c r="N10" s="233">
        <v>1271.7370000000001</v>
      </c>
      <c r="O10" s="233">
        <v>1769.0830000000001</v>
      </c>
    </row>
    <row r="11" spans="1:15" x14ac:dyDescent="0.2">
      <c r="A11" s="7">
        <v>5</v>
      </c>
      <c r="B11" s="9" t="s">
        <v>146</v>
      </c>
      <c r="C11" s="210">
        <v>41.82</v>
      </c>
      <c r="D11" s="210">
        <v>41.82</v>
      </c>
      <c r="E11" s="210">
        <v>2.38</v>
      </c>
      <c r="F11" s="152">
        <f t="shared" si="0"/>
        <v>44.2</v>
      </c>
      <c r="G11" s="210">
        <v>412678.5</v>
      </c>
      <c r="H11" s="210">
        <v>412678.5</v>
      </c>
      <c r="I11" s="210">
        <v>240588.58</v>
      </c>
      <c r="J11" s="209">
        <f t="shared" si="1"/>
        <v>653267.07999999996</v>
      </c>
      <c r="K11" s="124">
        <f t="shared" si="2"/>
        <v>1231.6498491704372</v>
      </c>
      <c r="L11" s="231">
        <f>IF('T6-Zamestnanci_a_mzdy'!F11-'T6a-Zamestnanci_a_mzdy (ženy)'!F11=0,0,('T6-Zamestnanci_a_mzdy'!J11-'T6a-Zamestnanci_a_mzdy (ženy)'!J11)/('T6-Zamestnanci_a_mzdy'!F11-'T6a-Zamestnanci_a_mzdy (ženy)'!F11)/12)</f>
        <v>1380.432855626327</v>
      </c>
      <c r="M11" s="233">
        <v>1028.558</v>
      </c>
      <c r="N11" s="233">
        <v>1173.086</v>
      </c>
      <c r="O11" s="233">
        <v>1391.626</v>
      </c>
    </row>
    <row r="12" spans="1:15" x14ac:dyDescent="0.2">
      <c r="A12" s="7">
        <v>6</v>
      </c>
      <c r="B12" s="9" t="s">
        <v>147</v>
      </c>
      <c r="C12" s="210">
        <v>4.8499999999999996</v>
      </c>
      <c r="D12" s="210">
        <v>4.8499999999999996</v>
      </c>
      <c r="E12" s="210">
        <v>5.92</v>
      </c>
      <c r="F12" s="152">
        <f t="shared" si="0"/>
        <v>10.77</v>
      </c>
      <c r="G12" s="210">
        <v>54401.66</v>
      </c>
      <c r="H12" s="210">
        <v>54401.66</v>
      </c>
      <c r="I12" s="210">
        <v>72947.55</v>
      </c>
      <c r="J12" s="209">
        <f t="shared" si="1"/>
        <v>127349.21</v>
      </c>
      <c r="K12" s="124">
        <f t="shared" si="2"/>
        <v>985.36993190962551</v>
      </c>
      <c r="L12" s="231">
        <f>IF('T6-Zamestnanci_a_mzdy'!F12-'T6a-Zamestnanci_a_mzdy (ženy)'!F12=0,0,('T6-Zamestnanci_a_mzdy'!J12-'T6a-Zamestnanci_a_mzdy (ženy)'!J12)/('T6-Zamestnanci_a_mzdy'!F12-'T6a-Zamestnanci_a_mzdy (ženy)'!F12)/12)</f>
        <v>1021.6294559099433</v>
      </c>
      <c r="M12" s="233">
        <v>870.58799999999997</v>
      </c>
      <c r="N12" s="233">
        <v>903.76199999999994</v>
      </c>
      <c r="O12" s="233">
        <v>1114.684</v>
      </c>
    </row>
    <row r="13" spans="1:15" x14ac:dyDescent="0.2">
      <c r="A13" s="7">
        <v>7</v>
      </c>
      <c r="B13" s="10" t="s">
        <v>29</v>
      </c>
      <c r="C13" s="210">
        <v>115.13</v>
      </c>
      <c r="D13" s="210">
        <v>109.13</v>
      </c>
      <c r="E13" s="210">
        <v>17.75</v>
      </c>
      <c r="F13" s="152">
        <f t="shared" si="0"/>
        <v>132.88</v>
      </c>
      <c r="G13" s="210">
        <v>1113825.17</v>
      </c>
      <c r="H13" s="210">
        <v>1020181.21</v>
      </c>
      <c r="I13" s="210">
        <v>260758.23</v>
      </c>
      <c r="J13" s="209">
        <f t="shared" si="1"/>
        <v>1374583.4</v>
      </c>
      <c r="K13" s="124">
        <f t="shared" si="2"/>
        <v>862.04557997190443</v>
      </c>
      <c r="L13" s="231">
        <f>IF('T6-Zamestnanci_a_mzdy'!F13-'T6a-Zamestnanci_a_mzdy (ženy)'!F13=0,0,('T6-Zamestnanci_a_mzdy'!J13-'T6a-Zamestnanci_a_mzdy (ženy)'!J13)/('T6-Zamestnanci_a_mzdy'!F13-'T6a-Zamestnanci_a_mzdy (ženy)'!F13)/12)</f>
        <v>1231.5716607159202</v>
      </c>
      <c r="M13" s="233">
        <v>678.399</v>
      </c>
      <c r="N13" s="233">
        <v>827.70799999999997</v>
      </c>
      <c r="O13" s="233" t="s">
        <v>871</v>
      </c>
    </row>
    <row r="14" spans="1:15" x14ac:dyDescent="0.2">
      <c r="A14" s="7"/>
      <c r="B14" s="9" t="s">
        <v>192</v>
      </c>
      <c r="C14" s="210"/>
      <c r="D14" s="210"/>
      <c r="E14" s="210"/>
      <c r="F14" s="152">
        <f t="shared" si="0"/>
        <v>0</v>
      </c>
      <c r="G14" s="210"/>
      <c r="H14" s="210"/>
      <c r="I14" s="210"/>
      <c r="J14" s="209"/>
      <c r="K14" s="209"/>
      <c r="L14" s="231"/>
      <c r="M14" s="234"/>
      <c r="N14" s="234"/>
      <c r="O14" s="234"/>
    </row>
    <row r="15" spans="1:15" x14ac:dyDescent="0.2">
      <c r="A15" s="7">
        <v>8</v>
      </c>
      <c r="B15" s="9" t="s">
        <v>33</v>
      </c>
      <c r="C15" s="210">
        <v>12.45</v>
      </c>
      <c r="D15" s="210">
        <v>12.46</v>
      </c>
      <c r="E15" s="210">
        <v>1.92</v>
      </c>
      <c r="F15" s="152">
        <f t="shared" si="0"/>
        <v>14.37</v>
      </c>
      <c r="G15" s="210">
        <v>138344.15</v>
      </c>
      <c r="H15" s="210">
        <v>138344.15</v>
      </c>
      <c r="I15" s="210">
        <v>31479.57</v>
      </c>
      <c r="J15" s="209">
        <f t="shared" ref="J15:J21" si="3">G15+I15</f>
        <v>169823.72</v>
      </c>
      <c r="K15" s="124">
        <f t="shared" si="2"/>
        <v>984.82788216191148</v>
      </c>
      <c r="L15" s="231">
        <f>IF('T6-Zamestnanci_a_mzdy'!F15-'T6a-Zamestnanci_a_mzdy (ženy)'!F15=0,0,('T6-Zamestnanci_a_mzdy'!J15-'T6a-Zamestnanci_a_mzdy (ženy)'!J15)/('T6-Zamestnanci_a_mzdy'!F15-'T6a-Zamestnanci_a_mzdy (ženy)'!F15)/12)</f>
        <v>1352.1575148598924</v>
      </c>
      <c r="M15" s="233">
        <v>824.10699999999997</v>
      </c>
      <c r="N15" s="233">
        <v>911.97299999999996</v>
      </c>
      <c r="O15" s="233">
        <v>1090.0150000000001</v>
      </c>
    </row>
    <row r="16" spans="1:15" x14ac:dyDescent="0.2">
      <c r="A16" s="7">
        <v>9</v>
      </c>
      <c r="B16" s="10" t="s">
        <v>176</v>
      </c>
      <c r="C16" s="152">
        <f>SUM(C17:C19)</f>
        <v>188.17000000000002</v>
      </c>
      <c r="D16" s="152">
        <f>SUM(D17:D19)</f>
        <v>186.62000000000003</v>
      </c>
      <c r="E16" s="152">
        <f>SUM(E17:E19)</f>
        <v>24.58</v>
      </c>
      <c r="F16" s="152">
        <f t="shared" si="0"/>
        <v>212.75</v>
      </c>
      <c r="G16" s="152">
        <f>SUM(G17:G19)</f>
        <v>1986222.5899999999</v>
      </c>
      <c r="H16" s="152">
        <f>SUM(H17:H19)</f>
        <v>1958203.79</v>
      </c>
      <c r="I16" s="152">
        <f>SUM(I17:I19)</f>
        <v>487643.89</v>
      </c>
      <c r="J16" s="209">
        <f t="shared" si="3"/>
        <v>2473866.48</v>
      </c>
      <c r="K16" s="124">
        <f t="shared" si="2"/>
        <v>969.00371327849587</v>
      </c>
      <c r="L16" s="231">
        <f>IF('T6-Zamestnanci_a_mzdy'!F16-'T6a-Zamestnanci_a_mzdy (ženy)'!F16=0,0,('T6-Zamestnanci_a_mzdy'!J16-'T6a-Zamestnanci_a_mzdy (ženy)'!J16)/('T6-Zamestnanci_a_mzdy'!F16-'T6a-Zamestnanci_a_mzdy (ženy)'!F16)/12)</f>
        <v>1244.3655202821872</v>
      </c>
      <c r="M16" s="233">
        <v>723.48599999999999</v>
      </c>
      <c r="N16" s="233">
        <v>868.34</v>
      </c>
      <c r="O16" s="233">
        <v>1090.0150000000001</v>
      </c>
    </row>
    <row r="17" spans="1:15" x14ac:dyDescent="0.2">
      <c r="A17" s="7">
        <v>10</v>
      </c>
      <c r="B17" s="9" t="s">
        <v>148</v>
      </c>
      <c r="C17" s="210">
        <v>70.14</v>
      </c>
      <c r="D17" s="210">
        <v>68.59</v>
      </c>
      <c r="E17" s="210">
        <v>2.59</v>
      </c>
      <c r="F17" s="152">
        <f t="shared" si="0"/>
        <v>72.73</v>
      </c>
      <c r="G17" s="210">
        <v>811598.07</v>
      </c>
      <c r="H17" s="210">
        <v>786177.49</v>
      </c>
      <c r="I17" s="210">
        <v>37521.64</v>
      </c>
      <c r="J17" s="209">
        <f t="shared" si="3"/>
        <v>849119.71</v>
      </c>
      <c r="K17" s="124">
        <f t="shared" si="2"/>
        <v>972.91318346395337</v>
      </c>
      <c r="L17" s="231">
        <f>IF('T6-Zamestnanci_a_mzdy'!F17-'T6a-Zamestnanci_a_mzdy (ženy)'!F17=0,0,('T6-Zamestnanci_a_mzdy'!J17-'T6a-Zamestnanci_a_mzdy (ženy)'!J17)/('T6-Zamestnanci_a_mzdy'!F17-'T6a-Zamestnanci_a_mzdy (ženy)'!F17)/12)</f>
        <v>1377.4894723490645</v>
      </c>
      <c r="M17" s="233">
        <v>758.38800000000003</v>
      </c>
      <c r="N17" s="233">
        <v>907.49099999999999</v>
      </c>
      <c r="O17" s="233">
        <v>1145.8309999999999</v>
      </c>
    </row>
    <row r="18" spans="1:15" x14ac:dyDescent="0.2">
      <c r="A18" s="7">
        <v>11</v>
      </c>
      <c r="B18" s="9" t="s">
        <v>122</v>
      </c>
      <c r="C18" s="210">
        <v>71.760000000000005</v>
      </c>
      <c r="D18" s="210">
        <v>71.760000000000005</v>
      </c>
      <c r="E18" s="210">
        <v>12.53</v>
      </c>
      <c r="F18" s="152">
        <f t="shared" si="0"/>
        <v>84.29</v>
      </c>
      <c r="G18" s="210">
        <v>800425.52</v>
      </c>
      <c r="H18" s="210">
        <v>798655.78</v>
      </c>
      <c r="I18" s="210">
        <v>294450.84999999998</v>
      </c>
      <c r="J18" s="209">
        <f t="shared" si="3"/>
        <v>1094876.3700000001</v>
      </c>
      <c r="K18" s="124">
        <f t="shared" si="2"/>
        <v>1082.449845770554</v>
      </c>
      <c r="L18" s="231">
        <f>IF('T6-Zamestnanci_a_mzdy'!F18-'T6a-Zamestnanci_a_mzdy (ženy)'!F18=0,0,('T6-Zamestnanci_a_mzdy'!J18-'T6a-Zamestnanci_a_mzdy (ženy)'!J18)/('T6-Zamestnanci_a_mzdy'!F18-'T6a-Zamestnanci_a_mzdy (ženy)'!F18)/12)</f>
        <v>964.10972716488538</v>
      </c>
      <c r="M18" s="234">
        <v>0</v>
      </c>
      <c r="N18" s="234">
        <v>0</v>
      </c>
      <c r="O18" s="234">
        <v>0</v>
      </c>
    </row>
    <row r="19" spans="1:15" x14ac:dyDescent="0.2">
      <c r="A19" s="7">
        <v>12</v>
      </c>
      <c r="B19" s="9" t="s">
        <v>104</v>
      </c>
      <c r="C19" s="210">
        <v>46.27</v>
      </c>
      <c r="D19" s="210">
        <v>46.27</v>
      </c>
      <c r="E19" s="210">
        <v>9.4600000000000009</v>
      </c>
      <c r="F19" s="152">
        <f t="shared" si="0"/>
        <v>55.730000000000004</v>
      </c>
      <c r="G19" s="210">
        <v>374199</v>
      </c>
      <c r="H19" s="210">
        <v>373370.52</v>
      </c>
      <c r="I19" s="210">
        <v>155671.4</v>
      </c>
      <c r="J19" s="209">
        <f t="shared" si="3"/>
        <v>529870.4</v>
      </c>
      <c r="K19" s="124">
        <f t="shared" si="2"/>
        <v>792.31772235181518</v>
      </c>
      <c r="L19" s="231">
        <f>IF('T6-Zamestnanci_a_mzdy'!F19-'T6a-Zamestnanci_a_mzdy (ženy)'!F19=0,0,('T6-Zamestnanci_a_mzdy'!J19-'T6a-Zamestnanci_a_mzdy (ženy)'!J19)/('T6-Zamestnanci_a_mzdy'!F19-'T6a-Zamestnanci_a_mzdy (ženy)'!F19)/12)</f>
        <v>0</v>
      </c>
      <c r="M19" s="233">
        <v>675.59699999999998</v>
      </c>
      <c r="N19" s="233">
        <v>804.54399999999998</v>
      </c>
      <c r="O19" s="233">
        <v>890.86699999999996</v>
      </c>
    </row>
    <row r="20" spans="1:15" x14ac:dyDescent="0.2">
      <c r="A20" s="7">
        <v>13</v>
      </c>
      <c r="B20" s="10" t="s">
        <v>173</v>
      </c>
      <c r="C20" s="210">
        <v>52.59</v>
      </c>
      <c r="D20" s="210">
        <v>52.19</v>
      </c>
      <c r="E20" s="210">
        <v>13.66</v>
      </c>
      <c r="F20" s="152">
        <f t="shared" si="0"/>
        <v>66.25</v>
      </c>
      <c r="G20" s="210">
        <v>752935.05</v>
      </c>
      <c r="H20" s="210">
        <v>747591.44</v>
      </c>
      <c r="I20" s="210">
        <v>431551.57</v>
      </c>
      <c r="J20" s="209">
        <f t="shared" si="3"/>
        <v>1184486.6200000001</v>
      </c>
      <c r="K20" s="124">
        <f t="shared" si="2"/>
        <v>1489.9202767295599</v>
      </c>
      <c r="L20" s="231">
        <f>IF('T6-Zamestnanci_a_mzdy'!F20-'T6a-Zamestnanci_a_mzdy (ženy)'!F20=0,0,('T6-Zamestnanci_a_mzdy'!J20-'T6a-Zamestnanci_a_mzdy (ženy)'!J20)/('T6-Zamestnanci_a_mzdy'!F20-'T6a-Zamestnanci_a_mzdy (ženy)'!F20)/12)</f>
        <v>1612.0798267672535</v>
      </c>
      <c r="M20" s="233">
        <v>893.74099999999999</v>
      </c>
      <c r="N20" s="233">
        <v>1112.998</v>
      </c>
      <c r="O20" s="233">
        <v>1747.0170000000001</v>
      </c>
    </row>
    <row r="21" spans="1:15" ht="31.5" x14ac:dyDescent="0.2">
      <c r="A21" s="7">
        <v>14</v>
      </c>
      <c r="B21" s="10" t="s">
        <v>30</v>
      </c>
      <c r="C21" s="210">
        <v>76.41</v>
      </c>
      <c r="D21" s="210">
        <v>76.41</v>
      </c>
      <c r="E21" s="210">
        <v>12.31</v>
      </c>
      <c r="F21" s="152">
        <f t="shared" si="0"/>
        <v>88.72</v>
      </c>
      <c r="G21" s="210">
        <v>443405.55</v>
      </c>
      <c r="H21" s="210">
        <v>443405.55</v>
      </c>
      <c r="I21" s="210">
        <v>132851.76</v>
      </c>
      <c r="J21" s="209">
        <f t="shared" si="3"/>
        <v>576257.31000000006</v>
      </c>
      <c r="K21" s="124">
        <f t="shared" si="2"/>
        <v>541.26964044183956</v>
      </c>
      <c r="L21" s="231">
        <f>IF('T6-Zamestnanci_a_mzdy'!F21-'T6a-Zamestnanci_a_mzdy (ženy)'!F21=0,0,('T6-Zamestnanci_a_mzdy'!J21-'T6a-Zamestnanci_a_mzdy (ženy)'!J21)/('T6-Zamestnanci_a_mzdy'!F21-'T6a-Zamestnanci_a_mzdy (ženy)'!F21)/12)</f>
        <v>749.19336387303485</v>
      </c>
      <c r="M21" s="233">
        <v>443.62700000000001</v>
      </c>
      <c r="N21" s="233">
        <v>481.495</v>
      </c>
      <c r="O21" s="233">
        <v>581.60299999999995</v>
      </c>
    </row>
    <row r="22" spans="1:15" ht="47.25" x14ac:dyDescent="0.2">
      <c r="A22" s="7">
        <v>15</v>
      </c>
      <c r="B22" s="10" t="s">
        <v>207</v>
      </c>
      <c r="C22" s="152">
        <f>SUM(C23:C26)</f>
        <v>16.55</v>
      </c>
      <c r="D22" s="152">
        <f>SUM(D23:D26)</f>
        <v>16.55</v>
      </c>
      <c r="E22" s="152">
        <f>SUM(E23:E26)</f>
        <v>3.78</v>
      </c>
      <c r="F22" s="152">
        <f>SUM(F27:F27)</f>
        <v>0</v>
      </c>
      <c r="G22" s="152">
        <f>SUM(G23:G26)</f>
        <v>127309.01</v>
      </c>
      <c r="H22" s="152">
        <f>SUM(H23:H26)</f>
        <v>127309.01</v>
      </c>
      <c r="I22" s="152">
        <f>SUM(I23:I26)</f>
        <v>20916.86</v>
      </c>
      <c r="J22" s="209">
        <f>SUM(J23:J26)</f>
        <v>148225.87</v>
      </c>
      <c r="K22" s="124">
        <f t="shared" si="2"/>
        <v>0</v>
      </c>
      <c r="L22" s="231">
        <f>IF('T6-Zamestnanci_a_mzdy'!F22-'T6a-Zamestnanci_a_mzdy (ženy)'!F22=0,0,('T6-Zamestnanci_a_mzdy'!J22-'T6a-Zamestnanci_a_mzdy (ženy)'!J22)/('T6-Zamestnanci_a_mzdy'!F22-'T6a-Zamestnanci_a_mzdy (ženy)'!F22)/12)</f>
        <v>0</v>
      </c>
      <c r="M22" s="7" t="s">
        <v>200</v>
      </c>
      <c r="N22" s="7" t="s">
        <v>200</v>
      </c>
      <c r="O22" s="7" t="s">
        <v>200</v>
      </c>
    </row>
    <row r="23" spans="1:15" x14ac:dyDescent="0.2">
      <c r="A23" s="7" t="s">
        <v>174</v>
      </c>
      <c r="B23" s="9" t="s">
        <v>837</v>
      </c>
      <c r="C23" s="210">
        <v>16.55</v>
      </c>
      <c r="D23" s="210">
        <v>16.55</v>
      </c>
      <c r="E23" s="210">
        <v>3.78</v>
      </c>
      <c r="F23" s="152">
        <f t="shared" ref="F23:F29" si="4">C23+E23</f>
        <v>20.330000000000002</v>
      </c>
      <c r="G23" s="210">
        <v>127309.01</v>
      </c>
      <c r="H23" s="210">
        <v>127309.01</v>
      </c>
      <c r="I23" s="210">
        <v>20916.86</v>
      </c>
      <c r="J23" s="209">
        <f>G23+I23</f>
        <v>148225.87</v>
      </c>
      <c r="K23" s="124">
        <f t="shared" si="2"/>
        <v>607.58267748811272</v>
      </c>
      <c r="L23" s="231">
        <f>IF('T6-Zamestnanci_a_mzdy'!F23-'T6a-Zamestnanci_a_mzdy (ženy)'!F23=0,0,('T6-Zamestnanci_a_mzdy'!J23-'T6a-Zamestnanci_a_mzdy (ženy)'!J23)/('T6-Zamestnanci_a_mzdy'!F23-'T6a-Zamestnanci_a_mzdy (ženy)'!F23)/12)</f>
        <v>808.96905355143929</v>
      </c>
      <c r="M23" s="7" t="s">
        <v>200</v>
      </c>
      <c r="N23" s="7" t="s">
        <v>200</v>
      </c>
      <c r="O23" s="7" t="s">
        <v>200</v>
      </c>
    </row>
    <row r="24" spans="1:15" x14ac:dyDescent="0.2">
      <c r="A24" s="7" t="s">
        <v>260</v>
      </c>
      <c r="B24" s="9"/>
      <c r="C24" s="210"/>
      <c r="D24" s="210"/>
      <c r="E24" s="210"/>
      <c r="F24" s="152">
        <f t="shared" si="4"/>
        <v>0</v>
      </c>
      <c r="G24" s="210"/>
      <c r="H24" s="210"/>
      <c r="I24" s="210"/>
      <c r="J24" s="209">
        <f>G24+I24</f>
        <v>0</v>
      </c>
      <c r="K24" s="124">
        <f t="shared" si="2"/>
        <v>0</v>
      </c>
      <c r="L24" s="231">
        <f>IF('T6-Zamestnanci_a_mzdy'!F24-'T6a-Zamestnanci_a_mzdy (ženy)'!F24=0,0,('T6-Zamestnanci_a_mzdy'!J24-'T6a-Zamestnanci_a_mzdy (ženy)'!J24)/('T6-Zamestnanci_a_mzdy'!F24-'T6a-Zamestnanci_a_mzdy (ženy)'!F24)/12)</f>
        <v>0</v>
      </c>
      <c r="M24" s="7" t="s">
        <v>200</v>
      </c>
      <c r="N24" s="7" t="s">
        <v>200</v>
      </c>
      <c r="O24" s="7" t="s">
        <v>200</v>
      </c>
    </row>
    <row r="25" spans="1:15" x14ac:dyDescent="0.2">
      <c r="A25" s="7" t="s">
        <v>261</v>
      </c>
      <c r="B25" s="9"/>
      <c r="C25" s="210"/>
      <c r="D25" s="210"/>
      <c r="E25" s="210"/>
      <c r="F25" s="152">
        <f t="shared" si="4"/>
        <v>0</v>
      </c>
      <c r="G25" s="210"/>
      <c r="H25" s="210"/>
      <c r="I25" s="210"/>
      <c r="J25" s="209">
        <f>G25+I25</f>
        <v>0</v>
      </c>
      <c r="K25" s="124">
        <f t="shared" si="2"/>
        <v>0</v>
      </c>
      <c r="L25" s="231">
        <f>IF('T6-Zamestnanci_a_mzdy'!F25-'T6a-Zamestnanci_a_mzdy (ženy)'!F25=0,0,('T6-Zamestnanci_a_mzdy'!J25-'T6a-Zamestnanci_a_mzdy (ženy)'!J25)/('T6-Zamestnanci_a_mzdy'!F25-'T6a-Zamestnanci_a_mzdy (ženy)'!F25)/12)</f>
        <v>0</v>
      </c>
      <c r="M25" s="7" t="s">
        <v>200</v>
      </c>
      <c r="N25" s="7" t="s">
        <v>200</v>
      </c>
      <c r="O25" s="7" t="s">
        <v>200</v>
      </c>
    </row>
    <row r="26" spans="1:15" x14ac:dyDescent="0.2">
      <c r="A26" s="7" t="s">
        <v>262</v>
      </c>
      <c r="B26" s="9"/>
      <c r="C26" s="210"/>
      <c r="D26" s="210"/>
      <c r="E26" s="210"/>
      <c r="F26" s="152">
        <f t="shared" si="4"/>
        <v>0</v>
      </c>
      <c r="G26" s="210"/>
      <c r="H26" s="210"/>
      <c r="I26" s="210"/>
      <c r="J26" s="209">
        <f>G26+I26</f>
        <v>0</v>
      </c>
      <c r="K26" s="124">
        <f t="shared" si="2"/>
        <v>0</v>
      </c>
      <c r="L26" s="231">
        <f>IF('T6-Zamestnanci_a_mzdy'!F26-'T6a-Zamestnanci_a_mzdy (ženy)'!F26=0,0,('T6-Zamestnanci_a_mzdy'!J26-'T6a-Zamestnanci_a_mzdy (ženy)'!J26)/('T6-Zamestnanci_a_mzdy'!F26-'T6a-Zamestnanci_a_mzdy (ženy)'!F26)/12)</f>
        <v>0</v>
      </c>
      <c r="M26" s="7" t="s">
        <v>200</v>
      </c>
      <c r="N26" s="7" t="s">
        <v>200</v>
      </c>
      <c r="O26" s="7" t="s">
        <v>200</v>
      </c>
    </row>
    <row r="27" spans="1:15" x14ac:dyDescent="0.2">
      <c r="A27" s="7"/>
      <c r="B27" s="9"/>
      <c r="C27" s="210"/>
      <c r="D27" s="210"/>
      <c r="E27" s="210"/>
      <c r="F27" s="152">
        <f t="shared" si="4"/>
        <v>0</v>
      </c>
      <c r="G27" s="210"/>
      <c r="H27" s="210"/>
      <c r="I27" s="210"/>
      <c r="J27" s="209"/>
      <c r="K27" s="209"/>
      <c r="L27" s="231"/>
      <c r="M27" s="211"/>
      <c r="N27" s="212"/>
      <c r="O27" s="213"/>
    </row>
    <row r="28" spans="1:15" x14ac:dyDescent="0.2">
      <c r="A28" s="7">
        <v>16</v>
      </c>
      <c r="B28" s="10" t="s">
        <v>31</v>
      </c>
      <c r="C28" s="210">
        <v>30.88</v>
      </c>
      <c r="D28" s="210">
        <v>30.88</v>
      </c>
      <c r="E28" s="210">
        <v>8.9600000000000009</v>
      </c>
      <c r="F28" s="152">
        <f t="shared" si="4"/>
        <v>39.840000000000003</v>
      </c>
      <c r="G28" s="210">
        <v>220853.97</v>
      </c>
      <c r="H28" s="210">
        <v>220853.97</v>
      </c>
      <c r="I28" s="210">
        <v>102084.62</v>
      </c>
      <c r="J28" s="209">
        <f>G28+I28</f>
        <v>322938.58999999997</v>
      </c>
      <c r="K28" s="124">
        <f t="shared" si="2"/>
        <v>675.49069193440414</v>
      </c>
      <c r="L28" s="231">
        <f>IF('T6-Zamestnanci_a_mzdy'!F28-'T6a-Zamestnanci_a_mzdy (ženy)'!F28=0,0,('T6-Zamestnanci_a_mzdy'!J28-'T6a-Zamestnanci_a_mzdy (ženy)'!J28)/('T6-Zamestnanci_a_mzdy'!F28-'T6a-Zamestnanci_a_mzdy (ženy)'!F28)/12)</f>
        <v>753.70368062479258</v>
      </c>
      <c r="M28" s="233">
        <v>528.02200000000005</v>
      </c>
      <c r="N28" s="233">
        <v>619.66899999999998</v>
      </c>
      <c r="O28" s="233">
        <v>833.22900000000004</v>
      </c>
    </row>
    <row r="29" spans="1:15" x14ac:dyDescent="0.2">
      <c r="A29" s="7">
        <v>17</v>
      </c>
      <c r="B29" s="10" t="s">
        <v>32</v>
      </c>
      <c r="C29" s="210"/>
      <c r="D29" s="210"/>
      <c r="E29" s="210">
        <v>37.17</v>
      </c>
      <c r="F29" s="152">
        <f t="shared" si="4"/>
        <v>37.17</v>
      </c>
      <c r="G29" s="210">
        <v>29837.24</v>
      </c>
      <c r="H29" s="210">
        <v>29837.24</v>
      </c>
      <c r="I29" s="210">
        <v>252469.96</v>
      </c>
      <c r="J29" s="209">
        <f>G29+I29</f>
        <v>282307.20000000001</v>
      </c>
      <c r="K29" s="124">
        <f t="shared" si="2"/>
        <v>632.91902071563084</v>
      </c>
      <c r="L29" s="231">
        <f>IF('T6-Zamestnanci_a_mzdy'!F29-'T6a-Zamestnanci_a_mzdy (ženy)'!F29=0,0,('T6-Zamestnanci_a_mzdy'!J29-'T6a-Zamestnanci_a_mzdy (ženy)'!J29)/('T6-Zamestnanci_a_mzdy'!F29-'T6a-Zamestnanci_a_mzdy (ženy)'!F29)/12)</f>
        <v>559.71246246246244</v>
      </c>
      <c r="M29" s="233">
        <v>439.81700000000001</v>
      </c>
      <c r="N29" s="233">
        <v>564.48900000000003</v>
      </c>
      <c r="O29" s="233">
        <v>658.87800000000004</v>
      </c>
    </row>
    <row r="30" spans="1:15" ht="16.5" thickBot="1" x14ac:dyDescent="0.25">
      <c r="A30" s="47">
        <v>18</v>
      </c>
      <c r="B30" s="11" t="s">
        <v>208</v>
      </c>
      <c r="C30" s="175">
        <f t="shared" ref="C30:J30" si="5">C7+C13+C16+C20+C21+C28+C29</f>
        <v>756.88</v>
      </c>
      <c r="D30" s="175">
        <f t="shared" si="5"/>
        <v>748.77</v>
      </c>
      <c r="E30" s="175">
        <f t="shared" si="5"/>
        <v>157.06</v>
      </c>
      <c r="F30" s="175">
        <f t="shared" si="5"/>
        <v>913.94</v>
      </c>
      <c r="G30" s="175">
        <f t="shared" si="5"/>
        <v>9096420.2300000023</v>
      </c>
      <c r="H30" s="175">
        <f t="shared" si="5"/>
        <v>8965144.4500000011</v>
      </c>
      <c r="I30" s="175">
        <f t="shared" si="5"/>
        <v>3793620.99</v>
      </c>
      <c r="J30" s="217">
        <f t="shared" si="5"/>
        <v>12890041.220000001</v>
      </c>
      <c r="K30" s="218">
        <f t="shared" si="2"/>
        <v>1175.3179658037363</v>
      </c>
      <c r="L30" s="235">
        <f>IF('T6-Zamestnanci_a_mzdy'!F30-'T6a-Zamestnanci_a_mzdy (ženy)'!F30=0,0,('T6-Zamestnanci_a_mzdy'!J30-'T6a-Zamestnanci_a_mzdy (ženy)'!J30)/('T6-Zamestnanci_a_mzdy'!F30-'T6a-Zamestnanci_a_mzdy (ženy)'!F30)/12)</f>
        <v>1596.4890814887142</v>
      </c>
      <c r="M30" s="236">
        <v>712.03700000000003</v>
      </c>
      <c r="N30" s="236">
        <v>1050.8810000000001</v>
      </c>
      <c r="O30" s="236">
        <v>1538.153</v>
      </c>
    </row>
    <row r="31" spans="1:15" x14ac:dyDescent="0.2">
      <c r="A31" s="134"/>
      <c r="B31" s="134"/>
      <c r="C31" s="221"/>
      <c r="D31" s="134"/>
      <c r="E31" s="134"/>
      <c r="F31" s="221"/>
      <c r="G31" s="221"/>
      <c r="H31" s="221"/>
      <c r="I31" s="221"/>
      <c r="J31" s="221"/>
    </row>
    <row r="32" spans="1:15" x14ac:dyDescent="0.25">
      <c r="A32" s="518" t="s">
        <v>0</v>
      </c>
      <c r="B32" s="519"/>
      <c r="C32" s="519"/>
      <c r="D32" s="519"/>
      <c r="E32" s="519"/>
      <c r="F32" s="519"/>
      <c r="G32" s="519"/>
      <c r="H32" s="519"/>
      <c r="I32" s="519"/>
      <c r="J32" s="527"/>
    </row>
    <row r="33" spans="1:15" x14ac:dyDescent="0.25">
      <c r="A33" s="509" t="s">
        <v>622</v>
      </c>
      <c r="B33" s="510"/>
      <c r="C33" s="510"/>
      <c r="D33" s="510"/>
      <c r="E33" s="510"/>
      <c r="F33" s="510"/>
      <c r="G33" s="510"/>
      <c r="H33" s="510"/>
      <c r="I33" s="510"/>
      <c r="J33" s="511"/>
      <c r="M33" s="237" t="s">
        <v>785</v>
      </c>
    </row>
    <row r="34" spans="1:15" x14ac:dyDescent="0.2">
      <c r="B34" s="508" t="s">
        <v>572</v>
      </c>
      <c r="C34" s="508"/>
      <c r="D34" s="508"/>
      <c r="E34" s="508"/>
      <c r="F34" s="508"/>
      <c r="G34" s="508"/>
      <c r="H34" s="508"/>
      <c r="I34" s="508"/>
      <c r="J34" s="508"/>
    </row>
    <row r="35" spans="1:15" ht="15.75" customHeight="1" x14ac:dyDescent="0.2">
      <c r="B35" s="226" t="s">
        <v>563</v>
      </c>
      <c r="L35" s="122"/>
      <c r="M35" s="512"/>
      <c r="N35" s="512"/>
      <c r="O35" s="512"/>
    </row>
    <row r="36" spans="1:15" x14ac:dyDescent="0.2">
      <c r="B36" s="226" t="s">
        <v>564</v>
      </c>
      <c r="M36" s="512"/>
      <c r="N36" s="512"/>
      <c r="O36" s="512"/>
    </row>
    <row r="37" spans="1:15" x14ac:dyDescent="0.2">
      <c r="B37" s="226" t="s">
        <v>565</v>
      </c>
      <c r="M37" s="512"/>
      <c r="N37" s="512"/>
      <c r="O37" s="512"/>
    </row>
    <row r="39" spans="1:15" x14ac:dyDescent="0.2">
      <c r="B39" s="145" t="s">
        <v>877</v>
      </c>
    </row>
    <row r="40" spans="1:15" x14ac:dyDescent="0.2">
      <c r="B40" s="227" t="s">
        <v>876</v>
      </c>
    </row>
    <row r="41" spans="1:15" x14ac:dyDescent="0.2">
      <c r="B41" s="228" t="s">
        <v>872</v>
      </c>
    </row>
    <row r="42" spans="1:15" x14ac:dyDescent="0.2">
      <c r="B42" s="227" t="s">
        <v>873</v>
      </c>
    </row>
    <row r="43" spans="1:15" x14ac:dyDescent="0.2">
      <c r="B43" s="227"/>
    </row>
    <row r="44" spans="1:15" ht="33.75" customHeight="1" x14ac:dyDescent="0.2">
      <c r="B44" s="498" t="s">
        <v>874</v>
      </c>
      <c r="C44" s="498"/>
      <c r="D44" s="498"/>
      <c r="E44" s="498"/>
      <c r="F44" s="498"/>
      <c r="G44" s="498"/>
      <c r="H44" s="498"/>
      <c r="I44" s="498"/>
      <c r="J44" s="498"/>
      <c r="K44" s="498"/>
      <c r="L44" s="498"/>
      <c r="M44" s="498"/>
      <c r="N44" s="498"/>
    </row>
    <row r="45" spans="1:15" ht="37.5" customHeight="1" x14ac:dyDescent="0.2">
      <c r="B45" s="498" t="s">
        <v>875</v>
      </c>
      <c r="C45" s="498"/>
      <c r="D45" s="498"/>
      <c r="E45" s="498"/>
      <c r="F45" s="498"/>
      <c r="G45" s="498"/>
      <c r="H45" s="498"/>
      <c r="I45" s="498"/>
      <c r="J45" s="498"/>
      <c r="K45" s="498"/>
      <c r="L45" s="498"/>
      <c r="M45" s="498"/>
      <c r="N45" s="498"/>
    </row>
  </sheetData>
  <mergeCells count="23">
    <mergeCell ref="A1:K1"/>
    <mergeCell ref="A2:K2"/>
    <mergeCell ref="A3:A5"/>
    <mergeCell ref="B3:B5"/>
    <mergeCell ref="C3:F3"/>
    <mergeCell ref="G3:G5"/>
    <mergeCell ref="H3:H4"/>
    <mergeCell ref="I3:I5"/>
    <mergeCell ref="J3:J5"/>
    <mergeCell ref="K3:K5"/>
    <mergeCell ref="C4:C5"/>
    <mergeCell ref="E4:E5"/>
    <mergeCell ref="F4:F5"/>
    <mergeCell ref="B44:N44"/>
    <mergeCell ref="B45:N45"/>
    <mergeCell ref="N3:N5"/>
    <mergeCell ref="O3:O5"/>
    <mergeCell ref="A32:J32"/>
    <mergeCell ref="A33:J33"/>
    <mergeCell ref="L3:L5"/>
    <mergeCell ref="M35:O37"/>
    <mergeCell ref="B34:J34"/>
    <mergeCell ref="M3:M5"/>
  </mergeCells>
  <printOptions gridLines="1"/>
  <pageMargins left="0.2" right="0.19" top="0.8" bottom="0.39370078740157483" header="0.51181102362204722" footer="0.27559055118110237"/>
  <pageSetup paperSize="9" scale="64"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2"/>
  <sheetViews>
    <sheetView zoomScaleNormal="100" workbookViewId="0">
      <pane xSplit="2" ySplit="4" topLeftCell="C5" activePane="bottomRight" state="frozen"/>
      <selection pane="topRight" activeCell="C1" sqref="C1"/>
      <selection pane="bottomLeft" activeCell="A7" sqref="A7"/>
      <selection pane="bottomRight" activeCell="F17" sqref="F17"/>
    </sheetView>
  </sheetViews>
  <sheetFormatPr defaultRowHeight="15.75" x14ac:dyDescent="0.25"/>
  <cols>
    <col min="1" max="1" width="9.140625" style="90"/>
    <col min="2" max="2" width="69.7109375" style="90" customWidth="1"/>
    <col min="3" max="3" width="18" style="90" bestFit="1" customWidth="1"/>
    <col min="4" max="4" width="20.28515625" style="90" bestFit="1" customWidth="1"/>
    <col min="5" max="5" width="26.42578125" style="90" customWidth="1"/>
    <col min="6" max="6" width="15.42578125" style="90" customWidth="1"/>
    <col min="7" max="7" width="12" style="90" customWidth="1"/>
    <col min="8" max="16384" width="9.140625" style="90"/>
  </cols>
  <sheetData>
    <row r="1" spans="1:7" ht="39.75" customHeight="1" thickBot="1" x14ac:dyDescent="0.3">
      <c r="A1" s="534" t="s">
        <v>711</v>
      </c>
      <c r="B1" s="535"/>
      <c r="C1" s="535"/>
      <c r="D1" s="535"/>
      <c r="E1" s="536"/>
    </row>
    <row r="2" spans="1:7" ht="44.25" customHeight="1" thickBot="1" x14ac:dyDescent="0.3">
      <c r="A2" s="537" t="s">
        <v>867</v>
      </c>
      <c r="B2" s="538"/>
      <c r="C2" s="538"/>
      <c r="D2" s="538"/>
      <c r="E2" s="539"/>
    </row>
    <row r="3" spans="1:7" ht="65.25" customHeight="1" x14ac:dyDescent="0.25">
      <c r="A3" s="238" t="s">
        <v>134</v>
      </c>
      <c r="B3" s="239" t="s">
        <v>213</v>
      </c>
      <c r="C3" s="240" t="s">
        <v>749</v>
      </c>
      <c r="D3" s="240" t="s">
        <v>748</v>
      </c>
      <c r="E3" s="241" t="s">
        <v>588</v>
      </c>
    </row>
    <row r="4" spans="1:7" ht="26.25" customHeight="1" x14ac:dyDescent="0.25">
      <c r="A4" s="242"/>
      <c r="B4" s="243"/>
      <c r="C4" s="244" t="s">
        <v>178</v>
      </c>
      <c r="D4" s="244" t="s">
        <v>179</v>
      </c>
      <c r="E4" s="245" t="s">
        <v>747</v>
      </c>
      <c r="F4" s="246"/>
      <c r="G4" s="246"/>
    </row>
    <row r="5" spans="1:7" ht="35.25" customHeight="1" thickBot="1" x14ac:dyDescent="0.3">
      <c r="A5" s="247">
        <v>1</v>
      </c>
      <c r="B5" s="248" t="s">
        <v>746</v>
      </c>
      <c r="C5" s="249">
        <v>2222753.71</v>
      </c>
      <c r="D5" s="249">
        <v>13820</v>
      </c>
      <c r="E5" s="250">
        <f>C5+D5</f>
        <v>2236573.71</v>
      </c>
      <c r="F5" s="251"/>
      <c r="G5" s="252"/>
    </row>
    <row r="6" spans="1:7" ht="30.75" customHeight="1" thickTop="1" x14ac:dyDescent="0.25">
      <c r="A6" s="253">
        <v>2</v>
      </c>
      <c r="B6" s="254" t="s">
        <v>745</v>
      </c>
      <c r="C6" s="255">
        <v>4647</v>
      </c>
      <c r="D6" s="255">
        <v>41</v>
      </c>
      <c r="E6" s="256">
        <f>C6+D6</f>
        <v>4688</v>
      </c>
      <c r="F6" s="257"/>
      <c r="G6" s="257"/>
    </row>
    <row r="7" spans="1:7" ht="31.5" customHeight="1" thickBot="1" x14ac:dyDescent="0.3">
      <c r="A7" s="258">
        <v>3</v>
      </c>
      <c r="B7" s="259" t="s">
        <v>265</v>
      </c>
      <c r="C7" s="260">
        <f>IF(C6=0,0,+C5/C6)</f>
        <v>478.32014417904026</v>
      </c>
      <c r="D7" s="260">
        <f t="shared" ref="D7:E7" si="0">IF(D6=0,0,+D5/D6)</f>
        <v>337.07317073170731</v>
      </c>
      <c r="E7" s="261">
        <f t="shared" si="0"/>
        <v>477.08483575085324</v>
      </c>
    </row>
    <row r="9" spans="1:7" ht="51" customHeight="1" x14ac:dyDescent="0.25">
      <c r="A9" s="540" t="s">
        <v>744</v>
      </c>
      <c r="B9" s="540"/>
    </row>
    <row r="11" spans="1:7" x14ac:dyDescent="0.25">
      <c r="A11" s="90" t="s">
        <v>779</v>
      </c>
    </row>
    <row r="12" spans="1:7" x14ac:dyDescent="0.25">
      <c r="A12" s="90" t="s">
        <v>780</v>
      </c>
    </row>
  </sheetData>
  <mergeCells count="3">
    <mergeCell ref="A1:E1"/>
    <mergeCell ref="A2:E2"/>
    <mergeCell ref="A9:B9"/>
  </mergeCells>
  <pageMargins left="0.45" right="0.33" top="0.74803149606299213" bottom="0.74803149606299213" header="0.31496062992125984" footer="0.31496062992125984"/>
  <pageSetup paperSize="9" scale="9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2">
    <tabColor indexed="42"/>
    <pageSetUpPr fitToPage="1"/>
  </sheetPr>
  <dimension ref="A1:H15"/>
  <sheetViews>
    <sheetView workbookViewId="0">
      <pane xSplit="2" ySplit="5" topLeftCell="C6" activePane="bottomRight" state="frozen"/>
      <selection pane="topRight" activeCell="C1" sqref="C1"/>
      <selection pane="bottomLeft" activeCell="A6" sqref="A6"/>
      <selection pane="bottomRight" activeCell="G6" sqref="G6"/>
    </sheetView>
  </sheetViews>
  <sheetFormatPr defaultRowHeight="15.75" x14ac:dyDescent="0.2"/>
  <cols>
    <col min="1" max="1" width="8.140625" style="22" customWidth="1"/>
    <col min="2" max="2" width="93.140625" style="273" customWidth="1"/>
    <col min="3" max="3" width="17.28515625" style="22" customWidth="1"/>
    <col min="4" max="4" width="17.140625" style="22" customWidth="1"/>
    <col min="5" max="5" width="15.7109375" style="22" customWidth="1"/>
    <col min="6" max="6" width="18" style="22" customWidth="1"/>
    <col min="7" max="7" width="7.5703125" style="22" customWidth="1"/>
    <col min="8" max="16384" width="9.140625" style="22"/>
  </cols>
  <sheetData>
    <row r="1" spans="1:8" ht="50.1" customHeight="1" thickBot="1" x14ac:dyDescent="0.25">
      <c r="A1" s="547" t="s">
        <v>712</v>
      </c>
      <c r="B1" s="548"/>
      <c r="C1" s="548"/>
      <c r="D1" s="548"/>
      <c r="E1" s="548"/>
      <c r="F1" s="549"/>
      <c r="G1" s="262"/>
      <c r="H1" s="144"/>
    </row>
    <row r="2" spans="1:8" ht="36.75" customHeight="1" x14ac:dyDescent="0.2">
      <c r="A2" s="467" t="s">
        <v>792</v>
      </c>
      <c r="B2" s="558"/>
      <c r="C2" s="559" t="s">
        <v>615</v>
      </c>
      <c r="D2" s="559"/>
      <c r="E2" s="559"/>
      <c r="F2" s="560"/>
      <c r="G2" s="263"/>
    </row>
    <row r="3" spans="1:8" ht="33" customHeight="1" x14ac:dyDescent="0.2">
      <c r="A3" s="556" t="s">
        <v>134</v>
      </c>
      <c r="B3" s="554" t="s">
        <v>213</v>
      </c>
      <c r="C3" s="550">
        <v>2016</v>
      </c>
      <c r="D3" s="551"/>
      <c r="E3" s="552">
        <v>2017</v>
      </c>
      <c r="F3" s="553"/>
      <c r="G3" s="263"/>
    </row>
    <row r="4" spans="1:8" ht="69" customHeight="1" x14ac:dyDescent="0.2">
      <c r="A4" s="557"/>
      <c r="B4" s="555"/>
      <c r="C4" s="127" t="s">
        <v>571</v>
      </c>
      <c r="D4" s="127" t="s">
        <v>123</v>
      </c>
      <c r="E4" s="127" t="s">
        <v>571</v>
      </c>
      <c r="F4" s="130" t="s">
        <v>169</v>
      </c>
      <c r="G4" s="263"/>
    </row>
    <row r="5" spans="1:8" x14ac:dyDescent="0.2">
      <c r="A5" s="264"/>
      <c r="B5" s="265"/>
      <c r="C5" s="1" t="s">
        <v>178</v>
      </c>
      <c r="D5" s="1" t="s">
        <v>179</v>
      </c>
      <c r="E5" s="15" t="s">
        <v>180</v>
      </c>
      <c r="F5" s="214" t="s">
        <v>186</v>
      </c>
      <c r="G5" s="263"/>
    </row>
    <row r="6" spans="1:8" ht="38.25" customHeight="1" x14ac:dyDescent="0.2">
      <c r="A6" s="7">
        <v>1</v>
      </c>
      <c r="B6" s="17" t="s">
        <v>34</v>
      </c>
      <c r="C6" s="266">
        <v>1089585</v>
      </c>
      <c r="D6" s="267" t="s">
        <v>200</v>
      </c>
      <c r="E6" s="266">
        <v>865055</v>
      </c>
      <c r="F6" s="268" t="s">
        <v>200</v>
      </c>
      <c r="G6" s="263"/>
    </row>
    <row r="7" spans="1:8" ht="38.25" customHeight="1" x14ac:dyDescent="0.2">
      <c r="A7" s="7">
        <f>A6+1</f>
        <v>2</v>
      </c>
      <c r="B7" s="17" t="s">
        <v>223</v>
      </c>
      <c r="C7" s="267" t="s">
        <v>200</v>
      </c>
      <c r="D7" s="149">
        <v>5195</v>
      </c>
      <c r="E7" s="267" t="s">
        <v>200</v>
      </c>
      <c r="F7" s="150">
        <v>4189</v>
      </c>
      <c r="G7" s="263"/>
    </row>
    <row r="8" spans="1:8" ht="38.25" customHeight="1" x14ac:dyDescent="0.2">
      <c r="A8" s="7">
        <f>A7+1</f>
        <v>3</v>
      </c>
      <c r="B8" s="17" t="s">
        <v>580</v>
      </c>
      <c r="C8" s="267" t="s">
        <v>200</v>
      </c>
      <c r="D8" s="149">
        <v>707</v>
      </c>
      <c r="E8" s="267" t="s">
        <v>200</v>
      </c>
      <c r="F8" s="150">
        <v>493</v>
      </c>
      <c r="G8" s="263"/>
    </row>
    <row r="9" spans="1:8" ht="35.25" customHeight="1" x14ac:dyDescent="0.2">
      <c r="A9" s="7">
        <f>A8+1</f>
        <v>4</v>
      </c>
      <c r="B9" s="17" t="s">
        <v>549</v>
      </c>
      <c r="C9" s="266">
        <v>190217</v>
      </c>
      <c r="D9" s="267" t="s">
        <v>200</v>
      </c>
      <c r="E9" s="269">
        <f>+C11</f>
        <v>279929</v>
      </c>
      <c r="F9" s="268" t="s">
        <v>200</v>
      </c>
      <c r="G9" s="263"/>
    </row>
    <row r="10" spans="1:8" ht="37.5" customHeight="1" x14ac:dyDescent="0.2">
      <c r="A10" s="7">
        <f>A9+1</f>
        <v>5</v>
      </c>
      <c r="B10" s="17" t="s">
        <v>577</v>
      </c>
      <c r="C10" s="266">
        <v>1179297</v>
      </c>
      <c r="D10" s="267" t="s">
        <v>200</v>
      </c>
      <c r="E10" s="269">
        <v>791989</v>
      </c>
      <c r="F10" s="268" t="s">
        <v>200</v>
      </c>
      <c r="G10" s="263"/>
    </row>
    <row r="11" spans="1:8" ht="33" customHeight="1" x14ac:dyDescent="0.2">
      <c r="A11" s="7">
        <v>6</v>
      </c>
      <c r="B11" s="17" t="s">
        <v>155</v>
      </c>
      <c r="C11" s="266">
        <f>+C9+C10-C6</f>
        <v>279929</v>
      </c>
      <c r="D11" s="267" t="s">
        <v>200</v>
      </c>
      <c r="E11" s="269">
        <f>+E9+E10-E6</f>
        <v>206863</v>
      </c>
      <c r="F11" s="268" t="s">
        <v>200</v>
      </c>
      <c r="G11" s="263"/>
    </row>
    <row r="12" spans="1:8" ht="36" customHeight="1" thickBot="1" x14ac:dyDescent="0.25">
      <c r="A12" s="47">
        <v>7</v>
      </c>
      <c r="B12" s="21" t="s">
        <v>156</v>
      </c>
      <c r="C12" s="270">
        <f>IF(C6=0,0,C6/D7)</f>
        <v>209.73724735322426</v>
      </c>
      <c r="D12" s="271" t="s">
        <v>200</v>
      </c>
      <c r="E12" s="270">
        <f>IF(E6=0,0,E6/F7)</f>
        <v>206.50632609214611</v>
      </c>
      <c r="F12" s="272" t="s">
        <v>200</v>
      </c>
      <c r="G12" s="263"/>
    </row>
    <row r="13" spans="1:8" x14ac:dyDescent="0.2">
      <c r="B13" s="221"/>
      <c r="G13" s="263"/>
    </row>
    <row r="14" spans="1:8" x14ac:dyDescent="0.2">
      <c r="A14" s="541" t="s">
        <v>39</v>
      </c>
      <c r="B14" s="542"/>
      <c r="C14" s="542"/>
      <c r="D14" s="542"/>
      <c r="E14" s="542"/>
      <c r="F14" s="543"/>
      <c r="G14" s="263"/>
    </row>
    <row r="15" spans="1:8" x14ac:dyDescent="0.2">
      <c r="A15" s="544" t="s">
        <v>248</v>
      </c>
      <c r="B15" s="545"/>
      <c r="C15" s="545"/>
      <c r="D15" s="545"/>
      <c r="E15" s="545"/>
      <c r="F15" s="546"/>
      <c r="G15" s="263"/>
    </row>
  </sheetData>
  <mergeCells count="9">
    <mergeCell ref="A14:F14"/>
    <mergeCell ref="A15:F15"/>
    <mergeCell ref="A1:F1"/>
    <mergeCell ref="C3:D3"/>
    <mergeCell ref="E3:F3"/>
    <mergeCell ref="B3:B4"/>
    <mergeCell ref="A3:A4"/>
    <mergeCell ref="A2:B2"/>
    <mergeCell ref="C2:F2"/>
  </mergeCells>
  <phoneticPr fontId="0" type="noConversion"/>
  <pageMargins left="0.5" right="0.39" top="0.98425196850393704" bottom="0.98425196850393704" header="0.51181102362204722" footer="0.51181102362204722"/>
  <pageSetup paperSize="9" scale="83"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909021EF4742B343A1D85F8700228882" ma:contentTypeVersion="0" ma:contentTypeDescription="Umožňuje vytvoriť nový dokument." ma:contentTypeScope="" ma:versionID="d5ce656bb9126b90eba25d1deb3ab1ba">
  <xsd:schema xmlns:xsd="http://www.w3.org/2001/XMLSchema" xmlns:xs="http://www.w3.org/2001/XMLSchema" xmlns:p="http://schemas.microsoft.com/office/2006/metadata/properties" targetNamespace="http://schemas.microsoft.com/office/2006/metadata/properties" ma:root="true" ma:fieldsID="dc03bc20b3b442f8046c3eea305e142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78802F3-CAF1-414B-986B-3ACC0176C017}">
  <ds:schemaRefs>
    <ds:schemaRef ds:uri="http://schemas.microsoft.com/office/2006/documentManagement/types"/>
    <ds:schemaRef ds:uri="http://purl.org/dc/terms/"/>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 ds:uri="http://purl.org/dc/dcmitype/"/>
    <ds:schemaRef ds:uri="http://purl.org/dc/elements/1.1/"/>
  </ds:schemaRefs>
</ds:datastoreItem>
</file>

<file path=customXml/itemProps2.xml><?xml version="1.0" encoding="utf-8"?>
<ds:datastoreItem xmlns:ds="http://schemas.openxmlformats.org/officeDocument/2006/customXml" ds:itemID="{2E69B052-6B58-40C2-8603-8925FD48797D}">
  <ds:schemaRefs>
    <ds:schemaRef ds:uri="http://schemas.microsoft.com/sharepoint/v3/contenttype/forms"/>
  </ds:schemaRefs>
</ds:datastoreItem>
</file>

<file path=customXml/itemProps3.xml><?xml version="1.0" encoding="utf-8"?>
<ds:datastoreItem xmlns:ds="http://schemas.openxmlformats.org/officeDocument/2006/customXml" ds:itemID="{E4C4697A-4BC5-4925-A0CC-1EECB63560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23</vt:i4>
      </vt:variant>
      <vt:variant>
        <vt:lpstr>Pomenované rozsahy</vt:lpstr>
      </vt:variant>
      <vt:variant>
        <vt:i4>21</vt:i4>
      </vt:variant>
    </vt:vector>
  </HeadingPairs>
  <TitlesOfParts>
    <vt:vector size="44" baseType="lpstr">
      <vt:lpstr>T1-Dotácie podľa DZ</vt:lpstr>
      <vt:lpstr>T2-Ostatné dot mimo MŠ SR</vt:lpstr>
      <vt:lpstr>T3-Výnosy</vt:lpstr>
      <vt:lpstr>T4-Výnosy zo školného</vt:lpstr>
      <vt:lpstr>T5 - Analýza nákladov</vt:lpstr>
      <vt:lpstr>T6-Zamestnanci_a_mzdy</vt:lpstr>
      <vt:lpstr>T6a-Zamestnanci_a_mzdy (ženy)</vt:lpstr>
      <vt:lpstr>T7_Doktorandi </vt:lpstr>
      <vt:lpstr>T8-Soc_štipendiá</vt:lpstr>
      <vt:lpstr>T9_ŠD </vt:lpstr>
      <vt:lpstr>T10-ŠJ </vt:lpstr>
      <vt:lpstr>T11-Zdroje KV</vt:lpstr>
      <vt:lpstr>T12-KV</vt:lpstr>
      <vt:lpstr>T13-Fondy</vt:lpstr>
      <vt:lpstr>T16 - Štruktúra hotovosti</vt:lpstr>
      <vt:lpstr>T17-Dotácie zo ŠF EU</vt:lpstr>
      <vt:lpstr>T18-Ostatné dotacie z kap MŠ SR</vt:lpstr>
      <vt:lpstr>T19-Štip_ z vlastných </vt:lpstr>
      <vt:lpstr>T20_motivačné štipendiá_nová</vt:lpstr>
      <vt:lpstr>T21-štruktúra_384</vt:lpstr>
      <vt:lpstr>T22_Výnosy_soc_oblasť</vt:lpstr>
      <vt:lpstr>T23_Náklady_soc_oblasť</vt:lpstr>
      <vt:lpstr>T24__Aktíva</vt:lpstr>
      <vt:lpstr>'T10-ŠJ '!Oblasť_tlače</vt:lpstr>
      <vt:lpstr>'T11-Zdroje KV'!Oblasť_tlače</vt:lpstr>
      <vt:lpstr>'T12-KV'!Oblasť_tlače</vt:lpstr>
      <vt:lpstr>'T13-Fondy'!Oblasť_tlače</vt:lpstr>
      <vt:lpstr>'T16 - Štruktúra hotovosti'!Oblasť_tlače</vt:lpstr>
      <vt:lpstr>'T17-Dotácie zo ŠF EU'!Oblasť_tlače</vt:lpstr>
      <vt:lpstr>'T18-Ostatné dotacie z kap MŠ SR'!Oblasť_tlače</vt:lpstr>
      <vt:lpstr>'T19-Štip_ z vlastných '!Oblasť_tlače</vt:lpstr>
      <vt:lpstr>'T1-Dotácie podľa DZ'!Oblasť_tlače</vt:lpstr>
      <vt:lpstr>'T20_motivačné štipendiá_nová'!Oblasť_tlače</vt:lpstr>
      <vt:lpstr>'T21-štruktúra_384'!Oblasť_tlače</vt:lpstr>
      <vt:lpstr>T22_Výnosy_soc_oblasť!Oblasť_tlače</vt:lpstr>
      <vt:lpstr>T23_Náklady_soc_oblasť!Oblasť_tlače</vt:lpstr>
      <vt:lpstr>'T3-Výnosy'!Oblasť_tlače</vt:lpstr>
      <vt:lpstr>'T4-Výnosy zo školného'!Oblasť_tlače</vt:lpstr>
      <vt:lpstr>'T5 - Analýza nákladov'!Oblasť_tlače</vt:lpstr>
      <vt:lpstr>'T6a-Zamestnanci_a_mzdy (ženy)'!Oblasť_tlače</vt:lpstr>
      <vt:lpstr>'T6-Zamestnanci_a_mzdy'!Oblasť_tlače</vt:lpstr>
      <vt:lpstr>'T7_Doktorandi '!Oblasť_tlače</vt:lpstr>
      <vt:lpstr>'T8-Soc_štipendiá'!Oblasť_tlače</vt:lpstr>
      <vt:lpstr>'T9_ŠD '!Oblasť_tlače</vt:lpstr>
    </vt:vector>
  </TitlesOfParts>
  <Company>MSSR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Tabuľky k výročnej správe o hospodárení VVš 2004</dc:title>
  <dc:creator>Viest</dc:creator>
  <cp:lastModifiedBy>Používateľ systému Windows</cp:lastModifiedBy>
  <cp:lastPrinted>2018-05-18T11:10:11Z</cp:lastPrinted>
  <dcterms:created xsi:type="dcterms:W3CDTF">2002-06-05T18:53:25Z</dcterms:created>
  <dcterms:modified xsi:type="dcterms:W3CDTF">2018-05-21T07:26:09Z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0x010100909021EF4742B343A1D85F8700228882</vt:lpwstr>
  </property>
</Properties>
</file>