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Zaloha Lucanska\Moje Dokumenty\Dokumenty\Správy o hosp.a cerp\2020\VSoH\"/>
    </mc:Choice>
  </mc:AlternateContent>
  <bookViews>
    <workbookView xWindow="-15" yWindow="4740" windowWidth="20730" windowHeight="4755" tabRatio="895" firstSheet="13" activeTab="21"/>
  </bookViews>
  <sheets>
    <sheet name="T1-Dotácie podľa DZ" sheetId="23" r:id="rId1"/>
    <sheet name="T2-Ostatné dot mimo MŠ SR" sheetId="3" r:id="rId2"/>
    <sheet name="T3-Výnosy" sheetId="161" r:id="rId3"/>
    <sheet name="T4-Výnosy zo školného" sheetId="154" r:id="rId4"/>
    <sheet name="T5 - Analýza nákladov" sheetId="162" r:id="rId5"/>
    <sheet name="T6-Zamestnanci_a_mzdy" sheetId="76" r:id="rId6"/>
    <sheet name="T6a-Zamestnanci_a_mzdy (ženy)" sheetId="155" r:id="rId7"/>
    <sheet name="T7_Doktorandi " sheetId="159" r:id="rId8"/>
    <sheet name="T8-Soc_štipendiá" sheetId="109" r:id="rId9"/>
    <sheet name="T9_ŠD " sheetId="116" r:id="rId10"/>
    <sheet name="T10-ŠJ " sheetId="146" r:id="rId11"/>
    <sheet name="T11-Zdroje KV" sheetId="90" r:id="rId12"/>
    <sheet name="T12-KV" sheetId="91" r:id="rId13"/>
    <sheet name="T13-Fondy" sheetId="145" r:id="rId14"/>
    <sheet name="T16 - Štruktúra hotovosti" sheetId="64" r:id="rId15"/>
    <sheet name="T17-Dotácie zo ŠF EU-nová" sheetId="160" r:id="rId16"/>
    <sheet name="T18-Ostatné dotácie z kap MŠ SR" sheetId="61" r:id="rId17"/>
    <sheet name="T19-Štip_ z vlastných " sheetId="144" r:id="rId18"/>
    <sheet name="T20_motivačné štipendiá_nová" sheetId="157" r:id="rId19"/>
    <sheet name="T21-štruktúra_384" sheetId="97" r:id="rId20"/>
    <sheet name="T22_Výnosy_soc_oblasť" sheetId="133" r:id="rId21"/>
    <sheet name="T23_Náklady_soc_oblasť" sheetId="134" r:id="rId22"/>
    <sheet name="T24__Aktíva" sheetId="135" state="hidden" r:id="rId23"/>
  </sheets>
  <externalReferences>
    <externalReference r:id="rId24"/>
    <externalReference r:id="rId25"/>
  </externalReferences>
  <definedNames>
    <definedName name="_kmp1" localSheetId="15">#REF!</definedName>
    <definedName name="_kmp1" localSheetId="2">#REF!</definedName>
    <definedName name="_kmp1" localSheetId="4">#REF!</definedName>
    <definedName name="_kmp1" localSheetId="7">#REF!</definedName>
    <definedName name="_kmp1">#REF!</definedName>
    <definedName name="_kmp2" localSheetId="15">#REF!</definedName>
    <definedName name="_kmp2" localSheetId="4">#REF!</definedName>
    <definedName name="_kmp2" localSheetId="7">#REF!</definedName>
    <definedName name="_kmp2">#REF!</definedName>
    <definedName name="_kmt1" localSheetId="15">#REF!</definedName>
    <definedName name="_kmt1" localSheetId="4">#REF!</definedName>
    <definedName name="_kmt1" localSheetId="7">#REF!</definedName>
    <definedName name="_kmt1">#REF!</definedName>
    <definedName name="_T1" localSheetId="15">#REF!</definedName>
    <definedName name="_T1" localSheetId="4">#REF!</definedName>
    <definedName name="_T1" localSheetId="7">#REF!</definedName>
    <definedName name="_T1">#REF!</definedName>
    <definedName name="_wd1" localSheetId="18">[1]vahy!$B$1</definedName>
    <definedName name="_wd1">[1]vahy!$B$1</definedName>
    <definedName name="_wd3" localSheetId="18">[1]vahy!$B$3</definedName>
    <definedName name="_wd3">[1]vahy!$B$3</definedName>
    <definedName name="_we1" localSheetId="18">[1]vahy!$B$2</definedName>
    <definedName name="_we1">[1]vahy!$B$2</definedName>
    <definedName name="_we3" localSheetId="18">[1]vahy!$B$4</definedName>
    <definedName name="_we3">[1]vahy!$B$4</definedName>
    <definedName name="aaa" hidden="1">3</definedName>
    <definedName name="denní" localSheetId="15">#REF!</definedName>
    <definedName name="denní" localSheetId="2">#REF!</definedName>
    <definedName name="denní" localSheetId="4">#REF!</definedName>
    <definedName name="denní" localSheetId="7">#REF!</definedName>
    <definedName name="denní">#REF!</definedName>
    <definedName name="dokpo" localSheetId="15">#REF!</definedName>
    <definedName name="dokpo" localSheetId="4">#REF!</definedName>
    <definedName name="dokpo" localSheetId="7">#REF!</definedName>
    <definedName name="dokpo">#REF!</definedName>
    <definedName name="dokpred" localSheetId="15">#REF!</definedName>
    <definedName name="dokpred" localSheetId="4">#REF!</definedName>
    <definedName name="dokpred" localSheetId="7">#REF!</definedName>
    <definedName name="dokpred">#REF!</definedName>
    <definedName name="druhý" localSheetId="15">#REF!</definedName>
    <definedName name="druhý" localSheetId="4">#REF!</definedName>
    <definedName name="druhý" localSheetId="7">#REF!</definedName>
    <definedName name="druhý">#REF!</definedName>
    <definedName name="exterdruhý" localSheetId="15">#REF!</definedName>
    <definedName name="exterdruhý" localSheetId="4">#REF!</definedName>
    <definedName name="exterdruhý" localSheetId="7">#REF!</definedName>
    <definedName name="exterdruhý">#REF!</definedName>
    <definedName name="externeplat" localSheetId="15">#REF!</definedName>
    <definedName name="externeplat" localSheetId="4">#REF!</definedName>
    <definedName name="externeplat" localSheetId="7">#REF!</definedName>
    <definedName name="externeplat">#REF!</definedName>
    <definedName name="exterplat" localSheetId="15">#REF!</definedName>
    <definedName name="exterplat" localSheetId="4">#REF!</definedName>
    <definedName name="exterplat" localSheetId="7">#REF!</definedName>
    <definedName name="exterplat">#REF!</definedName>
    <definedName name="KKS_doc" localSheetId="15">#REF!</definedName>
    <definedName name="KKS_doc" localSheetId="4">#REF!</definedName>
    <definedName name="KKS_doc" localSheetId="7">#REF!</definedName>
    <definedName name="KKS_doc">#REF!</definedName>
    <definedName name="KKS_ost" localSheetId="15">#REF!</definedName>
    <definedName name="KKS_ost" localSheetId="4">#REF!</definedName>
    <definedName name="KKS_ost" localSheetId="7">#REF!</definedName>
    <definedName name="KKS_ost">#REF!</definedName>
    <definedName name="KKS_phd" localSheetId="15">#REF!</definedName>
    <definedName name="KKS_phd" localSheetId="4">#REF!</definedName>
    <definedName name="KKS_phd" localSheetId="7">#REF!</definedName>
    <definedName name="KKS_phd">#REF!</definedName>
    <definedName name="KKS_prof" localSheetId="15">#REF!</definedName>
    <definedName name="KKS_prof" localSheetId="4">#REF!</definedName>
    <definedName name="KKS_prof" localSheetId="7">#REF!</definedName>
    <definedName name="KKS_prof">#REF!</definedName>
    <definedName name="koef_gm_mzdy" localSheetId="15">#REF!</definedName>
    <definedName name="koef_gm_mzdy" localSheetId="4">#REF!</definedName>
    <definedName name="koef_gm_mzdy" localSheetId="7">#REF!</definedName>
    <definedName name="koef_gm_mzdy">#REF!</definedName>
    <definedName name="koef_kpn" localSheetId="15">#REF!</definedName>
    <definedName name="koef_kpn" localSheetId="4">#REF!</definedName>
    <definedName name="koef_kpn" localSheetId="7">#REF!</definedName>
    <definedName name="koef_kpn">#REF!</definedName>
    <definedName name="koef_prer_nad_gm_mzdy" localSheetId="15">#REF!</definedName>
    <definedName name="koef_prer_nad_gm_mzdy" localSheetId="4">#REF!</definedName>
    <definedName name="koef_prer_nad_gm_mzdy" localSheetId="7">#REF!</definedName>
    <definedName name="koef_prer_nad_gm_mzdy">#REF!</definedName>
    <definedName name="koef_PV" localSheetId="15">#REF!</definedName>
    <definedName name="koef_PV" localSheetId="4">#REF!</definedName>
    <definedName name="koef_PV" localSheetId="7">#REF!</definedName>
    <definedName name="koef_PV">#REF!</definedName>
    <definedName name="koef_udr_kat1" localSheetId="15">#REF!</definedName>
    <definedName name="koef_udr_kat1" localSheetId="4">#REF!</definedName>
    <definedName name="koef_udr_kat1" localSheetId="6">#REF!</definedName>
    <definedName name="koef_udr_kat1" localSheetId="7">#REF!</definedName>
    <definedName name="koef_udr_kat1">#REF!</definedName>
    <definedName name="koef_udr_kat2" localSheetId="15">#REF!</definedName>
    <definedName name="koef_udr_kat2" localSheetId="4">#REF!</definedName>
    <definedName name="koef_udr_kat2" localSheetId="6">#REF!</definedName>
    <definedName name="koef_udr_kat2" localSheetId="7">#REF!</definedName>
    <definedName name="koef_udr_kat2">#REF!</definedName>
    <definedName name="koef_udr_kat3" localSheetId="15">#REF!</definedName>
    <definedName name="koef_udr_kat3" localSheetId="4">#REF!</definedName>
    <definedName name="koef_udr_kat3" localSheetId="6">#REF!</definedName>
    <definedName name="koef_udr_kat3" localSheetId="7">#REF!</definedName>
    <definedName name="koef_udr_kat3">#REF!</definedName>
    <definedName name="koef_VV" localSheetId="15">#REF!</definedName>
    <definedName name="koef_VV" localSheetId="4">#REF!</definedName>
    <definedName name="koef_VV" localSheetId="7">#REF!</definedName>
    <definedName name="koef_VV">#REF!</definedName>
    <definedName name="kpn_ca_do" localSheetId="15">#REF!</definedName>
    <definedName name="kpn_ca_do" localSheetId="4">#REF!</definedName>
    <definedName name="kpn_ca_do" localSheetId="7">#REF!</definedName>
    <definedName name="kpn_ca_do">#REF!</definedName>
    <definedName name="kpn_ca_nad" localSheetId="15">#REF!</definedName>
    <definedName name="kpn_ca_nad" localSheetId="4">#REF!</definedName>
    <definedName name="kpn_ca_nad" localSheetId="7">#REF!</definedName>
    <definedName name="kpn_ca_nad">#REF!</definedName>
    <definedName name="kzk" localSheetId="15">#REF!</definedName>
    <definedName name="kzk" localSheetId="4">#REF!</definedName>
    <definedName name="kzk" localSheetId="7">#REF!</definedName>
    <definedName name="kzk">#REF!</definedName>
    <definedName name="kzspp" localSheetId="15">#REF!</definedName>
    <definedName name="kzspp" localSheetId="4">#REF!</definedName>
    <definedName name="kzspp" localSheetId="7">#REF!</definedName>
    <definedName name="kzspp">#REF!</definedName>
    <definedName name="nefinanc">1</definedName>
    <definedName name="_xlnm.Print_Area" localSheetId="10">'T10-ŠJ '!$A$1:$D$26</definedName>
    <definedName name="_xlnm.Print_Area" localSheetId="11">'T11-Zdroje KV'!$A$1:$D$23</definedName>
    <definedName name="_xlnm.Print_Area" localSheetId="12">'T12-KV'!$A$1:$I$23</definedName>
    <definedName name="_xlnm.Print_Area" localSheetId="13">'T13-Fondy'!$A$1:$N$22</definedName>
    <definedName name="_xlnm.Print_Area" localSheetId="14">'T16 - Štruktúra hotovosti'!$A$1:$D$24</definedName>
    <definedName name="_xlnm.Print_Area" localSheetId="15">'T17-Dotácie zo ŠF EU-nová'!$A$1:$H$35</definedName>
    <definedName name="_xlnm.Print_Area" localSheetId="16">'T18-Ostatné dotácie z kap MŠ SR'!$A$1:$E$18</definedName>
    <definedName name="_xlnm.Print_Area" localSheetId="17">'T19-Štip_ z vlastných '!$A$1:$F$29</definedName>
    <definedName name="_xlnm.Print_Area" localSheetId="0">'T1-Dotácie podľa DZ'!$A$1:$E$19</definedName>
    <definedName name="_xlnm.Print_Area" localSheetId="18">'T20_motivačné štipendiá_nová'!$A$1:$F$14</definedName>
    <definedName name="_xlnm.Print_Area" localSheetId="19">'T21-štruktúra_384'!$A$1:$M$9</definedName>
    <definedName name="_xlnm.Print_Area" localSheetId="20">T22_Výnosy_soc_oblasť!$A$1:$F$44</definedName>
    <definedName name="_xlnm.Print_Area" localSheetId="21">T23_Náklady_soc_oblasť!$A$1:$F$42</definedName>
    <definedName name="_xlnm.Print_Area" localSheetId="2">'T3-Výnosy'!$A$1:$H$74</definedName>
    <definedName name="_xlnm.Print_Area" localSheetId="3">'T4-Výnosy zo školného'!$A$1:$D$22</definedName>
    <definedName name="_xlnm.Print_Area" localSheetId="4">'T5 - Analýza nákladov'!$A$1:$H$105</definedName>
    <definedName name="_xlnm.Print_Area" localSheetId="6">'T6a-Zamestnanci_a_mzdy (ženy)'!$A$1:$O$37</definedName>
    <definedName name="_xlnm.Print_Area" localSheetId="5">'T6-Zamestnanci_a_mzdy'!$A$1:$N$37</definedName>
    <definedName name="_xlnm.Print_Area" localSheetId="7">'T7_Doktorandi '!$A$1:$E$8</definedName>
    <definedName name="_xlnm.Print_Area" localSheetId="8">'T8-Soc_štipendiá'!$A$1:$F$15</definedName>
    <definedName name="_xlnm.Print_Area" localSheetId="9">'T9_ŠD '!$A$1:$F$21</definedName>
    <definedName name="pocet_jedal" localSheetId="15">#REF!</definedName>
    <definedName name="pocet_jedal" localSheetId="4">#REF!</definedName>
    <definedName name="pocet_jedal" localSheetId="6">#REF!</definedName>
    <definedName name="pocet_jedal" localSheetId="7">#REF!</definedName>
    <definedName name="pocet_jedal">#REF!</definedName>
    <definedName name="podiel" localSheetId="15">#REF!</definedName>
    <definedName name="podiel" localSheetId="4">#REF!</definedName>
    <definedName name="podiel" localSheetId="7">#REF!</definedName>
    <definedName name="podiel">#REF!</definedName>
    <definedName name="poistné" localSheetId="15">#REF!</definedName>
    <definedName name="poistné" localSheetId="4">#REF!</definedName>
    <definedName name="poistné" localSheetId="7">#REF!</definedName>
    <definedName name="poistné">#REF!</definedName>
    <definedName name="Pp_DrŠ_exist" localSheetId="15">#REF!</definedName>
    <definedName name="Pp_DrŠ_exist" localSheetId="4">#REF!</definedName>
    <definedName name="Pp_DrŠ_exist" localSheetId="6">#REF!</definedName>
    <definedName name="Pp_DrŠ_exist" localSheetId="7">#REF!</definedName>
    <definedName name="Pp_DrŠ_exist">#REF!</definedName>
    <definedName name="Pp_DrŠ_noví" localSheetId="15">#REF!</definedName>
    <definedName name="Pp_DrŠ_noví" localSheetId="4">#REF!</definedName>
    <definedName name="Pp_DrŠ_noví" localSheetId="6">#REF!</definedName>
    <definedName name="Pp_DrŠ_noví" localSheetId="7">#REF!</definedName>
    <definedName name="Pp_DrŠ_noví">#REF!</definedName>
    <definedName name="Pp_DrŠ_spolu" localSheetId="15">#REF!</definedName>
    <definedName name="Pp_DrŠ_spolu" localSheetId="4">#REF!</definedName>
    <definedName name="Pp_DrŠ_spolu" localSheetId="6">#REF!</definedName>
    <definedName name="Pp_DrŠ_spolu" localSheetId="7">#REF!</definedName>
    <definedName name="Pp_DrŠ_spolu">#REF!</definedName>
    <definedName name="Pp_klinické_TaS" localSheetId="15">#REF!</definedName>
    <definedName name="Pp_klinické_TaS" localSheetId="4">#REF!</definedName>
    <definedName name="Pp_klinické_TaS" localSheetId="6">#REF!</definedName>
    <definedName name="Pp_klinické_TaS" localSheetId="7">#REF!</definedName>
    <definedName name="Pp_klinické_TaS">#REF!</definedName>
    <definedName name="Pp_klinické_TaS_rozpísaný" localSheetId="15">#REF!</definedName>
    <definedName name="Pp_klinické_TaS_rozpísaný" localSheetId="4">#REF!</definedName>
    <definedName name="Pp_klinické_TaS_rozpísaný" localSheetId="6">#REF!</definedName>
    <definedName name="Pp_klinické_TaS_rozpísaný" localSheetId="7">#REF!</definedName>
    <definedName name="Pp_klinické_TaS_rozpísaný">#REF!</definedName>
    <definedName name="Pp_Rozvoj_BD" localSheetId="15">#REF!</definedName>
    <definedName name="Pp_Rozvoj_BD" localSheetId="4">#REF!</definedName>
    <definedName name="Pp_Rozvoj_BD" localSheetId="7">#REF!</definedName>
    <definedName name="Pp_Rozvoj_BD">#REF!</definedName>
    <definedName name="Pp_Soc_BD" localSheetId="15">#REF!</definedName>
    <definedName name="Pp_Soc_BD" localSheetId="4">#REF!</definedName>
    <definedName name="Pp_Soc_BD" localSheetId="7">#REF!</definedName>
    <definedName name="Pp_Soc_BD">#REF!</definedName>
    <definedName name="Pp_VaT_BD" localSheetId="15">#REF!</definedName>
    <definedName name="Pp_VaT_BD" localSheetId="4">#REF!</definedName>
    <definedName name="Pp_VaT_BD" localSheetId="7">#REF!</definedName>
    <definedName name="Pp_VaT_BD">#REF!</definedName>
    <definedName name="Pp_VaT_mzdy" localSheetId="15">#REF!</definedName>
    <definedName name="Pp_VaT_mzdy" localSheetId="4">#REF!</definedName>
    <definedName name="Pp_VaT_mzdy" localSheetId="7">#REF!</definedName>
    <definedName name="Pp_VaT_mzdy">#REF!</definedName>
    <definedName name="Pp_VaT_mzdy_rezerva" localSheetId="15">#REF!</definedName>
    <definedName name="Pp_VaT_mzdy_rezerva" localSheetId="4">#REF!</definedName>
    <definedName name="Pp_VaT_mzdy_rezerva" localSheetId="7">#REF!</definedName>
    <definedName name="Pp_VaT_mzdy_rezerva">#REF!</definedName>
    <definedName name="Pp_VaT_mzdy_zac_roka" localSheetId="15">#REF!</definedName>
    <definedName name="Pp_VaT_mzdy_zac_roka" localSheetId="4">#REF!</definedName>
    <definedName name="Pp_VaT_mzdy_zac_roka" localSheetId="7">#REF!</definedName>
    <definedName name="Pp_VaT_mzdy_zac_roka">#REF!</definedName>
    <definedName name="Pp_Vzdel_BD" localSheetId="15">#REF!</definedName>
    <definedName name="Pp_Vzdel_BD" localSheetId="4">#REF!</definedName>
    <definedName name="Pp_Vzdel_BD" localSheetId="7">#REF!</definedName>
    <definedName name="Pp_Vzdel_BD">#REF!</definedName>
    <definedName name="Pp_Vzdel_mzdy" localSheetId="15">#REF!</definedName>
    <definedName name="Pp_Vzdel_mzdy" localSheetId="4">#REF!</definedName>
    <definedName name="Pp_Vzdel_mzdy" localSheetId="7">#REF!</definedName>
    <definedName name="Pp_Vzdel_mzdy">#REF!</definedName>
    <definedName name="Pp_Vzdel_mzdy_kontr" localSheetId="15">#REF!</definedName>
    <definedName name="Pp_Vzdel_mzdy_kontr" localSheetId="4">#REF!</definedName>
    <definedName name="Pp_Vzdel_mzdy_kontr" localSheetId="7">#REF!</definedName>
    <definedName name="Pp_Vzdel_mzdy_kontr">#REF!</definedName>
    <definedName name="Pp_Vzdel_mzdy_na_prer_modif" localSheetId="15">#REF!</definedName>
    <definedName name="Pp_Vzdel_mzdy_na_prer_modif" localSheetId="4">#REF!</definedName>
    <definedName name="Pp_Vzdel_mzdy_na_prer_modif" localSheetId="6">#REF!</definedName>
    <definedName name="Pp_Vzdel_mzdy_na_prer_modif" localSheetId="7">#REF!</definedName>
    <definedName name="Pp_Vzdel_mzdy_na_prer_modif">#REF!</definedName>
    <definedName name="Pp_Vzdel_mzdy_na_prer_nemodif" localSheetId="15">#REF!</definedName>
    <definedName name="Pp_Vzdel_mzdy_na_prer_nemodif" localSheetId="4">#REF!</definedName>
    <definedName name="Pp_Vzdel_mzdy_na_prer_nemodif" localSheetId="6">#REF!</definedName>
    <definedName name="Pp_Vzdel_mzdy_na_prer_nemodif" localSheetId="7">#REF!</definedName>
    <definedName name="Pp_Vzdel_mzdy_na_prer_nemodif">#REF!</definedName>
    <definedName name="Pp_Vzdel_mzdy_prevádz" localSheetId="15">#REF!</definedName>
    <definedName name="Pp_Vzdel_mzdy_prevádz" localSheetId="4">#REF!</definedName>
    <definedName name="Pp_Vzdel_mzdy_prevádz" localSheetId="7">#REF!</definedName>
    <definedName name="Pp_Vzdel_mzdy_prevádz">#REF!</definedName>
    <definedName name="Pp_Vzdel_mzdy_rezerva" localSheetId="15">#REF!</definedName>
    <definedName name="Pp_Vzdel_mzdy_rezerva" localSheetId="4">#REF!</definedName>
    <definedName name="Pp_Vzdel_mzdy_rezerva" localSheetId="7">#REF!</definedName>
    <definedName name="Pp_Vzdel_mzdy_rezerva">#REF!</definedName>
    <definedName name="Pp_Vzdel_mzdy_spec" localSheetId="15">#REF!</definedName>
    <definedName name="Pp_Vzdel_mzdy_spec" localSheetId="4">#REF!</definedName>
    <definedName name="Pp_Vzdel_mzdy_spec" localSheetId="7">#REF!</definedName>
    <definedName name="Pp_Vzdel_mzdy_spec">#REF!</definedName>
    <definedName name="Pp_Vzdel_mzdy_výkon" localSheetId="15">#REF!</definedName>
    <definedName name="Pp_Vzdel_mzdy_výkon" localSheetId="4">#REF!</definedName>
    <definedName name="Pp_Vzdel_mzdy_výkon" localSheetId="7">#REF!</definedName>
    <definedName name="Pp_Vzdel_mzdy_výkon">#REF!</definedName>
    <definedName name="Pp_Vzdel_mzdy_výkon_PV" localSheetId="15">#REF!</definedName>
    <definedName name="Pp_Vzdel_mzdy_výkon_PV" localSheetId="4">#REF!</definedName>
    <definedName name="Pp_Vzdel_mzdy_výkon_PV" localSheetId="7">#REF!</definedName>
    <definedName name="Pp_Vzdel_mzdy_výkon_PV">#REF!</definedName>
    <definedName name="Pp_Vzdel_mzdy_výkon_PV_bez" localSheetId="15">#REF!</definedName>
    <definedName name="Pp_Vzdel_mzdy_výkon_PV_bez" localSheetId="4">#REF!</definedName>
    <definedName name="Pp_Vzdel_mzdy_výkon_PV_bez" localSheetId="7">#REF!</definedName>
    <definedName name="Pp_Vzdel_mzdy_výkon_PV_bez">#REF!</definedName>
    <definedName name="Pp_Vzdel_mzdy_výkon_PV_um" localSheetId="15">#REF!</definedName>
    <definedName name="Pp_Vzdel_mzdy_výkon_PV_um" localSheetId="4">#REF!</definedName>
    <definedName name="Pp_Vzdel_mzdy_výkon_PV_um" localSheetId="7">#REF!</definedName>
    <definedName name="Pp_Vzdel_mzdy_výkon_PV_um">#REF!</definedName>
    <definedName name="Pp_Vzdel_mzdy_výkon_VV" localSheetId="15">#REF!</definedName>
    <definedName name="Pp_Vzdel_mzdy_výkon_VV" localSheetId="4">#REF!</definedName>
    <definedName name="Pp_Vzdel_mzdy_výkon_VV" localSheetId="7">#REF!</definedName>
    <definedName name="Pp_Vzdel_mzdy_výkon_VV">#REF!</definedName>
    <definedName name="Pp_Vzdel_mzdy_výkon_VV_bez" localSheetId="15">#REF!</definedName>
    <definedName name="Pp_Vzdel_mzdy_výkon_VV_bez" localSheetId="4">#REF!</definedName>
    <definedName name="Pp_Vzdel_mzdy_výkon_VV_bez" localSheetId="7">#REF!</definedName>
    <definedName name="Pp_Vzdel_mzdy_výkon_VV_bez">#REF!</definedName>
    <definedName name="Pp_Vzdel_mzdy_výkon_VV_um" localSheetId="15">#REF!</definedName>
    <definedName name="Pp_Vzdel_mzdy_výkon_VV_um" localSheetId="4">#REF!</definedName>
    <definedName name="Pp_Vzdel_mzdy_výkon_VV_um" localSheetId="7">#REF!</definedName>
    <definedName name="Pp_Vzdel_mzdy_výkon_VV_um">#REF!</definedName>
    <definedName name="Pp_Vzdel_spec_prax" localSheetId="15">#REF!</definedName>
    <definedName name="Pp_Vzdel_spec_prax" localSheetId="4">#REF!</definedName>
    <definedName name="Pp_Vzdel_spec_prax" localSheetId="6">#REF!</definedName>
    <definedName name="Pp_Vzdel_spec_prax" localSheetId="7">#REF!</definedName>
    <definedName name="Pp_Vzdel_spec_prax">#REF!</definedName>
    <definedName name="Pp_Vzdel_TaS" localSheetId="15">#REF!</definedName>
    <definedName name="Pp_Vzdel_TaS" localSheetId="4">#REF!</definedName>
    <definedName name="Pp_Vzdel_TaS" localSheetId="7">#REF!</definedName>
    <definedName name="Pp_Vzdel_TaS">#REF!</definedName>
    <definedName name="Pp_Vzdel_TaS_rezerva" localSheetId="15">#REF!</definedName>
    <definedName name="Pp_Vzdel_TaS_rezerva" localSheetId="4">#REF!</definedName>
    <definedName name="Pp_Vzdel_TaS_rezerva" localSheetId="7">#REF!</definedName>
    <definedName name="Pp_Vzdel_TaS_rezerva">#REF!</definedName>
    <definedName name="Pp_Vzdel_TaS_spec" localSheetId="15">#REF!</definedName>
    <definedName name="Pp_Vzdel_TaS_spec" localSheetId="4">#REF!</definedName>
    <definedName name="Pp_Vzdel_TaS_spec" localSheetId="6">#REF!</definedName>
    <definedName name="Pp_Vzdel_TaS_spec" localSheetId="7">#REF!</definedName>
    <definedName name="Pp_Vzdel_TaS_spec">#REF!</definedName>
    <definedName name="Pp_Vzdel_TaS_stav" localSheetId="15">#REF!</definedName>
    <definedName name="Pp_Vzdel_TaS_stav" localSheetId="4">#REF!</definedName>
    <definedName name="Pp_Vzdel_TaS_stav" localSheetId="7">#REF!</definedName>
    <definedName name="Pp_Vzdel_TaS_stav">#REF!</definedName>
    <definedName name="Pp_Vzdel_TaS_výkon" localSheetId="15">#REF!</definedName>
    <definedName name="Pp_Vzdel_TaS_výkon" localSheetId="4">#REF!</definedName>
    <definedName name="Pp_Vzdel_TaS_výkon" localSheetId="6">#REF!</definedName>
    <definedName name="Pp_Vzdel_TaS_výkon" localSheetId="7">#REF!</definedName>
    <definedName name="Pp_Vzdel_TaS_výkon">#REF!</definedName>
    <definedName name="Pp_Vzdel_TaS_výkon_PPŠ" localSheetId="15">#REF!</definedName>
    <definedName name="Pp_Vzdel_TaS_výkon_PPŠ" localSheetId="4">#REF!</definedName>
    <definedName name="Pp_Vzdel_TaS_výkon_PPŠ" localSheetId="6">#REF!</definedName>
    <definedName name="Pp_Vzdel_TaS_výkon_PPŠ" localSheetId="7">#REF!</definedName>
    <definedName name="Pp_Vzdel_TaS_výkon_PPŠ">#REF!</definedName>
    <definedName name="Pp_Vzdel_TaS_výkon_PPŠ_a_zákl" localSheetId="15">#REF!</definedName>
    <definedName name="Pp_Vzdel_TaS_výkon_PPŠ_a_zákl" localSheetId="4">#REF!</definedName>
    <definedName name="Pp_Vzdel_TaS_výkon_PPŠ_a_zákl" localSheetId="6">#REF!</definedName>
    <definedName name="Pp_Vzdel_TaS_výkon_PPŠ_a_zákl" localSheetId="7">#REF!</definedName>
    <definedName name="Pp_Vzdel_TaS_výkon_PPŠ_a_zákl">#REF!</definedName>
    <definedName name="Pp_Vzdel_TaS_výkon_PPŠ_KEN" localSheetId="15">#REF!</definedName>
    <definedName name="Pp_Vzdel_TaS_výkon_PPŠ_KEN" localSheetId="4">#REF!</definedName>
    <definedName name="Pp_Vzdel_TaS_výkon_PPŠ_KEN" localSheetId="6">#REF!</definedName>
    <definedName name="Pp_Vzdel_TaS_výkon_PPŠ_KEN" localSheetId="7">#REF!</definedName>
    <definedName name="Pp_Vzdel_TaS_výkon_PPŠ_KEN">#REF!</definedName>
    <definedName name="Pp_Vzdel_TaS_zahr_granty" localSheetId="15">#REF!</definedName>
    <definedName name="Pp_Vzdel_TaS_zahr_granty" localSheetId="4">#REF!</definedName>
    <definedName name="Pp_Vzdel_TaS_zahr_granty" localSheetId="7">#REF!</definedName>
    <definedName name="Pp_Vzdel_TaS_zahr_granty">#REF!</definedName>
    <definedName name="Pp_Vzdel_TaS_zákl" localSheetId="15">#REF!</definedName>
    <definedName name="Pp_Vzdel_TaS_zákl" localSheetId="4">#REF!</definedName>
    <definedName name="Pp_Vzdel_TaS_zákl" localSheetId="6">#REF!</definedName>
    <definedName name="Pp_Vzdel_TaS_zákl" localSheetId="7">#REF!</definedName>
    <definedName name="Pp_Vzdel_TaS_zákl">#REF!</definedName>
    <definedName name="Pr_AV_BD" localSheetId="15">#REF!</definedName>
    <definedName name="Pr_AV_BD" localSheetId="4">#REF!</definedName>
    <definedName name="Pr_AV_BD" localSheetId="7">#REF!</definedName>
    <definedName name="Pr_AV_BD">#REF!</definedName>
    <definedName name="Pr_IV_BD" localSheetId="15">#REF!</definedName>
    <definedName name="Pr_IV_BD" localSheetId="4">#REF!</definedName>
    <definedName name="Pr_IV_BD" localSheetId="7">#REF!</definedName>
    <definedName name="Pr_IV_BD">#REF!</definedName>
    <definedName name="Pr_IV_KV" localSheetId="15">#REF!</definedName>
    <definedName name="Pr_IV_KV" localSheetId="4">#REF!</definedName>
    <definedName name="Pr_IV_KV" localSheetId="7">#REF!</definedName>
    <definedName name="Pr_IV_KV">#REF!</definedName>
    <definedName name="Pr_IV_KV_rezerva" localSheetId="15">#REF!</definedName>
    <definedName name="Pr_IV_KV_rezerva" localSheetId="4">#REF!</definedName>
    <definedName name="Pr_IV_KV_rezerva" localSheetId="7">#REF!</definedName>
    <definedName name="Pr_IV_KV_rezerva">#REF!</definedName>
    <definedName name="Pr_KEGA_BD" localSheetId="15">#REF!</definedName>
    <definedName name="Pr_KEGA_BD" localSheetId="4">#REF!</definedName>
    <definedName name="Pr_KEGA_BD" localSheetId="7">#REF!</definedName>
    <definedName name="Pr_KEGA_BD">#REF!</definedName>
    <definedName name="Pr_klinické" localSheetId="15">#REF!</definedName>
    <definedName name="Pr_klinické" localSheetId="4">#REF!</definedName>
    <definedName name="Pr_klinické" localSheetId="7">#REF!</definedName>
    <definedName name="Pr_klinické">#REF!</definedName>
    <definedName name="Pr_KŠ" localSheetId="15">#REF!</definedName>
    <definedName name="Pr_KŠ" localSheetId="4">#REF!</definedName>
    <definedName name="Pr_KŠ" localSheetId="6">#REF!</definedName>
    <definedName name="Pr_KŠ" localSheetId="7">#REF!</definedName>
    <definedName name="Pr_KŠ">#REF!</definedName>
    <definedName name="Pr_motštip_BD" localSheetId="15">#REF!</definedName>
    <definedName name="Pr_motštip_BD" localSheetId="4">#REF!</definedName>
    <definedName name="Pr_motštip_BD" localSheetId="7">#REF!</definedName>
    <definedName name="Pr_motštip_BD">#REF!</definedName>
    <definedName name="Pr_MVTS_BD" localSheetId="15">#REF!</definedName>
    <definedName name="Pr_MVTS_BD" localSheetId="4">#REF!</definedName>
    <definedName name="Pr_MVTS_BD" localSheetId="7">#REF!</definedName>
    <definedName name="Pr_MVTS_BD">#REF!</definedName>
    <definedName name="Pr_socštip_BD" localSheetId="15">#REF!</definedName>
    <definedName name="Pr_socštip_BD" localSheetId="4">#REF!</definedName>
    <definedName name="Pr_socštip_BD" localSheetId="7">#REF!</definedName>
    <definedName name="Pr_socštip_BD">#REF!</definedName>
    <definedName name="Pr_ŠD" localSheetId="15">#REF!</definedName>
    <definedName name="Pr_ŠD" localSheetId="4">#REF!</definedName>
    <definedName name="Pr_ŠD" localSheetId="6">#REF!</definedName>
    <definedName name="Pr_ŠD" localSheetId="7">#REF!</definedName>
    <definedName name="Pr_ŠD">#REF!</definedName>
    <definedName name="Pr_ŠDaJKŠPC_BD" localSheetId="15">#REF!</definedName>
    <definedName name="Pr_ŠDaJKŠPC_BD" localSheetId="4">#REF!</definedName>
    <definedName name="Pr_ŠDaJKŠPC_BD" localSheetId="7">#REF!</definedName>
    <definedName name="Pr_ŠDaJKŠPC_BD">#REF!</definedName>
    <definedName name="Pr_VaT_KV_zac_roka" localSheetId="15">#REF!</definedName>
    <definedName name="Pr_VaT_KV_zac_roka" localSheetId="4">#REF!</definedName>
    <definedName name="Pr_VaT_KV_zac_roka" localSheetId="7">#REF!</definedName>
    <definedName name="Pr_VaT_KV_zac_roka">#REF!</definedName>
    <definedName name="Pr_VaT_TaS" localSheetId="15">#REF!</definedName>
    <definedName name="Pr_VaT_TaS" localSheetId="4">#REF!</definedName>
    <definedName name="Pr_VaT_TaS" localSheetId="7">#REF!</definedName>
    <definedName name="Pr_VaT_TaS">#REF!</definedName>
    <definedName name="Pr_VaT_TaS_rezerva" localSheetId="15">#REF!</definedName>
    <definedName name="Pr_VaT_TaS_rezerva" localSheetId="4">#REF!</definedName>
    <definedName name="Pr_VaT_TaS_rezerva" localSheetId="7">#REF!</definedName>
    <definedName name="Pr_VaT_TaS_rezerva">#REF!</definedName>
    <definedName name="Pr_VaT_TaS_zac_roka" localSheetId="15">#REF!</definedName>
    <definedName name="Pr_VaT_TaS_zac_roka" localSheetId="4">#REF!</definedName>
    <definedName name="Pr_VaT_TaS_zac_roka" localSheetId="7">#REF!</definedName>
    <definedName name="Pr_VaT_TaS_zac_roka">#REF!</definedName>
    <definedName name="Pr_VEGA_BD" localSheetId="15">#REF!</definedName>
    <definedName name="Pr_VEGA_BD" localSheetId="4">#REF!</definedName>
    <definedName name="Pr_VEGA_BD" localSheetId="7">#REF!</definedName>
    <definedName name="Pr_VEGA_BD">#REF!</definedName>
    <definedName name="predmety" localSheetId="15">#REF!</definedName>
    <definedName name="predmety" localSheetId="4">#REF!</definedName>
    <definedName name="predmety" localSheetId="7">#REF!</definedName>
    <definedName name="predmety">#REF!</definedName>
    <definedName name="prisp_na_1_jedlo" localSheetId="15">#REF!</definedName>
    <definedName name="prisp_na_1_jedlo" localSheetId="4">#REF!</definedName>
    <definedName name="prisp_na_1_jedlo" localSheetId="6">#REF!</definedName>
    <definedName name="prisp_na_1_jedlo" localSheetId="7">#REF!</definedName>
    <definedName name="prisp_na_1_jedlo">#REF!</definedName>
    <definedName name="prisp_na_ubyt_stud_SD" localSheetId="15">#REF!</definedName>
    <definedName name="prisp_na_ubyt_stud_SD" localSheetId="4">#REF!</definedName>
    <definedName name="prisp_na_ubyt_stud_SD" localSheetId="6">#REF!</definedName>
    <definedName name="prisp_na_ubyt_stud_SD" localSheetId="7">#REF!</definedName>
    <definedName name="prisp_na_ubyt_stud_SD">#REF!</definedName>
    <definedName name="prisp_na_ubyt_stud_ZZ" localSheetId="15">#REF!</definedName>
    <definedName name="prisp_na_ubyt_stud_ZZ" localSheetId="4">#REF!</definedName>
    <definedName name="prisp_na_ubyt_stud_ZZ" localSheetId="6">#REF!</definedName>
    <definedName name="prisp_na_ubyt_stud_ZZ" localSheetId="7">#REF!</definedName>
    <definedName name="prisp_na_ubyt_stud_ZZ">#REF!</definedName>
    <definedName name="prísp_zákl_prev" localSheetId="15">#REF!</definedName>
    <definedName name="prísp_zákl_prev" localSheetId="4">#REF!</definedName>
    <definedName name="prísp_zákl_prev" localSheetId="7">#REF!</definedName>
    <definedName name="prísp_zákl_prev">#REF!</definedName>
    <definedName name="R_vvs" localSheetId="15">#REF!</definedName>
    <definedName name="R_vvs" localSheetId="4">#REF!</definedName>
    <definedName name="R_vvs" localSheetId="7">#REF!</definedName>
    <definedName name="R_vvs">#REF!</definedName>
    <definedName name="R_vvs_BD" localSheetId="15">#REF!</definedName>
    <definedName name="R_vvs_BD" localSheetId="4">#REF!</definedName>
    <definedName name="R_vvs_BD" localSheetId="7">#REF!</definedName>
    <definedName name="R_vvs_BD">#REF!</definedName>
    <definedName name="R_vvs_VaT_BD" localSheetId="15">#REF!</definedName>
    <definedName name="R_vvs_VaT_BD" localSheetId="4">#REF!</definedName>
    <definedName name="R_vvs_VaT_BD" localSheetId="7">#REF!</definedName>
    <definedName name="R_vvs_VaT_BD">#REF!</definedName>
    <definedName name="Sanet" localSheetId="15">#REF!</definedName>
    <definedName name="Sanet" localSheetId="4">#REF!</definedName>
    <definedName name="Sanet" localSheetId="7">#REF!</definedName>
    <definedName name="Sanet">#REF!</definedName>
    <definedName name="SAPBEXrevision" hidden="1">7</definedName>
    <definedName name="SAPBEXsysID" hidden="1">"BS1"</definedName>
    <definedName name="SAPBEXwbID" hidden="1">"3TG3S316PX9BHXMQEBSXSYZZO"</definedName>
    <definedName name="stavba_ucelova" localSheetId="15">#REF!</definedName>
    <definedName name="stavba_ucelova" localSheetId="2">#REF!</definedName>
    <definedName name="stavba_ucelova" localSheetId="4">#REF!</definedName>
    <definedName name="stavba_ucelova" localSheetId="7">#REF!</definedName>
    <definedName name="stavba_ucelova">#REF!</definedName>
    <definedName name="studenti_vstup" localSheetId="15">#REF!</definedName>
    <definedName name="studenti_vstup" localSheetId="4">#REF!</definedName>
    <definedName name="studenti_vstup" localSheetId="7">#REF!</definedName>
    <definedName name="studenti_vstup">#REF!</definedName>
    <definedName name="sustava" localSheetId="15">#REF!</definedName>
    <definedName name="sustava" localSheetId="4">#REF!</definedName>
    <definedName name="sustava" localSheetId="7">#REF!</definedName>
    <definedName name="sustava">#REF!</definedName>
    <definedName name="T_1" localSheetId="15">#REF!</definedName>
    <definedName name="T_1" localSheetId="4">#REF!</definedName>
    <definedName name="T_1" localSheetId="7">#REF!</definedName>
    <definedName name="T_1">#REF!</definedName>
    <definedName name="T_25_so_štip_2007" localSheetId="15">#REF!</definedName>
    <definedName name="T_25_so_štip_2007" localSheetId="4">#REF!</definedName>
    <definedName name="T_25_so_štip_2007" localSheetId="7">#REF!</definedName>
    <definedName name="T_25_so_štip_2007">#REF!</definedName>
    <definedName name="T_M" localSheetId="15">#REF!</definedName>
    <definedName name="T_M" localSheetId="4">#REF!</definedName>
    <definedName name="T_M" localSheetId="7">#REF!</definedName>
    <definedName name="T_M">#REF!</definedName>
    <definedName name="váha_absDrš" localSheetId="15">#REF!</definedName>
    <definedName name="váha_absDrš" localSheetId="4">#REF!</definedName>
    <definedName name="váha_absDrš" localSheetId="7">#REF!</definedName>
    <definedName name="váha_absDrš">#REF!</definedName>
    <definedName name="váha_DG" localSheetId="15">#REF!</definedName>
    <definedName name="váha_DG" localSheetId="4">#REF!</definedName>
    <definedName name="váha_DG" localSheetId="7">#REF!</definedName>
    <definedName name="váha_DG">#REF!</definedName>
    <definedName name="váha_poDs" localSheetId="15">#REF!</definedName>
    <definedName name="váha_poDs" localSheetId="4">#REF!</definedName>
    <definedName name="váha_poDs" localSheetId="7">#REF!</definedName>
    <definedName name="váha_poDs">#REF!</definedName>
    <definedName name="váha_Pub" localSheetId="15">#REF!</definedName>
    <definedName name="váha_Pub" localSheetId="4">#REF!</definedName>
    <definedName name="váha_Pub" localSheetId="7">#REF!</definedName>
    <definedName name="váha_Pub">#REF!</definedName>
    <definedName name="váha_ZG" localSheetId="15">#REF!</definedName>
    <definedName name="váha_ZG" localSheetId="4">#REF!</definedName>
    <definedName name="váha_ZG" localSheetId="7">#REF!</definedName>
    <definedName name="váha_ZG">#REF!</definedName>
    <definedName name="výkon_um" localSheetId="15">#REF!</definedName>
    <definedName name="výkon_um" localSheetId="4">#REF!</definedName>
    <definedName name="výkon_um" localSheetId="7">#REF!</definedName>
    <definedName name="výkon_um">#REF!</definedName>
    <definedName name="x" localSheetId="15">#REF!</definedName>
    <definedName name="x" localSheetId="4">#REF!</definedName>
    <definedName name="x" localSheetId="7">#REF!</definedName>
    <definedName name="x">#REF!</definedName>
    <definedName name="xxx" hidden="1">"3TGMUFSSIAIMK2KTNC9DELQD0"</definedName>
    <definedName name="zakl_prisp_na_prev_SD" localSheetId="15">#REF!</definedName>
    <definedName name="zakl_prisp_na_prev_SD" localSheetId="4">#REF!</definedName>
    <definedName name="zakl_prisp_na_prev_SD" localSheetId="6">#REF!</definedName>
    <definedName name="zakl_prisp_na_prev_SD" localSheetId="7">#REF!</definedName>
    <definedName name="zakl_prisp_na_prev_SD">#REF!</definedName>
    <definedName name="záloha" localSheetId="15">#REF!</definedName>
    <definedName name="záloha" localSheetId="4">#REF!</definedName>
    <definedName name="záloha" localSheetId="6">#REF!</definedName>
    <definedName name="záloha" localSheetId="7">#REF!</definedName>
    <definedName name="záloha">#REF!</definedName>
  </definedNames>
  <calcPr calcId="162913"/>
</workbook>
</file>

<file path=xl/calcChain.xml><?xml version="1.0" encoding="utf-8"?>
<calcChain xmlns="http://schemas.openxmlformats.org/spreadsheetml/2006/main">
  <c r="F19" i="160" l="1"/>
  <c r="E19" i="160"/>
  <c r="D19" i="160"/>
  <c r="F26" i="160"/>
  <c r="E26" i="160"/>
  <c r="D26" i="160"/>
  <c r="C26" i="160"/>
  <c r="K6" i="97" l="1"/>
  <c r="I6" i="97"/>
  <c r="D16" i="90" l="1"/>
  <c r="H29" i="160" l="1"/>
  <c r="H30" i="160"/>
  <c r="D29" i="160" l="1"/>
  <c r="E71" i="161" l="1"/>
  <c r="F6" i="157" l="1"/>
  <c r="E24" i="133" l="1"/>
  <c r="D24" i="133"/>
  <c r="E23" i="133"/>
  <c r="D23" i="133"/>
  <c r="E34" i="134"/>
  <c r="D34" i="134"/>
  <c r="E28" i="134"/>
  <c r="D28" i="134"/>
  <c r="E11" i="134"/>
  <c r="D11" i="134"/>
  <c r="D40" i="133"/>
  <c r="E40" i="133" l="1"/>
  <c r="C5" i="64"/>
  <c r="C63" i="161" l="1"/>
  <c r="F55" i="161"/>
  <c r="E55" i="161"/>
  <c r="D55" i="161"/>
  <c r="C55" i="161"/>
  <c r="D49" i="161"/>
  <c r="C49" i="161"/>
  <c r="F39" i="161"/>
  <c r="E39" i="161"/>
  <c r="D39" i="161"/>
  <c r="C39" i="161"/>
  <c r="C38" i="161"/>
  <c r="F31" i="161"/>
  <c r="E31" i="161"/>
  <c r="D31" i="161"/>
  <c r="C31" i="161"/>
  <c r="F25" i="161"/>
  <c r="E25" i="161"/>
  <c r="D25" i="161"/>
  <c r="C25" i="161"/>
  <c r="E21" i="161"/>
  <c r="D21" i="161"/>
  <c r="C21" i="161"/>
  <c r="F15" i="161"/>
  <c r="D15" i="161"/>
  <c r="F11" i="161"/>
  <c r="E11" i="161"/>
  <c r="D11" i="161"/>
  <c r="C11" i="161"/>
  <c r="D6" i="161"/>
  <c r="C6" i="161"/>
  <c r="H102" i="162" l="1"/>
  <c r="G102" i="162"/>
  <c r="H101" i="162"/>
  <c r="G101" i="162"/>
  <c r="H100" i="162"/>
  <c r="G100" i="162"/>
  <c r="H99" i="162"/>
  <c r="G99" i="162"/>
  <c r="H98" i="162"/>
  <c r="G98" i="162"/>
  <c r="H97" i="162"/>
  <c r="G97" i="162"/>
  <c r="H96" i="162"/>
  <c r="G96" i="162"/>
  <c r="H95" i="162"/>
  <c r="G95" i="162"/>
  <c r="H94" i="162"/>
  <c r="G94" i="162"/>
  <c r="H93" i="162"/>
  <c r="G93" i="162"/>
  <c r="H92" i="162"/>
  <c r="G92" i="162"/>
  <c r="H91" i="162"/>
  <c r="G91" i="162"/>
  <c r="E90" i="162"/>
  <c r="D90" i="162"/>
  <c r="H90" i="162" s="1"/>
  <c r="C90" i="162"/>
  <c r="D89" i="162"/>
  <c r="D81" i="162" s="1"/>
  <c r="C89" i="162"/>
  <c r="G89" i="162" s="1"/>
  <c r="H88" i="162"/>
  <c r="G88" i="162"/>
  <c r="H87" i="162"/>
  <c r="G87" i="162"/>
  <c r="H86" i="162"/>
  <c r="G86" i="162"/>
  <c r="H85" i="162"/>
  <c r="G85" i="162"/>
  <c r="H84" i="162"/>
  <c r="G84" i="162"/>
  <c r="H83" i="162"/>
  <c r="G83" i="162"/>
  <c r="H82" i="162"/>
  <c r="G82" i="162"/>
  <c r="F81" i="162"/>
  <c r="E81" i="162"/>
  <c r="E79" i="162" s="1"/>
  <c r="G79" i="162" s="1"/>
  <c r="C81" i="162"/>
  <c r="C79" i="162" s="1"/>
  <c r="H80" i="162"/>
  <c r="G80" i="162"/>
  <c r="F79" i="162"/>
  <c r="H78" i="162"/>
  <c r="G78" i="162"/>
  <c r="H77" i="162"/>
  <c r="G77" i="162"/>
  <c r="H76" i="162"/>
  <c r="G76" i="162"/>
  <c r="H75" i="162"/>
  <c r="G75" i="162"/>
  <c r="H74" i="162"/>
  <c r="G74" i="162"/>
  <c r="H73" i="162"/>
  <c r="G73" i="162"/>
  <c r="H72" i="162"/>
  <c r="G72" i="162"/>
  <c r="H71" i="162"/>
  <c r="G71" i="162"/>
  <c r="H70" i="162"/>
  <c r="G70" i="162"/>
  <c r="H69" i="162"/>
  <c r="G69" i="162"/>
  <c r="F68" i="162"/>
  <c r="E68" i="162"/>
  <c r="G68" i="162" s="1"/>
  <c r="D68" i="162"/>
  <c r="C68" i="162"/>
  <c r="H67" i="162"/>
  <c r="G67" i="162"/>
  <c r="H66" i="162"/>
  <c r="G66" i="162"/>
  <c r="H65" i="162"/>
  <c r="G65" i="162"/>
  <c r="H64" i="162"/>
  <c r="G64" i="162"/>
  <c r="H63" i="162"/>
  <c r="G63" i="162"/>
  <c r="F62" i="162"/>
  <c r="H62" i="162" s="1"/>
  <c r="E62" i="162"/>
  <c r="D62" i="162"/>
  <c r="D60" i="162" s="1"/>
  <c r="C62" i="162"/>
  <c r="C60" i="162" s="1"/>
  <c r="H61" i="162"/>
  <c r="G61" i="162"/>
  <c r="H59" i="162"/>
  <c r="G59" i="162"/>
  <c r="H58" i="162"/>
  <c r="G58" i="162"/>
  <c r="H57" i="162"/>
  <c r="G57" i="162"/>
  <c r="H56" i="162"/>
  <c r="G56" i="162"/>
  <c r="H55" i="162"/>
  <c r="G55" i="162"/>
  <c r="H54" i="162"/>
  <c r="G54" i="162"/>
  <c r="H53" i="162"/>
  <c r="G53" i="162"/>
  <c r="H52" i="162"/>
  <c r="G52" i="162"/>
  <c r="H51" i="162"/>
  <c r="G51" i="162"/>
  <c r="H50" i="162"/>
  <c r="G50" i="162"/>
  <c r="H49" i="162"/>
  <c r="G49" i="162"/>
  <c r="H48" i="162"/>
  <c r="G48" i="162"/>
  <c r="H47" i="162"/>
  <c r="G47" i="162"/>
  <c r="H46" i="162"/>
  <c r="G46" i="162"/>
  <c r="H45" i="162"/>
  <c r="G45" i="162"/>
  <c r="F44" i="162"/>
  <c r="H44" i="162" s="1"/>
  <c r="E44" i="162"/>
  <c r="G44" i="162" s="1"/>
  <c r="D44" i="162"/>
  <c r="C44" i="162"/>
  <c r="H43" i="162"/>
  <c r="G43" i="162"/>
  <c r="H42" i="162"/>
  <c r="G42" i="162"/>
  <c r="H41" i="162"/>
  <c r="G41" i="162"/>
  <c r="F40" i="162"/>
  <c r="E40" i="162"/>
  <c r="D40" i="162"/>
  <c r="C40" i="162"/>
  <c r="H39" i="162"/>
  <c r="G39" i="162"/>
  <c r="H38" i="162"/>
  <c r="G38" i="162"/>
  <c r="H37" i="162"/>
  <c r="G37" i="162"/>
  <c r="H36" i="162"/>
  <c r="G36" i="162"/>
  <c r="H35" i="162"/>
  <c r="G35" i="162"/>
  <c r="H34" i="162"/>
  <c r="G34" i="162"/>
  <c r="H33" i="162"/>
  <c r="G33" i="162"/>
  <c r="F32" i="162"/>
  <c r="H32" i="162" s="1"/>
  <c r="E32" i="162"/>
  <c r="D32" i="162"/>
  <c r="C32" i="162"/>
  <c r="H31" i="162"/>
  <c r="G31" i="162"/>
  <c r="H30" i="162"/>
  <c r="G30" i="162"/>
  <c r="H29" i="162"/>
  <c r="G29" i="162"/>
  <c r="H28" i="162"/>
  <c r="G28" i="162"/>
  <c r="F27" i="162"/>
  <c r="H27" i="162" s="1"/>
  <c r="E27" i="162"/>
  <c r="G27" i="162" s="1"/>
  <c r="D27" i="162"/>
  <c r="C27" i="162"/>
  <c r="H25" i="162"/>
  <c r="G25" i="162"/>
  <c r="H24" i="162"/>
  <c r="G24" i="162"/>
  <c r="H23" i="162"/>
  <c r="G23" i="162"/>
  <c r="H22" i="162"/>
  <c r="G22" i="162"/>
  <c r="H21" i="162"/>
  <c r="G21" i="162"/>
  <c r="H20" i="162"/>
  <c r="G20" i="162"/>
  <c r="F19" i="162"/>
  <c r="H19" i="162" s="1"/>
  <c r="E19" i="162"/>
  <c r="D19" i="162"/>
  <c r="C19" i="162"/>
  <c r="H18" i="162"/>
  <c r="G18" i="162"/>
  <c r="H17" i="162"/>
  <c r="G17" i="162"/>
  <c r="H16" i="162"/>
  <c r="G16" i="162"/>
  <c r="H15" i="162"/>
  <c r="G15" i="162"/>
  <c r="H14" i="162"/>
  <c r="G14" i="162"/>
  <c r="H13" i="162"/>
  <c r="G13" i="162"/>
  <c r="H12" i="162"/>
  <c r="G12" i="162"/>
  <c r="H11" i="162"/>
  <c r="G11" i="162"/>
  <c r="H10" i="162"/>
  <c r="G10" i="162"/>
  <c r="H9" i="162"/>
  <c r="G9" i="162"/>
  <c r="H8" i="162"/>
  <c r="G8" i="162"/>
  <c r="H7" i="162"/>
  <c r="G7" i="162"/>
  <c r="A7" i="162"/>
  <c r="A8" i="162" s="1"/>
  <c r="A9" i="162" s="1"/>
  <c r="A10" i="162" s="1"/>
  <c r="A11" i="162" s="1"/>
  <c r="A12" i="162" s="1"/>
  <c r="A13" i="162" s="1"/>
  <c r="A14" i="162" s="1"/>
  <c r="A15" i="162" s="1"/>
  <c r="A16" i="162" s="1"/>
  <c r="A17" i="162" s="1"/>
  <c r="A18" i="162" s="1"/>
  <c r="A19" i="162" s="1"/>
  <c r="A20" i="162" s="1"/>
  <c r="A21" i="162" s="1"/>
  <c r="A22" i="162" s="1"/>
  <c r="A23" i="162" s="1"/>
  <c r="A24" i="162" s="1"/>
  <c r="A25" i="162" s="1"/>
  <c r="A26" i="162" s="1"/>
  <c r="A27" i="162" s="1"/>
  <c r="A28" i="162" s="1"/>
  <c r="A29" i="162" s="1"/>
  <c r="A30" i="162" s="1"/>
  <c r="A31" i="162" s="1"/>
  <c r="A32" i="162" s="1"/>
  <c r="A33" i="162" s="1"/>
  <c r="A34" i="162" s="1"/>
  <c r="A35" i="162" s="1"/>
  <c r="A36" i="162" s="1"/>
  <c r="A37" i="162" s="1"/>
  <c r="A38" i="162" s="1"/>
  <c r="A39" i="162" s="1"/>
  <c r="A40" i="162" s="1"/>
  <c r="A41" i="162" s="1"/>
  <c r="A42" i="162" s="1"/>
  <c r="A43" i="162" s="1"/>
  <c r="A44" i="162" s="1"/>
  <c r="A45" i="162" s="1"/>
  <c r="A46" i="162" s="1"/>
  <c r="A47" i="162" s="1"/>
  <c r="A48" i="162" s="1"/>
  <c r="A49" i="162" s="1"/>
  <c r="A50" i="162" s="1"/>
  <c r="A51" i="162" s="1"/>
  <c r="A52" i="162" s="1"/>
  <c r="A53" i="162" s="1"/>
  <c r="A54" i="162" s="1"/>
  <c r="A55" i="162" s="1"/>
  <c r="A56" i="162" s="1"/>
  <c r="A57" i="162" s="1"/>
  <c r="A58" i="162" s="1"/>
  <c r="A59" i="162" s="1"/>
  <c r="A60" i="162" s="1"/>
  <c r="A61" i="162" s="1"/>
  <c r="A62" i="162" s="1"/>
  <c r="A63" i="162" s="1"/>
  <c r="A64" i="162" s="1"/>
  <c r="A65" i="162" s="1"/>
  <c r="A66" i="162" s="1"/>
  <c r="A67" i="162" s="1"/>
  <c r="A68" i="162" s="1"/>
  <c r="A69" i="162" s="1"/>
  <c r="A70" i="162" s="1"/>
  <c r="A71" i="162" s="1"/>
  <c r="A72" i="162" s="1"/>
  <c r="A73" i="162" s="1"/>
  <c r="A74" i="162" s="1"/>
  <c r="A75" i="162" s="1"/>
  <c r="A76" i="162" s="1"/>
  <c r="A77" i="162" s="1"/>
  <c r="A78" i="162" s="1"/>
  <c r="A79" i="162" s="1"/>
  <c r="A80" i="162" s="1"/>
  <c r="A81" i="162" s="1"/>
  <c r="A82" i="162" s="1"/>
  <c r="A83" i="162" s="1"/>
  <c r="A84" i="162" s="1"/>
  <c r="A85" i="162" s="1"/>
  <c r="A86" i="162" s="1"/>
  <c r="A88" i="162" s="1"/>
  <c r="A89" i="162" s="1"/>
  <c r="A90" i="162" s="1"/>
  <c r="A91" i="162" s="1"/>
  <c r="A92" i="162" s="1"/>
  <c r="A94" i="162" s="1"/>
  <c r="A95" i="162" s="1"/>
  <c r="A96" i="162" s="1"/>
  <c r="A97" i="162" s="1"/>
  <c r="A98" i="162" s="1"/>
  <c r="A99" i="162" s="1"/>
  <c r="A100" i="162" s="1"/>
  <c r="A101" i="162" s="1"/>
  <c r="A102" i="162" s="1"/>
  <c r="A103" i="162" s="1"/>
  <c r="F6" i="162"/>
  <c r="H6" i="162" s="1"/>
  <c r="E6" i="162"/>
  <c r="G6" i="162" s="1"/>
  <c r="D6" i="162"/>
  <c r="C6" i="162"/>
  <c r="H68" i="162" l="1"/>
  <c r="C103" i="162"/>
  <c r="G40" i="162"/>
  <c r="G62" i="162"/>
  <c r="G81" i="162"/>
  <c r="G90" i="162"/>
  <c r="G19" i="162"/>
  <c r="G32" i="162"/>
  <c r="H40" i="162"/>
  <c r="D79" i="162"/>
  <c r="H79" i="162" s="1"/>
  <c r="H81" i="162"/>
  <c r="D103" i="162"/>
  <c r="H89" i="162"/>
  <c r="E60" i="162"/>
  <c r="G60" i="162" s="1"/>
  <c r="F60" i="162"/>
  <c r="H60" i="162" s="1"/>
  <c r="F103" i="162"/>
  <c r="D25" i="144"/>
  <c r="H103" i="162" l="1"/>
  <c r="E103" i="162"/>
  <c r="G29" i="160"/>
  <c r="G30" i="160"/>
  <c r="C29" i="160"/>
  <c r="C29" i="3"/>
  <c r="C20" i="3" s="1"/>
  <c r="C31" i="3" s="1"/>
  <c r="D20" i="3"/>
  <c r="E30" i="3"/>
  <c r="G103" i="162" l="1"/>
  <c r="E29" i="3"/>
  <c r="D13" i="146"/>
  <c r="E19" i="91" l="1"/>
  <c r="F19" i="91"/>
  <c r="F13" i="91"/>
  <c r="D23" i="91"/>
  <c r="D6" i="91"/>
  <c r="E6" i="91"/>
  <c r="E10" i="3"/>
  <c r="E23" i="3"/>
  <c r="E24" i="3"/>
  <c r="E25" i="3"/>
  <c r="E26" i="3"/>
  <c r="E27" i="3"/>
  <c r="C5" i="3"/>
  <c r="C23" i="3" l="1"/>
  <c r="C24" i="3"/>
  <c r="C15" i="3"/>
  <c r="D5" i="3"/>
  <c r="E9" i="3"/>
  <c r="C71" i="161" l="1"/>
  <c r="H70" i="161"/>
  <c r="G70" i="161"/>
  <c r="H69" i="161"/>
  <c r="G69" i="161"/>
  <c r="H68" i="161"/>
  <c r="G68" i="161"/>
  <c r="H67" i="161"/>
  <c r="G67" i="161"/>
  <c r="H66" i="161"/>
  <c r="G66" i="161"/>
  <c r="H65" i="161"/>
  <c r="G65" i="161"/>
  <c r="H64" i="161"/>
  <c r="G64" i="161"/>
  <c r="H63" i="161"/>
  <c r="G63" i="161"/>
  <c r="H62" i="161"/>
  <c r="G62" i="161"/>
  <c r="H61" i="161"/>
  <c r="G61" i="161"/>
  <c r="G60" i="161"/>
  <c r="G59" i="161"/>
  <c r="G58" i="161"/>
  <c r="G57" i="161"/>
  <c r="G56" i="161"/>
  <c r="G55" i="161"/>
  <c r="H55" i="161"/>
  <c r="H54" i="161"/>
  <c r="G54" i="161"/>
  <c r="H53" i="161"/>
  <c r="G53" i="161"/>
  <c r="H52" i="161"/>
  <c r="G52" i="161"/>
  <c r="H51" i="161"/>
  <c r="G51" i="161"/>
  <c r="H50" i="161"/>
  <c r="G50" i="161"/>
  <c r="H49" i="161"/>
  <c r="G49" i="161"/>
  <c r="H48" i="161"/>
  <c r="G48" i="161"/>
  <c r="H47" i="161"/>
  <c r="G47" i="161"/>
  <c r="H46" i="161"/>
  <c r="G46" i="161"/>
  <c r="H45" i="161"/>
  <c r="G45" i="161"/>
  <c r="H44" i="161"/>
  <c r="G44" i="161"/>
  <c r="H43" i="161"/>
  <c r="G43" i="161"/>
  <c r="H42" i="161"/>
  <c r="G42" i="161"/>
  <c r="H41" i="161"/>
  <c r="G41" i="161"/>
  <c r="H40" i="161"/>
  <c r="G40" i="161"/>
  <c r="H39" i="161"/>
  <c r="G39" i="161"/>
  <c r="H38" i="161"/>
  <c r="G38" i="161"/>
  <c r="H37" i="161"/>
  <c r="G37" i="161"/>
  <c r="H36" i="161"/>
  <c r="G36" i="161"/>
  <c r="H35" i="161"/>
  <c r="G35" i="161"/>
  <c r="H34" i="161"/>
  <c r="G34" i="161"/>
  <c r="H33" i="161"/>
  <c r="G33" i="161"/>
  <c r="H32" i="161"/>
  <c r="G32" i="161"/>
  <c r="G31" i="161"/>
  <c r="H31" i="161"/>
  <c r="H30" i="161"/>
  <c r="G30" i="161"/>
  <c r="H29" i="161"/>
  <c r="G29" i="161"/>
  <c r="H28" i="161"/>
  <c r="G28" i="161"/>
  <c r="H27" i="161"/>
  <c r="G27" i="161"/>
  <c r="H26" i="161"/>
  <c r="G26" i="161"/>
  <c r="G25" i="161"/>
  <c r="H25" i="161"/>
  <c r="H24" i="161"/>
  <c r="G24" i="161"/>
  <c r="H23" i="161"/>
  <c r="G23" i="161"/>
  <c r="H22" i="161"/>
  <c r="G22" i="161"/>
  <c r="G21" i="161"/>
  <c r="H21" i="161"/>
  <c r="H20" i="161"/>
  <c r="G20" i="161"/>
  <c r="H19" i="161"/>
  <c r="G19" i="161"/>
  <c r="H18" i="161"/>
  <c r="G18" i="161"/>
  <c r="H17" i="161"/>
  <c r="G17" i="161"/>
  <c r="H16" i="161"/>
  <c r="G16" i="161"/>
  <c r="H15" i="161"/>
  <c r="G15" i="161"/>
  <c r="H14" i="161"/>
  <c r="G14" i="161"/>
  <c r="H13" i="161"/>
  <c r="G13" i="161"/>
  <c r="H12" i="161"/>
  <c r="G12" i="161"/>
  <c r="G11" i="161"/>
  <c r="H11" i="161"/>
  <c r="H10" i="161"/>
  <c r="G10" i="161"/>
  <c r="H9" i="161"/>
  <c r="G9" i="161"/>
  <c r="H8" i="161"/>
  <c r="G8" i="161"/>
  <c r="H7" i="161"/>
  <c r="G7" i="161"/>
  <c r="A7" i="161"/>
  <c r="A8" i="161" s="1"/>
  <c r="A9" i="161" s="1"/>
  <c r="A10" i="161" s="1"/>
  <c r="A11" i="161" s="1"/>
  <c r="A12" i="161" s="1"/>
  <c r="A13" i="161" s="1"/>
  <c r="A14" i="161" s="1"/>
  <c r="A15" i="161" s="1"/>
  <c r="A16" i="161" s="1"/>
  <c r="A17" i="161" s="1"/>
  <c r="A18" i="161" s="1"/>
  <c r="A19" i="161" s="1"/>
  <c r="A20" i="161" s="1"/>
  <c r="A21" i="161" s="1"/>
  <c r="A22" i="161" s="1"/>
  <c r="A23" i="161" s="1"/>
  <c r="A24" i="161" s="1"/>
  <c r="A25" i="161" s="1"/>
  <c r="A26" i="161" s="1"/>
  <c r="A27" i="161" s="1"/>
  <c r="A28" i="161" s="1"/>
  <c r="A29" i="161" s="1"/>
  <c r="A30" i="161" s="1"/>
  <c r="A31" i="161" s="1"/>
  <c r="A32" i="161" s="1"/>
  <c r="A33" i="161" s="1"/>
  <c r="A34" i="161" s="1"/>
  <c r="A35" i="161" s="1"/>
  <c r="A36" i="161" s="1"/>
  <c r="A37" i="161" s="1"/>
  <c r="A38" i="161" s="1"/>
  <c r="A39" i="161" s="1"/>
  <c r="A40" i="161" s="1"/>
  <c r="A41" i="161" s="1"/>
  <c r="A42" i="161" s="1"/>
  <c r="A43" i="161" s="1"/>
  <c r="A44" i="161" s="1"/>
  <c r="A45" i="161" s="1"/>
  <c r="A46" i="161" s="1"/>
  <c r="A47" i="161" s="1"/>
  <c r="A48" i="161" s="1"/>
  <c r="A49" i="161" s="1"/>
  <c r="A50" i="161" s="1"/>
  <c r="A51" i="161" s="1"/>
  <c r="A52" i="161" s="1"/>
  <c r="A53" i="161" s="1"/>
  <c r="A54" i="161" s="1"/>
  <c r="A55" i="161" s="1"/>
  <c r="A56" i="161" s="1"/>
  <c r="A57" i="161" s="1"/>
  <c r="A58" i="161" s="1"/>
  <c r="A59" i="161" s="1"/>
  <c r="A60" i="161" s="1"/>
  <c r="A61" i="161" s="1"/>
  <c r="A62" i="161" s="1"/>
  <c r="A63" i="161" s="1"/>
  <c r="A64" i="161" s="1"/>
  <c r="A65" i="161" s="1"/>
  <c r="A66" i="161" s="1"/>
  <c r="A67" i="161" s="1"/>
  <c r="A68" i="161" s="1"/>
  <c r="A69" i="161" s="1"/>
  <c r="A70" i="161" s="1"/>
  <c r="A71" i="161" s="1"/>
  <c r="F71" i="161"/>
  <c r="D71" i="161"/>
  <c r="G71" i="161" l="1"/>
  <c r="H71" i="161"/>
  <c r="G6" i="161"/>
  <c r="H6" i="161"/>
  <c r="D20" i="146" l="1"/>
  <c r="C20" i="146"/>
  <c r="C7" i="64" l="1"/>
  <c r="H28" i="160" l="1"/>
  <c r="H26" i="160" s="1"/>
  <c r="G27" i="160"/>
  <c r="G26" i="160"/>
  <c r="H25" i="160"/>
  <c r="H23" i="160" s="1"/>
  <c r="G23" i="160"/>
  <c r="F23" i="160"/>
  <c r="H19" i="160" s="1"/>
  <c r="E23" i="160"/>
  <c r="D23" i="160"/>
  <c r="C23" i="160"/>
  <c r="C19" i="160" s="1"/>
  <c r="H22" i="160"/>
  <c r="H20" i="160" s="1"/>
  <c r="G21" i="160"/>
  <c r="G20" i="160" s="1"/>
  <c r="F20" i="160"/>
  <c r="E20" i="160"/>
  <c r="D20" i="160"/>
  <c r="H17" i="160"/>
  <c r="G16" i="160"/>
  <c r="F15" i="160"/>
  <c r="E15" i="160"/>
  <c r="D15" i="160"/>
  <c r="C15" i="160"/>
  <c r="H14" i="160"/>
  <c r="G13" i="160"/>
  <c r="F12" i="160"/>
  <c r="E12" i="160"/>
  <c r="D12" i="160"/>
  <c r="H12" i="160" s="1"/>
  <c r="C12" i="160"/>
  <c r="H11" i="160"/>
  <c r="G10" i="160"/>
  <c r="F9" i="160"/>
  <c r="E9" i="160"/>
  <c r="D9" i="160"/>
  <c r="C9" i="160"/>
  <c r="G9" i="160" s="1"/>
  <c r="H8" i="160"/>
  <c r="A8" i="160"/>
  <c r="A9" i="160" s="1"/>
  <c r="A10" i="160" s="1"/>
  <c r="A11" i="160" s="1"/>
  <c r="G7" i="160"/>
  <c r="F6" i="160"/>
  <c r="F18" i="160" s="1"/>
  <c r="E6" i="160"/>
  <c r="E18" i="160" s="1"/>
  <c r="D6" i="160"/>
  <c r="D18" i="160" s="1"/>
  <c r="H18" i="160" s="1"/>
  <c r="C6" i="160"/>
  <c r="G19" i="160" l="1"/>
  <c r="F35" i="160"/>
  <c r="E35" i="160"/>
  <c r="C18" i="160"/>
  <c r="G18" i="160" s="1"/>
  <c r="G35" i="160" s="1"/>
  <c r="H35" i="160"/>
  <c r="D35" i="160"/>
  <c r="H9" i="160"/>
  <c r="G12" i="160"/>
  <c r="G6" i="160"/>
  <c r="H6" i="160"/>
  <c r="G15" i="160"/>
  <c r="H15" i="160"/>
  <c r="C35" i="160" l="1"/>
  <c r="C24" i="64"/>
  <c r="C14" i="116" l="1"/>
  <c r="I16" i="91"/>
  <c r="D10" i="91"/>
  <c r="E10" i="91"/>
  <c r="E23" i="91" s="1"/>
  <c r="F10" i="91"/>
  <c r="F23" i="91" s="1"/>
  <c r="G10" i="91"/>
  <c r="G23" i="91"/>
  <c r="H10" i="91"/>
  <c r="I11" i="91"/>
  <c r="I12" i="91"/>
  <c r="I13" i="91"/>
  <c r="I14" i="91"/>
  <c r="I15" i="91"/>
  <c r="C10" i="91"/>
  <c r="C23" i="91"/>
  <c r="D22" i="144"/>
  <c r="E22" i="144"/>
  <c r="F22" i="144"/>
  <c r="C22" i="144"/>
  <c r="I22" i="91"/>
  <c r="H23" i="91"/>
  <c r="D5" i="154"/>
  <c r="C5" i="154"/>
  <c r="E6" i="159"/>
  <c r="D7" i="159"/>
  <c r="C7" i="159"/>
  <c r="E5" i="159"/>
  <c r="D9" i="157"/>
  <c r="F9" i="157"/>
  <c r="D19" i="144"/>
  <c r="E19" i="144"/>
  <c r="F19" i="144"/>
  <c r="D16" i="144"/>
  <c r="E16" i="144"/>
  <c r="F16" i="144"/>
  <c r="D13" i="144"/>
  <c r="E13" i="144"/>
  <c r="F13" i="144"/>
  <c r="D10" i="144"/>
  <c r="E10" i="144"/>
  <c r="E7" i="144"/>
  <c r="F10" i="144"/>
  <c r="D7" i="144"/>
  <c r="F7" i="144"/>
  <c r="M6" i="97"/>
  <c r="E6" i="23"/>
  <c r="E14" i="23"/>
  <c r="E16" i="23"/>
  <c r="E17" i="23"/>
  <c r="E18" i="23"/>
  <c r="E8" i="23"/>
  <c r="E9" i="23"/>
  <c r="E10" i="23"/>
  <c r="E11" i="23"/>
  <c r="E12" i="23"/>
  <c r="D7" i="23"/>
  <c r="C7" i="23"/>
  <c r="C7" i="144"/>
  <c r="C10" i="144"/>
  <c r="C16" i="144"/>
  <c r="C19" i="144"/>
  <c r="C13" i="144"/>
  <c r="C9" i="157"/>
  <c r="E6" i="157" s="1"/>
  <c r="E9" i="157" s="1"/>
  <c r="D17" i="154"/>
  <c r="C17" i="154"/>
  <c r="J29" i="155"/>
  <c r="K29" i="155" s="1"/>
  <c r="F29" i="155"/>
  <c r="J28" i="155"/>
  <c r="F28" i="155"/>
  <c r="F27" i="155"/>
  <c r="F22" i="155"/>
  <c r="K22" i="155"/>
  <c r="J26" i="155"/>
  <c r="F26" i="155"/>
  <c r="K26" i="155" s="1"/>
  <c r="J25" i="155"/>
  <c r="F25" i="155"/>
  <c r="K25" i="155"/>
  <c r="J24" i="155"/>
  <c r="F24" i="155"/>
  <c r="K24" i="155" s="1"/>
  <c r="J23" i="155"/>
  <c r="J22" i="155" s="1"/>
  <c r="F23" i="155"/>
  <c r="K23" i="155" s="1"/>
  <c r="I22" i="155"/>
  <c r="H22" i="155"/>
  <c r="G22" i="155"/>
  <c r="E22" i="155"/>
  <c r="D22" i="155"/>
  <c r="C22" i="155"/>
  <c r="J21" i="155"/>
  <c r="F21" i="155"/>
  <c r="J20" i="155"/>
  <c r="F20" i="155"/>
  <c r="J19" i="155"/>
  <c r="F19" i="155"/>
  <c r="J18" i="155"/>
  <c r="F18" i="155"/>
  <c r="J17" i="155"/>
  <c r="F17" i="155"/>
  <c r="I16" i="155"/>
  <c r="H16" i="155"/>
  <c r="G16" i="155"/>
  <c r="J16" i="155" s="1"/>
  <c r="E16" i="155"/>
  <c r="D16" i="155"/>
  <c r="C16" i="155"/>
  <c r="F16" i="155"/>
  <c r="J15" i="155"/>
  <c r="F15" i="155"/>
  <c r="J13" i="155"/>
  <c r="F13" i="155"/>
  <c r="K13" i="155"/>
  <c r="J12" i="155"/>
  <c r="K12" i="155" s="1"/>
  <c r="F12" i="155"/>
  <c r="J11" i="155"/>
  <c r="F11" i="155"/>
  <c r="K11" i="155"/>
  <c r="J10" i="155"/>
  <c r="K10" i="155" s="1"/>
  <c r="F10" i="155"/>
  <c r="J9" i="155"/>
  <c r="F9" i="155"/>
  <c r="K9" i="155"/>
  <c r="J8" i="155"/>
  <c r="K8" i="155" s="1"/>
  <c r="F8" i="155"/>
  <c r="I7" i="155"/>
  <c r="H7" i="155"/>
  <c r="H30" i="155"/>
  <c r="G7" i="155"/>
  <c r="E7" i="155"/>
  <c r="E30" i="155" s="1"/>
  <c r="D7" i="155"/>
  <c r="D30" i="155" s="1"/>
  <c r="C7" i="155"/>
  <c r="F7" i="155" s="1"/>
  <c r="F23" i="76"/>
  <c r="D10" i="154"/>
  <c r="C10" i="154"/>
  <c r="D15" i="3"/>
  <c r="E15" i="3" s="1"/>
  <c r="E20" i="3"/>
  <c r="C12" i="146"/>
  <c r="D10" i="146" s="1"/>
  <c r="D21" i="146"/>
  <c r="F43" i="133"/>
  <c r="F42" i="133"/>
  <c r="N15" i="145"/>
  <c r="M15" i="145"/>
  <c r="M18" i="145"/>
  <c r="N18" i="145"/>
  <c r="N16" i="145"/>
  <c r="M16" i="145"/>
  <c r="N12" i="145"/>
  <c r="M12" i="145"/>
  <c r="N11" i="145"/>
  <c r="M11" i="145"/>
  <c r="M8" i="145"/>
  <c r="N8" i="145"/>
  <c r="M6" i="145"/>
  <c r="C17" i="146"/>
  <c r="H7" i="145"/>
  <c r="G7" i="145"/>
  <c r="G17" i="145" s="1"/>
  <c r="H6" i="145" s="1"/>
  <c r="H17" i="145" s="1"/>
  <c r="C21" i="146"/>
  <c r="D17" i="146"/>
  <c r="D6" i="146"/>
  <c r="C6" i="146"/>
  <c r="A6" i="146"/>
  <c r="A7" i="146"/>
  <c r="A8" i="146"/>
  <c r="A9" i="146"/>
  <c r="A10" i="146"/>
  <c r="A11" i="146"/>
  <c r="A12" i="146"/>
  <c r="A13" i="146"/>
  <c r="A15" i="146"/>
  <c r="A16" i="146"/>
  <c r="A17" i="146"/>
  <c r="A18" i="146"/>
  <c r="A19" i="146"/>
  <c r="A20" i="146"/>
  <c r="A21" i="146"/>
  <c r="N14" i="145"/>
  <c r="M14" i="145"/>
  <c r="N13" i="145"/>
  <c r="M13" i="145"/>
  <c r="N10" i="145"/>
  <c r="M10" i="145"/>
  <c r="N9" i="145"/>
  <c r="M9" i="145"/>
  <c r="L7" i="145"/>
  <c r="K7" i="145"/>
  <c r="K17" i="145"/>
  <c r="L6" i="145"/>
  <c r="L17" i="145" s="1"/>
  <c r="J7" i="145"/>
  <c r="I7" i="145"/>
  <c r="F7" i="145"/>
  <c r="E7" i="145"/>
  <c r="M7" i="145" s="1"/>
  <c r="E17" i="145"/>
  <c r="F6" i="145" s="1"/>
  <c r="F17" i="145" s="1"/>
  <c r="D7" i="145"/>
  <c r="C7" i="145"/>
  <c r="C17" i="145"/>
  <c r="F40" i="134"/>
  <c r="I21" i="91"/>
  <c r="I20" i="91"/>
  <c r="I19" i="91"/>
  <c r="I18" i="91"/>
  <c r="I17" i="91"/>
  <c r="I9" i="91"/>
  <c r="I8" i="91"/>
  <c r="I6" i="91"/>
  <c r="G6" i="97"/>
  <c r="J23" i="76"/>
  <c r="J24" i="76"/>
  <c r="J25" i="76"/>
  <c r="J22" i="76" s="1"/>
  <c r="J26" i="76"/>
  <c r="F24" i="76"/>
  <c r="K24" i="76" s="1"/>
  <c r="F25" i="76"/>
  <c r="L25" i="155" s="1"/>
  <c r="F26" i="76"/>
  <c r="L26" i="155" s="1"/>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D41" i="133" s="1"/>
  <c r="D44" i="133" s="1"/>
  <c r="E42" i="134"/>
  <c r="E41" i="133" s="1"/>
  <c r="E44" i="133" s="1"/>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C6" i="61"/>
  <c r="E6" i="61" s="1"/>
  <c r="D6" i="61"/>
  <c r="A7" i="61"/>
  <c r="A8" i="61"/>
  <c r="A9" i="61"/>
  <c r="A10" i="61"/>
  <c r="E7" i="61"/>
  <c r="E8" i="61"/>
  <c r="E10" i="61"/>
  <c r="E12" i="61"/>
  <c r="E13" i="61"/>
  <c r="C15" i="61"/>
  <c r="D15" i="61"/>
  <c r="E15" i="61"/>
  <c r="E16" i="61"/>
  <c r="A7" i="90"/>
  <c r="A8" i="90"/>
  <c r="A9" i="90"/>
  <c r="A10" i="90"/>
  <c r="A11" i="90"/>
  <c r="A12" i="90"/>
  <c r="A13" i="90"/>
  <c r="A14" i="90"/>
  <c r="A15" i="90"/>
  <c r="A17" i="90"/>
  <c r="A18" i="90"/>
  <c r="A19" i="90"/>
  <c r="A20" i="90"/>
  <c r="C7" i="90"/>
  <c r="C14" i="90"/>
  <c r="C20" i="90"/>
  <c r="D7" i="90"/>
  <c r="D14" i="90" s="1"/>
  <c r="D20" i="90" s="1"/>
  <c r="A7" i="116"/>
  <c r="E8" i="116"/>
  <c r="C18" i="116"/>
  <c r="F8" i="116"/>
  <c r="A9" i="116"/>
  <c r="A10" i="116"/>
  <c r="A11" i="116"/>
  <c r="A12" i="116"/>
  <c r="A13" i="116"/>
  <c r="A14" i="116"/>
  <c r="A15" i="116"/>
  <c r="A16" i="116"/>
  <c r="A17" i="116"/>
  <c r="A18" i="116"/>
  <c r="C13" i="116"/>
  <c r="C17" i="116" s="1"/>
  <c r="D13" i="116"/>
  <c r="D14" i="116"/>
  <c r="A7" i="109"/>
  <c r="A8" i="109"/>
  <c r="A9" i="109"/>
  <c r="A10" i="109"/>
  <c r="C11" i="109"/>
  <c r="E9" i="109" s="1"/>
  <c r="E11" i="109" s="1"/>
  <c r="C12" i="109"/>
  <c r="E12" i="109"/>
  <c r="C7" i="76"/>
  <c r="D7" i="76"/>
  <c r="E7" i="76"/>
  <c r="G7" i="76"/>
  <c r="G16" i="76"/>
  <c r="G30" i="76" s="1"/>
  <c r="H7" i="76"/>
  <c r="H30" i="76" s="1"/>
  <c r="I7" i="76"/>
  <c r="F8" i="76"/>
  <c r="L8" i="155" s="1"/>
  <c r="J8" i="76"/>
  <c r="F9" i="76"/>
  <c r="L9" i="155" s="1"/>
  <c r="J9" i="76"/>
  <c r="F10" i="76"/>
  <c r="K10" i="76" s="1"/>
  <c r="J10" i="76"/>
  <c r="F11" i="76"/>
  <c r="L11" i="155" s="1"/>
  <c r="J11" i="76"/>
  <c r="F12" i="76"/>
  <c r="J12" i="76"/>
  <c r="F13" i="76"/>
  <c r="K13" i="76" s="1"/>
  <c r="L13" i="155"/>
  <c r="J13" i="76"/>
  <c r="F15" i="76"/>
  <c r="J15" i="76"/>
  <c r="C16" i="76"/>
  <c r="F16" i="76" s="1"/>
  <c r="E16" i="76"/>
  <c r="D16" i="76"/>
  <c r="H16" i="76"/>
  <c r="I16" i="76"/>
  <c r="I30" i="76" s="1"/>
  <c r="F17" i="76"/>
  <c r="J17" i="76"/>
  <c r="F18" i="76"/>
  <c r="K18" i="76" s="1"/>
  <c r="J18" i="76"/>
  <c r="F19" i="76"/>
  <c r="J19" i="76"/>
  <c r="K19" i="76" s="1"/>
  <c r="F20" i="76"/>
  <c r="J20" i="76"/>
  <c r="F21" i="76"/>
  <c r="J21" i="76"/>
  <c r="C22" i="76"/>
  <c r="D22" i="76"/>
  <c r="E22" i="76"/>
  <c r="G22" i="76"/>
  <c r="H22" i="76"/>
  <c r="I22" i="76"/>
  <c r="F27" i="76"/>
  <c r="F22" i="76"/>
  <c r="F28" i="76"/>
  <c r="J28" i="76"/>
  <c r="K28" i="76" s="1"/>
  <c r="F29" i="76"/>
  <c r="K29" i="76"/>
  <c r="J29" i="76"/>
  <c r="D30" i="76"/>
  <c r="E6" i="3"/>
  <c r="E7" i="3"/>
  <c r="E8" i="3"/>
  <c r="C12" i="3"/>
  <c r="D12" i="3"/>
  <c r="D31" i="3" s="1"/>
  <c r="E16" i="3"/>
  <c r="E17" i="3"/>
  <c r="E18" i="3"/>
  <c r="E21" i="3"/>
  <c r="E22" i="3"/>
  <c r="E28" i="3"/>
  <c r="C5" i="23"/>
  <c r="D5" i="23"/>
  <c r="D19" i="23" s="1"/>
  <c r="A6" i="23"/>
  <c r="A7" i="23"/>
  <c r="A8" i="23"/>
  <c r="A9" i="23"/>
  <c r="A10" i="23"/>
  <c r="A11" i="23"/>
  <c r="A12" i="23"/>
  <c r="A13" i="23"/>
  <c r="A14" i="23"/>
  <c r="A15" i="23"/>
  <c r="A16" i="23"/>
  <c r="A17" i="23"/>
  <c r="A18" i="23"/>
  <c r="A19" i="23"/>
  <c r="C13" i="23"/>
  <c r="D13" i="23"/>
  <c r="E13" i="23"/>
  <c r="C15" i="23"/>
  <c r="E15" i="23" s="1"/>
  <c r="D15" i="23"/>
  <c r="I17" i="145"/>
  <c r="J6" i="145"/>
  <c r="J17" i="145" s="1"/>
  <c r="J7" i="155"/>
  <c r="I30" i="155"/>
  <c r="L24" i="155"/>
  <c r="E5" i="3"/>
  <c r="F7" i="76"/>
  <c r="K7" i="76"/>
  <c r="J16" i="76"/>
  <c r="L10" i="155"/>
  <c r="L22" i="155"/>
  <c r="K22" i="76"/>
  <c r="L12" i="155"/>
  <c r="K12" i="76"/>
  <c r="K8" i="76"/>
  <c r="K15" i="76"/>
  <c r="C30" i="76"/>
  <c r="E30" i="76"/>
  <c r="N7" i="145"/>
  <c r="E7" i="23"/>
  <c r="K26" i="76"/>
  <c r="J7" i="76"/>
  <c r="K15" i="155"/>
  <c r="D18" i="61"/>
  <c r="F44" i="133" l="1"/>
  <c r="F42" i="134"/>
  <c r="F40" i="133"/>
  <c r="L29" i="155"/>
  <c r="K28" i="155"/>
  <c r="L21" i="155"/>
  <c r="K16" i="155"/>
  <c r="K19" i="155"/>
  <c r="K17" i="155"/>
  <c r="K20" i="155"/>
  <c r="G30" i="155"/>
  <c r="J30" i="155"/>
  <c r="L18" i="155"/>
  <c r="K21" i="155"/>
  <c r="K18" i="155"/>
  <c r="L7" i="155"/>
  <c r="F30" i="155"/>
  <c r="K7" i="155"/>
  <c r="C30" i="155"/>
  <c r="L28" i="155"/>
  <c r="L23" i="155"/>
  <c r="K25" i="76"/>
  <c r="K23" i="76"/>
  <c r="L20" i="155"/>
  <c r="L15" i="155"/>
  <c r="L17" i="155"/>
  <c r="J30" i="76"/>
  <c r="L19" i="155"/>
  <c r="F30" i="76"/>
  <c r="K16" i="76"/>
  <c r="L16" i="155"/>
  <c r="K17" i="76"/>
  <c r="K21" i="76"/>
  <c r="K20" i="76"/>
  <c r="K11" i="76"/>
  <c r="K9" i="76"/>
  <c r="D18" i="116"/>
  <c r="D17" i="116"/>
  <c r="F6" i="144"/>
  <c r="E6" i="144"/>
  <c r="D6" i="144"/>
  <c r="C6" i="144"/>
  <c r="E7" i="159"/>
  <c r="M17" i="145"/>
  <c r="D6" i="145"/>
  <c r="I23" i="91"/>
  <c r="I10" i="91"/>
  <c r="E18" i="61"/>
  <c r="C18" i="61"/>
  <c r="C19" i="23"/>
  <c r="E19" i="23" s="1"/>
  <c r="E5" i="23"/>
  <c r="E12" i="3"/>
  <c r="E31" i="3"/>
  <c r="D12" i="146"/>
  <c r="D9" i="146" s="1"/>
  <c r="C9" i="146"/>
  <c r="C5" i="146" s="1"/>
  <c r="C16" i="146" s="1"/>
  <c r="F41" i="133" l="1"/>
  <c r="K30" i="155"/>
  <c r="K30" i="76"/>
  <c r="L30" i="155"/>
  <c r="D5" i="146"/>
  <c r="D16" i="146" s="1"/>
  <c r="N6" i="145"/>
  <c r="D17" i="145"/>
  <c r="N17" i="145" s="1"/>
</calcChain>
</file>

<file path=xl/comments1.xml><?xml version="1.0" encoding="utf-8"?>
<comments xmlns="http://schemas.openxmlformats.org/spreadsheetml/2006/main">
  <authors>
    <author>Ing. Gondárová Beata</author>
  </authors>
  <commentList>
    <comment ref="I82" authorId="0" shapeId="0">
      <text>
        <r>
          <rPr>
            <b/>
            <sz val="8"/>
            <color indexed="81"/>
            <rFont val="Tahoma"/>
            <family val="2"/>
            <charset val="238"/>
          </rPr>
          <t>Ing. Gondárová Beata:</t>
        </r>
        <r>
          <rPr>
            <sz val="8"/>
            <color indexed="81"/>
            <rFont val="Tahoma"/>
            <family val="2"/>
            <charset val="238"/>
          </rPr>
          <t xml:space="preserve">
na uvedenej analytike sa účt. keď ešte boli účelové DrŠ a tu sa uvádzali sumy navýšenia z neúčelovej dotácie
Účty sú neaktuálne, ale môžu sa používať, NEVSTUPUJÚ do nápočtov (napr.na valorizáciu).</t>
        </r>
      </text>
    </comment>
  </commentList>
</comments>
</file>

<file path=xl/sharedStrings.xml><?xml version="1.0" encoding="utf-8"?>
<sst xmlns="http://schemas.openxmlformats.org/spreadsheetml/2006/main" count="1302" uniqueCount="890">
  <si>
    <t xml:space="preserve">pozn.1): rozdiel medzi údajom, vykazovaným v stĺpci T6_R18_SH a údajom v T5_R56_(SC+SD) uviesť v komentári  </t>
  </si>
  <si>
    <t xml:space="preserve">  - tvorba fondu z predaja alebo likvidácie majetku</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</si>
  <si>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</si>
  <si>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</si>
  <si>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</si>
  <si>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</si>
  <si>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</si>
  <si>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2) ostatná tvorba fondu reprodukcie v zmysle § 16a ods. 8 zákona č. 131/2002 Z. z.o vysokých školách v znení neskorších predpisov (kreditné úroky a kurzové zisky)</t>
  </si>
  <si>
    <t xml:space="preserve">- tvorba fondu z výnosov zo školného </t>
  </si>
  <si>
    <r>
      <t>Stav fondu k 31.12. kalendárneho roku</t>
    </r>
    <r>
      <rPr>
        <sz val="12"/>
        <rFont val="Times New Roman"/>
        <family val="1"/>
      </rPr>
      <t xml:space="preserve"> [R1+R2-R11]</t>
    </r>
  </si>
  <si>
    <t>Tržby za predaný tovar (účet 604)</t>
  </si>
  <si>
    <t xml:space="preserve">Ostatné sociálne poistenia (účet 525) </t>
  </si>
  <si>
    <t>C=A+B</t>
  </si>
  <si>
    <t>E=C-A</t>
  </si>
  <si>
    <t>F=D-B</t>
  </si>
  <si>
    <t>E=A+C</t>
  </si>
  <si>
    <t>F=B+D</t>
  </si>
  <si>
    <t>Náklady na štipendiá</t>
  </si>
  <si>
    <t xml:space="preserve">Ostatné sociálne náklady (účet 528)  </t>
  </si>
  <si>
    <t xml:space="preserve">  - poskytnuté jednorázovo</t>
  </si>
  <si>
    <r>
      <t>Zdroje na obstaranie a technické zhodnotenie majetku  z fondu reprodukcie</t>
    </r>
    <r>
      <rPr>
        <sz val="12"/>
        <rFont val="Times New Roman"/>
        <family val="1"/>
      </rPr>
      <t xml:space="preserve"> [R1+R2]</t>
    </r>
  </si>
  <si>
    <t>- nákup softvéru</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</si>
  <si>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</si>
  <si>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</si>
  <si>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</si>
  <si>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</si>
  <si>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</si>
  <si>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</si>
  <si>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</si>
  <si>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</si>
  <si>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</si>
  <si>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 xml:space="preserve">Výdavky na sociálne štipendiá (§ 96 zákona) za kalendárny rok </t>
  </si>
  <si>
    <t>z EÚ</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</si>
  <si>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</si>
  <si>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</si>
  <si>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</si>
  <si>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</si>
  <si>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</si>
  <si>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</si>
  <si>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</si>
  <si>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</si>
  <si>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</si>
  <si>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</si>
  <si>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</si>
  <si>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</si>
  <si>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</si>
  <si>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</si>
  <si>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</si>
  <si>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</si>
  <si>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 drobný nehmotný majetok  (účet 518 014)</t>
  </si>
  <si>
    <t>- používanie plavárne (účet 518 019)</t>
  </si>
  <si>
    <t>- z dotačného účtu  (účet 644 001)</t>
  </si>
  <si>
    <t>- z ostatných účtov  (účet 644 002)</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</si>
  <si>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</si>
  <si>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</si>
  <si>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</si>
  <si>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</si>
  <si>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</si>
  <si>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</si>
  <si>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</si>
  <si>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</si>
  <si>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</si>
  <si>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</si>
  <si>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</si>
  <si>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</si>
  <si>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dopravných prostriedkov  (účet 511 003)</t>
  </si>
  <si>
    <t>- opravy a udržiavanie prostriedkov IT  (účet 511 004)</t>
  </si>
  <si>
    <t>- údržba a opravy meracej techniky, telovýchovných  zariadení ...(účet 511 005)</t>
  </si>
  <si>
    <t>- ostatná údržba a opravy (účet 511 099)</t>
  </si>
  <si>
    <t>- prenájom zariadení (účet 518 002)</t>
  </si>
  <si>
    <t>- prenájom priestorov  (účet 518 001)</t>
  </si>
  <si>
    <t>- ďalšie vzdelávanie zamestnancov  (účet 518 005)</t>
  </si>
  <si>
    <t>- počítačové siete a prenosy údajov  (účet 518 007)</t>
  </si>
  <si>
    <t>- revízie zariadení (účet 518 010)</t>
  </si>
  <si>
    <t>- čistenie verejných priestranstiev (účet 518 011)</t>
  </si>
  <si>
    <t xml:space="preserve"> - zákonné odstupné, odchodné  (účet 527 003)</t>
  </si>
  <si>
    <t xml:space="preserve"> - náhrada príjmu pri PN (účet 527 004)</t>
  </si>
  <si>
    <t xml:space="preserve"> - ochranné pracovné pomôcky podľa Zákonníka práce (účet 527 005) </t>
  </si>
  <si>
    <t xml:space="preserve"> - bankové poplatky (účet 549 002)</t>
  </si>
  <si>
    <t xml:space="preserve"> - úhrada výnosov z úrokov na dotačnom účte (účet 549 003)</t>
  </si>
  <si>
    <t xml:space="preserve"> - Podprogram 06K 11</t>
  </si>
  <si>
    <t>Tržby z predaja cenných papierov a podielov (účet 653)</t>
  </si>
  <si>
    <t>Výnosy z nájmu majetku  (účet 658)</t>
  </si>
  <si>
    <t>Výnosy z dlhodobého finančného majetku (účet 652)</t>
  </si>
  <si>
    <t>Prijaté príspevky od iných organizácií (účet 662)</t>
  </si>
  <si>
    <t>Prevádzkové dotácie (účet 691)</t>
  </si>
  <si>
    <t xml:space="preserve">   - Prvok 077 12 05</t>
  </si>
  <si>
    <t>- Podprogram 077 13</t>
  </si>
  <si>
    <t xml:space="preserve">   - Prvok 077 15 01</t>
  </si>
  <si>
    <t xml:space="preserve">   - Prvok 077 15 02</t>
  </si>
  <si>
    <t xml:space="preserve">   - Prvok 077 15 03</t>
  </si>
  <si>
    <t xml:space="preserve"> </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</si>
  <si>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</si>
  <si>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</si>
  <si>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</si>
  <si>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</si>
  <si>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</si>
  <si>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</si>
  <si>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</si>
  <si>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</si>
  <si>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</si>
  <si>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</si>
  <si>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</si>
  <si>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</si>
  <si>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</si>
  <si>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</si>
  <si>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Počet študentov poberajúcich sociálne štipendium</t>
  </si>
  <si>
    <t>- zostatok nevyčerpanej dotácie (+)/ nedoplatok dotácie (-) z predchádzajúcich rokov [R6_SB=R8_SA]</t>
  </si>
  <si>
    <t>spolufinanco-
vanie zo ŠR</t>
  </si>
  <si>
    <t xml:space="preserve">Počet študentov  poberajúcich štipendium </t>
  </si>
  <si>
    <t>Počet študentov  poberajúcich štipendium</t>
  </si>
  <si>
    <r>
      <t xml:space="preserve">Stav fondu k 1.1. kalendárneho roku </t>
    </r>
    <r>
      <rPr>
        <sz val="12"/>
        <rFont val="Times New Roman"/>
        <family val="1"/>
        <charset val="238"/>
      </rPr>
      <t>[R1_SB = R12_SA ...]</t>
    </r>
  </si>
  <si>
    <t>Čerpanie fondu k 31. 12. kalendárneho roku</t>
  </si>
  <si>
    <t>Spolu</t>
  </si>
  <si>
    <t>Dotácia / program</t>
  </si>
  <si>
    <t>Číslo riadku</t>
  </si>
  <si>
    <t>Dotácia spolu</t>
  </si>
  <si>
    <t>Stav fondu reprodukcie k 1.1.</t>
  </si>
  <si>
    <t xml:space="preserve">- účelová dotácia v danom kalendárnom roku </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</si>
  <si>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</si>
  <si>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</si>
  <si>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</si>
  <si>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</si>
  <si>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</si>
  <si>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</si>
  <si>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</si>
  <si>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</si>
  <si>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</si>
  <si>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</si>
  <si>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</si>
  <si>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</si>
  <si>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</si>
  <si>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</si>
  <si>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 xml:space="preserve">    - dohody o brigádnickej práci študentov (účet 521 011)</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</si>
  <si>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</si>
  <si>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</si>
  <si>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</si>
  <si>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</si>
  <si>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</si>
  <si>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</si>
  <si>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</si>
  <si>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</si>
  <si>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</si>
  <si>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</si>
  <si>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</si>
  <si>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</si>
  <si>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</si>
  <si>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</si>
  <si>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</si>
  <si>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</si>
  <si>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Počet študentov poberajúcich sociálne štipendium </t>
  </si>
  <si>
    <t>- vysokoškolské podniky</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</si>
  <si>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</si>
  <si>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</si>
  <si>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</si>
  <si>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</si>
  <si>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</si>
  <si>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Nákup budov a stavieb</t>
  </si>
  <si>
    <t>A</t>
  </si>
  <si>
    <t>B</t>
  </si>
  <si>
    <t>C</t>
  </si>
  <si>
    <t>E</t>
  </si>
  <si>
    <t>F</t>
  </si>
  <si>
    <t>G</t>
  </si>
  <si>
    <t>H</t>
  </si>
  <si>
    <t>I</t>
  </si>
  <si>
    <t>D</t>
  </si>
  <si>
    <t>Bankový účet</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</si>
  <si>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</si>
  <si>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</si>
  <si>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</si>
  <si>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</si>
  <si>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</si>
  <si>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</si>
  <si>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</si>
  <si>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</si>
  <si>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</si>
  <si>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</si>
  <si>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</si>
  <si>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</si>
  <si>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</si>
  <si>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</si>
  <si>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</si>
  <si>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</si>
  <si>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</si>
  <si>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</si>
  <si>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</si>
  <si>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</si>
  <si>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</si>
  <si>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</si>
  <si>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</si>
  <si>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</si>
  <si>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</si>
  <si>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</si>
  <si>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</si>
  <si>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</si>
  <si>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</si>
  <si>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</si>
  <si>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</si>
  <si>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</si>
  <si>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</si>
  <si>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</si>
  <si>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</si>
  <si>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</si>
  <si>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Tržby z predaja dlhodobého NM a HM (účet 651)</t>
  </si>
  <si>
    <t>Výnosy z precenenia cenných papierov (účet 657)</t>
  </si>
  <si>
    <t>- interiérové vybavenie  (713 001)</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</si>
  <si>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</si>
  <si>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</si>
  <si>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</si>
  <si>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</si>
  <si>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</si>
  <si>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</si>
  <si>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</si>
  <si>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</si>
  <si>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</si>
  <si>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</si>
  <si>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</si>
  <si>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</si>
  <si>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</si>
  <si>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</si>
  <si>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</si>
  <si>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</si>
  <si>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</si>
  <si>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</si>
  <si>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</si>
  <si>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</si>
  <si>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</si>
  <si>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</si>
  <si>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</si>
  <si>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</si>
  <si>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</si>
  <si>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</si>
  <si>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</si>
  <si>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</si>
  <si>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</si>
  <si>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</si>
  <si>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</si>
  <si>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t>- tvorba fondu z odpisov (účet 413 116)</t>
  </si>
  <si>
    <r>
      <t xml:space="preserve">- ostatná tvorba (účet 413 113) </t>
    </r>
    <r>
      <rPr>
        <vertAlign val="superscript"/>
        <sz val="12"/>
        <rFont val="Times New Roman"/>
        <family val="1"/>
        <charset val="238"/>
      </rPr>
      <t xml:space="preserve">2) </t>
    </r>
  </si>
  <si>
    <t>1b</t>
  </si>
  <si>
    <t>3b</t>
  </si>
  <si>
    <t>4b</t>
  </si>
  <si>
    <t>15b</t>
  </si>
  <si>
    <t>15c</t>
  </si>
  <si>
    <t>15d</t>
  </si>
  <si>
    <t xml:space="preserve">Názov verejnej vysokej školy: </t>
  </si>
  <si>
    <t>Priemerný mesačný náklad na doktoranda</t>
  </si>
  <si>
    <t xml:space="preserve"> - Podprogram 06K 12            </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</si>
  <si>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</si>
  <si>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</si>
  <si>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</si>
  <si>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</si>
  <si>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</si>
  <si>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</si>
  <si>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</si>
  <si>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</si>
  <si>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</si>
  <si>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</si>
  <si>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</si>
  <si>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</si>
  <si>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</si>
  <si>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</si>
  <si>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</si>
  <si>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</si>
  <si>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</si>
  <si>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</si>
  <si>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</si>
  <si>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</si>
  <si>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</si>
  <si>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</si>
  <si>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</si>
  <si>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</si>
  <si>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</si>
  <si>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</si>
  <si>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</si>
  <si>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</si>
  <si>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</si>
  <si>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</si>
  <si>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</si>
  <si>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</si>
  <si>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</si>
  <si>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</si>
  <si>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</si>
  <si>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</si>
  <si>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</si>
  <si>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</si>
  <si>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</si>
  <si>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</si>
  <si>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</si>
  <si>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</si>
  <si>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</si>
  <si>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</si>
  <si>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</si>
  <si>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</si>
  <si>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</si>
  <si>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</si>
  <si>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</si>
  <si>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</si>
  <si>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</si>
  <si>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</si>
  <si>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</si>
  <si>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</si>
  <si>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</si>
  <si>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</si>
  <si>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</si>
  <si>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</si>
  <si>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</si>
  <si>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</si>
  <si>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</si>
  <si>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</si>
  <si>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</si>
  <si>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</si>
  <si>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</si>
  <si>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</si>
  <si>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</si>
  <si>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</si>
  <si>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</si>
  <si>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</si>
  <si>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</si>
  <si>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</si>
  <si>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</si>
  <si>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</si>
  <si>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</si>
  <si>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</si>
  <si>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</si>
  <si>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</si>
  <si>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</si>
  <si>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</si>
  <si>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</si>
  <si>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</si>
  <si>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</si>
  <si>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</si>
  <si>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</si>
  <si>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</si>
  <si>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</si>
  <si>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</si>
  <si>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</si>
  <si>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</si>
  <si>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</si>
  <si>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</si>
  <si>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</si>
  <si>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</si>
  <si>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</si>
  <si>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</si>
  <si>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</si>
  <si>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</si>
  <si>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</si>
  <si>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</si>
  <si>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</si>
  <si>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</si>
  <si>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</si>
  <si>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</si>
  <si>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</si>
  <si>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</si>
  <si>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</si>
  <si>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</si>
  <si>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</si>
  <si>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</si>
  <si>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</si>
  <si>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</si>
  <si>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</si>
  <si>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</si>
  <si>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</si>
  <si>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</si>
  <si>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</si>
  <si>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</si>
  <si>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</si>
  <si>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</si>
  <si>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</si>
  <si>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</si>
  <si>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</si>
  <si>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</si>
  <si>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</si>
  <si>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</si>
  <si>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</si>
  <si>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</si>
  <si>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</si>
  <si>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</si>
  <si>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</si>
  <si>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</si>
  <si>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</si>
  <si>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</si>
  <si>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</si>
  <si>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</si>
  <si>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</si>
  <si>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</si>
  <si>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</si>
  <si>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</si>
  <si>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</si>
  <si>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</si>
  <si>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</si>
  <si>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</si>
  <si>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</si>
  <si>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</si>
  <si>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</si>
  <si>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</si>
  <si>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</si>
  <si>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</si>
  <si>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</si>
  <si>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</si>
  <si>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</si>
  <si>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</si>
  <si>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</si>
  <si>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</si>
  <si>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</si>
  <si>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</si>
  <si>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</si>
  <si>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</si>
  <si>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</si>
  <si>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</si>
  <si>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</si>
  <si>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</si>
  <si>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</si>
  <si>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</si>
  <si>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</si>
  <si>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</si>
  <si>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</si>
  <si>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</si>
  <si>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</si>
  <si>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</si>
  <si>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</si>
  <si>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</si>
  <si>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</si>
  <si>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</si>
  <si>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</si>
  <si>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</si>
  <si>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</si>
  <si>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</si>
  <si>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</si>
  <si>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</si>
  <si>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</si>
  <si>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</si>
  <si>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</si>
  <si>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</si>
  <si>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</si>
  <si>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</si>
  <si>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</si>
  <si>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</si>
  <si>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</si>
  <si>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</si>
  <si>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</si>
  <si>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</si>
  <si>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</si>
  <si>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</si>
  <si>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</si>
  <si>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</si>
  <si>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</si>
  <si>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</si>
  <si>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</si>
  <si>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</si>
  <si>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</si>
  <si>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</si>
  <si>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</si>
  <si>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</si>
  <si>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</si>
  <si>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</si>
  <si>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</si>
  <si>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</si>
  <si>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</si>
  <si>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</si>
  <si>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</si>
  <si>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</si>
  <si>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</si>
  <si>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</si>
  <si>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</si>
  <si>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</si>
  <si>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</si>
  <si>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</si>
  <si>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</si>
  <si>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</si>
  <si>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</si>
  <si>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</si>
  <si>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</si>
  <si>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</si>
  <si>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</si>
  <si>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</si>
  <si>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</si>
  <si>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</si>
  <si>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</si>
  <si>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</si>
  <si>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</si>
  <si>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</si>
  <si>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</si>
  <si>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</si>
  <si>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</si>
  <si>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</si>
  <si>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</si>
  <si>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</si>
  <si>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</si>
  <si>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</si>
  <si>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</si>
  <si>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</si>
  <si>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</si>
  <si>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</si>
  <si>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</si>
  <si>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</si>
  <si>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</si>
  <si>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</si>
  <si>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</si>
  <si>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</si>
  <si>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</si>
  <si>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</si>
  <si>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</si>
  <si>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</si>
  <si>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</si>
  <si>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</si>
  <si>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</si>
  <si>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</si>
  <si>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</si>
  <si>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</si>
  <si>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</si>
  <si>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</si>
  <si>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</si>
  <si>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</si>
  <si>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</si>
  <si>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</si>
  <si>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</si>
  <si>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</si>
  <si>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</si>
  <si>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</si>
  <si>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</si>
  <si>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</si>
  <si>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</si>
  <si>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</si>
  <si>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</si>
  <si>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</si>
  <si>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</si>
  <si>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r>
      <t>Spolu</t>
    </r>
    <r>
      <rPr>
        <sz val="12"/>
        <rFont val="Times New Roman"/>
        <family val="1"/>
      </rPr>
      <t xml:space="preserve"> [R1+R6+R7+R8]</t>
    </r>
  </si>
  <si>
    <r>
      <t xml:space="preserve">2) všetky údaje o výnosoch a nákladoch  sa uvádzajú </t>
    </r>
    <r>
      <rPr>
        <sz val="11"/>
        <rFont val="Times New Roman"/>
        <family val="1"/>
        <charset val="238"/>
      </rPr>
      <t>v Eur</t>
    </r>
  </si>
  <si>
    <t>Zamestnanci platení z dotácie MŠVVaŠ SR</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</si>
  <si>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</si>
  <si>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 xml:space="preserve">Nevyčerpaná dotácia (+) / nedoplatok dotácie (-) k 31. 12. predchádzajúceho roka  
[R4_SC = R6_SA]                         </t>
  </si>
  <si>
    <t>86a</t>
  </si>
  <si>
    <t>Projektovaná lôžková kapacita študentského domova k 31. 12. kalendárneho roka (v počte miest)</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</si>
  <si>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</si>
  <si>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</si>
  <si>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</si>
  <si>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</si>
  <si>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</si>
  <si>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</si>
  <si>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</si>
  <si>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t>Poskytnuté príspevky z podielu zaplatenej dane</t>
  </si>
  <si>
    <t>Zost. cena predaného DNM a DHM</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</si>
  <si>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</si>
  <si>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</si>
  <si>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</si>
  <si>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</si>
  <si>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</si>
  <si>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</si>
  <si>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</si>
  <si>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</si>
  <si>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</si>
  <si>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</si>
  <si>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</si>
  <si>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</si>
  <si>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</si>
  <si>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</si>
  <si>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</si>
  <si>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</si>
  <si>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r>
      <t xml:space="preserve">Nárok na príspevok zo štátneho rozpočtu na jedlá podľa metodiky </t>
    </r>
    <r>
      <rPr>
        <sz val="12"/>
        <rFont val="Times New Roman"/>
        <family val="1"/>
      </rPr>
      <t xml:space="preserve">                                     </t>
    </r>
  </si>
  <si>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</si>
  <si>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</si>
  <si>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Nórsky a finančný mechanizmus patrí do R3 (ide o prostriedky poskytnuté Úradom vlády SR, na inom zdroji ako 111)</t>
  </si>
  <si>
    <t>Príjem z dotácie poskytnutej na sociálne štipendiá v rámci dotačnej zmluvy z kapitoly     MŠVVaŠ k 31.12.</t>
  </si>
  <si>
    <t>Fond na podporu štúdia študentov so špecifickými potrebami</t>
  </si>
  <si>
    <t>Účtová trieda 5 spolu r.01 až r.37</t>
  </si>
  <si>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</si>
  <si>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</si>
  <si>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</si>
  <si>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r>
      <t>Priemerné náklady  na jedlo študenta v Eur [</t>
    </r>
    <r>
      <rPr>
        <sz val="12"/>
        <rFont val="Times New Roman"/>
        <family val="1"/>
        <charset val="238"/>
      </rPr>
      <t>R10</t>
    </r>
    <r>
      <rPr>
        <sz val="12"/>
        <rFont val="Times New Roman"/>
        <family val="1"/>
      </rPr>
      <t>/R13]</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</si>
  <si>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</si>
  <si>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</si>
  <si>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</si>
  <si>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</si>
  <si>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</si>
  <si>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</si>
  <si>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</si>
  <si>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</si>
  <si>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</si>
  <si>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</si>
  <si>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</si>
  <si>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</si>
  <si>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</si>
  <si>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</si>
  <si>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</si>
  <si>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</si>
  <si>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</si>
  <si>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</si>
  <si>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</si>
  <si>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telefón, fax  (účet 518 006, 518 056)</t>
  </si>
  <si>
    <t>- poštovné  (účet 518 008, 518 058)</t>
  </si>
  <si>
    <t>- odvoz odpadu  (účet 518 009, 518 059)</t>
  </si>
  <si>
    <t xml:space="preserve"> - odpisy DN a HM nadobudnutého z kapitálových dotácií zo ŠR 
(účet 551 100, 551 121, 551 123, 551 001, 551 003)</t>
  </si>
  <si>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</si>
  <si>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</si>
  <si>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</si>
  <si>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(uviesť zoznam všetkých dotácií, každú na zvláštny riadok, napr. podprogram 026 05)</t>
  </si>
  <si>
    <t>uvádzajú sa štipendiá vyplatené zo štátneho rozpočtu, kód v CRŠ: 1</t>
  </si>
  <si>
    <t>- iné analyticky sledované náklady (účet 511 006-008, 511 056)</t>
  </si>
  <si>
    <t xml:space="preserve"> - poistné náklady (havarijné, majetok, na študentov) (účet 549 004, 549 014, 549 015, 549 054)</t>
  </si>
  <si>
    <t>Priemerné platy</t>
  </si>
  <si>
    <t>I=H/D/12</t>
  </si>
  <si>
    <t>- vysokoškolskí učitelia s funkčným zaradením "profesor"                 *)</t>
  </si>
  <si>
    <t>*) medzi profesorov sa započítava aj funkčné zaradenie "hosťujúci profesor"</t>
  </si>
  <si>
    <t xml:space="preserve">- náklady na tvorbu ostatných fondov (účty  556 510, 556 520) </t>
  </si>
  <si>
    <t>- ostatných fondov (účet  656 510, 656 520)</t>
  </si>
  <si>
    <t>- náklady na tvorbu fondu na podporu štúdia študentov so špecifickými potrebami 
  (účet 556 300)</t>
  </si>
  <si>
    <t>- fondu na podporu štúdia študentov so špecifickými potrebami 
  (účet 656 300)</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</si>
  <si>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</si>
  <si>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</si>
  <si>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</si>
  <si>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</si>
  <si>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</si>
  <si>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Výpočet</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</si>
  <si>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</si>
  <si>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</si>
  <si>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</si>
  <si>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</si>
  <si>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</si>
  <si>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</si>
  <si>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L= G+H+I+J+K</t>
  </si>
  <si>
    <t>-za dosiahnutie vynikajúceho výsledku v oblasti štúdia [R6+R7]</t>
  </si>
  <si>
    <t>-za dosiahnutie vynikajúceho výsledku vo výskume a vývoji [R9+R10]</t>
  </si>
  <si>
    <t>Zmeny stavu zásob vlastnej výroby (účtová skupina 611-614)</t>
  </si>
  <si>
    <t>Aktivácia (účet 621-624)</t>
  </si>
  <si>
    <t>Príspevky z podielu zaplatenej dane (účet 665)</t>
  </si>
  <si>
    <t>- ostatné energie (502 099)</t>
  </si>
  <si>
    <t>- dopravné služby (účet 518 012, 518 512)</t>
  </si>
  <si>
    <t>- ostatné náklady z účtovej skupiny 55 (účty 552, 553, 554, 557, 558, 559)</t>
  </si>
  <si>
    <t>- chemikálie a ostatný materiál pre zabezpečenie experimentálnej výučby  (účet 501 002, 501 052)</t>
  </si>
  <si>
    <t xml:space="preserve">    - Podpora štud. so špecifickými potrebami podľa §100  (549 018) </t>
  </si>
  <si>
    <t>81a</t>
  </si>
  <si>
    <t>- náklady na tvorbu fondu reprodukcie (účet 556 400) (z predaja a likvidácie majetku)</t>
  </si>
  <si>
    <t xml:space="preserve"> - iné analyticky sledované náklady (účet 549 005-006, 549 012)</t>
  </si>
  <si>
    <t>- tvorba fondu z výnosov z predaja (a likvidácie) majetku (účet 413 117)</t>
  </si>
  <si>
    <t>- vložné na konferencie (649 018)</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</si>
  <si>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</si>
  <si>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</si>
  <si>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</si>
  <si>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t xml:space="preserve">1) v riadku 5 sa uvedie celkový fyzický počet študentov (pričom 1 študent sa počíta za 1 fyzickú osobu), ktorým bolo vyplatené motivačné štipendium v kalendárnom roku </t>
  </si>
  <si>
    <t>2) uvádzajú sa len motivačné štipendiá vyplatené podľa § 96a, ods.1, písm. a) (kód CRŠ 19)</t>
  </si>
  <si>
    <t>3) uvádzajú sa len motivačné štipendiá vyplatené podľa § 96a, ods.1, písm. b) (kódy v  CRŠ: 4, 5, 6, 7, 8)</t>
  </si>
  <si>
    <r>
      <t xml:space="preserve">mot. štipendiá podľa 
§ 96a, ods.1, písm. a)
</t>
    </r>
    <r>
      <rPr>
        <b/>
        <sz val="12"/>
        <rFont val="Times New Roman"/>
        <family val="1"/>
        <charset val="238"/>
      </rPr>
      <t>(kód v CRŠ: 19)</t>
    </r>
    <r>
      <rPr>
        <vertAlign val="superscript"/>
        <sz val="12"/>
        <rFont val="Times New Roman"/>
        <family val="1"/>
        <charset val="238"/>
      </rPr>
      <t>2)</t>
    </r>
  </si>
  <si>
    <t>- dary (účet 649 009) (646 001) (646 002)</t>
  </si>
  <si>
    <t>K=A+C+E+G+I</t>
  </si>
  <si>
    <t>L=B+D+F+H+J</t>
  </si>
  <si>
    <t>Výnos z dotácie zo štátneho rozpočtu na študentské domovy (vrátane zmluvných zariadení a valorizácie miezd ŠJ)</t>
  </si>
  <si>
    <t xml:space="preserve"> - príspevok zamestnancom na stravovanie  (účet 527 002, 527 052)</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</si>
  <si>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</si>
  <si>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</si>
  <si>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v R90 ide o náklady na tvorbu FR z predaja a likvidácie majetku = T11R5=T13R5</t>
  </si>
  <si>
    <t>C = A+B</t>
  </si>
  <si>
    <t>z  dotácií 
(ostatné kódy okrem kódu 13)</t>
  </si>
  <si>
    <t>- za súbežné štúdium v dennej forme  (§ 92 ods. 5, 648 026)</t>
  </si>
  <si>
    <t>- za prekročenie štandardnej dĺžky štúdia v dennej forme (§ 92 ods. 6) (648 001)</t>
  </si>
  <si>
    <t xml:space="preserve">- za prijímacie konanie (§ 92 ods. 12 zákona) (účet 648 003) </t>
  </si>
  <si>
    <t xml:space="preserve">- za rigorózne konanie (§ 92 ods. 13 zákona) (účet 648 004) </t>
  </si>
  <si>
    <t xml:space="preserve">- za vydanie diplomu za rigorózne konanie (§ 92 ods. 14 zákona)  (účet 648 005) </t>
  </si>
  <si>
    <t>- za vydanie dokladov o štúdiu a ich kópií (§ 92 ods. 15 zákona) (účet 648 006)</t>
  </si>
  <si>
    <t>- za vydanie dokladov o absolvovaní štúdia v štátnom jazyku a v jazyku požadovanom študentom a ich kópií  (§ 92 ods. 15 zákona) (účet 648 024)</t>
  </si>
  <si>
    <t>- poplatky za vydanie dokladov o absolvovaní štúdia (§92, ods. 15, účet 648 024)</t>
  </si>
  <si>
    <t>- poplatky za uznávanie rovnocennosti dokladov o štúdiu (§92, ods. 15, účet 648 025)</t>
  </si>
  <si>
    <t>- školné za prekročenie štandardnej dĺžky štúdia účet 648 001</t>
  </si>
  <si>
    <t>- školné od cudzincov (§ 92 ods. 9 zákona) účty  648 002, 648  023</t>
  </si>
  <si>
    <t>- poplatky za súbežné štúdium (§ 92, ods. 5) účet  648 026</t>
  </si>
  <si>
    <t>- poplatky za prijímacie konanie (§ 92, ods. 10)  účet 648 003</t>
  </si>
  <si>
    <t>- poplatky za rigorózne konanie (§ 92, ods. 11) účet 648 004</t>
  </si>
  <si>
    <t>- poplatky za rigorózne konanie - vydanie diplómu účet 648 005</t>
  </si>
  <si>
    <t>- poplatky za vydanie dokladov o štúdiu, účet  648 006,</t>
  </si>
  <si>
    <t xml:space="preserve">Pod pojmom "interný doktorand" sa rozumie doktorand , ktorému vysoká škola vypláca štipendium </t>
  </si>
  <si>
    <t>v zmysle § 54 zák. č. 131/2002 Z.z.o vysokých školách a o zmene a doplnení niektorých zákonov</t>
  </si>
  <si>
    <t>- ostatné služby (účet  518 035)</t>
  </si>
  <si>
    <t>kvartil q1 25%</t>
  </si>
  <si>
    <t>kvartil q3 75%</t>
  </si>
  <si>
    <t>medián *) = stredná hodnota</t>
  </si>
  <si>
    <r>
      <t>Výnosy zo školného</t>
    </r>
    <r>
      <rPr>
        <sz val="12"/>
        <color indexed="8"/>
        <rFont val="Times New Roman"/>
        <family val="1"/>
      </rPr>
      <t xml:space="preserve">  [SUM (R2:R5)]</t>
    </r>
  </si>
  <si>
    <t xml:space="preserve">- iné analyticky sledované náklady (účty 518 003, 518 013, 518 015-018, 518 020-030, 518 031-034 , 518 040, 518 041, 518 529, 518 530, 518 599, 518 099, ) </t>
  </si>
  <si>
    <t>zdroj 1AA + 3AA spolu</t>
  </si>
  <si>
    <t>zdroj 1AC + 3AC spolu</t>
  </si>
  <si>
    <t>zdroj 1AA1; 3AA1</t>
  </si>
  <si>
    <t>zdroj 1AA2; 3AA2</t>
  </si>
  <si>
    <t>Iné nezaradené</t>
  </si>
  <si>
    <t>V prípade, že ešte niektorá VVŠ vypláca doktorandské štipendiá pozadu (ako "mzdy zamestancom"), výška nákladov vykazovaná k 31.12.2018 zohľadňuje aj úhradu štipendií doktorandov, vyplatených v januári  2019 za december 2018</t>
  </si>
  <si>
    <r>
      <t>Výnosy z poplatkov spojených so štúdiom</t>
    </r>
    <r>
      <rPr>
        <sz val="12"/>
        <rFont val="Times New Roman"/>
        <family val="1"/>
      </rPr>
      <t xml:space="preserve"> [SUM (R8:R13)]</t>
    </r>
  </si>
  <si>
    <r>
      <t>- fondu reprodukcie (účet 656 400)</t>
    </r>
    <r>
      <rPr>
        <vertAlign val="superscript"/>
        <sz val="12"/>
        <rFont val="Times New Roman"/>
        <family val="1"/>
        <charset val="238"/>
      </rPr>
      <t xml:space="preserve"> 2)</t>
    </r>
  </si>
  <si>
    <t xml:space="preserve">1) V R50-54 sa uvedú výnosy účtované v súvislosti s použitím  príslušného fondu.  </t>
  </si>
  <si>
    <t>- iné nezaradené</t>
  </si>
  <si>
    <t>z iných zdrojov
 kód 13</t>
  </si>
  <si>
    <t xml:space="preserve">Kategória zamestnancov - žien
</t>
  </si>
  <si>
    <t>kvartil q2 50%
medián *)</t>
  </si>
  <si>
    <r>
      <t>Ostatné náklady (účtová skupina 54)</t>
    </r>
    <r>
      <rPr>
        <sz val="12"/>
        <color theme="1"/>
        <rFont val="Times New Roman"/>
        <family val="1"/>
      </rPr>
      <t xml:space="preserve"> [R75+ R76]</t>
    </r>
  </si>
  <si>
    <r>
      <t xml:space="preserve">Odpisy, predaný majetok a opravné položky (účtová skupina 55: 551 až 558) </t>
    </r>
    <r>
      <rPr>
        <sz val="12"/>
        <color theme="1"/>
        <rFont val="Times New Roman"/>
        <family val="1"/>
      </rPr>
      <t>[SUM(R85:R92)]</t>
    </r>
  </si>
  <si>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</si>
  <si>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</si>
  <si>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</si>
  <si>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</si>
  <si>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</si>
  <si>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</si>
  <si>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r>
      <t>Mzdové náklady (účet 521)</t>
    </r>
    <r>
      <rPr>
        <sz val="12"/>
        <color theme="1"/>
        <rFont val="Times New Roman"/>
        <family val="1"/>
      </rPr>
      <t xml:space="preserve">  [SUM(R56:R57)]</t>
    </r>
  </si>
  <si>
    <r>
      <t xml:space="preserve"> - OON </t>
    </r>
    <r>
      <rPr>
        <sz val="12"/>
        <color theme="1"/>
        <rFont val="Times New Roman"/>
        <family val="1"/>
      </rPr>
      <t>[SUM(R58:R60)]</t>
    </r>
  </si>
  <si>
    <r>
      <t xml:space="preserve">Zákonné sociálne náklady (účet 527) </t>
    </r>
    <r>
      <rPr>
        <sz val="12"/>
        <color theme="1"/>
        <rFont val="Times New Roman"/>
        <family val="1"/>
      </rPr>
      <t>[SUM(R64:R69)]</t>
    </r>
  </si>
  <si>
    <t>- vložné na konferencie  (účet 518 004, 518 054)</t>
  </si>
  <si>
    <t>- za externú formu štúdia (§ 92 ods. 4) (648 020, 648 011)</t>
  </si>
  <si>
    <t xml:space="preserve"> - za cudzojazyčné štúdium dennou formou (§ 92 ods. 8 a 9) (648 002, 648 010, 648 023)</t>
  </si>
  <si>
    <t>- za cudzojazyčné štúdium dennou formou, 648 010</t>
  </si>
  <si>
    <t>- školné od externých študentov (§ 92 ods. 4  zákona)  účet 648 020,648011</t>
  </si>
  <si>
    <t>-komunikačná infraštruktúra (713 006)</t>
  </si>
  <si>
    <r>
      <t>Iné ostatné výnosy (účet 646, 649)</t>
    </r>
    <r>
      <rPr>
        <b/>
        <sz val="14"/>
        <rFont val="Times New Roman"/>
        <family val="1"/>
        <charset val="238"/>
      </rPr>
      <t xml:space="preserve"> </t>
    </r>
    <r>
      <rPr>
        <b/>
        <sz val="12"/>
        <rFont val="Times New Roman"/>
        <family val="1"/>
        <charset val="238"/>
      </rPr>
      <t>[SUM(R35:R44)]</t>
    </r>
  </si>
  <si>
    <t>- telekomunikačná technika  (713 003)</t>
  </si>
  <si>
    <r>
      <t>Dotácia na kapitálové výdavky z prostriedkov EÚ (štrukturálnych fondov</t>
    </r>
    <r>
      <rPr>
        <b/>
        <sz val="12"/>
        <rFont val="Times New Roman"/>
        <family val="1"/>
        <charset val="238"/>
      </rPr>
      <t xml:space="preserve"> vrátane spolufinancovania)</t>
    </r>
  </si>
  <si>
    <t>*)</t>
  </si>
  <si>
    <t>Nákup strojov, prístrojov, zariadení, techniky a náradia [SUM(R5:R10)]</t>
  </si>
  <si>
    <t>Výdavky na obstaranie a technické zhodnotenie dlhobého majetku spolu [R1+SUM(R3:R4)+SUM(R11:R16)]</t>
  </si>
  <si>
    <t>zdroj 11S  + 13S spolu</t>
  </si>
  <si>
    <t>zdroj 11T  + 13T spolu</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</si>
  <si>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</si>
  <si>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</si>
  <si>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</si>
  <si>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</si>
  <si>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</si>
  <si>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r>
      <t xml:space="preserve">Počet študentov poberajúcich  štipendiá z vlastných zdrojov </t>
    </r>
    <r>
      <rPr>
        <b/>
        <vertAlign val="superscript"/>
        <sz val="12"/>
        <color theme="1"/>
        <rFont val="Times New Roman"/>
        <family val="1"/>
        <charset val="238"/>
      </rPr>
      <t>2</t>
    </r>
    <r>
      <rPr>
        <b/>
        <sz val="12"/>
        <color theme="1"/>
        <rFont val="Times New Roman"/>
        <family val="1"/>
        <charset val="238"/>
      </rPr>
      <t xml:space="preserve">) </t>
    </r>
  </si>
  <si>
    <t>Stav k 31. 12. 2019</t>
  </si>
  <si>
    <t>Zákonné poplatky-školné</t>
  </si>
  <si>
    <t>Náklady
hlavnej činnosti
2019</t>
  </si>
  <si>
    <r>
      <t xml:space="preserve">Priemerné platy </t>
    </r>
    <r>
      <rPr>
        <b/>
        <i/>
        <sz val="11"/>
        <color theme="1"/>
        <rFont val="Times New Roman"/>
        <family val="1"/>
        <charset val="238"/>
      </rPr>
      <t>mužov</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</si>
  <si>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</si>
  <si>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xml:space="preserve">Čerpanie 
z ostatných zdrojov prostredníctvom fondu reprodukcie </t>
  </si>
  <si>
    <r>
      <t xml:space="preserve">Výnosy z použitia fondov (účet 656) [SUM(R51:R55)]  </t>
    </r>
    <r>
      <rPr>
        <b/>
        <vertAlign val="superscript"/>
        <sz val="12"/>
        <color theme="1"/>
        <rFont val="Times New Roman"/>
        <family val="1"/>
        <charset val="238"/>
      </rPr>
      <t xml:space="preserve"> 1)</t>
    </r>
  </si>
  <si>
    <t>Výnosy zo školného (účet 648) [SUM(R21:R25)]</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</si>
  <si>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</si>
  <si>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</si>
  <si>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</si>
  <si>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</si>
  <si>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</si>
  <si>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</si>
  <si>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</si>
  <si>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</si>
  <si>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</si>
  <si>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</si>
  <si>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</si>
  <si>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</si>
  <si>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</si>
  <si>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</si>
  <si>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</si>
  <si>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</si>
  <si>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</si>
  <si>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</si>
  <si>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Účty v Štátnej pokladnici spolu [SUM(R2:R16)]</t>
  </si>
  <si>
    <t>Stav bankových účtov v ŠP spolu [R1+R18+R19]</t>
  </si>
  <si>
    <r>
      <t xml:space="preserve">Čísla účtov v </t>
    </r>
    <r>
      <rPr>
        <b/>
        <sz val="12"/>
        <color rgb="FF0000FF"/>
        <rFont val="Times New Roman"/>
        <family val="1"/>
        <charset val="238"/>
      </rPr>
      <t>tvare IBAN</t>
    </r>
  </si>
  <si>
    <t>zdroj 1AB + 3AB spolu</t>
  </si>
  <si>
    <t>zdroj 11S1; 13S1</t>
  </si>
  <si>
    <t>zdroj 11S2; 13S2</t>
  </si>
  <si>
    <t>zdroj 11T1; 13T1</t>
  </si>
  <si>
    <t>zdroj 11T2; 13T2</t>
  </si>
  <si>
    <t>zdroj 1AC1; 3AC1</t>
  </si>
  <si>
    <t>zdroj 1AC2; 3AC2</t>
  </si>
  <si>
    <t>zdroj 1AB1; 3AB1</t>
  </si>
  <si>
    <t>zdroj 1AB2; 3AB2</t>
  </si>
  <si>
    <t>zdroj 1AM + 3AM spolu</t>
  </si>
  <si>
    <t>zdroj 1AM1; 3AM1</t>
  </si>
  <si>
    <t>zdroj 1AM2; 3AM2</t>
  </si>
  <si>
    <t>zdroj 1AJ + 3AJ spolu</t>
  </si>
  <si>
    <t>zdroj 1AJ1; 3AJ1</t>
  </si>
  <si>
    <t>zdroj 1AJ2; 3AJ2</t>
  </si>
  <si>
    <r>
      <t>Dotácie z iných kapitol spolu [</t>
    </r>
    <r>
      <rPr>
        <sz val="12"/>
        <color theme="1"/>
        <rFont val="Times New Roman"/>
        <family val="1"/>
        <charset val="238"/>
      </rPr>
      <t>R15+R18+R21+....] *)</t>
    </r>
  </si>
  <si>
    <r>
      <t xml:space="preserve">Dotácie z kapitoly MŠVVaŠ SR spolu </t>
    </r>
    <r>
      <rPr>
        <sz val="12"/>
        <color theme="1"/>
        <rFont val="Times New Roman"/>
        <family val="1"/>
        <charset val="238"/>
      </rPr>
      <t xml:space="preserve">[R1+R4+R7+R10] </t>
    </r>
  </si>
  <si>
    <t>za riadok 23 uveďte ďalšie zdroje, ktoré boli poskytnuté z EÚ a z iných kapitol</t>
  </si>
  <si>
    <r>
      <t>Dotácie z prostriedkov EÚ spolu</t>
    </r>
    <r>
      <rPr>
        <sz val="12"/>
        <color indexed="8"/>
        <rFont val="Times New Roman"/>
        <family val="1"/>
      </rPr>
      <t xml:space="preserve"> [R13+R14]</t>
    </r>
  </si>
  <si>
    <t>23a</t>
  </si>
  <si>
    <t>23b</t>
  </si>
  <si>
    <t>Náklady na štipendiá doktorandov v dennej forme štúdia spolu</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</si>
  <si>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2020</t>
    </r>
    <r>
      <rPr>
        <b/>
        <sz val="14"/>
        <color rgb="FFFF0000"/>
        <rFont val="Times New Roman"/>
        <family val="1"/>
        <charset val="238"/>
      </rPr>
      <t xml:space="preserve">  </t>
    </r>
    <r>
      <rPr>
        <b/>
        <sz val="14"/>
        <rFont val="Times New Roman"/>
        <family val="1"/>
      </rPr>
      <t xml:space="preserve">na programe 077 </t>
    </r>
  </si>
  <si>
    <r>
      <t>Tabuľka č. 2: Príjmy verejnej vysokej školy v roku 2020</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</si>
  <si>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2019 a 2020</t>
  </si>
  <si>
    <t>Rozdiel 2020-2019</t>
  </si>
  <si>
    <r>
      <t>Tabuľka č. 4: Výnosy verejnej vysokej školy zo školného a z poplatkov spojených so štúdiom  
v rokoch 2019</t>
    </r>
    <r>
      <rPr>
        <b/>
        <sz val="14"/>
        <color rgb="FFFF0000"/>
        <rFont val="Times New Roman"/>
        <family val="1"/>
        <charset val="238"/>
      </rPr>
      <t xml:space="preserve"> </t>
    </r>
    <r>
      <rPr>
        <b/>
        <sz val="14"/>
        <rFont val="Times New Roman"/>
        <family val="1"/>
        <charset val="238"/>
      </rPr>
      <t>a 2020</t>
    </r>
    <r>
      <rPr>
        <b/>
        <sz val="14"/>
        <color rgb="FFFF0000"/>
        <rFont val="Times New Roman"/>
        <family val="1"/>
        <charset val="238"/>
      </rPr>
      <t xml:space="preserve"> </t>
    </r>
  </si>
  <si>
    <t>Tabuľka č. 5: Náklady verejnej vysokej školy v rokoch 2019 a 2020</t>
  </si>
  <si>
    <t>Tabuľka č. 6: Zamestnanci a náklady na mzdy verejnej vysokej školy v roku 2020</t>
  </si>
  <si>
    <t>Priemerný evidenčný prepočítaný počet zamestnancov za rok 2020</t>
  </si>
  <si>
    <t>Tabuľka č. 6a: Zamestnanci a náklady na mzdy verejnej vysokej školy v roku 2020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</si>
  <si>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2020</t>
    </r>
  </si>
  <si>
    <t xml:space="preserve">Tabuľka č. 7: Náklady verejnej vysokej školy na štipendiá doktorandov v dennej forme štúdia v roku 2020 </t>
  </si>
  <si>
    <t>Tabuľka č. 8: Údaje o systéme sociálnej podpory - časť  sociálne štipendiá  (§ 96 zákona) 
za roky 2019 a 2020</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</si>
  <si>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2019 a 2020</t>
    </r>
  </si>
  <si>
    <t>Tabuľka č. 11: Zdroje verejnej vysokej školy na obstaranie a technické zhodnotenie dlhodobého  majetku v rokoch 2019 a 2020</t>
  </si>
  <si>
    <r>
      <t xml:space="preserve">zdroj 131H, 131I, </t>
    </r>
    <r>
      <rPr>
        <sz val="12"/>
        <color rgb="FFFF0000"/>
        <rFont val="Times New Roman"/>
        <family val="1"/>
        <charset val="238"/>
      </rPr>
      <t xml:space="preserve">131J </t>
    </r>
    <r>
      <rPr>
        <sz val="12"/>
        <color theme="1"/>
        <rFont val="Times New Roman"/>
        <family val="1"/>
      </rPr>
      <t xml:space="preserve"> len za ŠD</t>
    </r>
  </si>
  <si>
    <t>Tabuľka č. 12: Výdavky verejnej vysokej školy na obstaranie a technické zhodnotenie dlhodobého majetku v roku 2020</t>
  </si>
  <si>
    <r>
      <t xml:space="preserve">Čerpanie kapitálovej dotácie v roku 2020
</t>
    </r>
    <r>
      <rPr>
        <b/>
        <sz val="11"/>
        <color theme="1"/>
        <rFont val="Times New Roman"/>
        <family val="1"/>
      </rPr>
      <t>z prostriedkov EÚ (štrukturálnych fondov)</t>
    </r>
  </si>
  <si>
    <t xml:space="preserve">Čerpanie bežnej dotácie v roku 2020 prostredníctvom fondu reprodukcie </t>
  </si>
  <si>
    <t>len z kapitálovej dotácie prijatej na podpoložku 322 001 (na základe dotačnej zmluvy a dodatkov v r. 2020)</t>
  </si>
  <si>
    <t>Tabuľka č. 13: Stav a vývoj finančných fondov verejnej vysokej školy v rokoch 2019 a 2020</t>
  </si>
  <si>
    <t>Tabuľka č. 16: Štruktúra a stav finančných prostriedkov na bankových účtoch verejnej vysokej školy
   k 31. decembru 2020</t>
  </si>
  <si>
    <t>Stav účtu k 31.12.2020</t>
  </si>
  <si>
    <t>Tabuľka č. 17: Príjmy verejnej vysokej školy z prostriedkov EÚ a z prostriedkov na ich spolufinancovanie 
zo štátneho rozpočtu z kapitoly MŠVVaŠ SR a z iných kapitol štátneho rozpočtu v roku 2020</t>
  </si>
  <si>
    <r>
      <t>Tabuľka č. 18: Príjmy z dotácií verejnej vysokej škole zo štátneho rozpočtu z kapitoly MŠVVaŠ SR 
poskytnuté mimo programu 077 a mimo príjmov z prostriedkov EÚ (zo štrukturálnych fondov) v roku 2020</t>
    </r>
    <r>
      <rPr>
        <sz val="14"/>
        <color rgb="FFFF0000"/>
        <rFont val="Times New Roman"/>
        <family val="1"/>
        <charset val="238"/>
      </rPr>
      <t xml:space="preserve"> </t>
    </r>
    <r>
      <rPr>
        <sz val="14"/>
        <rFont val="Times New Roman"/>
        <family val="1"/>
      </rPr>
      <t xml:space="preserve">
</t>
    </r>
  </si>
  <si>
    <t xml:space="preserve">Tabuľka č. 19: Štipendiá z vlastných zdrojov podľa § 97 zákona v rokoch 2019 a 2020 </t>
  </si>
  <si>
    <t xml:space="preserve">Tabuľka č. 20: Motivačné štipendiá  v rokoch 2019 a 200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</si>
  <si>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2019 a 2020</t>
    </r>
    <r>
      <rPr>
        <b/>
        <sz val="14"/>
        <color rgb="FFFF0000"/>
        <rFont val="Times New Roman"/>
        <family val="1"/>
        <charset val="238"/>
      </rPr>
      <t xml:space="preserve"> </t>
    </r>
  </si>
  <si>
    <t>Stav k 31. 12. 2020</t>
  </si>
  <si>
    <t xml:space="preserve">Tabuľka č. 22: Výnosy verejnej vysokej školy v roku 2020 v oblasti sociálnej podpory študentov </t>
  </si>
  <si>
    <t>Výnosy
v hlavnej činnosti
2019</t>
  </si>
  <si>
    <r>
      <t>Výnosy
hlavnej činnosti
2020</t>
    </r>
    <r>
      <rPr>
        <sz val="12"/>
        <color indexed="10"/>
        <rFont val="Times New Roman"/>
        <family val="1"/>
        <charset val="238"/>
      </rPr>
      <t xml:space="preserve"> </t>
    </r>
  </si>
  <si>
    <t xml:space="preserve">Tabuľka č .23:  Náklady verejnej vysokej školy  v roku 2020 v oblasti sociálnej podpory študentov </t>
  </si>
  <si>
    <t>Náklady
hlavnej činnosti
2020</t>
  </si>
  <si>
    <r>
      <t>Rozdiel 2020-2019</t>
    </r>
    <r>
      <rPr>
        <sz val="12"/>
        <color indexed="10"/>
        <rFont val="Times New Roman"/>
        <family val="1"/>
        <charset val="238"/>
      </rPr>
      <t xml:space="preserve"> </t>
    </r>
  </si>
  <si>
    <t>Počet osobomesiacov interných doktorandov spolu za 2020</t>
  </si>
  <si>
    <r>
      <t>Tabuľka č. 10: Údaje o20 systéme sociálnej podpory  - časť výnosy a náklady</t>
    </r>
    <r>
      <rPr>
        <b/>
        <vertAlign val="superscript"/>
        <sz val="14"/>
        <rFont val="Times New Roman"/>
        <family val="1"/>
      </rPr>
      <t>1)</t>
    </r>
    <r>
      <rPr>
        <b/>
        <sz val="14"/>
        <rFont val="Times New Roman"/>
        <family val="1"/>
      </rPr>
      <t xml:space="preserve"> študentských jedální 
za roky 2019 a 2020</t>
    </r>
  </si>
  <si>
    <r>
      <t xml:space="preserve">Dotácia na kapitálové výdavky zo štátneho rozpočtu  (111, </t>
    </r>
    <r>
      <rPr>
        <b/>
        <sz val="12"/>
        <color rgb="FFFF0000"/>
        <rFont val="Times New Roman"/>
        <family val="1"/>
        <charset val="238"/>
      </rPr>
      <t xml:space="preserve"> 131J</t>
    </r>
    <r>
      <rPr>
        <b/>
        <sz val="12"/>
        <rFont val="Times New Roman"/>
        <family val="1"/>
      </rPr>
      <t>*)</t>
    </r>
  </si>
  <si>
    <r>
      <t>Čerpanie kapitálovej dotácie v roku 2020</t>
    </r>
    <r>
      <rPr>
        <b/>
        <sz val="11"/>
        <color theme="1"/>
        <rFont val="Times New Roman"/>
        <family val="1"/>
      </rPr>
      <t xml:space="preserve">
zo štátneho rozpočtu (111 a  </t>
    </r>
    <r>
      <rPr>
        <b/>
        <sz val="11"/>
        <color rgb="FFFF0000"/>
        <rFont val="Times New Roman"/>
        <family val="1"/>
        <charset val="238"/>
      </rPr>
      <t>131J</t>
    </r>
    <r>
      <rPr>
        <b/>
        <sz val="11"/>
        <color theme="1"/>
        <rFont val="Times New Roman"/>
        <family val="1"/>
      </rPr>
      <t>) *)</t>
    </r>
  </si>
  <si>
    <t>- iné analyticky sledované výnosy (účty 602 002-007, 602 011-018, 602 099, 602 199)</t>
  </si>
  <si>
    <r>
      <t>Výnosy z poplatkov spojených so štúdiom (účet 648) [SUM(R2</t>
    </r>
    <r>
      <rPr>
        <b/>
        <sz val="12"/>
        <color rgb="FFFF0000"/>
        <rFont val="Times New Roman"/>
        <family val="1"/>
        <charset val="238"/>
      </rPr>
      <t>7</t>
    </r>
    <r>
      <rPr>
        <b/>
        <sz val="12"/>
        <rFont val="Times New Roman"/>
        <family val="1"/>
        <charset val="238"/>
      </rPr>
      <t>:R</t>
    </r>
    <r>
      <rPr>
        <b/>
        <sz val="12"/>
        <color rgb="FFFF0000"/>
        <rFont val="Times New Roman"/>
        <family val="1"/>
        <charset val="238"/>
      </rPr>
      <t>33</t>
    </r>
    <r>
      <rPr>
        <b/>
        <sz val="12"/>
        <rFont val="Times New Roman"/>
        <family val="1"/>
        <charset val="238"/>
      </rPr>
      <t xml:space="preserve">)] </t>
    </r>
  </si>
  <si>
    <t>- výnosy  účtu 648 (648 007-8, 648 009, 648 016, 648 018-19, 648 022, 648 099)</t>
  </si>
  <si>
    <t>- ostatné výnosy (účty 649 001-8, 649 012, 649 019-026, 649 098, 649 099)</t>
  </si>
  <si>
    <t>Prijaté príspevky od fyzických osôb (účt 663)</t>
  </si>
  <si>
    <t>Prijaté príspevky z verejných zbierok (účet 667)</t>
  </si>
  <si>
    <t>Vnútroorganizačné prevody výnosov (účet 670)</t>
  </si>
  <si>
    <r>
      <t xml:space="preserve">Spolu </t>
    </r>
    <r>
      <rPr>
        <sz val="11"/>
        <color theme="1"/>
        <rFont val="Times New Roman"/>
        <family val="1"/>
        <charset val="238"/>
      </rPr>
      <t>[R1+R6+SUM(R11:R16)+R19+R20+R26+R34+SUM(R45:R50)+SUM(R56:R63)]</t>
    </r>
  </si>
  <si>
    <t>- iné analyticky sledované náklady (účty 501 005-006, 501 013-018, 501 019, 501077)</t>
  </si>
  <si>
    <t>- ostatný materiál (účet 501 099, 501 030, 501 513, 501 516, 501 599)</t>
  </si>
  <si>
    <t>- opravy a udržiavanie strojov, prístrojov, zariadení a inventára  (účet 511 002, 511 052)</t>
  </si>
  <si>
    <t>- zahraničné cestovné  (účet 512 002, 512 003, 512 004, 512 005, 512 052)</t>
  </si>
  <si>
    <t xml:space="preserve"> - MZDY (účty 521 001-008, 521 012, 521 013)</t>
  </si>
  <si>
    <t xml:space="preserve"> - ostatné zákonné sociálne náklady (účet 527 006, 527 099)</t>
  </si>
  <si>
    <t xml:space="preserve">- Ostatné náklady účty 541 až 548 </t>
  </si>
  <si>
    <t xml:space="preserve"> - štipendiá z vlastných zdrojov (549 007-010, 549 019, 549 020, 549 022) </t>
  </si>
  <si>
    <t xml:space="preserve"> - ostatné iné náklady (účet 549 021, 549 098, 549 099, 549 011, 549 013)</t>
  </si>
  <si>
    <t xml:space="preserve"> - odpisy ostatného DN a HM (účet 551 002, 551 130, 551 131, 551 133, 551 200, 551 221, 551 223, 551 400, 551 500, 551 521, 551 900, 551 921, 551 923)</t>
  </si>
  <si>
    <t xml:space="preserve"> - odpisy DN a HM nadobudnutého z kapitálových dotácií z EÚ (zo štrukturálnych fondov) (účet 551 004, 551 300, 551 321, 551 323 )</t>
  </si>
  <si>
    <r>
      <t>Vnútroorganizačné prevody nákladov</t>
    </r>
    <r>
      <rPr>
        <sz val="12"/>
        <color theme="1"/>
        <rFont val="Times New Roman"/>
        <family val="1"/>
      </rPr>
      <t xml:space="preserve"> </t>
    </r>
    <r>
      <rPr>
        <b/>
        <sz val="12"/>
        <color theme="1"/>
        <rFont val="Times New Roman"/>
        <family val="1"/>
      </rPr>
      <t>(účtová skupina 57)</t>
    </r>
  </si>
  <si>
    <r>
      <t xml:space="preserve">Spolu </t>
    </r>
    <r>
      <rPr>
        <sz val="12"/>
        <color theme="1"/>
        <rFont val="Times New Roman"/>
        <family val="1"/>
      </rPr>
      <t>[R1+R14+R21+R22+R27+R35+R38+R39+R55+SUM (R61:R63) +SUM (R70:R74)+R84+R93+R94+R95]</t>
    </r>
  </si>
  <si>
    <t>1c</t>
  </si>
  <si>
    <t>APVV pre spoluriešiteľov</t>
  </si>
  <si>
    <t>1d</t>
  </si>
  <si>
    <t>MK SR fond na podporu umenia pre UK</t>
  </si>
  <si>
    <t>Višehradský fond</t>
  </si>
  <si>
    <t>príspevok od Slov.botanickej spoločnosti pre Botanickú záhradu</t>
  </si>
  <si>
    <t>3c</t>
  </si>
  <si>
    <t>Príspevok od Saftra sro pre TIP</t>
  </si>
  <si>
    <t>Univerzita Medisch centrum Groningen</t>
  </si>
  <si>
    <t>Socrates</t>
  </si>
  <si>
    <t>4c</t>
  </si>
  <si>
    <t>4d</t>
  </si>
  <si>
    <t>4e</t>
  </si>
  <si>
    <t>4f</t>
  </si>
  <si>
    <t>Erasmus</t>
  </si>
  <si>
    <t>H 2020</t>
  </si>
  <si>
    <t>Educa Praha</t>
  </si>
  <si>
    <t>4g</t>
  </si>
  <si>
    <t>4h</t>
  </si>
  <si>
    <t>združenie SANET</t>
  </si>
  <si>
    <t>1e</t>
  </si>
  <si>
    <t>European X-Ray XFEL</t>
  </si>
  <si>
    <t>Uniklinikum  Hamburg Espendorf projekt Impresa FF</t>
  </si>
  <si>
    <t>MZ SR projekt 07B0104 Rezident</t>
  </si>
  <si>
    <t>MZ SR projekt 07B0307 (3 projekty)</t>
  </si>
  <si>
    <t xml:space="preserve">Názov verejnej vysokej školy:   UPJŠ v Košiciach, Šrobárova 2
Názov fakulty: </t>
  </si>
  <si>
    <t>RZ-eZuce projekt TIP</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</si>
  <si>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</si>
  <si>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</si>
  <si>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</si>
  <si>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</si>
  <si>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Názov verejnej vysokej školy: UPJŠ v Košiciach, Šrobárova 2
Názov fakulty:</t>
  </si>
  <si>
    <t>Názov verejnej vysokej školy: UPJŠ v Košiciach, Šrobárova 2</t>
  </si>
  <si>
    <t>Názov verejnej vysokej školy:  UPJŠ v Košiciach, Šrobárova 2</t>
  </si>
  <si>
    <t xml:space="preserve">Názov verejnej vysokej školy: UPJŠ v Košiciach, Šrobárova 2
Názov fakulty: </t>
  </si>
  <si>
    <t>4i</t>
  </si>
  <si>
    <t>4j</t>
  </si>
  <si>
    <t>Eszterházy Károly Egyetem Univerzity Hungary - projekt Tokajgis</t>
  </si>
  <si>
    <t>zdroj 3AC3</t>
  </si>
  <si>
    <t>Poznámka  : Na zdroji 1AM1 je ešte  v hodnote 59 122,42 € zaúčtovaný príjem bežné prostriedky a hodnota 6 720,95 kapitálove prostriedky zo zahraničia, ktoré sú v T_2 R29</t>
  </si>
  <si>
    <t xml:space="preserve">                  Na zdroji 1AM2 je ešte v hodnote 790,70 € zaúčtovaný príjem kapitálove prostriedky zo zahraničia, ktorý je v T_2</t>
  </si>
  <si>
    <t xml:space="preserve">                 Na zdroji 1AJ1 je v hodnote 450,27 € zaúčtovaný príjem bežné prostriedky a  71 307,00 € zaúčtovaný príjem kapitálových prostriedkov zo zahraničia, ktoré sú v T_2 R30</t>
  </si>
  <si>
    <t>Užhorod National University Ukrajina - projekt Geoses</t>
  </si>
  <si>
    <r>
      <t xml:space="preserve">Čerpanie z iných zdrojov (napr. z 131x, ...) </t>
    </r>
    <r>
      <rPr>
        <b/>
        <sz val="12"/>
        <color rgb="FFC00000"/>
        <rFont val="Times New Roman"/>
        <family val="1"/>
        <charset val="238"/>
      </rPr>
      <t>v tom zdroj 71</t>
    </r>
  </si>
  <si>
    <t>Botanická záhrada</t>
  </si>
  <si>
    <t>Zahraniční lektori</t>
  </si>
  <si>
    <t xml:space="preserve">SK65 8180 0000 0070 0024 1949 dotacný účet LF
SK79 8180 0000 0070 0013 7519 zostatkový účet LF
SK74 8180 0000 0070 0024 1690 dotacný účet PF
SK95 8180 0000 0070 0024 1797 dotačný účet FVS
SK16 8180 0000 0070 0063 3256 dotačný účet FF
SK38 8180 0000 0070 0063 3248 zostatkový účet FF
SK48 8180 0000 0070 0024 1770 dotačný účet Rektorát
SK35 8180 0000 0070 0013 7535 zostatkový  účet Rektorát
SK10 8180 0000 0070 0013 7500 zostatkový účet Práv.F
SK13 8180 0000 0070 0013 7543 zostatkový účet FVS
SK70 8180 0000 0070 0024 1762 dotačný účet Práv.F,
SK57 8180 0000 0070 0013 7527 zostatkový účet PF
</t>
  </si>
  <si>
    <t>SK36 8180 0000 0070 0043 6471  BU Cardpay HČ ŠJ</t>
  </si>
  <si>
    <t>SK38 8180 0000 0070 0044 0315 7RP SAILS,                       SK88 8180  0000 0070 0063 6422  GEOSES PF                                SK18 8180 0000 0070 0065 3978  FoPA, FVS                                              SK28 8180 0000 0070 0065 2828 RaRe, LF                             SK30 8180 0000 0070 0037 3335 OP LZ IPPU,PF                       SK44 8180 0000 0070 0042 9052  LEONARDO
SK14 8180 0000 0070 0053 5904 Erasmus + acr.SciVis
SK44 8180 0000 0070 0054 0893 Commenius SciCamp
SK68 8180 0000 0070 0054 7833 BU H2020-ALT, PF
SK43 8180 0000 0070 0055 9535 DeCaSuB
SK77 8180 0000 0070 0063 4195 Transfec
SK17 8180 0000 0070 0063 4208 Biomarkery
SK92 8180 0000 0070 0063 4216 DepDemGen</t>
  </si>
  <si>
    <t>SK91 8180 0000 0700 0007 8424 Devízový-USD LF</t>
  </si>
  <si>
    <t>SK36 8180 0000 0070 0025 2365 účet fondu reprodukcie R</t>
  </si>
  <si>
    <t>SK45 8180 0000 0070 0007 8379 LF 
SK47 8180 0000 0070 0007 8440 Práv.f 
SK65 8180 0000 0070 0007 8504 PF
SK83 8180 0000 0070 0008 6037 FVS</t>
  </si>
  <si>
    <t>SK98 8180 0000 0070 0007 8395 SF LF KE, 
SK21 8180 0000 0070 0007 8520 SF PF KE, 
SK94 8180 0000 0070 0007 8467 SF PrávF KE,
SK08 8180 0000 0070 0008 6029 SF FVS KE,
SK86 8180 0000 0070 0007 4343 SF UPJŠ KE
SK91 8180 0000 0070 0063 6264 SF FF</t>
  </si>
  <si>
    <t>SK16 8180 0000 0070 0007 8416 PČ LF, 
SK68 8180 0000 0070 0007 8547 PČ PF, 
SK50 8180 0000 0070 0007 8483 PČ Práv.F, 
SK39 8180 0000 0070 0008 6053 PČ FVS, 
SK11 8180 0000 0070 0007 4335 PČ R UPJŠ
SK62 8180 0000 0070 0063 3301 PČ FF</t>
  </si>
  <si>
    <t>SK15 8180 0000 0070 0046 7307 Zábezpeka,R</t>
  </si>
  <si>
    <t>SK41 8180 0000 0070 0057 0435 NP IT Akademia                    SK58 8180 0000 0070 0025 2357 Mzdový                                 SK68 8180 0000 0070 015 2655 Distrib.účet                          SK02 8180 0000 0070 0063 3993 Iné dotácie LF                      SK07 8180 0000 0070 0052 8755 OPII DSV LISPER LF        SK10 8180 0000 0070 0030 0363                                               SK11 8180 0000 0070 0057 2430 VA BIG DATA                  SK41 8180 0000 0070 0056 5003 NFP MF SR                           SK44 8180 0000 0070 0035 4847 VÚC dot.R-FF                    SK44 8180 0000 0070 0064 5262 DSV Openmed , R             SK47 8180 0000 0070 0042 9677  Vyšehrad FF                          SK77 8180 0000 0070 0047 0362 Medipark                                SK80 8180 0000 0070 0057 2449 Probio LF                           SK83 8180 0000 0070 0064 7279 DRIVE                                     SK89 8180 0000 0070 0033 3667 MZ SR                               SK98 8180 0000 0070 0046 4261 PVVK NEMMA                                              SK78 8180 0000 0070 0037 3829 OPKŽP BZ, R 
SK23 8180 0000 0070 0007 8387 Dary a granty LF 
SK43 8180 0000 0070 0007 8512Dary a granty PF
SK19 8180 0000 0070 0007 8459 Dary a granty PrávF
SK36 8180 0000 0070 0008 6010 Dary a granty FVS
SK54 8180 0000 0070 0009 9751 Dary a granty Rektorát
SK19 8180 0000 0070 0063 3299 Dary a granty FF
SK89 8180 0000 0070 0007 4386 Socrates, R
SK79 8180 0000 0070 0035 8776 BÚ-MVP CCV, PF
SK07 8180 0000 0070 0036 8026 ESF MoVeS,FVS
SK95 8180 0000 0070 0046 7710 BU Technikom
SK05 8180 0000 0070 0049 7848 AŠF EU MŠ SR Platon
SK60 8180 0000 0070 0055 8938 BU SAAIC Erasmus+
SK43 8180 0000 0070 0059 3776 RKKZ UPJŠ KE
SK73 8180 0000 0070 0007 8360 BUN LF
SK28 8180 0000 0070 0007 8491 BUN PF KE
SK69 8180 0000 0070 0007 8432 BUN Práv.F KE
SK58 8180 0000 0070 0008 6002 BUN FVS KE
SK64 8180 0000 0070 0007 4351BUN R UPJŠ
SK47 8180 0000 0070 0063 3280 ZBU FF
SK59 8180 0000 0070 0062 0551 Iné dotácie zo ŠR</t>
  </si>
  <si>
    <r>
      <t xml:space="preserve"> - za uznávanie rovnocennosti dokladov o štúdiu (§ 92 ods. 15 zákona) (účet 648 025) </t>
    </r>
    <r>
      <rPr>
        <sz val="12"/>
        <color rgb="FFFF0000"/>
        <rFont val="Times New Roman"/>
        <family val="1"/>
        <charset val="238"/>
      </rPr>
      <t>doplnené účty</t>
    </r>
  </si>
  <si>
    <t xml:space="preserve">Názov verejnej vysokej školy:  UPJŠ v Košiciach, Šrobárova 2 
Názov fakulty: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</si>
</sst>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S_k_-;\-* #,##0.00\ _S_k_-;_-* &quot;-&quot;??\ _S_k_-;_-@_-"/>
    <numFmt numFmtId="165" formatCode="#,##0_ ;[Red]\-#,##0\ "/>
    <numFmt numFmtId="166" formatCode="#,##0.00_ ;[Red]\-#,##0.00\ "/>
  </numFmts>
  <fonts count="114"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sz val="14"/>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b/>
      <sz val="9"/>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strike/>
      <sz val="12"/>
      <name val="Times New Roman"/>
      <family val="1"/>
      <charset val="238"/>
    </font>
    <font>
      <strike/>
      <sz val="12"/>
      <name val="Times New Roman"/>
      <family val="1"/>
    </font>
    <font>
      <sz val="11"/>
      <name val="Times New Roman"/>
      <family val="1"/>
    </font>
    <font>
      <b/>
      <sz val="10"/>
      <name val="Arial"/>
      <family val="2"/>
      <charset val="238"/>
    </font>
    <font>
      <sz val="14"/>
      <name val="Times New Roman"/>
      <family val="1"/>
    </font>
    <font>
      <sz val="12"/>
      <color indexed="8"/>
      <name val="Times New Roman"/>
      <family val="1"/>
    </font>
    <font>
      <b/>
      <vertAlign val="superscript"/>
      <sz val="12"/>
      <name val="Times New Roman"/>
      <family val="1"/>
    </font>
    <font>
      <b/>
      <sz val="11"/>
      <name val="Times New Roman"/>
      <family val="1"/>
    </font>
    <font>
      <b/>
      <sz val="10"/>
      <color indexed="8"/>
      <name val="Times New Roman"/>
      <family val="1"/>
      <charset val="238"/>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sz val="10"/>
      <color rgb="FFFF0000"/>
      <name val="Times New Roman"/>
      <family val="1"/>
    </font>
    <font>
      <b/>
      <sz val="14"/>
      <color rgb="FFFF0000"/>
      <name val="Times New Roman"/>
      <family val="1"/>
      <charset val="238"/>
    </font>
    <font>
      <sz val="14"/>
      <color rgb="FFFF0000"/>
      <name val="Times New Roman"/>
      <family val="1"/>
      <charset val="238"/>
    </font>
    <font>
      <vertAlign val="superscript"/>
      <sz val="11"/>
      <name val="Times New Roman"/>
      <family val="1"/>
      <charset val="238"/>
    </font>
    <font>
      <sz val="12"/>
      <color rgb="FF0000FF"/>
      <name val="Times New Roman"/>
      <family val="1"/>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sz val="8"/>
      <color indexed="81"/>
      <name val="Tahoma"/>
      <family val="2"/>
      <charset val="238"/>
    </font>
    <font>
      <b/>
      <sz val="8"/>
      <color indexed="81"/>
      <name val="Tahoma"/>
      <family val="2"/>
      <charset val="238"/>
    </font>
    <font>
      <sz val="11"/>
      <color rgb="FFFF0000"/>
      <name val="Times New Roman"/>
      <family val="1"/>
    </font>
    <font>
      <sz val="11"/>
      <color rgb="FF0000FF"/>
      <name val="Times New Roman"/>
      <family val="1"/>
    </font>
    <font>
      <vertAlign val="superscript"/>
      <sz val="12"/>
      <color theme="1"/>
      <name val="Times New Roman"/>
      <family val="1"/>
      <charset val="238"/>
    </font>
    <font>
      <b/>
      <vertAlign val="superscript"/>
      <sz val="12"/>
      <color theme="1"/>
      <name val="Times New Roman"/>
      <family val="1"/>
      <charset val="238"/>
    </font>
    <font>
      <i/>
      <sz val="11"/>
      <color theme="1"/>
      <name val="Times New Roman"/>
      <family val="1"/>
      <charset val="238"/>
    </font>
    <font>
      <b/>
      <i/>
      <sz val="11"/>
      <color theme="1"/>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i/>
      <sz val="12"/>
      <color rgb="FFFF0000"/>
      <name val="Times New Roman"/>
      <family val="1"/>
      <charset val="238"/>
    </font>
    <font>
      <sz val="11"/>
      <color rgb="FFFF0000"/>
      <name val="Times New Roman"/>
      <family val="1"/>
      <charset val="238"/>
    </font>
    <font>
      <b/>
      <sz val="11"/>
      <color rgb="FFFF0000"/>
      <name val="Times New Roman"/>
      <family val="1"/>
      <charset val="238"/>
    </font>
    <font>
      <b/>
      <sz val="11"/>
      <color rgb="FF0000FF"/>
      <name val="Times New Roman"/>
      <family val="1"/>
      <charset val="238"/>
    </font>
    <font>
      <b/>
      <sz val="8"/>
      <name val="Times New Roman"/>
      <family val="1"/>
    </font>
    <font>
      <b/>
      <sz val="10"/>
      <name val="Times New Roman"/>
      <family val="1"/>
    </font>
    <font>
      <b/>
      <sz val="12"/>
      <color rgb="FFC00000"/>
      <name val="Times New Roman"/>
      <family val="1"/>
      <charset val="238"/>
    </font>
    <font>
      <sz val="8"/>
      <name val="Times New Roman"/>
      <family val="1"/>
    </font>
    <font>
      <sz val="12"/>
      <color rgb="FF000000"/>
      <name val="Times New Roman"/>
      <family val="1"/>
    </font>
    <font>
      <sz val="8"/>
      <name val="Arial"/>
      <family val="2"/>
    </font>
    <font>
      <sz val="10"/>
      <color indexed="8"/>
      <name val="Times New Roman"/>
      <family val="1"/>
      <charset val="238"/>
    </font>
    <font>
      <sz val="8"/>
      <name val="Times New Roman"/>
      <family val="1"/>
      <charset val="238"/>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indexed="49"/>
        <bgColor indexed="64"/>
      </patternFill>
    </fill>
    <fill>
      <patternFill patternType="solid">
        <fgColor rgb="FFCCFFCC"/>
        <bgColor indexed="64"/>
      </patternFill>
    </fill>
    <fill>
      <patternFill patternType="solid">
        <fgColor indexed="42"/>
        <bgColor indexed="9"/>
      </patternFill>
    </fill>
    <fill>
      <patternFill patternType="solid">
        <fgColor theme="0"/>
        <bgColor rgb="FF000000"/>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diagonal/>
    </border>
  </borders>
  <cellStyleXfs count="90">
    <xf numFmtId="0" fontId="0"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34" fillId="12"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9" borderId="0" applyNumberFormat="0" applyBorder="0" applyAlignment="0" applyProtection="0"/>
    <xf numFmtId="0" fontId="35" fillId="3" borderId="0" applyNumberFormat="0" applyBorder="0" applyAlignment="0" applyProtection="0"/>
    <xf numFmtId="0" fontId="36" fillId="20" borderId="1" applyNumberFormat="0" applyAlignment="0" applyProtection="0"/>
    <xf numFmtId="164" fontId="16" fillId="0" borderId="0" applyFont="0" applyFill="0" applyBorder="0" applyAlignment="0" applyProtection="0"/>
    <xf numFmtId="0" fontId="38" fillId="0" borderId="0" applyNumberFormat="0" applyFill="0" applyBorder="0" applyAlignment="0" applyProtection="0"/>
    <xf numFmtId="0" fontId="39" fillId="4" borderId="0" applyNumberFormat="0" applyBorder="0" applyAlignment="0" applyProtection="0"/>
    <xf numFmtId="0" fontId="40" fillId="0" borderId="2" applyNumberFormat="0" applyFill="0" applyAlignment="0" applyProtection="0"/>
    <xf numFmtId="0" fontId="41" fillId="0" borderId="3" applyNumberFormat="0" applyFill="0" applyAlignment="0" applyProtection="0"/>
    <xf numFmtId="0" fontId="42" fillId="0" borderId="4" applyNumberFormat="0" applyFill="0" applyAlignment="0" applyProtection="0"/>
    <xf numFmtId="0" fontId="42" fillId="0" borderId="0" applyNumberFormat="0" applyFill="0" applyBorder="0" applyAlignment="0" applyProtection="0"/>
    <xf numFmtId="0" fontId="43" fillId="21" borderId="5" applyNumberFormat="0" applyAlignment="0" applyProtection="0"/>
    <xf numFmtId="0" fontId="44" fillId="7" borderId="1" applyNumberFormat="0" applyAlignment="0" applyProtection="0"/>
    <xf numFmtId="0" fontId="45" fillId="0" borderId="6" applyNumberFormat="0" applyFill="0" applyAlignment="0" applyProtection="0"/>
    <xf numFmtId="0" fontId="46" fillId="22" borderId="0" applyNumberFormat="0" applyBorder="0" applyAlignment="0" applyProtection="0"/>
    <xf numFmtId="0" fontId="16" fillId="0" borderId="0"/>
    <xf numFmtId="0" fontId="69" fillId="0" borderId="0"/>
    <xf numFmtId="0" fontId="16" fillId="0" borderId="0"/>
    <xf numFmtId="0" fontId="16" fillId="0" borderId="0"/>
    <xf numFmtId="0" fontId="55" fillId="0" borderId="0"/>
    <xf numFmtId="0" fontId="20" fillId="0" borderId="0"/>
    <xf numFmtId="0" fontId="47" fillId="0" borderId="0"/>
    <xf numFmtId="0" fontId="37" fillId="23" borderId="7" applyNumberFormat="0" applyFont="0" applyAlignment="0" applyProtection="0"/>
    <xf numFmtId="0" fontId="48" fillId="20" borderId="8" applyNumberFormat="0" applyAlignment="0" applyProtection="0"/>
    <xf numFmtId="4" fontId="11" fillId="22" borderId="9" applyNumberFormat="0" applyProtection="0">
      <alignment vertical="center"/>
    </xf>
    <xf numFmtId="4" fontId="12" fillId="24" borderId="9" applyNumberFormat="0" applyProtection="0">
      <alignment vertical="center"/>
    </xf>
    <xf numFmtId="4" fontId="11" fillId="24" borderId="9" applyNumberFormat="0" applyProtection="0">
      <alignment horizontal="left" vertical="center" indent="1"/>
    </xf>
    <xf numFmtId="0" fontId="11" fillId="24" borderId="9" applyNumberFormat="0" applyProtection="0">
      <alignment horizontal="left" vertical="top" indent="1"/>
    </xf>
    <xf numFmtId="4" fontId="13" fillId="3" borderId="9" applyNumberFormat="0" applyProtection="0">
      <alignment horizontal="right" vertical="center"/>
    </xf>
    <xf numFmtId="4" fontId="13" fillId="9" borderId="9" applyNumberFormat="0" applyProtection="0">
      <alignment horizontal="right" vertical="center"/>
    </xf>
    <xf numFmtId="4" fontId="13" fillId="17" borderId="9" applyNumberFormat="0" applyProtection="0">
      <alignment horizontal="right" vertical="center"/>
    </xf>
    <xf numFmtId="4" fontId="13" fillId="11" borderId="9" applyNumberFormat="0" applyProtection="0">
      <alignment horizontal="right" vertical="center"/>
    </xf>
    <xf numFmtId="4" fontId="13" fillId="15" borderId="9" applyNumberFormat="0" applyProtection="0">
      <alignment horizontal="right" vertical="center"/>
    </xf>
    <xf numFmtId="4" fontId="13" fillId="19" borderId="9" applyNumberFormat="0" applyProtection="0">
      <alignment horizontal="right" vertical="center"/>
    </xf>
    <xf numFmtId="4" fontId="13" fillId="18" borderId="9" applyNumberFormat="0" applyProtection="0">
      <alignment horizontal="right" vertical="center"/>
    </xf>
    <xf numFmtId="4" fontId="13" fillId="25" borderId="9" applyNumberFormat="0" applyProtection="0">
      <alignment horizontal="right" vertical="center"/>
    </xf>
    <xf numFmtId="4" fontId="13" fillId="10" borderId="9" applyNumberFormat="0" applyProtection="0">
      <alignment horizontal="right" vertical="center"/>
    </xf>
    <xf numFmtId="4" fontId="11" fillId="26" borderId="10" applyNumberFormat="0" applyProtection="0">
      <alignment horizontal="left" vertical="center" indent="1"/>
    </xf>
    <xf numFmtId="4" fontId="13" fillId="27" borderId="0" applyNumberFormat="0" applyProtection="0">
      <alignment horizontal="left" vertical="center" indent="1"/>
    </xf>
    <xf numFmtId="4" fontId="14" fillId="28" borderId="0" applyNumberFormat="0" applyProtection="0">
      <alignment horizontal="left" vertical="center" indent="1"/>
    </xf>
    <xf numFmtId="4" fontId="13" fillId="29" borderId="9" applyNumberFormat="0" applyProtection="0">
      <alignment horizontal="right" vertical="center"/>
    </xf>
    <xf numFmtId="4" fontId="15" fillId="27" borderId="0" applyNumberFormat="0" applyProtection="0">
      <alignment horizontal="left" vertical="center" indent="1"/>
    </xf>
    <xf numFmtId="4" fontId="15" fillId="30" borderId="0" applyNumberFormat="0" applyProtection="0">
      <alignment horizontal="left" vertical="center" indent="1"/>
    </xf>
    <xf numFmtId="0" fontId="16" fillId="28" borderId="9" applyNumberFormat="0" applyProtection="0">
      <alignment horizontal="left" vertical="center" indent="1"/>
    </xf>
    <xf numFmtId="0" fontId="16" fillId="28" borderId="9" applyNumberFormat="0" applyProtection="0">
      <alignment horizontal="left" vertical="top" indent="1"/>
    </xf>
    <xf numFmtId="0" fontId="16" fillId="30" borderId="9" applyNumberFormat="0" applyProtection="0">
      <alignment horizontal="left" vertical="center" indent="1"/>
    </xf>
    <xf numFmtId="0" fontId="16" fillId="30" borderId="9" applyNumberFormat="0" applyProtection="0">
      <alignment horizontal="left" vertical="top" indent="1"/>
    </xf>
    <xf numFmtId="0" fontId="16" fillId="31" borderId="9" applyNumberFormat="0" applyProtection="0">
      <alignment horizontal="left" vertical="center" indent="1"/>
    </xf>
    <xf numFmtId="0" fontId="16" fillId="31" borderId="9" applyNumberFormat="0" applyProtection="0">
      <alignment horizontal="left" vertical="top" indent="1"/>
    </xf>
    <xf numFmtId="0" fontId="16" fillId="32" borderId="9" applyNumberFormat="0" applyProtection="0">
      <alignment horizontal="left" vertical="center" indent="1"/>
    </xf>
    <xf numFmtId="0" fontId="16" fillId="32" borderId="9" applyNumberFormat="0" applyProtection="0">
      <alignment horizontal="left" vertical="top" indent="1"/>
    </xf>
    <xf numFmtId="4" fontId="11" fillId="30" borderId="0" applyNumberFormat="0" applyProtection="0">
      <alignment horizontal="left" vertical="center" indent="1"/>
    </xf>
    <xf numFmtId="4" fontId="13" fillId="33" borderId="9" applyNumberFormat="0" applyProtection="0">
      <alignment vertical="center"/>
    </xf>
    <xf numFmtId="4" fontId="17" fillId="33" borderId="9" applyNumberFormat="0" applyProtection="0">
      <alignment vertical="center"/>
    </xf>
    <xf numFmtId="4" fontId="13" fillId="33" borderId="9" applyNumberFormat="0" applyProtection="0">
      <alignment horizontal="left" vertical="center" indent="1"/>
    </xf>
    <xf numFmtId="0" fontId="13" fillId="33" borderId="9" applyNumberFormat="0" applyProtection="0">
      <alignment horizontal="left" vertical="top" indent="1"/>
    </xf>
    <xf numFmtId="4" fontId="13" fillId="27" borderId="9" applyNumberFormat="0" applyProtection="0">
      <alignment horizontal="right" vertical="center"/>
    </xf>
    <xf numFmtId="4" fontId="17" fillId="27" borderId="9" applyNumberFormat="0" applyProtection="0">
      <alignment horizontal="right" vertical="center"/>
    </xf>
    <xf numFmtId="4" fontId="13" fillId="29" borderId="9" applyNumberFormat="0" applyProtection="0">
      <alignment horizontal="left" vertical="center" indent="1"/>
    </xf>
    <xf numFmtId="0" fontId="13" fillId="30" borderId="9" applyNumberFormat="0" applyProtection="0">
      <alignment horizontal="left" vertical="top" indent="1"/>
    </xf>
    <xf numFmtId="4" fontId="18" fillId="34" borderId="0" applyNumberFormat="0" applyProtection="0">
      <alignment horizontal="left" vertical="center" indent="1"/>
    </xf>
    <xf numFmtId="4" fontId="19" fillId="27" borderId="9" applyNumberFormat="0" applyProtection="0">
      <alignment horizontal="right" vertical="center"/>
    </xf>
    <xf numFmtId="0" fontId="49" fillId="0" borderId="0" applyNumberFormat="0" applyFill="0" applyBorder="0" applyAlignment="0" applyProtection="0"/>
    <xf numFmtId="0" fontId="50" fillId="0" borderId="11" applyNumberFormat="0" applyFill="0" applyAlignment="0" applyProtection="0"/>
    <xf numFmtId="0" fontId="51" fillId="0" borderId="0" applyNumberFormat="0" applyFill="0" applyBorder="0" applyAlignment="0" applyProtection="0"/>
    <xf numFmtId="0" fontId="1" fillId="0" borderId="0"/>
    <xf numFmtId="4" fontId="111" fillId="48" borderId="83" applyNumberFormat="0" applyProtection="0">
      <alignment horizontal="left" vertical="center" indent="1"/>
    </xf>
  </cellStyleXfs>
  <cellXfs count="900">
    <xf numFmtId="0" fontId="0" fillId="0" borderId="0" xfId="0"/>
    <xf numFmtId="0" fontId="3" fillId="0" borderId="0" xfId="0" applyFont="1"/>
    <xf numFmtId="0" fontId="3" fillId="0" borderId="0" xfId="0" applyFont="1" applyBorder="1"/>
    <xf numFmtId="0" fontId="3" fillId="0" borderId="0" xfId="0" applyFont="1" applyAlignment="1">
      <alignment horizontal="center" vertical="center"/>
    </xf>
    <xf numFmtId="0" fontId="2" fillId="0" borderId="0" xfId="0" applyFont="1" applyBorder="1" applyAlignment="1">
      <alignment horizontal="center" vertical="center"/>
    </xf>
    <xf numFmtId="49" fontId="3" fillId="0" borderId="0" xfId="0" applyNumberFormat="1" applyFont="1"/>
    <xf numFmtId="0" fontId="4" fillId="0" borderId="0" xfId="0" applyFont="1" applyAlignment="1">
      <alignment horizontal="center" vertical="center" wrapText="1"/>
    </xf>
    <xf numFmtId="49" fontId="3" fillId="0" borderId="0" xfId="0" applyNumberFormat="1" applyFont="1" applyBorder="1"/>
    <xf numFmtId="49" fontId="3" fillId="0" borderId="0" xfId="0" applyNumberFormat="1" applyFont="1" applyAlignment="1">
      <alignment horizontal="left" vertical="center"/>
    </xf>
    <xf numFmtId="0" fontId="2"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2" fillId="0" borderId="13" xfId="0" applyFont="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left" vertical="center" wrapText="1"/>
    </xf>
    <xf numFmtId="49" fontId="3" fillId="0" borderId="13" xfId="0" applyNumberFormat="1" applyFont="1" applyBorder="1" applyAlignment="1">
      <alignment horizontal="left" vertical="center" wrapText="1" indent="1"/>
    </xf>
    <xf numFmtId="49" fontId="2" fillId="0" borderId="13" xfId="0" applyNumberFormat="1" applyFont="1" applyBorder="1" applyAlignment="1">
      <alignment vertical="top" wrapText="1"/>
    </xf>
    <xf numFmtId="0" fontId="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6" fillId="0" borderId="14" xfId="0" applyFont="1" applyBorder="1" applyAlignment="1">
      <alignment horizontal="center" vertical="center" wrapText="1"/>
    </xf>
    <xf numFmtId="0" fontId="3" fillId="0" borderId="13" xfId="0"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3" fillId="0" borderId="0" xfId="0" applyFont="1" applyFill="1"/>
    <xf numFmtId="49" fontId="2" fillId="0" borderId="13" xfId="0" applyNumberFormat="1" applyFont="1" applyBorder="1" applyAlignment="1">
      <alignment horizontal="left" vertical="center" wrapText="1" indent="1"/>
    </xf>
    <xf numFmtId="49" fontId="3" fillId="0" borderId="13" xfId="0" applyNumberFormat="1" applyFont="1" applyFill="1" applyBorder="1" applyAlignment="1">
      <alignment horizontal="left" vertical="center" wrapText="1" indent="1"/>
    </xf>
    <xf numFmtId="49" fontId="2" fillId="0" borderId="17" xfId="0" applyNumberFormat="1" applyFont="1" applyBorder="1" applyAlignment="1">
      <alignment horizontal="left" vertical="center" wrapText="1" indent="1"/>
    </xf>
    <xf numFmtId="49" fontId="3" fillId="0" borderId="0" xfId="0" applyNumberFormat="1" applyFont="1" applyBorder="1" applyAlignment="1">
      <alignment horizontal="left" vertical="center" wrapText="1" indent="1"/>
    </xf>
    <xf numFmtId="49" fontId="3" fillId="0" borderId="0" xfId="0" applyNumberFormat="1" applyFont="1" applyAlignment="1">
      <alignment horizontal="left" vertical="center" wrapText="1" indent="1"/>
    </xf>
    <xf numFmtId="3" fontId="2" fillId="24" borderId="13" xfId="0" applyNumberFormat="1" applyFont="1" applyFill="1" applyBorder="1" applyAlignment="1">
      <alignment horizontal="right" vertical="center" wrapText="1" indent="1"/>
    </xf>
    <xf numFmtId="3" fontId="2" fillId="24"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2" fillId="24" borderId="17" xfId="0" applyNumberFormat="1" applyFont="1" applyFill="1" applyBorder="1" applyAlignment="1" applyProtection="1">
      <alignment horizontal="right" vertical="center" wrapText="1" indent="1"/>
    </xf>
    <xf numFmtId="3" fontId="2" fillId="24" borderId="18" xfId="0" applyNumberFormat="1" applyFont="1" applyFill="1" applyBorder="1" applyAlignment="1">
      <alignment horizontal="right" vertical="center" wrapText="1" indent="1"/>
    </xf>
    <xf numFmtId="0" fontId="2" fillId="0" borderId="13" xfId="0" applyFont="1" applyBorder="1" applyAlignment="1">
      <alignment horizontal="left" vertical="top" wrapText="1" indent="1"/>
    </xf>
    <xf numFmtId="0" fontId="3" fillId="0" borderId="13" xfId="0" applyFont="1" applyBorder="1" applyAlignment="1">
      <alignment horizontal="left" vertical="top" wrapText="1" indent="1"/>
    </xf>
    <xf numFmtId="0" fontId="2" fillId="0" borderId="17" xfId="0" applyFont="1" applyBorder="1" applyAlignment="1">
      <alignment horizontal="left" wrapText="1" indent="1"/>
    </xf>
    <xf numFmtId="0" fontId="3" fillId="0" borderId="0" xfId="0" applyFont="1" applyAlignment="1">
      <alignment horizontal="left" indent="1"/>
    </xf>
    <xf numFmtId="3" fontId="3" fillId="35" borderId="14" xfId="0" applyNumberFormat="1" applyFont="1" applyFill="1" applyBorder="1" applyAlignment="1">
      <alignment horizontal="right" vertical="center" wrapText="1" indent="1"/>
    </xf>
    <xf numFmtId="49" fontId="2" fillId="0" borderId="13" xfId="0" applyNumberFormat="1" applyFont="1" applyBorder="1" applyAlignment="1">
      <alignment horizontal="left" vertical="top" wrapText="1" indent="1"/>
    </xf>
    <xf numFmtId="49" fontId="3" fillId="0" borderId="13" xfId="0" applyNumberFormat="1" applyFont="1" applyBorder="1" applyAlignment="1">
      <alignment horizontal="left" vertical="top" wrapText="1" indent="1"/>
    </xf>
    <xf numFmtId="3" fontId="6" fillId="24" borderId="13" xfId="0" applyNumberFormat="1" applyFont="1" applyFill="1" applyBorder="1" applyAlignment="1">
      <alignment horizontal="right" vertical="center" wrapText="1" indent="1"/>
    </xf>
    <xf numFmtId="3" fontId="6" fillId="24" borderId="17" xfId="0" applyNumberFormat="1" applyFont="1" applyFill="1" applyBorder="1" applyAlignment="1">
      <alignment horizontal="right" vertical="center" wrapText="1" indent="1"/>
    </xf>
    <xf numFmtId="49" fontId="2" fillId="0" borderId="13" xfId="0" applyNumberFormat="1" applyFont="1" applyFill="1" applyBorder="1" applyAlignment="1">
      <alignment horizontal="left" vertical="center" wrapText="1" indent="1"/>
    </xf>
    <xf numFmtId="49" fontId="2" fillId="0" borderId="17" xfId="0" applyNumberFormat="1" applyFont="1" applyFill="1" applyBorder="1" applyAlignment="1">
      <alignment horizontal="left" vertical="center" wrapText="1" indent="1"/>
    </xf>
    <xf numFmtId="3" fontId="3" fillId="0" borderId="13" xfId="0" applyNumberFormat="1" applyFont="1" applyFill="1" applyBorder="1" applyAlignment="1">
      <alignment horizontal="right" vertical="center" wrapText="1" indent="1"/>
    </xf>
    <xf numFmtId="0" fontId="6" fillId="24" borderId="14" xfId="0" applyFont="1" applyFill="1" applyBorder="1" applyAlignment="1">
      <alignment horizontal="right" vertical="center" wrapText="1" indent="1"/>
    </xf>
    <xf numFmtId="0" fontId="6" fillId="0" borderId="13"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0" xfId="0" applyFont="1" applyAlignment="1">
      <alignment horizontal="left" vertical="center" wrapText="1" indent="1"/>
    </xf>
    <xf numFmtId="49" fontId="3" fillId="0" borderId="0" xfId="0" applyNumberFormat="1" applyFont="1" applyAlignment="1">
      <alignment vertical="center" wrapText="1"/>
    </xf>
    <xf numFmtId="3" fontId="6" fillId="0" borderId="0" xfId="43" applyNumberFormat="1" applyFont="1" applyBorder="1" applyAlignment="1">
      <alignment vertical="center" wrapText="1"/>
    </xf>
    <xf numFmtId="3" fontId="6" fillId="0" borderId="0" xfId="43" applyNumberFormat="1" applyFont="1" applyBorder="1" applyAlignment="1">
      <alignment horizontal="center" vertical="center" wrapText="1"/>
    </xf>
    <xf numFmtId="3" fontId="7" fillId="0" borderId="0" xfId="43" applyNumberFormat="1" applyFont="1" applyBorder="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7" fillId="24" borderId="18" xfId="0" applyFont="1" applyFill="1" applyBorder="1" applyAlignment="1">
      <alignment horizontal="right" vertical="center" wrapText="1" indent="1"/>
    </xf>
    <xf numFmtId="3" fontId="6" fillId="35" borderId="13" xfId="0" applyNumberFormat="1" applyFont="1" applyFill="1" applyBorder="1" applyAlignment="1">
      <alignment horizontal="right" vertical="center" wrapText="1" indent="1"/>
    </xf>
    <xf numFmtId="49" fontId="6" fillId="0" borderId="13" xfId="0" applyNumberFormat="1" applyFont="1" applyFill="1" applyBorder="1" applyAlignment="1">
      <alignment horizontal="left" vertical="center" wrapText="1" indent="1"/>
    </xf>
    <xf numFmtId="0" fontId="6" fillId="0" borderId="17" xfId="0" applyFont="1" applyBorder="1" applyAlignment="1">
      <alignment horizontal="left" vertical="center" wrapText="1" indent="1"/>
    </xf>
    <xf numFmtId="3" fontId="3" fillId="0" borderId="13" xfId="0" applyNumberFormat="1" applyFont="1" applyBorder="1" applyAlignment="1">
      <alignment horizontal="center" vertical="center" wrapText="1"/>
    </xf>
    <xf numFmtId="3" fontId="6" fillId="35"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xf>
    <xf numFmtId="3" fontId="3" fillId="0" borderId="14"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49" fontId="2" fillId="0" borderId="13" xfId="0" applyNumberFormat="1" applyFont="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0" xfId="0" applyBorder="1"/>
    <xf numFmtId="0" fontId="6" fillId="0" borderId="13" xfId="0" applyFont="1" applyBorder="1" applyAlignment="1">
      <alignment horizontal="left" vertical="center" wrapText="1"/>
    </xf>
    <xf numFmtId="0" fontId="6" fillId="0" borderId="13" xfId="0" applyFont="1" applyFill="1" applyBorder="1" applyAlignment="1">
      <alignment horizontal="left" vertical="center" wrapText="1" indent="1"/>
    </xf>
    <xf numFmtId="0" fontId="7" fillId="0" borderId="0" xfId="0" applyFont="1"/>
    <xf numFmtId="1" fontId="3" fillId="0" borderId="13"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indent="1"/>
    </xf>
    <xf numFmtId="49" fontId="6" fillId="0" borderId="13" xfId="0" applyNumberFormat="1" applyFont="1" applyBorder="1" applyAlignment="1">
      <alignment vertical="center" wrapText="1"/>
    </xf>
    <xf numFmtId="0" fontId="6"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13" xfId="43" applyFont="1" applyBorder="1" applyAlignment="1">
      <alignment horizontal="center" vertical="center" wrapText="1"/>
    </xf>
    <xf numFmtId="3" fontId="7" fillId="0" borderId="13" xfId="43" applyNumberFormat="1" applyFont="1" applyBorder="1" applyAlignment="1">
      <alignment horizontal="center" vertical="center" wrapText="1"/>
    </xf>
    <xf numFmtId="0" fontId="6" fillId="0" borderId="14" xfId="43" applyFont="1" applyBorder="1" applyAlignment="1">
      <alignment horizontal="center" vertical="center" wrapText="1"/>
    </xf>
    <xf numFmtId="3" fontId="7" fillId="0" borderId="15" xfId="43" applyNumberFormat="1" applyFont="1" applyBorder="1" applyAlignment="1">
      <alignment vertical="center" wrapText="1"/>
    </xf>
    <xf numFmtId="3" fontId="7" fillId="0" borderId="14" xfId="43" applyNumberFormat="1" applyFont="1" applyBorder="1" applyAlignment="1">
      <alignment horizontal="center" vertical="center" wrapText="1"/>
    </xf>
    <xf numFmtId="3" fontId="7" fillId="0" borderId="16" xfId="43"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13" xfId="0" applyFont="1" applyBorder="1" applyAlignment="1">
      <alignment horizontal="left" vertical="center" wrapText="1" indent="1"/>
    </xf>
    <xf numFmtId="0" fontId="7" fillId="0" borderId="13" xfId="0" applyFont="1" applyBorder="1" applyAlignment="1">
      <alignment horizontal="center" vertical="center" wrapText="1"/>
    </xf>
    <xf numFmtId="0" fontId="6" fillId="0" borderId="15" xfId="0" applyFont="1" applyBorder="1" applyAlignment="1">
      <alignment horizontal="left" vertical="center" wrapText="1" indent="1"/>
    </xf>
    <xf numFmtId="0" fontId="6" fillId="0" borderId="19" xfId="0" applyFont="1" applyBorder="1" applyAlignment="1">
      <alignment horizontal="left" vertical="center" wrapText="1" indent="1"/>
    </xf>
    <xf numFmtId="49" fontId="7" fillId="0" borderId="13" xfId="0" applyNumberFormat="1" applyFont="1" applyBorder="1" applyAlignment="1">
      <alignment horizontal="left" vertical="center" wrapText="1" indent="1"/>
    </xf>
    <xf numFmtId="0" fontId="2" fillId="0" borderId="20" xfId="0" applyFont="1" applyBorder="1" applyAlignment="1">
      <alignment horizontal="center" vertical="center" wrapText="1"/>
    </xf>
    <xf numFmtId="0" fontId="29" fillId="0" borderId="0" xfId="0" applyFont="1" applyBorder="1"/>
    <xf numFmtId="0" fontId="3" fillId="0" borderId="0" xfId="0" applyFont="1" applyFill="1" applyAlignment="1">
      <alignment vertical="center" wrapText="1"/>
    </xf>
    <xf numFmtId="0" fontId="2" fillId="0" borderId="22" xfId="0" applyFont="1" applyBorder="1" applyAlignment="1">
      <alignment vertical="center" wrapText="1"/>
    </xf>
    <xf numFmtId="0" fontId="7" fillId="35" borderId="14" xfId="0" applyFont="1" applyFill="1" applyBorder="1" applyAlignment="1">
      <alignment horizontal="left" vertical="center" wrapText="1" indent="1"/>
    </xf>
    <xf numFmtId="49" fontId="8" fillId="0" borderId="0" xfId="0" applyNumberFormat="1" applyFont="1" applyAlignment="1">
      <alignment horizontal="left" vertical="center" wrapText="1" indent="1"/>
    </xf>
    <xf numFmtId="49" fontId="7" fillId="0" borderId="13" xfId="0" applyNumberFormat="1" applyFont="1" applyFill="1" applyBorder="1" applyAlignment="1">
      <alignment horizontal="left" vertical="center" wrapText="1" indent="1"/>
    </xf>
    <xf numFmtId="1" fontId="6" fillId="24" borderId="13" xfId="0" applyNumberFormat="1" applyFont="1" applyFill="1" applyBorder="1" applyAlignment="1">
      <alignment horizontal="right" vertical="center" wrapText="1" indent="1"/>
    </xf>
    <xf numFmtId="0" fontId="7"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3" fillId="0" borderId="0" xfId="0" applyFont="1" applyAlignment="1">
      <alignment horizontal="justify"/>
    </xf>
    <xf numFmtId="0" fontId="3" fillId="0" borderId="16" xfId="0" applyFont="1" applyFill="1" applyBorder="1" applyAlignment="1">
      <alignment horizontal="center" vertical="center"/>
    </xf>
    <xf numFmtId="0" fontId="2" fillId="0" borderId="17" xfId="0" applyFont="1" applyFill="1" applyBorder="1" applyAlignment="1">
      <alignment horizontal="left" wrapText="1" indent="1"/>
    </xf>
    <xf numFmtId="49" fontId="3" fillId="0" borderId="0" xfId="0" applyNumberFormat="1" applyFont="1" applyAlignment="1">
      <alignment horizontal="left" wrapText="1" indent="1"/>
    </xf>
    <xf numFmtId="0" fontId="3" fillId="0" borderId="0" xfId="0" applyFont="1" applyAlignment="1">
      <alignment vertical="center"/>
    </xf>
    <xf numFmtId="0" fontId="22" fillId="0" borderId="0" xfId="0" applyFont="1" applyBorder="1" applyAlignment="1">
      <alignment vertical="center"/>
    </xf>
    <xf numFmtId="0" fontId="2" fillId="0" borderId="15" xfId="0" applyFont="1" applyFill="1" applyBorder="1" applyAlignment="1">
      <alignment horizontal="center" vertical="center" wrapText="1"/>
    </xf>
    <xf numFmtId="0" fontId="22" fillId="35" borderId="14" xfId="0" applyFont="1" applyFill="1" applyBorder="1" applyAlignment="1">
      <alignment horizontal="left" vertical="center" wrapText="1" indent="1"/>
    </xf>
    <xf numFmtId="0" fontId="7" fillId="35" borderId="26" xfId="0" applyFont="1" applyFill="1" applyBorder="1" applyAlignment="1">
      <alignment horizontal="left" vertical="center" wrapText="1" indent="1"/>
    </xf>
    <xf numFmtId="0" fontId="7" fillId="0" borderId="13" xfId="0" applyFont="1" applyBorder="1" applyAlignment="1">
      <alignment horizontal="left" vertical="top" wrapText="1" indent="1"/>
    </xf>
    <xf numFmtId="3" fontId="6" fillId="24" borderId="14" xfId="0" applyNumberFormat="1" applyFont="1" applyFill="1" applyBorder="1" applyAlignment="1">
      <alignment horizontal="right" vertical="center" wrapText="1" indent="1"/>
    </xf>
    <xf numFmtId="3" fontId="7" fillId="35" borderId="13" xfId="0" applyNumberFormat="1" applyFont="1" applyFill="1" applyBorder="1" applyAlignment="1">
      <alignment horizontal="right" vertical="center" wrapText="1" indent="1"/>
    </xf>
    <xf numFmtId="3" fontId="6" fillId="24" borderId="18" xfId="0" applyNumberFormat="1" applyFont="1" applyFill="1" applyBorder="1" applyAlignment="1">
      <alignment horizontal="right" vertical="center" wrapText="1" indent="1"/>
    </xf>
    <xf numFmtId="3" fontId="3" fillId="35" borderId="19" xfId="0" applyNumberFormat="1" applyFont="1" applyFill="1" applyBorder="1" applyAlignment="1">
      <alignment horizontal="right" vertical="center" wrapText="1" indent="1"/>
    </xf>
    <xf numFmtId="3" fontId="6" fillId="24" borderId="19" xfId="0" applyNumberFormat="1" applyFont="1" applyFill="1" applyBorder="1" applyAlignment="1">
      <alignment horizontal="right" vertical="center" wrapText="1" indent="1"/>
    </xf>
    <xf numFmtId="3" fontId="2" fillId="24" borderId="17" xfId="0" applyNumberFormat="1" applyFont="1" applyFill="1" applyBorder="1" applyAlignment="1">
      <alignment horizontal="right" vertical="center" wrapText="1" indent="1"/>
    </xf>
    <xf numFmtId="1" fontId="3" fillId="35" borderId="13" xfId="0" applyNumberFormat="1" applyFont="1" applyFill="1" applyBorder="1" applyAlignment="1">
      <alignment horizontal="right" vertical="center" wrapText="1" indent="1"/>
    </xf>
    <xf numFmtId="3" fontId="3" fillId="0" borderId="19" xfId="0" applyNumberFormat="1" applyFont="1" applyFill="1" applyBorder="1" applyAlignment="1">
      <alignment vertical="center" wrapText="1"/>
    </xf>
    <xf numFmtId="3" fontId="3" fillId="35" borderId="19" xfId="0" applyNumberFormat="1" applyFont="1" applyFill="1" applyBorder="1" applyAlignment="1">
      <alignment vertical="center" wrapText="1"/>
    </xf>
    <xf numFmtId="3" fontId="7" fillId="35" borderId="14" xfId="0" applyNumberFormat="1" applyFont="1" applyFill="1" applyBorder="1" applyAlignment="1">
      <alignment horizontal="right" vertical="center" wrapText="1" indent="1"/>
    </xf>
    <xf numFmtId="3" fontId="2" fillId="35" borderId="17" xfId="0" applyNumberFormat="1" applyFont="1" applyFill="1" applyBorder="1" applyAlignment="1">
      <alignment horizontal="right" vertical="center" wrapText="1" indent="1"/>
    </xf>
    <xf numFmtId="3" fontId="6" fillId="37" borderId="13" xfId="0" applyNumberFormat="1" applyFont="1" applyFill="1" applyBorder="1" applyAlignment="1">
      <alignment horizontal="right" vertical="center" wrapText="1" indent="1"/>
    </xf>
    <xf numFmtId="3" fontId="6" fillId="35" borderId="20" xfId="0" applyNumberFormat="1" applyFont="1" applyFill="1" applyBorder="1" applyAlignment="1">
      <alignment horizontal="right" vertical="center" wrapText="1" indent="1"/>
    </xf>
    <xf numFmtId="3" fontId="7" fillId="0" borderId="13"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6" fillId="24" borderId="27" xfId="0" applyNumberFormat="1" applyFont="1" applyFill="1" applyBorder="1" applyAlignment="1">
      <alignment horizontal="right" vertical="center" wrapText="1" indent="1"/>
    </xf>
    <xf numFmtId="3" fontId="6" fillId="35" borderId="27" xfId="0" applyNumberFormat="1" applyFont="1" applyFill="1" applyBorder="1" applyAlignment="1">
      <alignment horizontal="right" vertical="center" wrapText="1" indent="1"/>
    </xf>
    <xf numFmtId="3" fontId="6" fillId="24" borderId="20" xfId="0" applyNumberFormat="1" applyFont="1" applyFill="1" applyBorder="1" applyAlignment="1">
      <alignment horizontal="right" vertical="center" wrapText="1" indent="1"/>
    </xf>
    <xf numFmtId="3" fontId="6" fillId="24" borderId="28" xfId="0" applyNumberFormat="1" applyFont="1" applyFill="1" applyBorder="1" applyAlignment="1">
      <alignment horizontal="right" vertical="center" wrapText="1" indent="1"/>
    </xf>
    <xf numFmtId="3" fontId="7" fillId="0" borderId="17"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2" fillId="35" borderId="13" xfId="0" applyNumberFormat="1" applyFont="1" applyFill="1" applyBorder="1" applyAlignment="1">
      <alignment horizontal="right" vertical="center" wrapText="1" indent="1"/>
    </xf>
    <xf numFmtId="3" fontId="7" fillId="35" borderId="19"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 fontId="3" fillId="35" borderId="14" xfId="0" applyNumberFormat="1" applyFont="1" applyFill="1" applyBorder="1" applyAlignment="1">
      <alignment horizontal="right" vertical="center" wrapText="1" indent="1"/>
    </xf>
    <xf numFmtId="1" fontId="3" fillId="35" borderId="19" xfId="0" applyNumberFormat="1" applyFont="1" applyFill="1" applyBorder="1" applyAlignment="1">
      <alignment horizontal="right" vertical="center" wrapText="1" indent="1"/>
    </xf>
    <xf numFmtId="1" fontId="3" fillId="35" borderId="26" xfId="0" applyNumberFormat="1" applyFont="1" applyFill="1" applyBorder="1" applyAlignment="1">
      <alignment horizontal="right" vertical="center" wrapText="1" indent="1"/>
    </xf>
    <xf numFmtId="1" fontId="6" fillId="0" borderId="17" xfId="0" applyNumberFormat="1" applyFont="1" applyFill="1" applyBorder="1" applyAlignment="1">
      <alignment horizontal="right" vertical="center" wrapText="1" indent="1"/>
    </xf>
    <xf numFmtId="1" fontId="3" fillId="35" borderId="17" xfId="0" applyNumberFormat="1" applyFont="1" applyFill="1" applyBorder="1" applyAlignment="1">
      <alignment horizontal="right" vertical="center" wrapText="1" indent="1"/>
    </xf>
    <xf numFmtId="1" fontId="3" fillId="35" borderId="18" xfId="0" applyNumberFormat="1" applyFont="1" applyFill="1" applyBorder="1" applyAlignment="1">
      <alignment horizontal="right" vertical="center" wrapText="1" indent="1"/>
    </xf>
    <xf numFmtId="3" fontId="6" fillId="24" borderId="13" xfId="0" applyNumberFormat="1" applyFont="1" applyFill="1" applyBorder="1" applyAlignment="1">
      <alignment horizontal="right" vertical="center" indent="1"/>
    </xf>
    <xf numFmtId="3" fontId="6" fillId="24" borderId="14" xfId="0" applyNumberFormat="1" applyFont="1" applyFill="1" applyBorder="1" applyAlignment="1">
      <alignment horizontal="right" vertical="center" indent="1"/>
    </xf>
    <xf numFmtId="0" fontId="69" fillId="0" borderId="0" xfId="39"/>
    <xf numFmtId="0" fontId="9" fillId="0" borderId="13" xfId="0" applyFont="1" applyFill="1" applyBorder="1" applyAlignment="1">
      <alignment horizontal="left" vertical="center" wrapText="1" indent="1"/>
    </xf>
    <xf numFmtId="0" fontId="4" fillId="0" borderId="0" xfId="0" applyFont="1" applyBorder="1" applyAlignment="1">
      <alignment horizontal="center" vertical="center" wrapText="1"/>
    </xf>
    <xf numFmtId="0" fontId="6" fillId="0" borderId="0" xfId="0" applyFont="1" applyBorder="1" applyAlignment="1">
      <alignment horizontal="left" vertical="center" wrapText="1"/>
    </xf>
    <xf numFmtId="3" fontId="6" fillId="24" borderId="17" xfId="0" applyNumberFormat="1" applyFont="1" applyFill="1" applyBorder="1" applyAlignment="1">
      <alignment horizontal="right" vertical="center" indent="1"/>
    </xf>
    <xf numFmtId="3" fontId="6" fillId="24" borderId="18" xfId="0" applyNumberFormat="1" applyFont="1" applyFill="1" applyBorder="1" applyAlignment="1">
      <alignment horizontal="right" vertical="center" indent="1"/>
    </xf>
    <xf numFmtId="0" fontId="7" fillId="0" borderId="0" xfId="42" applyFont="1" applyAlignment="1">
      <alignment vertical="center" wrapText="1"/>
    </xf>
    <xf numFmtId="0" fontId="6" fillId="0" borderId="0" xfId="42" applyFont="1" applyAlignment="1">
      <alignment horizontal="center" vertical="center" wrapText="1"/>
    </xf>
    <xf numFmtId="0" fontId="0" fillId="0" borderId="0" xfId="0" applyNumberFormat="1" applyAlignment="1">
      <alignment vertical="center" wrapText="1"/>
    </xf>
    <xf numFmtId="166" fontId="54" fillId="37" borderId="13" xfId="74" quotePrefix="1" applyNumberFormat="1" applyFont="1" applyFill="1" applyBorder="1" applyAlignment="1" applyProtection="1">
      <alignment horizontal="left" vertical="center" wrapText="1" indent="1"/>
      <protection locked="0"/>
    </xf>
    <xf numFmtId="166" fontId="53" fillId="37" borderId="13" xfId="82" quotePrefix="1" applyNumberFormat="1" applyFont="1" applyFill="1" applyBorder="1" applyAlignment="1" applyProtection="1">
      <alignment horizontal="left" vertical="center" wrapText="1" indent="1"/>
      <protection locked="0"/>
    </xf>
    <xf numFmtId="166" fontId="53" fillId="37" borderId="13" xfId="81" quotePrefix="1" applyNumberFormat="1" applyFont="1" applyFill="1" applyBorder="1" applyProtection="1">
      <alignment horizontal="left" vertical="center" indent="1"/>
      <protection locked="0"/>
    </xf>
    <xf numFmtId="0" fontId="7" fillId="0" borderId="13" xfId="0" applyFont="1" applyBorder="1"/>
    <xf numFmtId="166" fontId="54" fillId="37" borderId="13" xfId="49" quotePrefix="1" applyNumberFormat="1" applyFont="1" applyFill="1" applyBorder="1">
      <alignment horizontal="left" vertical="center" indent="1"/>
    </xf>
    <xf numFmtId="166" fontId="54" fillId="37" borderId="13" xfId="49" applyNumberFormat="1" applyFont="1" applyFill="1" applyBorder="1">
      <alignment horizontal="left" vertical="center" indent="1"/>
    </xf>
    <xf numFmtId="166" fontId="53" fillId="37" borderId="13" xfId="81" applyNumberFormat="1" applyFont="1" applyFill="1" applyBorder="1" applyAlignment="1" applyProtection="1">
      <alignment vertical="center"/>
      <protection locked="0"/>
    </xf>
    <xf numFmtId="166" fontId="54" fillId="37" borderId="13" xfId="81" quotePrefix="1" applyNumberFormat="1" applyFont="1" applyFill="1" applyBorder="1" applyProtection="1">
      <alignment horizontal="left" vertical="center" indent="1"/>
      <protection locked="0"/>
    </xf>
    <xf numFmtId="166" fontId="53" fillId="37" borderId="13" xfId="82" applyNumberFormat="1" applyFont="1" applyFill="1" applyBorder="1" applyAlignment="1" applyProtection="1">
      <alignment horizontal="left" vertical="center" wrapText="1" indent="1"/>
      <protection locked="0"/>
    </xf>
    <xf numFmtId="3" fontId="7" fillId="35" borderId="29" xfId="42" applyNumberFormat="1" applyFont="1" applyFill="1" applyBorder="1" applyAlignment="1">
      <alignment horizontal="right" vertical="center" wrapText="1" indent="1"/>
    </xf>
    <xf numFmtId="3" fontId="7" fillId="35" borderId="13" xfId="42" applyNumberFormat="1" applyFont="1" applyFill="1" applyBorder="1" applyAlignment="1">
      <alignment horizontal="right" vertical="center" wrapText="1" indent="1"/>
    </xf>
    <xf numFmtId="49" fontId="7" fillId="0" borderId="20" xfId="40" applyNumberFormat="1" applyFont="1" applyBorder="1" applyAlignment="1">
      <alignment horizontal="center"/>
    </xf>
    <xf numFmtId="49" fontId="7" fillId="0" borderId="35" xfId="40" applyNumberFormat="1" applyFont="1" applyBorder="1" applyAlignment="1">
      <alignment horizontal="center"/>
    </xf>
    <xf numFmtId="3" fontId="2" fillId="24" borderId="31" xfId="0" applyNumberFormat="1" applyFont="1" applyFill="1" applyBorder="1" applyAlignment="1">
      <alignment horizontal="right" vertical="center" wrapText="1" indent="1"/>
    </xf>
    <xf numFmtId="49" fontId="7" fillId="0" borderId="37" xfId="40" applyNumberFormat="1" applyFont="1" applyBorder="1" applyAlignment="1">
      <alignment horizontal="center"/>
    </xf>
    <xf numFmtId="0" fontId="7" fillId="0" borderId="29" xfId="40" applyFont="1" applyBorder="1"/>
    <xf numFmtId="0" fontId="7" fillId="0" borderId="13" xfId="40" applyFont="1" applyBorder="1"/>
    <xf numFmtId="0" fontId="7" fillId="0" borderId="19" xfId="40" applyFont="1" applyBorder="1"/>
    <xf numFmtId="3" fontId="7" fillId="35" borderId="19" xfId="42" applyNumberFormat="1" applyFont="1" applyFill="1" applyBorder="1" applyAlignment="1">
      <alignment horizontal="right" vertical="center" wrapText="1" indent="1"/>
    </xf>
    <xf numFmtId="3" fontId="2" fillId="24" borderId="37" xfId="0" applyNumberFormat="1" applyFont="1" applyFill="1" applyBorder="1" applyAlignment="1">
      <alignment horizontal="right" vertical="center" wrapText="1" indent="1"/>
    </xf>
    <xf numFmtId="3" fontId="7" fillId="35" borderId="37" xfId="42" applyNumberFormat="1" applyFont="1" applyFill="1" applyBorder="1" applyAlignment="1">
      <alignment horizontal="right" vertical="center" wrapText="1" indent="1"/>
    </xf>
    <xf numFmtId="3" fontId="7" fillId="35" borderId="20" xfId="42" applyNumberFormat="1" applyFont="1" applyFill="1" applyBorder="1" applyAlignment="1">
      <alignment horizontal="right" vertical="center" wrapText="1" indent="1"/>
    </xf>
    <xf numFmtId="3" fontId="7" fillId="35" borderId="35" xfId="42" applyNumberFormat="1" applyFont="1" applyFill="1" applyBorder="1" applyAlignment="1">
      <alignment horizontal="right" vertical="center" wrapText="1" indent="1"/>
    </xf>
    <xf numFmtId="3" fontId="2" fillId="24" borderId="20" xfId="0" applyNumberFormat="1" applyFont="1" applyFill="1" applyBorder="1" applyAlignment="1">
      <alignment horizontal="right" vertical="center" wrapText="1" indent="1"/>
    </xf>
    <xf numFmtId="3" fontId="2" fillId="24" borderId="45" xfId="0" applyNumberFormat="1" applyFont="1" applyFill="1" applyBorder="1" applyAlignment="1">
      <alignment horizontal="right" vertical="center" wrapText="1" indent="1"/>
    </xf>
    <xf numFmtId="0" fontId="22" fillId="0" borderId="29" xfId="40" applyFont="1" applyBorder="1"/>
    <xf numFmtId="49" fontId="22" fillId="0" borderId="37" xfId="40" applyNumberFormat="1" applyFont="1" applyBorder="1" applyAlignment="1">
      <alignment horizontal="center"/>
    </xf>
    <xf numFmtId="0" fontId="22" fillId="0" borderId="13" xfId="40" applyFont="1" applyBorder="1"/>
    <xf numFmtId="49" fontId="22" fillId="0" borderId="20" xfId="40" applyNumberFormat="1" applyFont="1" applyBorder="1" applyAlignment="1">
      <alignment horizontal="center"/>
    </xf>
    <xf numFmtId="0" fontId="22" fillId="0" borderId="13" xfId="40" applyFont="1" applyBorder="1" applyAlignment="1">
      <alignment vertical="center"/>
    </xf>
    <xf numFmtId="49" fontId="52" fillId="32" borderId="20" xfId="40" applyNumberFormat="1" applyFont="1" applyFill="1" applyBorder="1" applyAlignment="1">
      <alignment horizontal="center"/>
    </xf>
    <xf numFmtId="49" fontId="52" fillId="0" borderId="20" xfId="40" applyNumberFormat="1" applyFont="1" applyBorder="1" applyAlignment="1">
      <alignment horizontal="center"/>
    </xf>
    <xf numFmtId="0" fontId="22" fillId="0" borderId="22" xfId="40" applyFont="1" applyBorder="1" applyAlignment="1">
      <alignment horizontal="left" indent="1"/>
    </xf>
    <xf numFmtId="0" fontId="22" fillId="0" borderId="15" xfId="40" applyFont="1" applyBorder="1" applyAlignment="1">
      <alignment horizontal="left" indent="1"/>
    </xf>
    <xf numFmtId="0" fontId="22" fillId="0" borderId="15" xfId="40" applyFont="1" applyFill="1" applyBorder="1" applyAlignment="1">
      <alignment horizontal="left" indent="1"/>
    </xf>
    <xf numFmtId="166" fontId="3" fillId="0" borderId="0" xfId="0" applyNumberFormat="1" applyFont="1" applyBorder="1"/>
    <xf numFmtId="166" fontId="3" fillId="0" borderId="0" xfId="0" applyNumberFormat="1" applyFont="1" applyBorder="1" applyAlignment="1">
      <alignment wrapText="1"/>
    </xf>
    <xf numFmtId="0" fontId="27" fillId="0" borderId="0" xfId="0" applyFont="1" applyBorder="1" applyAlignment="1">
      <alignment horizontal="left"/>
    </xf>
    <xf numFmtId="0" fontId="27" fillId="0" borderId="0" xfId="0" applyFont="1" applyBorder="1" applyAlignment="1">
      <alignment horizontal="left" vertical="center"/>
    </xf>
    <xf numFmtId="0" fontId="73" fillId="0" borderId="0" xfId="0" applyFont="1"/>
    <xf numFmtId="0" fontId="59" fillId="0" borderId="0" xfId="0" applyFont="1" applyFill="1" applyAlignment="1">
      <alignment horizontal="left" vertical="center" indent="1"/>
    </xf>
    <xf numFmtId="3" fontId="7" fillId="0" borderId="0" xfId="43" applyNumberFormat="1" applyFont="1" applyBorder="1" applyAlignment="1">
      <alignment horizontal="center" vertical="center" wrapText="1"/>
    </xf>
    <xf numFmtId="4" fontId="6" fillId="24" borderId="17" xfId="43" applyNumberFormat="1" applyFont="1" applyFill="1" applyBorder="1" applyAlignment="1">
      <alignment horizontal="right" vertical="center" wrapText="1" indent="1"/>
    </xf>
    <xf numFmtId="4" fontId="6" fillId="24" borderId="18" xfId="43" applyNumberFormat="1" applyFont="1" applyFill="1" applyBorder="1" applyAlignment="1">
      <alignment horizontal="right" vertical="center" wrapText="1" indent="1"/>
    </xf>
    <xf numFmtId="0" fontId="60" fillId="0" borderId="14" xfId="0" applyFont="1" applyFill="1" applyBorder="1" applyAlignment="1">
      <alignment horizontal="center" vertical="center" wrapText="1"/>
    </xf>
    <xf numFmtId="49" fontId="6" fillId="0" borderId="13" xfId="41" applyNumberFormat="1" applyFont="1" applyBorder="1" applyAlignment="1">
      <alignment horizontal="left" vertical="center" wrapText="1" indent="1"/>
    </xf>
    <xf numFmtId="3" fontId="6" fillId="24" borderId="13" xfId="41" applyNumberFormat="1" applyFont="1" applyFill="1" applyBorder="1" applyAlignment="1">
      <alignment horizontal="right" vertical="center" wrapText="1" indent="1"/>
    </xf>
    <xf numFmtId="3" fontId="3" fillId="35" borderId="13" xfId="41" applyNumberFormat="1" applyFont="1" applyFill="1" applyBorder="1" applyAlignment="1">
      <alignment horizontal="right" vertical="center" wrapText="1" indent="1"/>
    </xf>
    <xf numFmtId="0" fontId="3" fillId="0" borderId="19" xfId="41" applyFont="1" applyBorder="1" applyAlignment="1">
      <alignment horizontal="left" vertical="top" wrapText="1" indent="1"/>
    </xf>
    <xf numFmtId="0" fontId="9" fillId="0" borderId="0" xfId="0" applyFont="1" applyAlignment="1">
      <alignment horizontal="center" vertical="center"/>
    </xf>
    <xf numFmtId="0" fontId="9" fillId="0" borderId="0" xfId="0" applyFont="1" applyAlignment="1">
      <alignment horizontal="left" indent="1"/>
    </xf>
    <xf numFmtId="0" fontId="9" fillId="0" borderId="0" xfId="0" applyFont="1"/>
    <xf numFmtId="0" fontId="71" fillId="0" borderId="0" xfId="0" applyFont="1" applyAlignment="1">
      <alignment wrapText="1"/>
    </xf>
    <xf numFmtId="3" fontId="2" fillId="24" borderId="50" xfId="0" applyNumberFormat="1" applyFont="1" applyFill="1" applyBorder="1" applyAlignment="1">
      <alignment horizontal="right" vertical="center" wrapText="1" indent="1"/>
    </xf>
    <xf numFmtId="0" fontId="3" fillId="0" borderId="0" xfId="0" applyFont="1" applyFill="1" applyBorder="1"/>
    <xf numFmtId="0" fontId="2" fillId="0" borderId="0" xfId="0" applyFont="1" applyFill="1" applyBorder="1" applyAlignment="1">
      <alignment horizontal="center" vertical="center"/>
    </xf>
    <xf numFmtId="49" fontId="2" fillId="0" borderId="13"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2" fillId="0" borderId="0" xfId="0" applyFont="1" applyFill="1" applyBorder="1" applyAlignment="1">
      <alignment vertical="center"/>
    </xf>
    <xf numFmtId="0" fontId="28" fillId="0" borderId="0" xfId="38" applyFont="1" applyAlignment="1">
      <alignment horizontal="center" vertical="center" wrapText="1"/>
    </xf>
    <xf numFmtId="0" fontId="3" fillId="0" borderId="0" xfId="38" applyFont="1"/>
    <xf numFmtId="0" fontId="3" fillId="0" borderId="0" xfId="38" applyFont="1" applyAlignment="1">
      <alignment horizontal="center"/>
    </xf>
    <xf numFmtId="0" fontId="2" fillId="0" borderId="15" xfId="38" applyFont="1" applyBorder="1" applyAlignment="1">
      <alignment horizontal="center" vertical="center" wrapText="1"/>
    </xf>
    <xf numFmtId="49" fontId="2" fillId="0" borderId="13" xfId="38" applyNumberFormat="1" applyFont="1" applyBorder="1" applyAlignment="1">
      <alignment horizontal="center" vertical="center" wrapText="1"/>
    </xf>
    <xf numFmtId="0" fontId="2" fillId="0" borderId="13" xfId="38" applyFont="1" applyBorder="1" applyAlignment="1">
      <alignment horizontal="center" vertical="center" wrapText="1"/>
    </xf>
    <xf numFmtId="0" fontId="2" fillId="0" borderId="14" xfId="38" applyFont="1" applyBorder="1" applyAlignment="1">
      <alignment horizontal="center" vertical="center" wrapText="1"/>
    </xf>
    <xf numFmtId="0" fontId="3" fillId="0" borderId="15" xfId="38" applyFont="1" applyBorder="1" applyAlignment="1">
      <alignment horizontal="center" wrapText="1"/>
    </xf>
    <xf numFmtId="49" fontId="2" fillId="0" borderId="13" xfId="38" applyNumberFormat="1" applyFont="1" applyBorder="1" applyAlignment="1">
      <alignment vertical="top" wrapText="1"/>
    </xf>
    <xf numFmtId="3" fontId="3" fillId="0" borderId="13" xfId="38" applyNumberFormat="1" applyFont="1" applyFill="1" applyBorder="1" applyAlignment="1">
      <alignment horizontal="center" wrapText="1"/>
    </xf>
    <xf numFmtId="0" fontId="3" fillId="0" borderId="15" xfId="38" applyFont="1" applyBorder="1" applyAlignment="1">
      <alignment horizontal="center" vertical="center" wrapText="1"/>
    </xf>
    <xf numFmtId="49" fontId="2" fillId="0" borderId="13" xfId="38" applyNumberFormat="1" applyFont="1" applyBorder="1" applyAlignment="1">
      <alignment horizontal="left" vertical="center" wrapText="1" indent="1"/>
    </xf>
    <xf numFmtId="3" fontId="6" fillId="24" borderId="13" xfId="38" applyNumberFormat="1" applyFont="1" applyFill="1" applyBorder="1" applyAlignment="1">
      <alignment horizontal="right" vertical="center" wrapText="1" indent="1"/>
    </xf>
    <xf numFmtId="3" fontId="3" fillId="35" borderId="13" xfId="38" applyNumberFormat="1" applyFont="1" applyFill="1" applyBorder="1" applyAlignment="1">
      <alignment horizontal="right" vertical="center" wrapText="1" indent="1"/>
    </xf>
    <xf numFmtId="3" fontId="3" fillId="24" borderId="13" xfId="38" applyNumberFormat="1" applyFont="1" applyFill="1" applyBorder="1" applyAlignment="1">
      <alignment horizontal="right" vertical="center" wrapText="1" indent="1"/>
    </xf>
    <xf numFmtId="49" fontId="3" fillId="0" borderId="13" xfId="38" applyNumberFormat="1" applyFont="1" applyBorder="1" applyAlignment="1">
      <alignment horizontal="left" vertical="center" wrapText="1" indent="1"/>
    </xf>
    <xf numFmtId="3" fontId="6" fillId="35" borderId="13" xfId="38" applyNumberFormat="1" applyFont="1" applyFill="1" applyBorder="1" applyAlignment="1">
      <alignment horizontal="right" vertical="center" wrapText="1" indent="1"/>
    </xf>
    <xf numFmtId="3" fontId="3" fillId="0" borderId="13" xfId="38" applyNumberFormat="1" applyFont="1" applyFill="1" applyBorder="1" applyAlignment="1">
      <alignment horizontal="right" vertical="center" wrapText="1" indent="1"/>
    </xf>
    <xf numFmtId="0" fontId="3" fillId="0" borderId="0" xfId="38" applyFont="1" applyFill="1" applyAlignment="1">
      <alignment horizontal="center"/>
    </xf>
    <xf numFmtId="0" fontId="3" fillId="0" borderId="0" xfId="38" applyFont="1" applyFill="1"/>
    <xf numFmtId="49" fontId="7" fillId="36" borderId="13" xfId="38" applyNumberFormat="1" applyFont="1" applyFill="1" applyBorder="1" applyAlignment="1">
      <alignment horizontal="left" vertical="center" wrapText="1" indent="1"/>
    </xf>
    <xf numFmtId="49" fontId="2" fillId="0" borderId="17" xfId="38" applyNumberFormat="1" applyFont="1" applyBorder="1" applyAlignment="1">
      <alignment horizontal="left" vertical="center" wrapText="1" indent="1"/>
    </xf>
    <xf numFmtId="0" fontId="3" fillId="0" borderId="0" xfId="38" applyFont="1" applyFill="1" applyBorder="1" applyAlignment="1">
      <alignment horizontal="center" vertical="center" wrapText="1"/>
    </xf>
    <xf numFmtId="49" fontId="2" fillId="0" borderId="0" xfId="38" applyNumberFormat="1" applyFont="1" applyFill="1" applyBorder="1" applyAlignment="1">
      <alignment horizontal="left" vertical="top" wrapText="1" indent="1"/>
    </xf>
    <xf numFmtId="3" fontId="6" fillId="0" borderId="0" xfId="38" applyNumberFormat="1" applyFont="1" applyFill="1" applyBorder="1" applyAlignment="1">
      <alignment horizontal="right" vertical="center" wrapText="1" indent="1"/>
    </xf>
    <xf numFmtId="0" fontId="7" fillId="0" borderId="0" xfId="38" applyFont="1" applyAlignment="1">
      <alignment horizontal="center"/>
    </xf>
    <xf numFmtId="0" fontId="7" fillId="0" borderId="0" xfId="38" applyFont="1"/>
    <xf numFmtId="49" fontId="7" fillId="0" borderId="0" xfId="38" applyNumberFormat="1" applyFont="1"/>
    <xf numFmtId="49" fontId="3" fillId="0" borderId="0" xfId="38" applyNumberFormat="1" applyFont="1"/>
    <xf numFmtId="0" fontId="3" fillId="0" borderId="20" xfId="0" applyFont="1" applyFill="1" applyBorder="1" applyAlignment="1">
      <alignment horizontal="center" vertical="center" wrapText="1"/>
    </xf>
    <xf numFmtId="0" fontId="73" fillId="0" borderId="0" xfId="0" applyFont="1" applyBorder="1" applyAlignment="1">
      <alignment horizontal="left" vertical="center"/>
    </xf>
    <xf numFmtId="3" fontId="3" fillId="0" borderId="14" xfId="0" applyNumberFormat="1" applyFont="1" applyFill="1" applyBorder="1" applyAlignment="1">
      <alignment horizontal="center" vertical="center" wrapText="1"/>
    </xf>
    <xf numFmtId="0" fontId="3" fillId="0" borderId="15" xfId="41" applyFont="1" applyBorder="1" applyAlignment="1">
      <alignment horizontal="center" vertical="center" wrapText="1"/>
    </xf>
    <xf numFmtId="3" fontId="6" fillId="24" borderId="14" xfId="41" applyNumberFormat="1" applyFont="1" applyFill="1" applyBorder="1" applyAlignment="1">
      <alignment horizontal="right" vertical="center" wrapText="1" indent="1"/>
    </xf>
    <xf numFmtId="0" fontId="3" fillId="0" borderId="16" xfId="41" applyFont="1" applyBorder="1" applyAlignment="1">
      <alignment horizontal="center" vertical="center" wrapText="1"/>
    </xf>
    <xf numFmtId="3" fontId="6" fillId="24" borderId="38" xfId="0" applyNumberFormat="1" applyFont="1" applyFill="1" applyBorder="1" applyAlignment="1">
      <alignment horizontal="right" vertical="center" wrapText="1" indent="1"/>
    </xf>
    <xf numFmtId="3" fontId="3" fillId="0" borderId="38" xfId="38" applyNumberFormat="1" applyFont="1" applyFill="1" applyBorder="1" applyAlignment="1">
      <alignment horizontal="center" wrapText="1"/>
    </xf>
    <xf numFmtId="3" fontId="6" fillId="24" borderId="38" xfId="38" applyNumberFormat="1" applyFont="1" applyFill="1" applyBorder="1" applyAlignment="1">
      <alignment horizontal="right" vertical="center" wrapText="1" indent="1"/>
    </xf>
    <xf numFmtId="3" fontId="3" fillId="35" borderId="38" xfId="38" applyNumberFormat="1" applyFont="1" applyFill="1" applyBorder="1" applyAlignment="1">
      <alignment horizontal="right" vertical="center" wrapText="1" indent="1"/>
    </xf>
    <xf numFmtId="3" fontId="3" fillId="24" borderId="38" xfId="38" applyNumberFormat="1" applyFont="1" applyFill="1" applyBorder="1" applyAlignment="1">
      <alignment horizontal="right" vertical="center" wrapText="1" indent="1"/>
    </xf>
    <xf numFmtId="3" fontId="6" fillId="35" borderId="38" xfId="38" applyNumberFormat="1" applyFont="1" applyFill="1" applyBorder="1" applyAlignment="1">
      <alignment horizontal="right" vertical="center" wrapText="1" indent="1"/>
    </xf>
    <xf numFmtId="3" fontId="3" fillId="0" borderId="38" xfId="38" applyNumberFormat="1" applyFont="1" applyFill="1" applyBorder="1" applyAlignment="1">
      <alignment horizontal="right" vertical="center" wrapText="1" indent="1"/>
    </xf>
    <xf numFmtId="3" fontId="7" fillId="35" borderId="38" xfId="38" applyNumberFormat="1" applyFont="1" applyFill="1" applyBorder="1" applyAlignment="1">
      <alignment horizontal="right" vertical="center" wrapText="1" indent="1"/>
    </xf>
    <xf numFmtId="49" fontId="7" fillId="0" borderId="13" xfId="38" applyNumberFormat="1" applyFont="1" applyBorder="1" applyAlignment="1">
      <alignment horizontal="left" vertical="center" wrapText="1" indent="1"/>
    </xf>
    <xf numFmtId="49" fontId="3" fillId="0" borderId="13" xfId="38" applyNumberFormat="1" applyFont="1" applyFill="1" applyBorder="1" applyAlignment="1">
      <alignment horizontal="left" vertical="center" wrapText="1" indent="1"/>
    </xf>
    <xf numFmtId="0" fontId="72" fillId="0" borderId="16" xfId="39" applyFont="1" applyBorder="1" applyAlignment="1">
      <alignment horizontal="center" vertical="center"/>
    </xf>
    <xf numFmtId="0" fontId="3" fillId="0" borderId="15" xfId="0" applyFont="1" applyBorder="1" applyAlignment="1">
      <alignment horizontal="center" vertical="top"/>
    </xf>
    <xf numFmtId="0" fontId="3" fillId="0" borderId="0" xfId="0" applyFont="1" applyAlignment="1">
      <alignment horizontal="left" vertical="center"/>
    </xf>
    <xf numFmtId="49" fontId="52" fillId="32" borderId="53" xfId="40" applyNumberFormat="1" applyFont="1" applyFill="1" applyBorder="1" applyAlignment="1">
      <alignment horizontal="center" vertical="center"/>
    </xf>
    <xf numFmtId="0" fontId="7" fillId="0" borderId="15" xfId="40" applyFont="1" applyBorder="1" applyAlignment="1">
      <alignment horizontal="left" indent="1"/>
    </xf>
    <xf numFmtId="0" fontId="7" fillId="0" borderId="22" xfId="40" applyFont="1" applyBorder="1" applyAlignment="1">
      <alignment horizontal="left" indent="1"/>
    </xf>
    <xf numFmtId="0" fontId="7" fillId="0" borderId="15" xfId="40" applyFont="1" applyFill="1" applyBorder="1" applyAlignment="1">
      <alignment horizontal="left" indent="1"/>
    </xf>
    <xf numFmtId="0" fontId="7" fillId="0" borderId="21" xfId="40" applyFont="1" applyFill="1" applyBorder="1" applyAlignment="1">
      <alignment horizontal="left" indent="1"/>
    </xf>
    <xf numFmtId="0" fontId="3" fillId="0" borderId="15" xfId="38" applyFont="1" applyFill="1" applyBorder="1" applyAlignment="1">
      <alignment horizontal="center" vertical="center" wrapText="1"/>
    </xf>
    <xf numFmtId="0" fontId="3" fillId="0" borderId="16" xfId="38" applyFont="1" applyFill="1" applyBorder="1" applyAlignment="1">
      <alignment horizontal="center" vertical="center" wrapText="1"/>
    </xf>
    <xf numFmtId="0" fontId="70" fillId="0" borderId="13" xfId="43" applyFont="1" applyBorder="1" applyAlignment="1">
      <alignment horizontal="center" vertical="center" wrapText="1"/>
    </xf>
    <xf numFmtId="0" fontId="72" fillId="0" borderId="19" xfId="40" applyFont="1" applyBorder="1"/>
    <xf numFmtId="49" fontId="74" fillId="0" borderId="17" xfId="41" applyNumberFormat="1" applyFont="1" applyBorder="1" applyAlignment="1">
      <alignment horizontal="left" vertical="center" wrapText="1" indent="1"/>
    </xf>
    <xf numFmtId="0" fontId="3" fillId="0" borderId="0" xfId="38" applyFont="1" applyAlignment="1">
      <alignment vertical="center" wrapText="1"/>
    </xf>
    <xf numFmtId="0" fontId="3" fillId="0" borderId="0" xfId="38" applyFont="1" applyBorder="1" applyAlignment="1">
      <alignment horizontal="center" vertical="center" wrapText="1"/>
    </xf>
    <xf numFmtId="0" fontId="6" fillId="0" borderId="0" xfId="38" applyFont="1" applyBorder="1" applyAlignment="1">
      <alignment horizontal="left" vertical="center" wrapText="1" indent="1"/>
    </xf>
    <xf numFmtId="49" fontId="31" fillId="0" borderId="0" xfId="38" applyNumberFormat="1" applyFont="1"/>
    <xf numFmtId="3" fontId="3" fillId="35" borderId="13" xfId="41" applyNumberFormat="1" applyFont="1" applyFill="1" applyBorder="1" applyAlignment="1">
      <alignment horizontal="center" vertical="center" wrapText="1"/>
    </xf>
    <xf numFmtId="165" fontId="65" fillId="39" borderId="13" xfId="0" applyNumberFormat="1" applyFont="1" applyFill="1" applyBorder="1" applyAlignment="1">
      <alignment vertical="center" wrapText="1"/>
    </xf>
    <xf numFmtId="165" fontId="65" fillId="40" borderId="13" xfId="0" applyNumberFormat="1" applyFont="1" applyFill="1" applyBorder="1" applyAlignment="1">
      <alignment vertical="center" wrapText="1"/>
    </xf>
    <xf numFmtId="165" fontId="65" fillId="24" borderId="13" xfId="0" applyNumberFormat="1" applyFont="1" applyFill="1" applyBorder="1" applyAlignment="1">
      <alignment vertical="center" wrapText="1"/>
    </xf>
    <xf numFmtId="165" fontId="65" fillId="40" borderId="14" xfId="0" applyNumberFormat="1" applyFont="1" applyFill="1" applyBorder="1" applyAlignment="1">
      <alignment vertical="center" wrapText="1"/>
    </xf>
    <xf numFmtId="165" fontId="60" fillId="39" borderId="13" xfId="0" applyNumberFormat="1" applyFont="1" applyFill="1" applyBorder="1" applyAlignment="1">
      <alignment vertical="center" wrapText="1"/>
    </xf>
    <xf numFmtId="165" fontId="65" fillId="0" borderId="13" xfId="0" applyNumberFormat="1" applyFont="1" applyFill="1" applyBorder="1" applyAlignment="1">
      <alignment horizontal="center" vertical="center" wrapText="1"/>
    </xf>
    <xf numFmtId="165" fontId="77" fillId="0" borderId="13" xfId="0" applyNumberFormat="1" applyFont="1" applyFill="1" applyBorder="1" applyAlignment="1">
      <alignment horizontal="center" vertical="center" wrapText="1"/>
    </xf>
    <xf numFmtId="165" fontId="78" fillId="39" borderId="13" xfId="0" applyNumberFormat="1" applyFont="1" applyFill="1" applyBorder="1" applyAlignment="1">
      <alignment vertical="center" wrapText="1"/>
    </xf>
    <xf numFmtId="165" fontId="65" fillId="41" borderId="13" xfId="0" applyNumberFormat="1" applyFont="1" applyFill="1" applyBorder="1" applyAlignment="1">
      <alignment horizontal="center" vertical="center" wrapText="1"/>
    </xf>
    <xf numFmtId="165" fontId="77" fillId="41" borderId="13" xfId="0" applyNumberFormat="1" applyFont="1" applyFill="1" applyBorder="1" applyAlignment="1">
      <alignment horizontal="center" vertical="center" wrapText="1"/>
    </xf>
    <xf numFmtId="165" fontId="60" fillId="39" borderId="17" xfId="0" applyNumberFormat="1" applyFont="1" applyFill="1" applyBorder="1" applyAlignment="1">
      <alignment vertical="center"/>
    </xf>
    <xf numFmtId="165" fontId="60" fillId="35" borderId="17" xfId="0" applyNumberFormat="1" applyFont="1" applyFill="1" applyBorder="1" applyAlignment="1">
      <alignment vertical="center"/>
    </xf>
    <xf numFmtId="165" fontId="65" fillId="40" borderId="17" xfId="0" applyNumberFormat="1" applyFont="1" applyFill="1" applyBorder="1" applyAlignment="1">
      <alignment vertical="center" wrapText="1"/>
    </xf>
    <xf numFmtId="165" fontId="65" fillId="40" borderId="18" xfId="0" applyNumberFormat="1" applyFont="1" applyFill="1" applyBorder="1" applyAlignment="1">
      <alignment vertical="center" wrapText="1"/>
    </xf>
    <xf numFmtId="49" fontId="75" fillId="0" borderId="13" xfId="0" applyNumberFormat="1" applyFont="1" applyFill="1" applyBorder="1" applyAlignment="1">
      <alignment horizontal="left" vertical="center" wrapText="1" indent="1"/>
    </xf>
    <xf numFmtId="49" fontId="72" fillId="0" borderId="13" xfId="0" applyNumberFormat="1" applyFont="1" applyFill="1" applyBorder="1" applyAlignment="1">
      <alignment horizontal="left" vertical="center" wrapText="1" indent="1"/>
    </xf>
    <xf numFmtId="0" fontId="2" fillId="0" borderId="20" xfId="0" applyFont="1" applyFill="1" applyBorder="1" applyAlignment="1">
      <alignment horizontal="center" vertical="center" wrapText="1"/>
    </xf>
    <xf numFmtId="0" fontId="2" fillId="0" borderId="38" xfId="0" applyFont="1" applyBorder="1" applyAlignment="1">
      <alignment horizontal="center" vertical="center" wrapText="1"/>
    </xf>
    <xf numFmtId="3" fontId="3" fillId="35" borderId="38" xfId="0" applyNumberFormat="1" applyFont="1" applyFill="1" applyBorder="1" applyAlignment="1">
      <alignment horizontal="right" vertical="center" wrapText="1" indent="1"/>
    </xf>
    <xf numFmtId="3" fontId="2" fillId="35" borderId="39" xfId="0" applyNumberFormat="1" applyFont="1" applyFill="1" applyBorder="1" applyAlignment="1">
      <alignment horizontal="right" vertical="center" wrapText="1" indent="1"/>
    </xf>
    <xf numFmtId="3" fontId="6" fillId="37" borderId="20" xfId="0" applyNumberFormat="1" applyFont="1" applyFill="1" applyBorder="1" applyAlignment="1">
      <alignment horizontal="right" vertical="center" wrapText="1" indent="1"/>
    </xf>
    <xf numFmtId="49" fontId="74" fillId="0" borderId="13" xfId="0" applyNumberFormat="1" applyFont="1" applyFill="1" applyBorder="1" applyAlignment="1">
      <alignment horizontal="left" vertical="center" wrapText="1" indent="1"/>
    </xf>
    <xf numFmtId="49" fontId="71" fillId="0" borderId="0" xfId="0" applyNumberFormat="1" applyFont="1" applyAlignment="1">
      <alignment horizontal="left" vertical="center"/>
    </xf>
    <xf numFmtId="3" fontId="3" fillId="35" borderId="13" xfId="0" applyNumberFormat="1" applyFont="1" applyFill="1" applyBorder="1" applyAlignment="1">
      <alignment horizontal="center" vertical="center" wrapText="1"/>
    </xf>
    <xf numFmtId="0" fontId="71" fillId="0" borderId="0" xfId="0" applyFont="1"/>
    <xf numFmtId="3" fontId="58" fillId="0" borderId="0" xfId="0" applyNumberFormat="1" applyFont="1"/>
    <xf numFmtId="3" fontId="2" fillId="24" borderId="53" xfId="0" applyNumberFormat="1" applyFont="1" applyFill="1" applyBorder="1" applyAlignment="1">
      <alignment horizontal="right" vertical="center" wrapText="1" indent="1"/>
    </xf>
    <xf numFmtId="3" fontId="2" fillId="24" borderId="64" xfId="0" applyNumberFormat="1" applyFont="1" applyFill="1" applyBorder="1" applyAlignment="1">
      <alignment horizontal="right" vertical="center" wrapText="1" indent="1"/>
    </xf>
    <xf numFmtId="49" fontId="52" fillId="32" borderId="28" xfId="40" applyNumberFormat="1" applyFont="1" applyFill="1" applyBorder="1" applyAlignment="1">
      <alignment horizontal="center"/>
    </xf>
    <xf numFmtId="3" fontId="2" fillId="24" borderId="55" xfId="0" applyNumberFormat="1" applyFont="1" applyFill="1" applyBorder="1" applyAlignment="1">
      <alignment horizontal="right" vertical="center" wrapText="1" indent="1"/>
    </xf>
    <xf numFmtId="3" fontId="2" fillId="24" borderId="43" xfId="0" applyNumberFormat="1" applyFont="1" applyFill="1" applyBorder="1" applyAlignment="1">
      <alignment horizontal="right" vertical="center" wrapText="1" indent="1"/>
    </xf>
    <xf numFmtId="3" fontId="2" fillId="24" borderId="44" xfId="0" applyNumberFormat="1" applyFont="1" applyFill="1" applyBorder="1" applyAlignment="1">
      <alignment horizontal="right" vertical="center" wrapText="1" indent="1"/>
    </xf>
    <xf numFmtId="3" fontId="2" fillId="24" borderId="63" xfId="0" applyNumberFormat="1" applyFont="1" applyFill="1" applyBorder="1" applyAlignment="1">
      <alignment horizontal="right" vertical="center" wrapText="1" indent="1"/>
    </xf>
    <xf numFmtId="49" fontId="7" fillId="0" borderId="0" xfId="0" applyNumberFormat="1" applyFont="1" applyAlignment="1">
      <alignment horizontal="left" vertical="center"/>
    </xf>
    <xf numFmtId="0" fontId="2" fillId="0" borderId="15" xfId="0" applyFont="1" applyBorder="1" applyAlignment="1">
      <alignment horizontal="center" vertical="center" wrapText="1"/>
    </xf>
    <xf numFmtId="49" fontId="2" fillId="0" borderId="13" xfId="0" applyNumberFormat="1" applyFont="1" applyBorder="1" applyAlignment="1">
      <alignment horizontal="left" vertical="center" wrapText="1" inden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0" applyFont="1" applyAlignment="1"/>
    <xf numFmtId="0" fontId="3" fillId="0" borderId="0" xfId="0" applyFont="1" applyAlignment="1">
      <alignment vertical="top"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3" xfId="0" applyNumberFormat="1" applyFont="1" applyFill="1" applyBorder="1" applyAlignment="1">
      <alignment vertical="center" wrapText="1"/>
    </xf>
    <xf numFmtId="49" fontId="76" fillId="0" borderId="13"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49" fontId="7" fillId="0" borderId="13" xfId="0" applyNumberFormat="1" applyFont="1" applyFill="1" applyBorder="1" applyAlignment="1">
      <alignment vertical="center" wrapText="1"/>
    </xf>
    <xf numFmtId="49" fontId="6" fillId="0" borderId="17" xfId="0" applyNumberFormat="1" applyFont="1" applyFill="1" applyBorder="1" applyAlignment="1">
      <alignment vertical="center" wrapText="1"/>
    </xf>
    <xf numFmtId="0" fontId="3" fillId="0" borderId="71" xfId="0" applyFont="1" applyFill="1" applyBorder="1" applyAlignment="1">
      <alignment horizontal="center" vertical="center" wrapText="1"/>
    </xf>
    <xf numFmtId="0" fontId="6" fillId="0" borderId="71" xfId="0" applyFont="1" applyFill="1" applyBorder="1" applyAlignment="1">
      <alignment horizontal="left" vertical="center" wrapText="1" indent="1"/>
    </xf>
    <xf numFmtId="0" fontId="6" fillId="0" borderId="71" xfId="0" applyFont="1" applyFill="1" applyBorder="1" applyAlignment="1">
      <alignment horizontal="center" vertical="center" wrapText="1"/>
    </xf>
    <xf numFmtId="0" fontId="3" fillId="0" borderId="71" xfId="0" applyFont="1" applyFill="1" applyBorder="1" applyAlignment="1">
      <alignment horizontal="right" vertical="center" wrapText="1" indent="1"/>
    </xf>
    <xf numFmtId="49" fontId="83" fillId="0" borderId="52" xfId="38" applyNumberFormat="1" applyFont="1" applyBorder="1"/>
    <xf numFmtId="0" fontId="22" fillId="0" borderId="27" xfId="38" applyFont="1" applyBorder="1"/>
    <xf numFmtId="14" fontId="73" fillId="0" borderId="0" xfId="38" applyNumberFormat="1" applyFont="1" applyAlignment="1">
      <alignment vertical="center" wrapText="1"/>
    </xf>
    <xf numFmtId="0" fontId="73" fillId="0" borderId="0" xfId="38" applyFont="1" applyAlignment="1">
      <alignment vertical="center" wrapText="1"/>
    </xf>
    <xf numFmtId="0" fontId="22" fillId="0" borderId="20" xfId="38" applyFont="1" applyBorder="1" applyAlignment="1">
      <alignment vertical="center"/>
    </xf>
    <xf numFmtId="0" fontId="22" fillId="0" borderId="52" xfId="38" applyFont="1" applyBorder="1" applyAlignment="1">
      <alignment vertical="center"/>
    </xf>
    <xf numFmtId="3" fontId="6" fillId="24" borderId="61" xfId="0" applyNumberFormat="1" applyFont="1" applyFill="1" applyBorder="1" applyAlignment="1">
      <alignment horizontal="right" vertical="center" wrapText="1" indent="1"/>
    </xf>
    <xf numFmtId="0" fontId="2" fillId="0" borderId="57" xfId="0" applyFont="1" applyBorder="1" applyAlignment="1">
      <alignment horizontal="center" vertical="center" wrapText="1"/>
    </xf>
    <xf numFmtId="0" fontId="2" fillId="0" borderId="12" xfId="0" applyFont="1" applyBorder="1" applyAlignment="1">
      <alignment horizontal="center" vertical="center" wrapText="1"/>
    </xf>
    <xf numFmtId="3" fontId="6" fillId="24" borderId="72" xfId="0" applyNumberFormat="1" applyFont="1" applyFill="1" applyBorder="1" applyAlignment="1">
      <alignment horizontal="right" vertical="center" wrapText="1" indent="1"/>
    </xf>
    <xf numFmtId="4" fontId="3" fillId="0" borderId="0" xfId="0" applyNumberFormat="1" applyFont="1" applyFill="1" applyAlignment="1">
      <alignment horizontal="right" vertical="center" indent="1"/>
    </xf>
    <xf numFmtId="49" fontId="73" fillId="0" borderId="0" xfId="0" applyNumberFormat="1" applyFont="1" applyBorder="1" applyAlignment="1">
      <alignment horizontal="left" vertical="center" wrapText="1" indent="1"/>
    </xf>
    <xf numFmtId="0" fontId="62" fillId="0" borderId="0" xfId="0" applyFont="1"/>
    <xf numFmtId="0" fontId="84" fillId="0" borderId="0" xfId="0" applyFont="1"/>
    <xf numFmtId="3" fontId="22" fillId="0" borderId="0" xfId="43" applyNumberFormat="1" applyFont="1" applyBorder="1" applyAlignment="1">
      <alignment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3" xfId="0" applyFont="1" applyFill="1" applyBorder="1" applyAlignment="1">
      <alignment horizontal="center" vertical="center" wrapText="1"/>
    </xf>
    <xf numFmtId="4" fontId="6" fillId="24" borderId="17" xfId="0" applyNumberFormat="1" applyFont="1" applyFill="1" applyBorder="1" applyAlignment="1">
      <alignment horizontal="right" vertical="center" wrapText="1" indent="1"/>
    </xf>
    <xf numFmtId="0" fontId="7" fillId="0" borderId="0" xfId="0" applyFont="1" applyFill="1" applyAlignment="1">
      <alignment vertical="center" wrapText="1"/>
    </xf>
    <xf numFmtId="0" fontId="6" fillId="0" borderId="13" xfId="38" applyFont="1" applyBorder="1" applyAlignment="1">
      <alignment horizontal="center" vertical="center" wrapText="1"/>
    </xf>
    <xf numFmtId="0" fontId="6" fillId="0" borderId="13" xfId="38" applyFont="1" applyBorder="1" applyAlignment="1">
      <alignment horizontal="left" vertical="center" wrapText="1" indent="1"/>
    </xf>
    <xf numFmtId="0" fontId="6" fillId="0" borderId="14" xfId="38" applyFont="1" applyBorder="1" applyAlignment="1">
      <alignment horizontal="center" vertical="center" wrapText="1"/>
    </xf>
    <xf numFmtId="3" fontId="6" fillId="24" borderId="14" xfId="38" applyNumberFormat="1" applyFont="1" applyFill="1" applyBorder="1" applyAlignment="1">
      <alignment horizontal="right" vertical="center" wrapText="1" indent="1"/>
    </xf>
    <xf numFmtId="3" fontId="3" fillId="35" borderId="14" xfId="38" applyNumberFormat="1" applyFont="1" applyFill="1" applyBorder="1" applyAlignment="1">
      <alignment horizontal="right" vertical="center" wrapText="1" indent="1"/>
    </xf>
    <xf numFmtId="0" fontId="3" fillId="0" borderId="16" xfId="38" applyFont="1" applyBorder="1" applyAlignment="1">
      <alignment horizontal="center" vertical="center" wrapText="1"/>
    </xf>
    <xf numFmtId="0" fontId="6" fillId="0" borderId="17" xfId="38" applyFont="1" applyBorder="1" applyAlignment="1">
      <alignment horizontal="left" vertical="center" wrapText="1" indent="1"/>
    </xf>
    <xf numFmtId="3" fontId="3" fillId="35" borderId="17" xfId="38" applyNumberFormat="1" applyFont="1" applyFill="1" applyBorder="1" applyAlignment="1">
      <alignment horizontal="right" vertical="center" wrapText="1" indent="1"/>
    </xf>
    <xf numFmtId="3" fontId="3" fillId="35" borderId="18" xfId="38" applyNumberFormat="1" applyFont="1" applyFill="1" applyBorder="1" applyAlignment="1">
      <alignment horizontal="right" vertical="center" wrapText="1" indent="1"/>
    </xf>
    <xf numFmtId="0" fontId="87" fillId="0" borderId="13" xfId="0" applyFont="1" applyFill="1" applyBorder="1" applyAlignment="1">
      <alignment horizontal="center" vertical="center" wrapText="1"/>
    </xf>
    <xf numFmtId="0" fontId="87" fillId="0" borderId="14" xfId="0" applyFont="1" applyFill="1" applyBorder="1" applyAlignment="1">
      <alignment horizontal="center" vertical="center" wrapText="1"/>
    </xf>
    <xf numFmtId="0" fontId="70" fillId="0" borderId="13" xfId="39" applyFont="1" applyBorder="1" applyAlignment="1">
      <alignment horizontal="center" vertical="center"/>
    </xf>
    <xf numFmtId="0" fontId="70" fillId="0" borderId="13" xfId="39" applyFont="1" applyBorder="1" applyAlignment="1">
      <alignment vertical="center"/>
    </xf>
    <xf numFmtId="0" fontId="70" fillId="0" borderId="23" xfId="39" applyFont="1" applyBorder="1" applyAlignment="1">
      <alignment horizontal="center" vertical="center" wrapText="1"/>
    </xf>
    <xf numFmtId="0" fontId="70" fillId="0" borderId="25" xfId="39" applyFont="1" applyBorder="1" applyAlignment="1">
      <alignment horizontal="center" vertical="center"/>
    </xf>
    <xf numFmtId="0" fontId="70" fillId="0" borderId="25" xfId="39" applyFont="1" applyBorder="1" applyAlignment="1">
      <alignment horizontal="center" vertical="center" wrapText="1"/>
    </xf>
    <xf numFmtId="0" fontId="70" fillId="0" borderId="24" xfId="39" applyFont="1" applyBorder="1" applyAlignment="1">
      <alignment horizontal="center" vertical="center" wrapText="1"/>
    </xf>
    <xf numFmtId="0" fontId="70" fillId="0" borderId="15" xfId="39" applyFont="1" applyBorder="1" applyAlignment="1">
      <alignment vertical="center"/>
    </xf>
    <xf numFmtId="0" fontId="70" fillId="0" borderId="14" xfId="39" applyFont="1" applyBorder="1" applyAlignment="1">
      <alignment horizontal="center" vertical="center"/>
    </xf>
    <xf numFmtId="0" fontId="70" fillId="0" borderId="17" xfId="39" applyFont="1" applyBorder="1" applyAlignment="1">
      <alignment horizontal="left" vertical="center" indent="1"/>
    </xf>
    <xf numFmtId="0" fontId="72" fillId="0" borderId="22" xfId="39" applyFont="1" applyBorder="1" applyAlignment="1">
      <alignment horizontal="center" vertical="center"/>
    </xf>
    <xf numFmtId="0" fontId="70" fillId="0" borderId="29" xfId="39" applyFont="1" applyBorder="1" applyAlignment="1">
      <alignment horizontal="left" vertical="center" indent="1"/>
    </xf>
    <xf numFmtId="0" fontId="72" fillId="0" borderId="77" xfId="39" applyFont="1" applyBorder="1" applyAlignment="1">
      <alignment horizontal="center" vertical="center"/>
    </xf>
    <xf numFmtId="0" fontId="70" fillId="0" borderId="78" xfId="39" applyFont="1" applyBorder="1" applyAlignment="1">
      <alignment horizontal="left" vertical="center" indent="1"/>
    </xf>
    <xf numFmtId="0" fontId="69" fillId="0" borderId="0" xfId="39" applyBorder="1" applyAlignment="1">
      <alignment horizontal="center" vertical="center" wrapText="1"/>
    </xf>
    <xf numFmtId="166" fontId="6" fillId="24" borderId="72" xfId="0" applyNumberFormat="1" applyFont="1" applyFill="1" applyBorder="1" applyAlignment="1">
      <alignment horizontal="right" vertical="center" wrapText="1" indent="1"/>
    </xf>
    <xf numFmtId="3" fontId="6" fillId="35" borderId="81" xfId="0" applyNumberFormat="1" applyFont="1" applyFill="1" applyBorder="1" applyAlignment="1">
      <alignment horizontal="right" vertical="center" wrapText="1" indent="1"/>
    </xf>
    <xf numFmtId="165" fontId="6" fillId="24" borderId="80" xfId="0" applyNumberFormat="1" applyFont="1" applyFill="1" applyBorder="1" applyAlignment="1">
      <alignment horizontal="right" vertical="center" wrapText="1" indent="1"/>
    </xf>
    <xf numFmtId="166" fontId="6" fillId="24" borderId="51" xfId="0" applyNumberFormat="1" applyFont="1" applyFill="1" applyBorder="1" applyAlignment="1">
      <alignment horizontal="right" vertical="center" wrapText="1" indent="1"/>
    </xf>
    <xf numFmtId="0" fontId="69" fillId="0" borderId="0" xfId="39" applyFill="1"/>
    <xf numFmtId="0" fontId="69" fillId="0" borderId="0" xfId="39" applyAlignment="1">
      <alignment horizontal="center" vertical="center"/>
    </xf>
    <xf numFmtId="0" fontId="3" fillId="0" borderId="13" xfId="0" applyFont="1" applyBorder="1" applyAlignment="1">
      <alignment vertical="center" wrapText="1"/>
    </xf>
    <xf numFmtId="0" fontId="3" fillId="0" borderId="24"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8" xfId="0" applyFont="1" applyBorder="1" applyAlignment="1">
      <alignment vertical="center" wrapText="1"/>
    </xf>
    <xf numFmtId="0" fontId="3" fillId="43" borderId="0" xfId="0" applyFont="1" applyFill="1" applyAlignment="1">
      <alignment vertical="center" wrapText="1"/>
    </xf>
    <xf numFmtId="0" fontId="73" fillId="0" borderId="0" xfId="0" applyFont="1" applyAlignment="1">
      <alignment horizontal="center"/>
    </xf>
    <xf numFmtId="0" fontId="3" fillId="0" borderId="0" xfId="38" applyFont="1" applyBorder="1" applyAlignment="1">
      <alignment vertical="center" wrapText="1"/>
    </xf>
    <xf numFmtId="0" fontId="84" fillId="0" borderId="0" xfId="38" applyFont="1" applyBorder="1" applyAlignment="1">
      <alignment vertical="center"/>
    </xf>
    <xf numFmtId="0" fontId="3" fillId="0" borderId="21" xfId="41" applyFont="1" applyBorder="1" applyAlignment="1">
      <alignment horizontal="center" vertical="center" wrapText="1"/>
    </xf>
    <xf numFmtId="2" fontId="69" fillId="0" borderId="0" xfId="39" applyNumberFormat="1" applyAlignment="1"/>
    <xf numFmtId="0" fontId="2"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0" xfId="0" applyFont="1" applyFill="1" applyBorder="1" applyAlignment="1">
      <alignment horizontal="left" vertical="center" wrapText="1" indent="1"/>
    </xf>
    <xf numFmtId="49" fontId="6" fillId="0" borderId="13" xfId="0" applyNumberFormat="1" applyFont="1" applyFill="1" applyBorder="1" applyAlignment="1">
      <alignment horizontal="left" vertical="center" indent="1"/>
    </xf>
    <xf numFmtId="49" fontId="6" fillId="37" borderId="13" xfId="0" applyNumberFormat="1" applyFont="1" applyFill="1" applyBorder="1" applyAlignment="1">
      <alignment horizontal="left" vertical="center" indent="1"/>
    </xf>
    <xf numFmtId="49" fontId="7" fillId="0" borderId="19" xfId="0" applyNumberFormat="1" applyFont="1" applyFill="1" applyBorder="1" applyAlignment="1">
      <alignment horizontal="left" vertical="center" wrapText="1" indent="1"/>
    </xf>
    <xf numFmtId="1" fontId="6" fillId="24" borderId="14" xfId="0" applyNumberFormat="1" applyFont="1" applyFill="1" applyBorder="1" applyAlignment="1">
      <alignment horizontal="right" vertical="center" wrapText="1" indent="1"/>
    </xf>
    <xf numFmtId="3" fontId="75" fillId="35" borderId="13" xfId="0" applyNumberFormat="1" applyFont="1" applyFill="1" applyBorder="1" applyAlignment="1">
      <alignment horizontal="right" vertical="center" wrapText="1" indent="1"/>
    </xf>
    <xf numFmtId="3" fontId="74" fillId="24" borderId="72" xfId="0" applyNumberFormat="1" applyFont="1" applyFill="1" applyBorder="1" applyAlignment="1">
      <alignment horizontal="right" vertical="center" wrapText="1" indent="1"/>
    </xf>
    <xf numFmtId="0" fontId="75" fillId="43" borderId="0" xfId="0" applyFont="1" applyFill="1" applyAlignment="1">
      <alignment vertical="center" wrapText="1"/>
    </xf>
    <xf numFmtId="0" fontId="74" fillId="0" borderId="0" xfId="0" applyFont="1" applyBorder="1" applyAlignment="1">
      <alignment vertical="center" wrapText="1"/>
    </xf>
    <xf numFmtId="0" fontId="75" fillId="0" borderId="0" xfId="0" applyFont="1" applyAlignment="1">
      <alignment vertical="center" wrapText="1"/>
    </xf>
    <xf numFmtId="0" fontId="74" fillId="0" borderId="0" xfId="0" applyFont="1" applyAlignment="1">
      <alignment horizontal="center" vertical="center"/>
    </xf>
    <xf numFmtId="0" fontId="74" fillId="0" borderId="0" xfId="0" applyFont="1" applyAlignment="1">
      <alignment vertical="center" wrapText="1"/>
    </xf>
    <xf numFmtId="3" fontId="74" fillId="24" borderId="13" xfId="0" applyNumberFormat="1" applyFont="1" applyFill="1" applyBorder="1" applyAlignment="1">
      <alignment horizontal="right" vertical="center" wrapText="1" indent="1"/>
    </xf>
    <xf numFmtId="3" fontId="6" fillId="0" borderId="22" xfId="42" applyNumberFormat="1" applyFont="1" applyFill="1" applyBorder="1" applyAlignment="1">
      <alignment horizontal="center" vertical="center" wrapText="1"/>
    </xf>
    <xf numFmtId="0" fontId="6" fillId="0" borderId="29" xfId="42" applyNumberFormat="1" applyFont="1" applyFill="1" applyBorder="1" applyAlignment="1">
      <alignment horizontal="center" vertical="center" wrapText="1"/>
    </xf>
    <xf numFmtId="0" fontId="6" fillId="37" borderId="29" xfId="42" applyFont="1" applyFill="1" applyBorder="1" applyAlignment="1">
      <alignment horizontal="center" vertical="center" wrapText="1"/>
    </xf>
    <xf numFmtId="0" fontId="6" fillId="37" borderId="34" xfId="42" applyFont="1" applyFill="1" applyBorder="1" applyAlignment="1">
      <alignment horizontal="center" vertical="center" wrapText="1"/>
    </xf>
    <xf numFmtId="3" fontId="6" fillId="0" borderId="30" xfId="42" applyNumberFormat="1" applyFont="1" applyFill="1" applyBorder="1" applyAlignment="1">
      <alignment horizontal="center" vertical="center" wrapText="1"/>
    </xf>
    <xf numFmtId="0" fontId="6" fillId="0" borderId="30" xfId="42" applyNumberFormat="1" applyFont="1" applyFill="1" applyBorder="1" applyAlignment="1">
      <alignment horizontal="center" vertical="center" wrapText="1"/>
    </xf>
    <xf numFmtId="0" fontId="6" fillId="0" borderId="82" xfId="42" applyNumberFormat="1" applyFont="1" applyFill="1" applyBorder="1" applyAlignment="1">
      <alignment horizontal="center" vertical="center" wrapText="1"/>
    </xf>
    <xf numFmtId="0" fontId="6" fillId="37" borderId="31" xfId="42" applyFont="1" applyFill="1" applyBorder="1" applyAlignment="1">
      <alignment horizontal="center" vertical="center" wrapText="1"/>
    </xf>
    <xf numFmtId="0" fontId="6" fillId="37" borderId="53" xfId="42" applyFont="1" applyFill="1" applyBorder="1" applyAlignment="1">
      <alignment horizontal="center" vertical="center" wrapText="1"/>
    </xf>
    <xf numFmtId="0" fontId="6" fillId="37" borderId="63" xfId="42" applyFont="1" applyFill="1" applyBorder="1" applyAlignment="1">
      <alignment horizontal="center" vertical="center" wrapText="1"/>
    </xf>
    <xf numFmtId="3" fontId="6" fillId="0" borderId="29" xfId="42" applyNumberFormat="1" applyFont="1" applyFill="1" applyBorder="1" applyAlignment="1">
      <alignment horizontal="center" vertical="center" wrapText="1"/>
    </xf>
    <xf numFmtId="0" fontId="73" fillId="0" borderId="0" xfId="0" applyFont="1" applyBorder="1"/>
    <xf numFmtId="0" fontId="71" fillId="0" borderId="0" xfId="0" applyFont="1" applyBorder="1"/>
    <xf numFmtId="0" fontId="71" fillId="0" borderId="0" xfId="0" applyFont="1" applyBorder="1" applyAlignment="1">
      <alignment horizontal="left" vertical="center"/>
    </xf>
    <xf numFmtId="3" fontId="3" fillId="0" borderId="0" xfId="0" applyNumberFormat="1" applyFont="1" applyFill="1" applyBorder="1"/>
    <xf numFmtId="4" fontId="7" fillId="0" borderId="0" xfId="43" applyNumberFormat="1" applyFont="1" applyBorder="1" applyAlignment="1">
      <alignment vertical="center" wrapText="1"/>
    </xf>
    <xf numFmtId="0" fontId="92" fillId="0" borderId="0" xfId="0" applyFont="1" applyAlignment="1">
      <alignment vertical="center"/>
    </xf>
    <xf numFmtId="0" fontId="88" fillId="0" borderId="0" xfId="0" applyFont="1" applyBorder="1" applyAlignment="1">
      <alignment horizontal="right"/>
    </xf>
    <xf numFmtId="49" fontId="84" fillId="0" borderId="0" xfId="0" applyNumberFormat="1" applyFont="1" applyBorder="1"/>
    <xf numFmtId="0" fontId="73" fillId="0" borderId="0" xfId="0" applyFont="1" applyBorder="1" applyAlignment="1">
      <alignment horizontal="right" vertical="center" wrapText="1"/>
    </xf>
    <xf numFmtId="49" fontId="73" fillId="0" borderId="0" xfId="0" applyNumberFormat="1" applyFont="1" applyBorder="1" applyAlignment="1">
      <alignment vertical="center"/>
    </xf>
    <xf numFmtId="0" fontId="70" fillId="0" borderId="13" xfId="0" applyFont="1" applyBorder="1" applyAlignment="1">
      <alignment horizontal="left" vertical="center" wrapText="1" indent="1"/>
    </xf>
    <xf numFmtId="49" fontId="72" fillId="0" borderId="13" xfId="0" applyNumberFormat="1" applyFont="1" applyBorder="1" applyAlignment="1">
      <alignment horizontal="left" vertical="center" wrapText="1" indent="1"/>
    </xf>
    <xf numFmtId="49" fontId="70" fillId="0" borderId="13" xfId="0" applyNumberFormat="1" applyFont="1" applyBorder="1" applyAlignment="1">
      <alignment horizontal="left" vertical="center" wrapText="1" indent="1"/>
    </xf>
    <xf numFmtId="0" fontId="70" fillId="0" borderId="27" xfId="0" applyFont="1" applyBorder="1" applyAlignment="1">
      <alignment horizontal="left" vertical="center" wrapText="1" indent="1"/>
    </xf>
    <xf numFmtId="0" fontId="70" fillId="0" borderId="75" xfId="0" applyFont="1" applyBorder="1" applyAlignment="1">
      <alignment horizontal="left" vertical="center" wrapText="1" indent="1"/>
    </xf>
    <xf numFmtId="0" fontId="75" fillId="0" borderId="0" xfId="0" applyFont="1" applyBorder="1" applyAlignment="1">
      <alignment horizontal="right"/>
    </xf>
    <xf numFmtId="49" fontId="75" fillId="0" borderId="0" xfId="0" applyNumberFormat="1" applyFont="1" applyBorder="1"/>
    <xf numFmtId="49" fontId="70" fillId="0" borderId="13" xfId="41" applyNumberFormat="1" applyFont="1" applyBorder="1" applyAlignment="1">
      <alignment horizontal="left" vertical="center" wrapText="1" indent="1"/>
    </xf>
    <xf numFmtId="49" fontId="72" fillId="0" borderId="13" xfId="41" applyNumberFormat="1" applyFont="1" applyBorder="1" applyAlignment="1">
      <alignment horizontal="left" vertical="center" wrapText="1" indent="1"/>
    </xf>
    <xf numFmtId="49" fontId="72" fillId="0" borderId="19" xfId="0" applyNumberFormat="1" applyFont="1" applyBorder="1" applyAlignment="1">
      <alignment horizontal="left" vertical="center" wrapText="1" indent="1"/>
    </xf>
    <xf numFmtId="49" fontId="70" fillId="0" borderId="19" xfId="0" applyNumberFormat="1" applyFont="1" applyBorder="1" applyAlignment="1">
      <alignment horizontal="left" vertical="center" wrapText="1" indent="1"/>
    </xf>
    <xf numFmtId="0" fontId="70" fillId="0" borderId="17" xfId="0" applyFont="1" applyFill="1" applyBorder="1" applyAlignment="1">
      <alignment horizontal="left" vertical="center" wrapText="1" indent="1"/>
    </xf>
    <xf numFmtId="0" fontId="87" fillId="0" borderId="13" xfId="40" applyFont="1" applyBorder="1"/>
    <xf numFmtId="0" fontId="3" fillId="0" borderId="61" xfId="0" applyFont="1" applyBorder="1" applyAlignment="1">
      <alignment horizontal="center" vertical="center" wrapText="1"/>
    </xf>
    <xf numFmtId="0" fontId="3" fillId="0" borderId="61" xfId="0" applyFont="1" applyBorder="1" applyAlignment="1">
      <alignment vertical="center" wrapText="1"/>
    </xf>
    <xf numFmtId="0" fontId="3" fillId="0" borderId="38" xfId="0" applyFont="1" applyBorder="1" applyAlignment="1">
      <alignment vertical="center" wrapText="1"/>
    </xf>
    <xf numFmtId="0" fontId="3" fillId="0" borderId="38" xfId="0" applyFont="1" applyBorder="1" applyAlignment="1">
      <alignment horizontal="center" vertical="center" wrapText="1"/>
    </xf>
    <xf numFmtId="0" fontId="70" fillId="0" borderId="62" xfId="0" applyFont="1"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86" fillId="44" borderId="57" xfId="0" applyFont="1" applyFill="1" applyBorder="1" applyAlignment="1">
      <alignment horizontal="center" vertical="center" wrapText="1"/>
    </xf>
    <xf numFmtId="3" fontId="86" fillId="44" borderId="43" xfId="0" applyNumberFormat="1" applyFont="1" applyFill="1" applyBorder="1" applyAlignment="1">
      <alignment horizontal="right" vertical="center" wrapText="1" indent="1"/>
    </xf>
    <xf numFmtId="3" fontId="86" fillId="44" borderId="56" xfId="0" applyNumberFormat="1" applyFont="1" applyFill="1" applyBorder="1" applyAlignment="1">
      <alignment horizontal="right" vertical="center" wrapText="1" indent="1"/>
    </xf>
    <xf numFmtId="0" fontId="86" fillId="44" borderId="42" xfId="0" applyFont="1" applyFill="1" applyBorder="1" applyAlignment="1">
      <alignment horizontal="center" vertical="center" wrapText="1"/>
    </xf>
    <xf numFmtId="0" fontId="7" fillId="0" borderId="29" xfId="38" applyFont="1" applyBorder="1" applyAlignment="1">
      <alignment horizontal="center" vertical="center" wrapText="1"/>
    </xf>
    <xf numFmtId="0" fontId="7" fillId="0" borderId="34" xfId="38" applyFont="1" applyBorder="1" applyAlignment="1">
      <alignment horizontal="center" vertical="center" wrapText="1"/>
    </xf>
    <xf numFmtId="49" fontId="70" fillId="0" borderId="13" xfId="0" applyNumberFormat="1" applyFont="1" applyFill="1" applyBorder="1" applyAlignment="1">
      <alignment horizontal="left" vertical="center" wrapText="1" indent="1"/>
    </xf>
    <xf numFmtId="49" fontId="98" fillId="0" borderId="17" xfId="0" applyNumberFormat="1" applyFont="1" applyFill="1" applyBorder="1" applyAlignment="1">
      <alignment horizontal="left" vertical="center" wrapText="1" indent="1"/>
    </xf>
    <xf numFmtId="0" fontId="79" fillId="0" borderId="0" xfId="0" applyFont="1" applyFill="1" applyAlignment="1">
      <alignment horizontal="left" vertical="center" wrapText="1"/>
    </xf>
    <xf numFmtId="0" fontId="99" fillId="0" borderId="0" xfId="0" applyFont="1" applyAlignment="1">
      <alignment vertical="center"/>
    </xf>
    <xf numFmtId="0" fontId="22" fillId="0" borderId="0" xfId="0" applyFont="1" applyAlignment="1">
      <alignment vertical="center" wrapText="1"/>
    </xf>
    <xf numFmtId="49" fontId="22" fillId="0" borderId="0" xfId="0" applyNumberFormat="1" applyFont="1" applyAlignment="1">
      <alignment horizontal="left" vertical="center" wrapText="1" indent="1"/>
    </xf>
    <xf numFmtId="0" fontId="7" fillId="0" borderId="21" xfId="0" applyFont="1" applyBorder="1" applyAlignment="1">
      <alignment horizontal="center" vertical="center" wrapText="1"/>
    </xf>
    <xf numFmtId="49" fontId="3" fillId="42" borderId="13" xfId="0" applyNumberFormat="1" applyFont="1" applyFill="1" applyBorder="1" applyAlignment="1">
      <alignment horizontal="left" vertical="top" wrapText="1" indent="1"/>
    </xf>
    <xf numFmtId="49" fontId="7" fillId="46" borderId="13" xfId="0" applyNumberFormat="1" applyFont="1" applyFill="1" applyBorder="1" applyAlignment="1">
      <alignment horizontal="left" vertical="center" wrapText="1" indent="1"/>
    </xf>
    <xf numFmtId="49" fontId="7" fillId="38" borderId="13" xfId="0" applyNumberFormat="1" applyFont="1" applyFill="1" applyBorder="1" applyAlignment="1">
      <alignment horizontal="left" vertical="center" wrapText="1" indent="1"/>
    </xf>
    <xf numFmtId="0" fontId="6" fillId="0" borderId="19" xfId="41" applyFont="1" applyBorder="1" applyAlignment="1">
      <alignment horizontal="left" vertical="top" wrapText="1" indent="1"/>
    </xf>
    <xf numFmtId="3" fontId="6" fillId="47" borderId="13" xfId="41" applyNumberFormat="1" applyFont="1" applyFill="1" applyBorder="1" applyAlignment="1">
      <alignment horizontal="right" vertical="center" wrapText="1" indent="1"/>
    </xf>
    <xf numFmtId="3" fontId="6" fillId="47" borderId="14" xfId="41" applyNumberFormat="1" applyFont="1" applyFill="1" applyBorder="1" applyAlignment="1">
      <alignment horizontal="center" vertical="center" wrapText="1"/>
    </xf>
    <xf numFmtId="3" fontId="6" fillId="47" borderId="13" xfId="41" applyNumberFormat="1" applyFont="1" applyFill="1" applyBorder="1" applyAlignment="1">
      <alignment horizontal="center" vertical="center" wrapText="1"/>
    </xf>
    <xf numFmtId="3" fontId="6" fillId="47" borderId="14" xfId="41" applyNumberFormat="1" applyFont="1" applyFill="1" applyBorder="1" applyAlignment="1">
      <alignment horizontal="right" vertical="center" wrapText="1" indent="1"/>
    </xf>
    <xf numFmtId="0" fontId="102" fillId="0" borderId="0" xfId="0" applyFont="1" applyAlignment="1">
      <alignment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38" applyFont="1" applyFill="1" applyBorder="1" applyAlignment="1">
      <alignment vertical="center" wrapText="1"/>
    </xf>
    <xf numFmtId="0" fontId="84" fillId="0" borderId="0" xfId="38" applyFont="1" applyFill="1" applyBorder="1" applyAlignment="1">
      <alignment vertical="center"/>
    </xf>
    <xf numFmtId="0" fontId="3" fillId="0" borderId="13" xfId="41" applyFont="1" applyBorder="1" applyAlignment="1">
      <alignment horizontal="left" vertical="top" wrapText="1" indent="1"/>
    </xf>
    <xf numFmtId="0" fontId="2" fillId="0" borderId="13"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88" fillId="0" borderId="0" xfId="88" applyFont="1"/>
    <xf numFmtId="0" fontId="88" fillId="0" borderId="0" xfId="0" applyFont="1"/>
    <xf numFmtId="0" fontId="92" fillId="0" borderId="0" xfId="88" applyFont="1"/>
    <xf numFmtId="0" fontId="3" fillId="0" borderId="0" xfId="88" applyFont="1"/>
    <xf numFmtId="0" fontId="60" fillId="0" borderId="0" xfId="88" applyFont="1"/>
    <xf numFmtId="0" fontId="65" fillId="0" borderId="0" xfId="88" applyFont="1"/>
    <xf numFmtId="0" fontId="2" fillId="0" borderId="0" xfId="88" applyFont="1"/>
    <xf numFmtId="0" fontId="2" fillId="0" borderId="13" xfId="88" applyFont="1" applyBorder="1" applyAlignment="1">
      <alignment horizontal="center" vertical="center" wrapText="1"/>
    </xf>
    <xf numFmtId="0" fontId="2" fillId="0" borderId="14" xfId="88" applyFont="1" applyBorder="1" applyAlignment="1">
      <alignment horizontal="center" vertical="center" wrapText="1"/>
    </xf>
    <xf numFmtId="0" fontId="3" fillId="0" borderId="15" xfId="88" applyFont="1" applyBorder="1" applyAlignment="1">
      <alignment horizontal="center" vertical="center"/>
    </xf>
    <xf numFmtId="49" fontId="74" fillId="0" borderId="13" xfId="88" applyNumberFormat="1" applyFont="1" applyFill="1" applyBorder="1" applyAlignment="1">
      <alignment horizontal="left" vertical="top" wrapText="1"/>
    </xf>
    <xf numFmtId="3" fontId="6" fillId="0" borderId="13" xfId="88" applyNumberFormat="1" applyFont="1" applyFill="1" applyBorder="1" applyAlignment="1">
      <alignment horizontal="center" vertical="center" wrapText="1"/>
    </xf>
    <xf numFmtId="3" fontId="6" fillId="0" borderId="14" xfId="88" applyNumberFormat="1" applyFont="1" applyFill="1" applyBorder="1" applyAlignment="1">
      <alignment horizontal="center" vertical="center" wrapText="1"/>
    </xf>
    <xf numFmtId="49" fontId="74" fillId="0" borderId="13" xfId="88" applyNumberFormat="1" applyFont="1" applyFill="1" applyBorder="1" applyAlignment="1">
      <alignment horizontal="left" vertical="top" wrapText="1" indent="1"/>
    </xf>
    <xf numFmtId="3" fontId="6" fillId="24" borderId="13" xfId="88" applyNumberFormat="1" applyFont="1" applyFill="1" applyBorder="1" applyAlignment="1">
      <alignment horizontal="right" vertical="center" wrapText="1" indent="1"/>
    </xf>
    <xf numFmtId="3" fontId="6" fillId="24" borderId="14" xfId="88" applyNumberFormat="1" applyFont="1" applyFill="1" applyBorder="1" applyAlignment="1">
      <alignment horizontal="right" vertical="center" wrapText="1" indent="1"/>
    </xf>
    <xf numFmtId="49" fontId="75" fillId="0" borderId="13" xfId="88" applyNumberFormat="1" applyFont="1" applyFill="1" applyBorder="1" applyAlignment="1">
      <alignment horizontal="left" vertical="top" wrapText="1" indent="1"/>
    </xf>
    <xf numFmtId="3" fontId="7" fillId="24" borderId="13" xfId="88" applyNumberFormat="1" applyFont="1" applyFill="1" applyBorder="1" applyAlignment="1">
      <alignment horizontal="right" vertical="center" wrapText="1" indent="1"/>
    </xf>
    <xf numFmtId="3" fontId="7" fillId="24" borderId="14" xfId="88" applyNumberFormat="1" applyFont="1" applyFill="1" applyBorder="1" applyAlignment="1">
      <alignment horizontal="right" vertical="center" wrapText="1" indent="1"/>
    </xf>
    <xf numFmtId="49" fontId="75" fillId="0" borderId="13" xfId="88" applyNumberFormat="1" applyFont="1" applyFill="1" applyBorder="1" applyAlignment="1">
      <alignment horizontal="left" wrapText="1" indent="1"/>
    </xf>
    <xf numFmtId="49" fontId="75" fillId="0" borderId="13" xfId="88" applyNumberFormat="1" applyFont="1" applyFill="1" applyBorder="1" applyAlignment="1">
      <alignment horizontal="left" vertical="center" wrapText="1" indent="1"/>
    </xf>
    <xf numFmtId="0" fontId="105" fillId="0" borderId="0" xfId="88" applyFont="1"/>
    <xf numFmtId="3" fontId="2" fillId="0" borderId="13" xfId="88" applyNumberFormat="1" applyFont="1" applyFill="1" applyBorder="1" applyAlignment="1">
      <alignment horizontal="center" vertical="center" wrapText="1"/>
    </xf>
    <xf numFmtId="3" fontId="3" fillId="0" borderId="13" xfId="88" applyNumberFormat="1" applyFont="1" applyFill="1" applyBorder="1" applyAlignment="1">
      <alignment horizontal="right" vertical="center" wrapText="1" indent="1"/>
    </xf>
    <xf numFmtId="3" fontId="3" fillId="0" borderId="14" xfId="88" applyNumberFormat="1" applyFont="1" applyFill="1" applyBorder="1" applyAlignment="1">
      <alignment horizontal="right" vertical="center" wrapText="1" indent="1"/>
    </xf>
    <xf numFmtId="49" fontId="75" fillId="0" borderId="13" xfId="88" applyNumberFormat="1" applyFont="1" applyFill="1" applyBorder="1" applyAlignment="1">
      <alignment horizontal="left" vertical="center" wrapText="1"/>
    </xf>
    <xf numFmtId="0" fontId="60" fillId="0" borderId="0" xfId="88" applyFont="1" applyAlignment="1">
      <alignment vertical="center"/>
    </xf>
    <xf numFmtId="0" fontId="3" fillId="0" borderId="0" xfId="88" applyFont="1" applyAlignment="1">
      <alignment vertical="center"/>
    </xf>
    <xf numFmtId="0" fontId="92" fillId="0" borderId="0" xfId="88" applyFont="1" applyFill="1"/>
    <xf numFmtId="0" fontId="73" fillId="0" borderId="0" xfId="88" applyFont="1" applyFill="1"/>
    <xf numFmtId="0" fontId="73" fillId="0" borderId="0" xfId="88" applyFont="1"/>
    <xf numFmtId="0" fontId="3" fillId="0" borderId="15" xfId="88" applyFont="1" applyFill="1" applyBorder="1" applyAlignment="1">
      <alignment horizontal="center" vertical="center"/>
    </xf>
    <xf numFmtId="49" fontId="75" fillId="36" borderId="13" xfId="88" applyNumberFormat="1" applyFont="1" applyFill="1" applyBorder="1" applyAlignment="1">
      <alignment horizontal="left" vertical="top" wrapText="1" indent="1"/>
    </xf>
    <xf numFmtId="49" fontId="75" fillId="0" borderId="13" xfId="88" applyNumberFormat="1" applyFont="1" applyFill="1" applyBorder="1" applyAlignment="1" applyProtection="1">
      <alignment horizontal="left" vertical="top" wrapText="1" indent="1"/>
      <protection locked="0"/>
    </xf>
    <xf numFmtId="0" fontId="93" fillId="0" borderId="0" xfId="88" applyFont="1"/>
    <xf numFmtId="49" fontId="74" fillId="0" borderId="17" xfId="88" applyNumberFormat="1" applyFont="1" applyFill="1" applyBorder="1" applyAlignment="1">
      <alignment horizontal="left" vertical="top" wrapText="1" indent="1"/>
    </xf>
    <xf numFmtId="3" fontId="6" fillId="24" borderId="17" xfId="88" applyNumberFormat="1" applyFont="1" applyFill="1" applyBorder="1" applyAlignment="1">
      <alignment horizontal="right" vertical="center" wrapText="1" indent="1"/>
    </xf>
    <xf numFmtId="3" fontId="6" fillId="24" borderId="18" xfId="88" applyNumberFormat="1" applyFont="1" applyFill="1" applyBorder="1" applyAlignment="1">
      <alignment horizontal="right" vertical="center" wrapText="1" indent="1"/>
    </xf>
    <xf numFmtId="0" fontId="92" fillId="0" borderId="0" xfId="88" applyFont="1" applyAlignment="1">
      <alignment vertical="center"/>
    </xf>
    <xf numFmtId="0" fontId="3" fillId="0" borderId="12" xfId="88" applyFont="1" applyBorder="1" applyAlignment="1">
      <alignment horizontal="center" vertical="center"/>
    </xf>
    <xf numFmtId="49" fontId="75" fillId="0" borderId="0" xfId="88" applyNumberFormat="1" applyFont="1" applyAlignment="1">
      <alignment horizontal="left" wrapText="1"/>
    </xf>
    <xf numFmtId="0" fontId="9" fillId="0" borderId="15" xfId="88" applyFont="1" applyBorder="1" applyAlignment="1">
      <alignment horizontal="center" vertical="center"/>
    </xf>
    <xf numFmtId="49" fontId="89" fillId="0" borderId="13" xfId="88" applyNumberFormat="1" applyFont="1" applyFill="1" applyBorder="1" applyAlignment="1">
      <alignment horizontal="left" vertical="top" wrapText="1" indent="1"/>
    </xf>
    <xf numFmtId="0" fontId="3" fillId="0" borderId="0" xfId="88" applyFont="1" applyAlignment="1">
      <alignment horizontal="center" vertical="center"/>
    </xf>
    <xf numFmtId="49" fontId="3" fillId="0" borderId="0" xfId="88" applyNumberFormat="1" applyFont="1" applyAlignment="1">
      <alignment horizontal="left" wrapText="1"/>
    </xf>
    <xf numFmtId="2" fontId="3" fillId="0" borderId="0" xfId="0" applyNumberFormat="1" applyFont="1"/>
    <xf numFmtId="44" fontId="2" fillId="0" borderId="0" xfId="0" applyNumberFormat="1" applyFont="1" applyBorder="1" applyAlignment="1">
      <alignment horizontal="center" vertical="center"/>
    </xf>
    <xf numFmtId="3" fontId="2" fillId="0" borderId="0" xfId="0" applyNumberFormat="1" applyFont="1" applyBorder="1" applyAlignment="1">
      <alignment horizontal="center" vertical="center"/>
    </xf>
    <xf numFmtId="0" fontId="27" fillId="37" borderId="0" xfId="0" applyFont="1" applyFill="1" applyBorder="1" applyAlignment="1">
      <alignment horizontal="center" vertical="center"/>
    </xf>
    <xf numFmtId="3" fontId="3" fillId="0" borderId="0" xfId="0" applyNumberFormat="1" applyFont="1" applyBorder="1"/>
    <xf numFmtId="4" fontId="3" fillId="0" borderId="0" xfId="0" applyNumberFormat="1" applyFont="1" applyBorder="1"/>
    <xf numFmtId="44" fontId="3" fillId="0" borderId="0" xfId="0" applyNumberFormat="1" applyFont="1" applyBorder="1"/>
    <xf numFmtId="44" fontId="3" fillId="0" borderId="0" xfId="0" applyNumberFormat="1" applyFont="1"/>
    <xf numFmtId="4" fontId="65" fillId="39" borderId="13" xfId="0" applyNumberFormat="1" applyFont="1" applyFill="1" applyBorder="1" applyAlignment="1">
      <alignment vertical="center" wrapText="1"/>
    </xf>
    <xf numFmtId="4" fontId="65" fillId="40" borderId="13" xfId="0" applyNumberFormat="1" applyFont="1" applyFill="1" applyBorder="1" applyAlignment="1">
      <alignment vertical="center" wrapText="1"/>
    </xf>
    <xf numFmtId="4" fontId="65" fillId="24" borderId="13" xfId="0" applyNumberFormat="1" applyFont="1" applyFill="1" applyBorder="1" applyAlignment="1">
      <alignment vertical="center" wrapText="1"/>
    </xf>
    <xf numFmtId="4" fontId="60" fillId="39" borderId="13" xfId="0" applyNumberFormat="1" applyFont="1" applyFill="1" applyBorder="1" applyAlignment="1">
      <alignment vertical="center" wrapText="1"/>
    </xf>
    <xf numFmtId="4" fontId="60" fillId="35" borderId="13" xfId="0" applyNumberFormat="1" applyFont="1" applyFill="1" applyBorder="1" applyAlignment="1">
      <alignment vertical="center" wrapText="1"/>
    </xf>
    <xf numFmtId="4" fontId="65" fillId="0" borderId="13" xfId="0" applyNumberFormat="1" applyFont="1" applyFill="1" applyBorder="1" applyAlignment="1">
      <alignment horizontal="center" vertical="center" wrapText="1"/>
    </xf>
    <xf numFmtId="4" fontId="60" fillId="39" borderId="13" xfId="0" applyNumberFormat="1" applyFont="1" applyFill="1" applyBorder="1" applyAlignment="1">
      <alignment vertical="top" wrapText="1"/>
    </xf>
    <xf numFmtId="4" fontId="107" fillId="40" borderId="13" xfId="0" applyNumberFormat="1" applyFont="1" applyFill="1" applyBorder="1" applyAlignment="1">
      <alignment vertical="center" wrapText="1"/>
    </xf>
    <xf numFmtId="4" fontId="107" fillId="24" borderId="13" xfId="0" applyNumberFormat="1" applyFont="1" applyFill="1" applyBorder="1" applyAlignment="1">
      <alignment vertical="center" wrapText="1"/>
    </xf>
    <xf numFmtId="4" fontId="106" fillId="24" borderId="13" xfId="0" applyNumberFormat="1" applyFont="1" applyFill="1" applyBorder="1" applyAlignment="1">
      <alignment vertical="center" wrapText="1"/>
    </xf>
    <xf numFmtId="3" fontId="60" fillId="39" borderId="13" xfId="0" applyNumberFormat="1" applyFont="1" applyFill="1" applyBorder="1" applyAlignment="1">
      <alignment vertical="center" wrapText="1"/>
    </xf>
    <xf numFmtId="4" fontId="107" fillId="39" borderId="13" xfId="0" applyNumberFormat="1" applyFont="1" applyFill="1" applyBorder="1" applyAlignment="1">
      <alignment vertical="center" wrapText="1"/>
    </xf>
    <xf numFmtId="4" fontId="6" fillId="24" borderId="17" xfId="38" applyNumberFormat="1" applyFont="1" applyFill="1" applyBorder="1" applyAlignment="1">
      <alignment horizontal="right" vertical="center" wrapText="1" indent="1"/>
    </xf>
    <xf numFmtId="4" fontId="6" fillId="24" borderId="39" xfId="38" applyNumberFormat="1" applyFont="1" applyFill="1" applyBorder="1" applyAlignment="1">
      <alignment horizontal="right" vertical="center" wrapText="1" indent="1"/>
    </xf>
    <xf numFmtId="0" fontId="3" fillId="0" borderId="21" xfId="0" applyFont="1" applyBorder="1" applyAlignment="1">
      <alignment horizontal="center" vertical="center"/>
    </xf>
    <xf numFmtId="0" fontId="3" fillId="0" borderId="19" xfId="0" applyFont="1" applyBorder="1" applyAlignment="1">
      <alignment horizontal="left" vertical="top" wrapText="1" indent="1"/>
    </xf>
    <xf numFmtId="3" fontId="6" fillId="24" borderId="26" xfId="0" applyNumberFormat="1" applyFont="1" applyFill="1" applyBorder="1" applyAlignment="1">
      <alignment horizontal="right" vertical="center" wrapText="1" indent="1"/>
    </xf>
    <xf numFmtId="3" fontId="3" fillId="0" borderId="0" xfId="38" applyNumberFormat="1" applyFont="1"/>
    <xf numFmtId="3" fontId="3" fillId="0" borderId="0" xfId="0" applyNumberFormat="1" applyFont="1"/>
    <xf numFmtId="4" fontId="3" fillId="0" borderId="0" xfId="38" applyNumberFormat="1" applyFont="1" applyBorder="1" applyAlignment="1">
      <alignment vertical="center" wrapText="1"/>
    </xf>
    <xf numFmtId="4" fontId="6" fillId="24" borderId="13" xfId="88" applyNumberFormat="1" applyFont="1" applyFill="1" applyBorder="1" applyAlignment="1">
      <alignment horizontal="right" vertical="center" wrapText="1" indent="1"/>
    </xf>
    <xf numFmtId="4" fontId="3" fillId="35" borderId="13" xfId="0" applyNumberFormat="1" applyFont="1" applyFill="1" applyBorder="1" applyAlignment="1">
      <alignment horizontal="right" vertical="center" wrapText="1" indent="1"/>
    </xf>
    <xf numFmtId="4" fontId="3" fillId="35" borderId="13" xfId="88" applyNumberFormat="1" applyFont="1" applyFill="1" applyBorder="1" applyAlignment="1">
      <alignment horizontal="right" vertical="center" wrapText="1" indent="1"/>
    </xf>
    <xf numFmtId="2" fontId="6" fillId="24" borderId="13" xfId="88" applyNumberFormat="1" applyFont="1" applyFill="1" applyBorder="1" applyAlignment="1">
      <alignment horizontal="right" vertical="center" wrapText="1" indent="1"/>
    </xf>
    <xf numFmtId="2" fontId="3" fillId="35" borderId="13" xfId="88" applyNumberFormat="1" applyFont="1" applyFill="1" applyBorder="1" applyAlignment="1">
      <alignment horizontal="right" vertical="center" wrapText="1" indent="1"/>
    </xf>
    <xf numFmtId="4" fontId="6" fillId="35" borderId="13" xfId="0" applyNumberFormat="1" applyFont="1" applyFill="1" applyBorder="1" applyAlignment="1">
      <alignment horizontal="right" vertical="center" wrapText="1" indent="1"/>
    </xf>
    <xf numFmtId="4" fontId="3" fillId="35" borderId="13" xfId="0" applyNumberFormat="1" applyFont="1" applyFill="1" applyBorder="1" applyAlignment="1">
      <alignment horizontal="right" vertical="center" wrapText="1"/>
    </xf>
    <xf numFmtId="4" fontId="3" fillId="35" borderId="13" xfId="88" applyNumberFormat="1" applyFont="1" applyFill="1" applyBorder="1" applyAlignment="1">
      <alignment horizontal="right" vertical="center" wrapText="1"/>
    </xf>
    <xf numFmtId="4" fontId="6" fillId="24" borderId="13" xfId="0" applyNumberFormat="1" applyFont="1" applyFill="1" applyBorder="1" applyAlignment="1">
      <alignment horizontal="right" vertical="center" wrapText="1" indent="1"/>
    </xf>
    <xf numFmtId="4" fontId="6" fillId="35" borderId="13" xfId="88" applyNumberFormat="1" applyFont="1" applyFill="1" applyBorder="1" applyAlignment="1">
      <alignment horizontal="right" vertical="center" wrapText="1" indent="1"/>
    </xf>
    <xf numFmtId="4" fontId="6" fillId="24" borderId="17" xfId="88" applyNumberFormat="1" applyFont="1" applyFill="1" applyBorder="1" applyAlignment="1">
      <alignment horizontal="right" vertical="center" wrapText="1" indent="1"/>
    </xf>
    <xf numFmtId="3" fontId="3" fillId="0" borderId="0" xfId="38" applyNumberFormat="1" applyFont="1" applyAlignment="1">
      <alignment horizontal="center"/>
    </xf>
    <xf numFmtId="4" fontId="60" fillId="0" borderId="0" xfId="88" applyNumberFormat="1" applyFont="1"/>
    <xf numFmtId="4" fontId="3" fillId="0" borderId="0" xfId="88" applyNumberFormat="1" applyFont="1"/>
    <xf numFmtId="3" fontId="3" fillId="0" borderId="0" xfId="88" applyNumberFormat="1" applyFont="1"/>
    <xf numFmtId="3" fontId="60" fillId="0" borderId="0" xfId="88" applyNumberFormat="1" applyFont="1"/>
    <xf numFmtId="4" fontId="6" fillId="24" borderId="72" xfId="0" applyNumberFormat="1" applyFont="1" applyFill="1" applyBorder="1" applyAlignment="1">
      <alignment horizontal="right" vertical="center" wrapText="1" indent="1"/>
    </xf>
    <xf numFmtId="4" fontId="6" fillId="24" borderId="51" xfId="0" applyNumberFormat="1" applyFont="1" applyFill="1" applyBorder="1" applyAlignment="1">
      <alignment horizontal="right" vertical="center" wrapText="1" indent="1"/>
    </xf>
    <xf numFmtId="0" fontId="2" fillId="37" borderId="0" xfId="0" applyFont="1" applyFill="1" applyBorder="1" applyAlignment="1">
      <alignment horizontal="center" vertical="center"/>
    </xf>
    <xf numFmtId="4" fontId="3" fillId="35" borderId="13" xfId="0" applyNumberFormat="1" applyFont="1" applyFill="1" applyBorder="1" applyAlignment="1">
      <alignment vertical="center" wrapText="1"/>
    </xf>
    <xf numFmtId="4" fontId="3" fillId="35" borderId="13" xfId="0" applyNumberFormat="1" applyFont="1" applyFill="1" applyBorder="1" applyAlignment="1">
      <alignment vertical="center"/>
    </xf>
    <xf numFmtId="4" fontId="6" fillId="24" borderId="13" xfId="0" applyNumberFormat="1" applyFont="1" applyFill="1" applyBorder="1" applyAlignment="1">
      <alignment vertical="center" wrapText="1"/>
    </xf>
    <xf numFmtId="4" fontId="3" fillId="35" borderId="13" xfId="0" applyNumberFormat="1" applyFont="1" applyFill="1" applyBorder="1" applyAlignment="1">
      <alignment horizontal="center" vertical="center" wrapText="1"/>
    </xf>
    <xf numFmtId="4" fontId="52" fillId="24" borderId="13" xfId="0" applyNumberFormat="1" applyFont="1" applyFill="1" applyBorder="1" applyAlignment="1">
      <alignment horizontal="right" vertical="center" wrapText="1" indent="1"/>
    </xf>
    <xf numFmtId="4" fontId="52" fillId="24" borderId="17" xfId="0" applyNumberFormat="1" applyFont="1" applyFill="1" applyBorder="1" applyAlignment="1">
      <alignment horizontal="right" vertical="center" wrapText="1" indent="1"/>
    </xf>
    <xf numFmtId="0" fontId="1" fillId="0" borderId="0" xfId="0" applyFont="1" applyBorder="1" applyAlignment="1">
      <alignment wrapText="1"/>
    </xf>
    <xf numFmtId="4" fontId="3" fillId="39" borderId="17" xfId="0" applyNumberFormat="1" applyFont="1" applyFill="1" applyBorder="1" applyAlignment="1">
      <alignment horizontal="right" vertical="center" wrapText="1" indent="1"/>
    </xf>
    <xf numFmtId="4" fontId="7" fillId="0" borderId="0" xfId="0" applyNumberFormat="1" applyFont="1" applyAlignment="1">
      <alignment vertical="center" wrapText="1"/>
    </xf>
    <xf numFmtId="0" fontId="103" fillId="0" borderId="0" xfId="0" applyFont="1" applyAlignment="1">
      <alignment vertical="center" wrapText="1"/>
    </xf>
    <xf numFmtId="4" fontId="3" fillId="39" borderId="13" xfId="0" applyNumberFormat="1" applyFont="1" applyFill="1" applyBorder="1" applyAlignment="1">
      <alignment horizontal="right" vertical="center" wrapText="1" indent="1"/>
    </xf>
    <xf numFmtId="0" fontId="3" fillId="41" borderId="13" xfId="0" applyFont="1" applyFill="1" applyBorder="1" applyAlignment="1">
      <alignment horizontal="right" vertical="center" wrapText="1" indent="1"/>
    </xf>
    <xf numFmtId="0" fontId="3" fillId="39" borderId="13" xfId="0" applyFont="1" applyFill="1" applyBorder="1" applyAlignment="1">
      <alignment horizontal="right" vertical="center" wrapText="1" indent="1"/>
    </xf>
    <xf numFmtId="4" fontId="3" fillId="0" borderId="23" xfId="0" applyNumberFormat="1" applyFont="1" applyBorder="1" applyAlignment="1">
      <alignment vertical="center" wrapText="1"/>
    </xf>
    <xf numFmtId="4" fontId="3" fillId="0" borderId="25" xfId="0" applyNumberFormat="1" applyFont="1" applyBorder="1" applyAlignment="1">
      <alignment vertical="center" wrapText="1"/>
    </xf>
    <xf numFmtId="4" fontId="3" fillId="0" borderId="15" xfId="0" applyNumberFormat="1" applyFont="1" applyBorder="1" applyAlignment="1">
      <alignment vertical="center" wrapText="1"/>
    </xf>
    <xf numFmtId="4" fontId="3" fillId="0" borderId="13"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7" xfId="0" applyNumberFormat="1" applyFont="1" applyBorder="1" applyAlignment="1">
      <alignment vertical="center" wrapText="1"/>
    </xf>
    <xf numFmtId="0" fontId="3" fillId="0" borderId="13" xfId="0" applyFont="1" applyBorder="1" applyAlignment="1">
      <alignment horizontal="left" vertical="center" wrapText="1" indent="1"/>
    </xf>
    <xf numFmtId="4" fontId="110" fillId="0" borderId="23" xfId="0" applyNumberFormat="1" applyFont="1" applyBorder="1" applyAlignment="1">
      <alignment vertical="center" wrapText="1"/>
    </xf>
    <xf numFmtId="4" fontId="110" fillId="0" borderId="25" xfId="0" applyNumberFormat="1" applyFont="1" applyBorder="1" applyAlignment="1">
      <alignment vertical="center" wrapText="1"/>
    </xf>
    <xf numFmtId="4" fontId="110" fillId="0" borderId="24" xfId="0" applyNumberFormat="1" applyFont="1" applyBorder="1" applyAlignment="1">
      <alignment vertical="center" wrapText="1"/>
    </xf>
    <xf numFmtId="4" fontId="110" fillId="0" borderId="15" xfId="0" applyNumberFormat="1" applyFont="1" applyBorder="1" applyAlignment="1">
      <alignment vertical="center" wrapText="1"/>
    </xf>
    <xf numFmtId="4" fontId="110" fillId="0" borderId="13" xfId="0" applyNumberFormat="1" applyFont="1" applyBorder="1" applyAlignment="1">
      <alignment vertical="center" wrapText="1"/>
    </xf>
    <xf numFmtId="4" fontId="110" fillId="0" borderId="14" xfId="0" applyNumberFormat="1" applyFont="1" applyBorder="1" applyAlignment="1">
      <alignment vertical="center" wrapText="1"/>
    </xf>
    <xf numFmtId="0" fontId="110" fillId="0" borderId="15" xfId="0" applyFont="1" applyBorder="1" applyAlignment="1">
      <alignment vertical="center" wrapText="1"/>
    </xf>
    <xf numFmtId="0" fontId="110" fillId="0" borderId="13" xfId="0" applyFont="1" applyBorder="1" applyAlignment="1">
      <alignment vertical="center" wrapText="1"/>
    </xf>
    <xf numFmtId="0" fontId="110" fillId="0" borderId="14" xfId="0" applyFont="1" applyBorder="1" applyAlignment="1">
      <alignment vertical="center" wrapText="1"/>
    </xf>
    <xf numFmtId="0" fontId="110" fillId="0" borderId="61" xfId="0" applyFont="1" applyBorder="1" applyAlignment="1">
      <alignment horizontal="center" vertical="center" wrapText="1"/>
    </xf>
    <xf numFmtId="0" fontId="110" fillId="0" borderId="13" xfId="0" applyFont="1" applyBorder="1" applyAlignment="1">
      <alignment horizontal="center" vertical="center" wrapText="1"/>
    </xf>
    <xf numFmtId="0" fontId="110" fillId="0" borderId="38" xfId="0" applyFont="1" applyBorder="1" applyAlignment="1">
      <alignment horizontal="center" vertical="center" wrapText="1"/>
    </xf>
    <xf numFmtId="0" fontId="110" fillId="0" borderId="61" xfId="0" applyFont="1" applyBorder="1" applyAlignment="1">
      <alignment vertical="center" wrapText="1"/>
    </xf>
    <xf numFmtId="0" fontId="110" fillId="0" borderId="38" xfId="0" applyFont="1" applyBorder="1" applyAlignment="1">
      <alignment vertical="center" wrapText="1"/>
    </xf>
    <xf numFmtId="0" fontId="110" fillId="0" borderId="16" xfId="0" applyFont="1" applyBorder="1" applyAlignment="1">
      <alignment vertical="center" wrapText="1"/>
    </xf>
    <xf numFmtId="4" fontId="110" fillId="0" borderId="17" xfId="0" applyNumberFormat="1" applyFont="1" applyBorder="1" applyAlignment="1">
      <alignment vertical="center" wrapText="1"/>
    </xf>
    <xf numFmtId="4" fontId="110" fillId="0" borderId="18" xfId="0" applyNumberFormat="1" applyFont="1" applyBorder="1" applyAlignment="1">
      <alignment vertical="center" wrapText="1"/>
    </xf>
    <xf numFmtId="3" fontId="7" fillId="39" borderId="13" xfId="0" applyNumberFormat="1" applyFont="1" applyFill="1" applyBorder="1" applyAlignment="1">
      <alignment horizontal="right" vertical="center" wrapText="1" indent="1"/>
    </xf>
    <xf numFmtId="0" fontId="111" fillId="49" borderId="83" xfId="89" quotePrefix="1" applyNumberFormat="1" applyFill="1" applyAlignment="1" applyProtection="1">
      <alignment horizontal="left" vertical="center" wrapText="1" indent="1"/>
    </xf>
    <xf numFmtId="49" fontId="112" fillId="50" borderId="84" xfId="0" applyNumberFormat="1" applyFont="1" applyFill="1" applyBorder="1" applyAlignment="1">
      <alignment horizontal="left" vertical="center" wrapText="1"/>
    </xf>
    <xf numFmtId="0" fontId="27" fillId="35" borderId="14" xfId="0" applyFont="1" applyFill="1" applyBorder="1" applyAlignment="1">
      <alignment horizontal="left" vertical="center" wrapText="1" indent="1"/>
    </xf>
    <xf numFmtId="49" fontId="100" fillId="50" borderId="84" xfId="0" applyNumberFormat="1" applyFont="1" applyFill="1" applyBorder="1" applyAlignment="1">
      <alignment horizontal="left" vertical="center" wrapText="1"/>
    </xf>
    <xf numFmtId="4" fontId="6" fillId="35" borderId="78" xfId="0" applyNumberFormat="1" applyFont="1" applyFill="1" applyBorder="1" applyAlignment="1">
      <alignment horizontal="right" vertical="center" wrapText="1" indent="1"/>
    </xf>
    <xf numFmtId="4" fontId="6" fillId="24" borderId="79" xfId="0" applyNumberFormat="1" applyFont="1" applyFill="1" applyBorder="1" applyAlignment="1">
      <alignment horizontal="right" vertical="center" wrapText="1" indent="1"/>
    </xf>
    <xf numFmtId="4" fontId="6" fillId="24" borderId="13" xfId="41" applyNumberFormat="1" applyFont="1" applyFill="1" applyBorder="1" applyAlignment="1">
      <alignment horizontal="right" vertical="center" wrapText="1" indent="1"/>
    </xf>
    <xf numFmtId="4" fontId="6" fillId="24" borderId="14" xfId="41" applyNumberFormat="1" applyFont="1" applyFill="1" applyBorder="1" applyAlignment="1">
      <alignment horizontal="right" vertical="center" wrapText="1" indent="1"/>
    </xf>
    <xf numFmtId="4" fontId="3" fillId="35" borderId="13" xfId="41" applyNumberFormat="1" applyFont="1" applyFill="1" applyBorder="1" applyAlignment="1">
      <alignment horizontal="center" vertical="center" wrapText="1"/>
    </xf>
    <xf numFmtId="4" fontId="6" fillId="47" borderId="13" xfId="41" applyNumberFormat="1" applyFont="1" applyFill="1" applyBorder="1" applyAlignment="1">
      <alignment horizontal="right" vertical="center" wrapText="1" indent="1"/>
    </xf>
    <xf numFmtId="4" fontId="6" fillId="47" borderId="14" xfId="41" applyNumberFormat="1" applyFont="1" applyFill="1" applyBorder="1" applyAlignment="1">
      <alignment horizontal="center" vertical="center" wrapText="1"/>
    </xf>
    <xf numFmtId="4" fontId="3" fillId="35" borderId="13" xfId="41" applyNumberFormat="1" applyFont="1" applyFill="1" applyBorder="1" applyAlignment="1">
      <alignment horizontal="right" vertical="center" wrapText="1" indent="1"/>
    </xf>
    <xf numFmtId="4" fontId="6" fillId="47" borderId="13" xfId="41" applyNumberFormat="1" applyFont="1" applyFill="1" applyBorder="1" applyAlignment="1">
      <alignment horizontal="center" vertical="center" wrapText="1"/>
    </xf>
    <xf numFmtId="4" fontId="6" fillId="47" borderId="14" xfId="41" applyNumberFormat="1" applyFont="1" applyFill="1" applyBorder="1" applyAlignment="1">
      <alignment horizontal="right" vertical="center" wrapText="1" indent="1"/>
    </xf>
    <xf numFmtId="4" fontId="3" fillId="35" borderId="19" xfId="41" applyNumberFormat="1" applyFont="1" applyFill="1" applyBorder="1" applyAlignment="1">
      <alignment horizontal="right" vertical="center" wrapText="1" indent="1"/>
    </xf>
    <xf numFmtId="4" fontId="3" fillId="35" borderId="19" xfId="41" applyNumberFormat="1" applyFont="1" applyFill="1" applyBorder="1" applyAlignment="1">
      <alignment horizontal="center" vertical="center" wrapText="1"/>
    </xf>
    <xf numFmtId="4" fontId="3" fillId="35" borderId="26" xfId="41" applyNumberFormat="1" applyFont="1" applyFill="1" applyBorder="1" applyAlignment="1">
      <alignment horizontal="right" vertical="center" wrapText="1" indent="1"/>
    </xf>
    <xf numFmtId="4" fontId="2" fillId="24" borderId="17" xfId="41" applyNumberFormat="1" applyFont="1" applyFill="1" applyBorder="1" applyAlignment="1">
      <alignment horizontal="right" vertical="center" wrapText="1" indent="1"/>
    </xf>
    <xf numFmtId="4" fontId="3" fillId="0" borderId="0" xfId="0" applyNumberFormat="1" applyFont="1" applyBorder="1" applyAlignment="1">
      <alignment vertical="center" wrapText="1"/>
    </xf>
    <xf numFmtId="4" fontId="6" fillId="24" borderId="28" xfId="0" applyNumberFormat="1" applyFont="1" applyFill="1" applyBorder="1" applyAlignment="1">
      <alignment horizontal="right" vertical="center" wrapText="1" indent="1"/>
    </xf>
    <xf numFmtId="4" fontId="6" fillId="24" borderId="76" xfId="0" applyNumberFormat="1" applyFont="1" applyFill="1" applyBorder="1" applyAlignment="1">
      <alignment horizontal="right" vertical="center" wrapText="1" indent="1"/>
    </xf>
    <xf numFmtId="4" fontId="75" fillId="49" borderId="13" xfId="0" applyNumberFormat="1" applyFont="1" applyFill="1" applyBorder="1" applyAlignment="1">
      <alignment vertical="center" wrapText="1"/>
    </xf>
    <xf numFmtId="0" fontId="109" fillId="51" borderId="0" xfId="0" applyFont="1" applyFill="1" applyAlignment="1">
      <alignment wrapText="1"/>
    </xf>
    <xf numFmtId="0" fontId="113" fillId="0" borderId="0" xfId="0" applyFont="1" applyAlignment="1">
      <alignment vertical="center" wrapText="1"/>
    </xf>
    <xf numFmtId="4" fontId="2" fillId="35" borderId="14" xfId="0" applyNumberFormat="1" applyFont="1" applyFill="1" applyBorder="1" applyAlignment="1">
      <alignment horizontal="right" vertical="center" wrapText="1" indent="1"/>
    </xf>
    <xf numFmtId="4" fontId="2" fillId="24" borderId="14" xfId="0" applyNumberFormat="1" applyFont="1" applyFill="1" applyBorder="1" applyAlignment="1">
      <alignment horizontal="right" vertical="center" wrapText="1" indent="1"/>
    </xf>
    <xf numFmtId="4" fontId="7" fillId="35" borderId="14" xfId="0" applyNumberFormat="1" applyFont="1" applyFill="1" applyBorder="1" applyAlignment="1">
      <alignment horizontal="right" vertical="center" wrapText="1" indent="1"/>
    </xf>
    <xf numFmtId="4" fontId="2" fillId="35" borderId="13" xfId="0" applyNumberFormat="1" applyFont="1" applyFill="1" applyBorder="1" applyAlignment="1">
      <alignment horizontal="right" vertical="center" wrapText="1" indent="1"/>
    </xf>
    <xf numFmtId="4" fontId="2" fillId="24" borderId="18" xfId="0" applyNumberFormat="1" applyFont="1" applyFill="1" applyBorder="1" applyAlignment="1">
      <alignment horizontal="right" vertical="center" wrapText="1" indent="1"/>
    </xf>
    <xf numFmtId="0" fontId="78" fillId="0" borderId="0" xfId="0" applyFont="1" applyFill="1" applyAlignment="1">
      <alignment vertical="center"/>
    </xf>
    <xf numFmtId="49" fontId="73" fillId="0" borderId="0" xfId="88" applyNumberFormat="1" applyFont="1" applyAlignment="1">
      <alignment horizontal="left" wrapText="1"/>
    </xf>
    <xf numFmtId="166" fontId="3" fillId="0" borderId="0" xfId="88" applyNumberFormat="1" applyFont="1" applyFill="1"/>
    <xf numFmtId="0" fontId="3" fillId="0" borderId="0" xfId="88" applyFont="1" applyFill="1"/>
    <xf numFmtId="0" fontId="60" fillId="0" borderId="0" xfId="88" applyFont="1" applyFill="1"/>
    <xf numFmtId="0" fontId="109" fillId="0" borderId="0" xfId="0" applyFont="1" applyFill="1" applyAlignment="1">
      <alignment wrapText="1"/>
    </xf>
    <xf numFmtId="0" fontId="73" fillId="0" borderId="0" xfId="0" applyFont="1" applyFill="1"/>
    <xf numFmtId="0" fontId="88" fillId="0" borderId="0" xfId="0" applyFont="1" applyFill="1" applyAlignment="1">
      <alignment vertical="center"/>
    </xf>
    <xf numFmtId="0" fontId="3" fillId="0" borderId="0" xfId="0" applyFont="1" applyFill="1" applyAlignment="1">
      <alignment horizontal="justify"/>
    </xf>
    <xf numFmtId="0" fontId="84" fillId="0" borderId="0" xfId="0" applyFont="1" applyFill="1"/>
    <xf numFmtId="166" fontId="3" fillId="0" borderId="0" xfId="0" applyNumberFormat="1" applyFont="1" applyFill="1" applyAlignment="1">
      <alignment horizontal="right" vertical="center" indent="1"/>
    </xf>
    <xf numFmtId="0" fontId="4" fillId="0" borderId="30" xfId="0" applyFont="1" applyBorder="1" applyAlignment="1">
      <alignment horizontal="center" vertical="center" wrapText="1"/>
    </xf>
    <xf numFmtId="0" fontId="61" fillId="0" borderId="31" xfId="0" applyFont="1" applyBorder="1"/>
    <xf numFmtId="0" fontId="61" fillId="0" borderId="36" xfId="0" applyFont="1" applyBorder="1"/>
    <xf numFmtId="0" fontId="6" fillId="0" borderId="74" xfId="0" applyFont="1" applyBorder="1" applyAlignment="1">
      <alignment horizontal="left" vertical="center" wrapText="1" indent="1"/>
    </xf>
    <xf numFmtId="0" fontId="6" fillId="0" borderId="50" xfId="0" applyFont="1" applyBorder="1" applyAlignment="1">
      <alignment horizontal="left" vertical="center" wrapText="1" indent="1"/>
    </xf>
    <xf numFmtId="0" fontId="6" fillId="0" borderId="54" xfId="0" applyFont="1" applyBorder="1" applyAlignment="1">
      <alignment horizontal="left" vertical="center" wrapText="1" inden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6" fillId="0" borderId="22" xfId="0" applyFont="1" applyBorder="1" applyAlignment="1">
      <alignment horizontal="left" vertical="center" wrapText="1" indent="1"/>
    </xf>
    <xf numFmtId="0" fontId="6" fillId="0" borderId="29" xfId="0" applyFont="1" applyBorder="1" applyAlignment="1">
      <alignment horizontal="left" vertical="center" wrapText="1" indent="1"/>
    </xf>
    <xf numFmtId="0" fontId="6" fillId="0" borderId="34" xfId="0" applyFont="1" applyBorder="1" applyAlignment="1">
      <alignment horizontal="left" vertical="center" wrapText="1" indent="1"/>
    </xf>
    <xf numFmtId="49" fontId="3" fillId="0" borderId="35" xfId="0" applyNumberFormat="1" applyFont="1" applyBorder="1" applyAlignment="1">
      <alignment horizontal="left" wrapText="1"/>
    </xf>
    <xf numFmtId="49" fontId="3" fillId="0" borderId="46" xfId="0" applyNumberFormat="1" applyFont="1" applyBorder="1" applyAlignment="1">
      <alignment horizontal="left" wrapText="1"/>
    </xf>
    <xf numFmtId="49" fontId="3" fillId="0" borderId="47"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50" xfId="0" applyNumberFormat="1" applyFont="1" applyBorder="1" applyAlignment="1">
      <alignment horizontal="left" wrapText="1"/>
    </xf>
    <xf numFmtId="49" fontId="3" fillId="0" borderId="32" xfId="0" applyNumberFormat="1" applyFont="1" applyBorder="1" applyAlignment="1">
      <alignment horizontal="left"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6" xfId="0" applyFont="1" applyBorder="1" applyAlignment="1">
      <alignment horizontal="center" vertical="center"/>
    </xf>
    <xf numFmtId="0" fontId="2" fillId="0" borderId="15" xfId="0"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109" fillId="51" borderId="12" xfId="0" applyFont="1" applyFill="1" applyBorder="1" applyAlignment="1">
      <alignment horizontal="left" wrapText="1"/>
    </xf>
    <xf numFmtId="0" fontId="109" fillId="51" borderId="0" xfId="0" applyFont="1" applyFill="1" applyAlignment="1">
      <alignment horizontal="left" wrapText="1"/>
    </xf>
    <xf numFmtId="0" fontId="73" fillId="0" borderId="0" xfId="88" applyFont="1" applyFill="1" applyAlignment="1">
      <alignment horizontal="center" wrapText="1"/>
    </xf>
    <xf numFmtId="0" fontId="10" fillId="0" borderId="68" xfId="88" applyFont="1" applyBorder="1" applyAlignment="1">
      <alignment horizontal="center" vertical="center"/>
    </xf>
    <xf numFmtId="0" fontId="10" fillId="0" borderId="69" xfId="88" applyFont="1" applyBorder="1" applyAlignment="1">
      <alignment horizontal="center" vertical="center"/>
    </xf>
    <xf numFmtId="0" fontId="10" fillId="0" borderId="70" xfId="88" applyFont="1" applyBorder="1" applyAlignment="1">
      <alignment horizontal="center" vertical="center"/>
    </xf>
    <xf numFmtId="0" fontId="6" fillId="0" borderId="60" xfId="88" applyFont="1" applyBorder="1" applyAlignment="1">
      <alignment horizontal="left" vertical="center" wrapText="1" indent="1"/>
    </xf>
    <xf numFmtId="0" fontId="6" fillId="0" borderId="71" xfId="88" applyFont="1" applyBorder="1" applyAlignment="1">
      <alignment horizontal="left" vertical="center" wrapText="1" indent="1"/>
    </xf>
    <xf numFmtId="0" fontId="6" fillId="0" borderId="41" xfId="88" applyFont="1" applyBorder="1" applyAlignment="1">
      <alignment horizontal="left" vertical="center" wrapText="1" indent="1"/>
    </xf>
    <xf numFmtId="0" fontId="2" fillId="0" borderId="15" xfId="88" applyFont="1" applyBorder="1" applyAlignment="1">
      <alignment horizontal="center" vertical="center" wrapText="1"/>
    </xf>
    <xf numFmtId="49" fontId="2" fillId="0" borderId="19" xfId="88" applyNumberFormat="1" applyFont="1" applyBorder="1" applyAlignment="1">
      <alignment horizontal="center" vertical="center" wrapText="1"/>
    </xf>
    <xf numFmtId="49" fontId="2" fillId="0" borderId="29" xfId="88" applyNumberFormat="1" applyFont="1" applyBorder="1" applyAlignment="1">
      <alignment horizontal="center" vertical="center" wrapText="1"/>
    </xf>
    <xf numFmtId="0" fontId="4" fillId="0" borderId="13" xfId="88" applyFont="1" applyBorder="1" applyAlignment="1">
      <alignment horizontal="center" vertical="center"/>
    </xf>
    <xf numFmtId="0" fontId="4" fillId="0" borderId="20" xfId="88" applyFont="1" applyBorder="1" applyAlignment="1">
      <alignment horizontal="center" vertical="center"/>
    </xf>
    <xf numFmtId="0" fontId="4" fillId="0" borderId="38" xfId="88" applyFont="1" applyBorder="1" applyAlignment="1">
      <alignment horizontal="center" vertical="center"/>
    </xf>
    <xf numFmtId="0" fontId="75" fillId="0" borderId="23" xfId="0" applyFont="1" applyBorder="1" applyAlignment="1">
      <alignment horizontal="center" vertical="center" wrapText="1"/>
    </xf>
    <xf numFmtId="0" fontId="75" fillId="0" borderId="15" xfId="0" applyFont="1" applyBorder="1" applyAlignment="1">
      <alignment horizontal="center" vertical="center" wrapText="1"/>
    </xf>
    <xf numFmtId="0" fontId="75" fillId="0" borderId="16" xfId="0" applyFont="1" applyBorder="1" applyAlignment="1">
      <alignment horizontal="center" vertical="center" wrapText="1"/>
    </xf>
    <xf numFmtId="0" fontId="75" fillId="0" borderId="25" xfId="0" applyFont="1" applyBorder="1" applyAlignment="1">
      <alignment horizontal="center" vertical="center" wrapText="1"/>
    </xf>
    <xf numFmtId="0" fontId="75" fillId="0" borderId="13" xfId="0" applyFont="1" applyBorder="1" applyAlignment="1">
      <alignment horizontal="center" vertical="center" wrapText="1"/>
    </xf>
    <xf numFmtId="0" fontId="75" fillId="0" borderId="17" xfId="0" applyFont="1" applyBorder="1" applyAlignment="1">
      <alignment horizontal="center" vertical="center" wrapText="1"/>
    </xf>
    <xf numFmtId="0" fontId="75" fillId="0" borderId="24" xfId="0" applyFont="1" applyBorder="1" applyAlignment="1">
      <alignment horizontal="center" vertical="center" wrapText="1"/>
    </xf>
    <xf numFmtId="0" fontId="75" fillId="0" borderId="14" xfId="0" applyFont="1" applyBorder="1" applyAlignment="1">
      <alignment horizontal="center" vertical="center" wrapText="1"/>
    </xf>
    <xf numFmtId="0" fontId="75" fillId="0" borderId="1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60" xfId="0" applyFont="1" applyBorder="1" applyAlignment="1">
      <alignment horizontal="left" vertical="center" wrapText="1" indent="1"/>
    </xf>
    <xf numFmtId="0" fontId="6" fillId="0" borderId="71" xfId="0" applyFont="1" applyBorder="1" applyAlignment="1">
      <alignment horizontal="left" vertical="center" wrapText="1" indent="1"/>
    </xf>
    <xf numFmtId="0" fontId="6" fillId="0" borderId="41" xfId="0" applyFont="1" applyBorder="1" applyAlignment="1">
      <alignment horizontal="left" vertical="center" wrapText="1" inden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49" fontId="3" fillId="0" borderId="20" xfId="0" applyNumberFormat="1" applyFont="1" applyBorder="1" applyAlignment="1">
      <alignment horizontal="left"/>
    </xf>
    <xf numFmtId="49" fontId="3" fillId="0" borderId="52" xfId="0" applyNumberFormat="1" applyFont="1" applyBorder="1" applyAlignment="1">
      <alignment horizontal="left"/>
    </xf>
    <xf numFmtId="0" fontId="2" fillId="0" borderId="29" xfId="0" applyFont="1" applyBorder="1" applyAlignment="1">
      <alignment horizontal="center" vertical="center" wrapText="1"/>
    </xf>
    <xf numFmtId="0" fontId="2" fillId="36" borderId="29" xfId="0" applyFont="1" applyFill="1" applyBorder="1" applyAlignment="1">
      <alignment horizontal="center" vertical="center" wrapText="1"/>
    </xf>
    <xf numFmtId="0" fontId="2" fillId="36" borderId="13"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74" xfId="0" applyFont="1" applyBorder="1" applyAlignment="1">
      <alignment horizontal="center" vertical="center" wrapText="1"/>
    </xf>
    <xf numFmtId="0" fontId="99" fillId="0" borderId="0" xfId="0" applyFont="1" applyAlignment="1">
      <alignment horizontal="left" vertical="center" wrapText="1"/>
    </xf>
    <xf numFmtId="0" fontId="2" fillId="0" borderId="13" xfId="0" applyFont="1" applyBorder="1" applyAlignment="1">
      <alignment horizontal="center" vertical="center" wrapText="1"/>
    </xf>
    <xf numFmtId="49" fontId="7" fillId="0" borderId="20" xfId="0" applyNumberFormat="1" applyFont="1" applyBorder="1" applyAlignment="1">
      <alignment horizontal="left"/>
    </xf>
    <xf numFmtId="49" fontId="7" fillId="0" borderId="52" xfId="0" applyNumberFormat="1" applyFont="1" applyBorder="1" applyAlignment="1">
      <alignment horizontal="left"/>
    </xf>
    <xf numFmtId="49" fontId="7" fillId="0" borderId="27" xfId="0" applyNumberFormat="1" applyFont="1" applyBorder="1" applyAlignment="1">
      <alignment horizontal="left"/>
    </xf>
    <xf numFmtId="49" fontId="2" fillId="0" borderId="13" xfId="0" applyNumberFormat="1" applyFont="1" applyBorder="1" applyAlignment="1">
      <alignment horizontal="center" vertical="center" wrapText="1"/>
    </xf>
    <xf numFmtId="0" fontId="2" fillId="0" borderId="22"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0" fontId="85" fillId="0" borderId="12" xfId="0" applyFont="1" applyBorder="1" applyAlignment="1">
      <alignment horizontal="center" vertical="center" wrapText="1"/>
    </xf>
    <xf numFmtId="0" fontId="85" fillId="0" borderId="0" xfId="0" applyFont="1" applyBorder="1" applyAlignment="1">
      <alignment horizontal="center" vertical="center" wrapText="1"/>
    </xf>
    <xf numFmtId="49" fontId="74" fillId="0" borderId="29" xfId="0" applyNumberFormat="1" applyFont="1" applyBorder="1" applyAlignment="1">
      <alignment horizontal="center" vertical="center" wrapText="1"/>
    </xf>
    <xf numFmtId="49" fontId="74" fillId="0" borderId="13" xfId="0" applyNumberFormat="1" applyFont="1" applyBorder="1" applyAlignment="1">
      <alignment horizontal="center" vertical="center" wrapText="1"/>
    </xf>
    <xf numFmtId="0" fontId="70" fillId="0" borderId="12" xfId="38" applyFont="1" applyBorder="1" applyAlignment="1">
      <alignment horizontal="center" vertical="center" wrapText="1"/>
    </xf>
    <xf numFmtId="0" fontId="70" fillId="0" borderId="74" xfId="38" applyFont="1" applyBorder="1" applyAlignment="1">
      <alignment horizontal="center" vertical="center" wrapText="1"/>
    </xf>
    <xf numFmtId="49" fontId="3" fillId="0" borderId="27" xfId="0" applyNumberFormat="1" applyFont="1" applyBorder="1" applyAlignment="1">
      <alignment horizontal="left"/>
    </xf>
    <xf numFmtId="0" fontId="96" fillId="44" borderId="57" xfId="38" applyFont="1" applyFill="1" applyBorder="1" applyAlignment="1">
      <alignment horizontal="center" vertical="center" wrapText="1"/>
    </xf>
    <xf numFmtId="0" fontId="96" fillId="44" borderId="45" xfId="38" applyFont="1" applyFill="1" applyBorder="1" applyAlignment="1">
      <alignment horizontal="center" vertical="center" wrapText="1"/>
    </xf>
    <xf numFmtId="0" fontId="6" fillId="0" borderId="62" xfId="39" applyFont="1" applyBorder="1" applyAlignment="1">
      <alignment horizontal="center" vertical="center"/>
    </xf>
    <xf numFmtId="0" fontId="6" fillId="0" borderId="58" xfId="39" applyFont="1" applyBorder="1" applyAlignment="1">
      <alignment horizontal="center" vertical="center"/>
    </xf>
    <xf numFmtId="0" fontId="6" fillId="0" borderId="59" xfId="39" applyFont="1" applyBorder="1" applyAlignment="1">
      <alignment horizontal="center" vertical="center"/>
    </xf>
    <xf numFmtId="0" fontId="70" fillId="0" borderId="65" xfId="39" applyFont="1" applyBorder="1" applyAlignment="1">
      <alignment horizontal="left" vertical="center" wrapText="1" indent="1"/>
    </xf>
    <xf numFmtId="0" fontId="70" fillId="0" borderId="66" xfId="39" applyFont="1" applyBorder="1" applyAlignment="1">
      <alignment horizontal="left" vertical="center" wrapText="1" indent="1"/>
    </xf>
    <xf numFmtId="0" fontId="70" fillId="0" borderId="67" xfId="39" applyFont="1" applyBorder="1" applyAlignment="1">
      <alignment horizontal="left" vertical="center" wrapText="1" indent="1"/>
    </xf>
    <xf numFmtId="0" fontId="86" fillId="0" borderId="0" xfId="39" applyFont="1" applyBorder="1" applyAlignment="1">
      <alignment horizontal="left" wrapText="1"/>
    </xf>
    <xf numFmtId="0" fontId="22" fillId="0" borderId="35" xfId="0" applyFont="1" applyBorder="1" applyAlignment="1">
      <alignment horizontal="left" vertical="center"/>
    </xf>
    <xf numFmtId="0" fontId="22" fillId="0" borderId="46" xfId="0" applyFont="1" applyBorder="1" applyAlignment="1">
      <alignment horizontal="left" vertical="center"/>
    </xf>
    <xf numFmtId="0" fontId="22" fillId="0" borderId="47" xfId="0" applyFont="1" applyBorder="1" applyAlignment="1">
      <alignment horizontal="left" vertical="center"/>
    </xf>
    <xf numFmtId="0" fontId="22" fillId="0" borderId="37" xfId="0" applyFont="1" applyBorder="1" applyAlignment="1">
      <alignment horizontal="left" vertical="center"/>
    </xf>
    <xf numFmtId="0" fontId="22" fillId="0" borderId="50" xfId="0" applyFont="1" applyBorder="1" applyAlignment="1">
      <alignment horizontal="left" vertical="center"/>
    </xf>
    <xf numFmtId="0" fontId="22" fillId="0" borderId="32" xfId="0" applyFont="1" applyBorder="1" applyAlignment="1">
      <alignment horizontal="left" vertical="center"/>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8" xfId="0"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6" fillId="0" borderId="40" xfId="0" applyFont="1" applyBorder="1" applyAlignment="1">
      <alignment horizontal="left" vertical="center" wrapText="1" indent="1"/>
    </xf>
    <xf numFmtId="0" fontId="6" fillId="0" borderId="71" xfId="0" applyFont="1" applyBorder="1" applyAlignment="1">
      <alignment horizontal="center" vertical="center" wrapText="1"/>
    </xf>
    <xf numFmtId="0" fontId="6" fillId="0" borderId="41" xfId="0" applyFont="1" applyBorder="1" applyAlignment="1">
      <alignment horizontal="center" vertical="center" wrapText="1"/>
    </xf>
    <xf numFmtId="0" fontId="22" fillId="0" borderId="37" xfId="0" applyFont="1" applyBorder="1" applyAlignment="1">
      <alignment horizontal="left" vertical="center" wrapText="1"/>
    </xf>
    <xf numFmtId="0" fontId="22" fillId="0" borderId="50" xfId="0" applyFont="1" applyBorder="1" applyAlignment="1">
      <alignment horizontal="left" vertical="center" wrapText="1"/>
    </xf>
    <xf numFmtId="0" fontId="22" fillId="0" borderId="32" xfId="0" applyFont="1" applyBorder="1" applyAlignment="1">
      <alignment horizontal="left"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61" xfId="0" applyFont="1" applyBorder="1" applyAlignment="1">
      <alignment horizontal="left" vertical="center" wrapText="1" indent="1"/>
    </xf>
    <xf numFmtId="0" fontId="6" fillId="0" borderId="52" xfId="0" applyFont="1" applyBorder="1" applyAlignment="1">
      <alignment horizontal="left" vertical="center" wrapText="1" indent="1"/>
    </xf>
    <xf numFmtId="0" fontId="6" fillId="0" borderId="38" xfId="0" applyFont="1" applyBorder="1" applyAlignment="1">
      <alignment horizontal="left" vertical="center" wrapText="1" indent="1"/>
    </xf>
    <xf numFmtId="0" fontId="22" fillId="0" borderId="37" xfId="38" applyFont="1" applyBorder="1" applyAlignment="1">
      <alignment horizontal="left" vertical="center"/>
    </xf>
    <xf numFmtId="0" fontId="22" fillId="0" borderId="50" xfId="38" applyFont="1" applyBorder="1" applyAlignment="1">
      <alignment horizontal="left" vertical="center"/>
    </xf>
    <xf numFmtId="0" fontId="22" fillId="0" borderId="32" xfId="38" applyFont="1" applyBorder="1" applyAlignment="1">
      <alignment horizontal="left" vertical="center"/>
    </xf>
    <xf numFmtId="0" fontId="4" fillId="0" borderId="68" xfId="38" applyFont="1" applyBorder="1" applyAlignment="1">
      <alignment horizontal="center" vertical="center" wrapText="1"/>
    </xf>
    <xf numFmtId="0" fontId="4" fillId="0" borderId="69" xfId="38" applyFont="1" applyBorder="1" applyAlignment="1">
      <alignment horizontal="center" vertical="center"/>
    </xf>
    <xf numFmtId="0" fontId="4" fillId="0" borderId="70" xfId="38" applyFont="1" applyBorder="1" applyAlignment="1">
      <alignment horizontal="center" vertical="center"/>
    </xf>
    <xf numFmtId="0" fontId="6" fillId="0" borderId="23" xfId="38" applyFont="1" applyBorder="1" applyAlignment="1">
      <alignment horizontal="left" vertical="center" wrapText="1" indent="1"/>
    </xf>
    <xf numFmtId="0" fontId="6" fillId="0" borderId="25" xfId="38" applyFont="1" applyBorder="1" applyAlignment="1">
      <alignment horizontal="left" vertical="center" wrapText="1" indent="1"/>
    </xf>
    <xf numFmtId="0" fontId="6" fillId="0" borderId="24" xfId="38" applyFont="1" applyBorder="1" applyAlignment="1">
      <alignment horizontal="left" vertical="center" wrapText="1" indent="1"/>
    </xf>
    <xf numFmtId="0" fontId="22" fillId="0" borderId="35" xfId="38" applyFont="1" applyBorder="1" applyAlignment="1">
      <alignment horizontal="left" vertical="center"/>
    </xf>
    <xf numFmtId="0" fontId="22" fillId="0" borderId="46" xfId="38" applyFont="1" applyBorder="1" applyAlignment="1">
      <alignment horizontal="left" vertical="center"/>
    </xf>
    <xf numFmtId="0" fontId="22" fillId="0" borderId="47" xfId="38" applyFont="1" applyBorder="1" applyAlignment="1">
      <alignment horizontal="left" vertical="center"/>
    </xf>
    <xf numFmtId="0" fontId="22" fillId="36" borderId="48" xfId="38" applyFont="1" applyFill="1" applyBorder="1" applyAlignment="1">
      <alignment horizontal="left" vertical="center"/>
    </xf>
    <xf numFmtId="0" fontId="22" fillId="36" borderId="0" xfId="38" applyFont="1" applyFill="1" applyBorder="1" applyAlignment="1">
      <alignment horizontal="left" vertical="center"/>
    </xf>
    <xf numFmtId="0" fontId="22" fillId="36" borderId="49" xfId="38" applyFont="1" applyFill="1" applyBorder="1" applyAlignment="1">
      <alignment horizontal="left" vertical="center"/>
    </xf>
    <xf numFmtId="0" fontId="22" fillId="0" borderId="48" xfId="38" applyFont="1" applyBorder="1" applyAlignment="1">
      <alignment horizontal="left" vertical="center"/>
    </xf>
    <xf numFmtId="0" fontId="22" fillId="0" borderId="0" xfId="38" applyFont="1" applyBorder="1" applyAlignment="1">
      <alignment horizontal="left" vertical="center"/>
    </xf>
    <xf numFmtId="0" fontId="22" fillId="0" borderId="49" xfId="38" applyFont="1" applyBorder="1" applyAlignment="1">
      <alignment horizontal="left" vertical="center"/>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6" xfId="0"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8" xfId="0" applyFont="1" applyFill="1" applyBorder="1" applyAlignment="1">
      <alignment horizontal="center" vertical="center" wrapText="1"/>
    </xf>
    <xf numFmtId="49" fontId="74" fillId="36" borderId="34" xfId="0" applyNumberFormat="1" applyFont="1" applyFill="1" applyBorder="1" applyAlignment="1">
      <alignment horizontal="center" vertical="center" wrapText="1"/>
    </xf>
    <xf numFmtId="49" fontId="74" fillId="36" borderId="14" xfId="0" applyNumberFormat="1" applyFont="1" applyFill="1" applyBorder="1" applyAlignment="1">
      <alignment horizontal="center" vertical="center" wrapText="1"/>
    </xf>
    <xf numFmtId="0" fontId="4" fillId="0" borderId="62"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49" fontId="74" fillId="36" borderId="29" xfId="0" applyNumberFormat="1" applyFont="1" applyFill="1" applyBorder="1" applyAlignment="1">
      <alignment horizontal="center" vertical="center" wrapText="1"/>
    </xf>
    <xf numFmtId="49" fontId="74" fillId="36" borderId="13" xfId="0" applyNumberFormat="1" applyFont="1" applyFill="1" applyBorder="1" applyAlignment="1">
      <alignment horizontal="center" vertical="center" wrapText="1"/>
    </xf>
    <xf numFmtId="49" fontId="74" fillId="45" borderId="29" xfId="0" applyNumberFormat="1" applyFont="1" applyFill="1" applyBorder="1" applyAlignment="1">
      <alignment horizontal="center" vertical="center" wrapText="1"/>
    </xf>
    <xf numFmtId="49" fontId="74" fillId="45"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2" fillId="0" borderId="0" xfId="0" applyFont="1" applyFill="1" applyBorder="1" applyAlignment="1">
      <alignment horizontal="left" wrapText="1"/>
    </xf>
    <xf numFmtId="0" fontId="4" fillId="0" borderId="62"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6" fillId="0" borderId="60" xfId="0" applyFont="1" applyFill="1" applyBorder="1" applyAlignment="1">
      <alignment horizontal="left" vertical="center" wrapText="1" indent="1"/>
    </xf>
    <xf numFmtId="0" fontId="6" fillId="0" borderId="71" xfId="0" applyFont="1" applyFill="1" applyBorder="1" applyAlignment="1">
      <alignment horizontal="left" vertical="center" wrapText="1" indent="1"/>
    </xf>
    <xf numFmtId="0" fontId="6" fillId="0" borderId="66" xfId="0" applyFont="1" applyFill="1" applyBorder="1" applyAlignment="1">
      <alignment horizontal="left" vertical="center" wrapText="1" indent="1"/>
    </xf>
    <xf numFmtId="0" fontId="6" fillId="0" borderId="41" xfId="0" applyFont="1" applyFill="1" applyBorder="1" applyAlignment="1">
      <alignment horizontal="left" vertical="center" wrapText="1" indent="1"/>
    </xf>
    <xf numFmtId="0" fontId="65" fillId="0" borderId="15" xfId="0"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0" borderId="29" xfId="0" applyNumberFormat="1" applyFont="1" applyFill="1" applyBorder="1" applyAlignment="1">
      <alignment horizontal="center" vertical="center" wrapText="1"/>
    </xf>
    <xf numFmtId="0" fontId="74" fillId="0" borderId="1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3" fillId="0" borderId="0" xfId="0" applyFont="1" applyBorder="1" applyAlignment="1">
      <alignment horizontal="left" vertical="center" wrapText="1"/>
    </xf>
    <xf numFmtId="0" fontId="4" fillId="0" borderId="30" xfId="41" applyFont="1" applyBorder="1" applyAlignment="1">
      <alignment horizontal="center" vertical="center" wrapText="1"/>
    </xf>
    <xf numFmtId="0" fontId="4" fillId="0" borderId="31" xfId="41" applyFont="1" applyBorder="1" applyAlignment="1">
      <alignment horizontal="center" vertical="center" wrapText="1"/>
    </xf>
    <xf numFmtId="0" fontId="4" fillId="0" borderId="36" xfId="41" applyFont="1" applyBorder="1" applyAlignment="1">
      <alignment horizontal="center" vertical="center" wrapText="1"/>
    </xf>
    <xf numFmtId="0" fontId="6" fillId="0" borderId="29" xfId="0" applyFont="1" applyBorder="1" applyAlignment="1">
      <alignment horizontal="center" vertical="center" wrapText="1"/>
    </xf>
    <xf numFmtId="0" fontId="6" fillId="0" borderId="34"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80" fillId="0" borderId="46" xfId="0" applyFont="1" applyBorder="1" applyAlignment="1">
      <alignment horizontal="left" vertical="center" wrapText="1"/>
    </xf>
    <xf numFmtId="0" fontId="27" fillId="0" borderId="35" xfId="0" applyFont="1" applyBorder="1" applyAlignment="1">
      <alignment horizontal="left" vertical="center"/>
    </xf>
    <xf numFmtId="0" fontId="27" fillId="0" borderId="46" xfId="0" applyFont="1" applyBorder="1" applyAlignment="1">
      <alignment horizontal="left" vertical="center"/>
    </xf>
    <xf numFmtId="0" fontId="27" fillId="0" borderId="47" xfId="0" applyFont="1" applyBorder="1" applyAlignment="1">
      <alignment horizontal="left" vertical="center"/>
    </xf>
    <xf numFmtId="0" fontId="27" fillId="0" borderId="37" xfId="0" applyFont="1" applyBorder="1" applyAlignment="1">
      <alignment horizontal="left" vertical="center"/>
    </xf>
    <xf numFmtId="0" fontId="27" fillId="0" borderId="50" xfId="0" applyFont="1" applyBorder="1" applyAlignment="1">
      <alignment horizontal="left" vertical="center"/>
    </xf>
    <xf numFmtId="0" fontId="27" fillId="0" borderId="32" xfId="0" applyFont="1" applyBorder="1" applyAlignment="1">
      <alignment horizontal="left" vertical="center"/>
    </xf>
    <xf numFmtId="0" fontId="4" fillId="0" borderId="3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9" xfId="38" applyFont="1" applyBorder="1" applyAlignment="1">
      <alignment horizontal="center" vertical="center" wrapText="1"/>
    </xf>
    <xf numFmtId="0" fontId="4" fillId="0" borderId="73" xfId="38" applyFont="1" applyBorder="1" applyAlignment="1">
      <alignment horizontal="center" vertical="center" wrapText="1"/>
    </xf>
    <xf numFmtId="0" fontId="4" fillId="0" borderId="70" xfId="38" applyFont="1" applyBorder="1" applyAlignment="1">
      <alignment horizontal="center" vertical="center" wrapText="1"/>
    </xf>
    <xf numFmtId="0" fontId="6" fillId="0" borderId="30" xfId="38" applyFont="1" applyBorder="1" applyAlignment="1">
      <alignment horizontal="left" vertical="center" wrapText="1" indent="1"/>
    </xf>
    <xf numFmtId="0" fontId="6" fillId="0" borderId="31" xfId="38" applyFont="1" applyBorder="1" applyAlignment="1">
      <alignment horizontal="left" vertical="center" wrapText="1" indent="1"/>
    </xf>
    <xf numFmtId="0" fontId="6" fillId="0" borderId="53" xfId="38" applyFont="1" applyBorder="1" applyAlignment="1">
      <alignment horizontal="left" vertical="center" wrapText="1" indent="1"/>
    </xf>
    <xf numFmtId="0" fontId="6" fillId="0" borderId="36" xfId="38" applyFont="1" applyBorder="1" applyAlignment="1">
      <alignment horizontal="left" vertical="center" wrapText="1" indent="1"/>
    </xf>
    <xf numFmtId="0" fontId="6" fillId="0" borderId="29" xfId="38" applyFont="1" applyBorder="1" applyAlignment="1">
      <alignment horizontal="center" vertical="center" wrapText="1"/>
    </xf>
    <xf numFmtId="0" fontId="22" fillId="0" borderId="13" xfId="38" applyFont="1" applyBorder="1" applyAlignment="1">
      <alignment horizontal="left" vertical="center" wrapText="1"/>
    </xf>
    <xf numFmtId="49" fontId="2" fillId="0" borderId="37" xfId="38" applyNumberFormat="1" applyFont="1" applyBorder="1" applyAlignment="1">
      <alignment horizontal="center" vertical="center" wrapText="1"/>
    </xf>
    <xf numFmtId="49" fontId="2" fillId="0" borderId="13" xfId="38" applyNumberFormat="1" applyFont="1" applyBorder="1" applyAlignment="1">
      <alignment horizontal="center" vertical="center" wrapText="1"/>
    </xf>
    <xf numFmtId="0" fontId="71" fillId="0" borderId="0" xfId="0" applyFont="1" applyAlignment="1">
      <alignment horizontal="left" vertical="center" wrapText="1"/>
    </xf>
    <xf numFmtId="3" fontId="6" fillId="0" borderId="22" xfId="43" applyNumberFormat="1" applyFont="1" applyBorder="1" applyAlignment="1">
      <alignment horizontal="center" vertical="center" wrapText="1"/>
    </xf>
    <xf numFmtId="3" fontId="6" fillId="0" borderId="15" xfId="43"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34" xfId="0" applyFont="1" applyBorder="1" applyAlignment="1">
      <alignment horizontal="center" vertical="center" wrapText="1"/>
    </xf>
    <xf numFmtId="3" fontId="10" fillId="0" borderId="62" xfId="43" applyNumberFormat="1" applyFont="1" applyBorder="1" applyAlignment="1">
      <alignment horizontal="center" vertical="center" wrapText="1"/>
    </xf>
    <xf numFmtId="3" fontId="10" fillId="0" borderId="58" xfId="43" applyNumberFormat="1" applyFont="1" applyBorder="1" applyAlignment="1">
      <alignment horizontal="center" vertical="center" wrapText="1"/>
    </xf>
    <xf numFmtId="3" fontId="10" fillId="0" borderId="59" xfId="43" applyNumberFormat="1" applyFont="1" applyBorder="1" applyAlignment="1">
      <alignment horizontal="center" vertical="center" wrapText="1"/>
    </xf>
    <xf numFmtId="0" fontId="52" fillId="32" borderId="15" xfId="40" applyFont="1" applyFill="1" applyBorder="1" applyAlignment="1"/>
    <xf numFmtId="0" fontId="52" fillId="32" borderId="13" xfId="40" applyFont="1" applyFill="1" applyBorder="1" applyAlignment="1"/>
    <xf numFmtId="0" fontId="52" fillId="0" borderId="15" xfId="40" applyFont="1" applyBorder="1" applyAlignment="1"/>
    <xf numFmtId="0" fontId="52" fillId="0" borderId="13" xfId="40" applyFont="1" applyBorder="1" applyAlignment="1"/>
    <xf numFmtId="0" fontId="52" fillId="32" borderId="16" xfId="40" applyFont="1" applyFill="1" applyBorder="1" applyAlignment="1"/>
    <xf numFmtId="0" fontId="52" fillId="32" borderId="17" xfId="40" applyFont="1" applyFill="1" applyBorder="1" applyAlignment="1"/>
    <xf numFmtId="3" fontId="10" fillId="0" borderId="62" xfId="42" applyNumberFormat="1" applyFont="1" applyBorder="1" applyAlignment="1">
      <alignment horizontal="center" vertical="center" wrapText="1"/>
    </xf>
    <xf numFmtId="3" fontId="10" fillId="0" borderId="58" xfId="42" applyNumberFormat="1" applyFont="1" applyBorder="1" applyAlignment="1">
      <alignment horizontal="center" vertical="center" wrapText="1"/>
    </xf>
    <xf numFmtId="3" fontId="10" fillId="0" borderId="59" xfId="42" applyNumberFormat="1" applyFont="1" applyBorder="1" applyAlignment="1">
      <alignment horizontal="center" vertical="center" wrapText="1"/>
    </xf>
    <xf numFmtId="3" fontId="6" fillId="0" borderId="62" xfId="42" applyNumberFormat="1" applyFont="1" applyBorder="1" applyAlignment="1">
      <alignment horizontal="left" vertical="center" wrapText="1" indent="1"/>
    </xf>
    <xf numFmtId="3" fontId="6" fillId="0" borderId="58" xfId="42" applyNumberFormat="1" applyFont="1" applyBorder="1" applyAlignment="1">
      <alignment horizontal="left" vertical="center" wrapText="1" indent="1"/>
    </xf>
    <xf numFmtId="3" fontId="6" fillId="0" borderId="59" xfId="42" applyNumberFormat="1" applyFont="1" applyBorder="1" applyAlignment="1">
      <alignment horizontal="left" vertical="center" wrapText="1" indent="1"/>
    </xf>
    <xf numFmtId="0" fontId="6" fillId="0" borderId="62"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10" fillId="0" borderId="65" xfId="0" applyNumberFormat="1" applyFont="1" applyBorder="1" applyAlignment="1">
      <alignment horizontal="center" vertical="center" wrapText="1"/>
    </xf>
    <xf numFmtId="0" fontId="10" fillId="0" borderId="66" xfId="0" applyNumberFormat="1" applyFont="1" applyBorder="1" applyAlignment="1">
      <alignment horizontal="center" vertical="center" wrapText="1"/>
    </xf>
    <xf numFmtId="0" fontId="10" fillId="0" borderId="67" xfId="0" applyNumberFormat="1" applyFont="1" applyBorder="1" applyAlignment="1">
      <alignment horizontal="center" vertical="center" wrapText="1"/>
    </xf>
    <xf numFmtId="0" fontId="52" fillId="32" borderId="30" xfId="40" applyFont="1" applyFill="1" applyBorder="1" applyAlignment="1">
      <alignment horizontal="left" vertical="center" indent="1"/>
    </xf>
    <xf numFmtId="0" fontId="52" fillId="32" borderId="31" xfId="40" applyFont="1" applyFill="1" applyBorder="1" applyAlignment="1">
      <alignment horizontal="left" vertical="center" indent="1"/>
    </xf>
    <xf numFmtId="0" fontId="7" fillId="0" borderId="50" xfId="0" applyFont="1" applyBorder="1" applyAlignment="1">
      <alignment horizontal="left"/>
    </xf>
    <xf numFmtId="0" fontId="4" fillId="0" borderId="6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40" xfId="0" applyFont="1" applyBorder="1" applyAlignment="1">
      <alignment horizontal="center" vertical="center" wrapText="1"/>
    </xf>
    <xf numFmtId="0" fontId="71" fillId="0" borderId="0" xfId="0" applyFont="1" applyFill="1" applyBorder="1" applyAlignment="1">
      <alignment horizontal="left" vertical="center"/>
    </xf>
    <xf numFmtId="0" fontId="27" fillId="0" borderId="0" xfId="0" applyFont="1" applyFill="1" applyBorder="1" applyAlignment="1">
      <alignment horizontal="left"/>
    </xf>
  </cellXfs>
  <cellStyles count="9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y 2" xfId="27"/>
    <cellStyle name="Explanatory Text" xfId="28"/>
    <cellStyle name="Good" xfId="29"/>
    <cellStyle name="Heading 1" xfId="30"/>
    <cellStyle name="Heading 2" xfId="31"/>
    <cellStyle name="Heading 3" xfId="32"/>
    <cellStyle name="Heading 4" xfId="33"/>
    <cellStyle name="Check Cell" xfId="34"/>
    <cellStyle name="Input" xfId="35"/>
    <cellStyle name="Linked Cell" xfId="36"/>
    <cellStyle name="Neutral" xfId="37"/>
    <cellStyle name="Normálna" xfId="0" builtinId="0"/>
    <cellStyle name="Normálna 2" xfId="38"/>
    <cellStyle name="Normálna 3" xfId="88"/>
    <cellStyle name="normálne 2" xfId="39"/>
    <cellStyle name="normálne 3" xfId="40"/>
    <cellStyle name="normálne 4" xfId="41"/>
    <cellStyle name="normálne_Databazy_VVŠ_2007_ severská" xfId="42"/>
    <cellStyle name="normálne_sprava_VVŠ_2004_tabuľky_vláda" xfId="43"/>
    <cellStyle name="normální_List1" xfId="44"/>
    <cellStyle name="Note" xfId="45"/>
    <cellStyle name="Output" xfId="46"/>
    <cellStyle name="SAPBEXaggData" xfId="47"/>
    <cellStyle name="SAPBEXaggDataEmph" xfId="48"/>
    <cellStyle name="SAPBEXaggItem" xfId="49"/>
    <cellStyle name="SAPBEXaggItemX" xfId="50"/>
    <cellStyle name="SAPBEXexcBad7" xfId="51"/>
    <cellStyle name="SAPBEXexcBad8" xfId="52"/>
    <cellStyle name="SAPBEXexcBad9" xfId="53"/>
    <cellStyle name="SAPBEXexcCritical4" xfId="54"/>
    <cellStyle name="SAPBEXexcCritical5" xfId="55"/>
    <cellStyle name="SAPBEXexcCritical6" xfId="56"/>
    <cellStyle name="SAPBEXexcGood1" xfId="57"/>
    <cellStyle name="SAPBEXexcGood2" xfId="58"/>
    <cellStyle name="SAPBEXexcGood3" xfId="59"/>
    <cellStyle name="SAPBEXfilterDrill" xfId="60"/>
    <cellStyle name="SAPBEXfilterItem" xfId="61"/>
    <cellStyle name="SAPBEXfilterText" xfId="62"/>
    <cellStyle name="SAPBEXformats" xfId="63"/>
    <cellStyle name="SAPBEXheaderItem" xfId="64"/>
    <cellStyle name="SAPBEXheaderText" xfId="65"/>
    <cellStyle name="SAPBEXHLevel0" xfId="66"/>
    <cellStyle name="SAPBEXHLevel0X" xfId="67"/>
    <cellStyle name="SAPBEXHLevel1" xfId="68"/>
    <cellStyle name="SAPBEXHLevel1X" xfId="69"/>
    <cellStyle name="SAPBEXHLevel2" xfId="70"/>
    <cellStyle name="SAPBEXHLevel2X" xfId="71"/>
    <cellStyle name="SAPBEXHLevel3" xfId="72"/>
    <cellStyle name="SAPBEXHLevel3X" xfId="73"/>
    <cellStyle name="SAPBEXchaText" xfId="74"/>
    <cellStyle name="SAPBEXresData" xfId="75"/>
    <cellStyle name="SAPBEXresDataEmph" xfId="76"/>
    <cellStyle name="SAPBEXresItem" xfId="77"/>
    <cellStyle name="SAPBEXresItemX" xfId="78"/>
    <cellStyle name="SAPBEXstdData" xfId="79"/>
    <cellStyle name="SAPBEXstdDataEmph" xfId="80"/>
    <cellStyle name="SAPBEXstdItem" xfId="81"/>
    <cellStyle name="SAPBEXstdItem 2" xfId="89"/>
    <cellStyle name="SAPBEXstdItemX" xfId="82"/>
    <cellStyle name="SAPBEXtitle" xfId="83"/>
    <cellStyle name="SAPBEXundefined" xfId="84"/>
    <cellStyle name="Title" xfId="85"/>
    <cellStyle name="Total" xfId="86"/>
    <cellStyle name="Warning Text" xfId="87"/>
  </cellStyles>
  <dxfs count="0"/>
  <tableStyles count="0" defaultTableStyle="TableStyleMedium9" defaultPivotStyle="PivotStyleLight16"/>
  <colors>
    <mruColors>
      <color rgb="FFCCFFCC"/>
      <color rgb="FF0000FF"/>
      <color rgb="FFCCFF99"/>
      <color rgb="FF99FFCC"/>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S%20komentar\KE_2020_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zmeny"/>
      <sheetName val="Vysvetlivky"/>
      <sheetName val="Súvzťažnosti"/>
      <sheetName val="Kódy z CRŠ"/>
      <sheetName val="T1-Dotácie podľa DZ"/>
      <sheetName val="T2-Ostatné dot mimo MŠ SR"/>
      <sheetName val="T3-Výnosy"/>
      <sheetName val="T4-Výnosy zo školného"/>
      <sheetName val="T5 - Analýza nákladov"/>
      <sheetName val="T6-Zamestnanci_a_mzdy"/>
      <sheetName val="T6a-Zamestnanci_a_mzdy (ženy)"/>
      <sheetName val="T7_Doktorandi "/>
      <sheetName val="T8-Soc_štipendiá"/>
      <sheetName val="T9_ŠD "/>
      <sheetName val="T10-ŠJ "/>
      <sheetName val="T11-Zdroje KV"/>
      <sheetName val="T12-KV"/>
      <sheetName val="T13-Fondy"/>
      <sheetName val="T16 - Štruktúra hotovosti"/>
      <sheetName val="T17-Dotácie zo ŠF EU-nová"/>
      <sheetName val="T18-Ostatné dotácie z kap MŠ SR"/>
      <sheetName val="T19-Štip_ z vlastných "/>
      <sheetName val="T20_motivačné štipendiá_nová"/>
      <sheetName val="T21-štruktúra_384"/>
      <sheetName val="T22_Výnosy_soc_oblasť"/>
      <sheetName val="T23_Náklady_soc_oblasť"/>
      <sheetName val="T24__Aktíva"/>
    </sheetNames>
    <sheetDataSet>
      <sheetData sheetId="0"/>
      <sheetData sheetId="1"/>
      <sheetData sheetId="2"/>
      <sheetData sheetId="3"/>
      <sheetData sheetId="4"/>
      <sheetData sheetId="5"/>
      <sheetData sheetId="6"/>
      <sheetData sheetId="7"/>
      <sheetData sheetId="8">
        <row r="18">
          <cell r="C18">
            <v>43654</v>
          </cell>
          <cell r="D18">
            <v>56085.96</v>
          </cell>
        </row>
      </sheetData>
      <sheetData sheetId="9">
        <row r="96">
          <cell r="C96">
            <v>43654</v>
          </cell>
          <cell r="E96">
            <v>56085.96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6">
          <cell r="C6">
            <v>50211.97</v>
          </cell>
          <cell r="E6">
            <v>48160</v>
          </cell>
        </row>
      </sheetData>
      <sheetData sheetId="23"/>
      <sheetData sheetId="24"/>
      <sheetData sheetId="25"/>
      <sheetData sheetId="26"/>
      <sheetData sheetId="27"/>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K23"/>
  <sheetViews>
    <sheetView zoomScale="90" zoomScaleNormal="90" workbookViewId="0">
      <pane xSplit="2" ySplit="4" topLeftCell="C5" activePane="bottomRight" state="frozen"/>
      <selection pane="topRight" activeCell="C1" sqref="C1"/>
      <selection pane="bottomLeft" activeCell="A5" sqref="A5"/>
      <selection pane="bottomRight" activeCell="H17" sqref="H17"/>
    </sheetView>
  </sheetViews>
  <sheetFormatPr defaultRowHeight="15.75" x14ac:dyDescent="0.2"/>
  <cols>
    <col min="1" max="1" width="9.140625" style="22" customWidth="1"/>
    <col min="2" max="2" width="77.85546875" style="45" customWidth="1"/>
    <col min="3" max="5" width="17.42578125" style="17" customWidth="1"/>
    <col min="6" max="6" width="12.42578125" style="17" customWidth="1"/>
    <col min="7" max="16384" width="9.140625" style="17"/>
  </cols>
  <sheetData>
    <row r="1" spans="1:11" s="16" customFormat="1" ht="87" customHeight="1" thickBot="1" x14ac:dyDescent="0.25">
      <c r="A1" s="669" t="s">
        <v>773</v>
      </c>
      <c r="B1" s="670"/>
      <c r="C1" s="670"/>
      <c r="D1" s="670"/>
      <c r="E1" s="671"/>
    </row>
    <row r="2" spans="1:11" s="16" customFormat="1" ht="35.1" customHeight="1" x14ac:dyDescent="0.2">
      <c r="A2" s="672" t="s">
        <v>859</v>
      </c>
      <c r="B2" s="673"/>
      <c r="C2" s="673"/>
      <c r="D2" s="673"/>
      <c r="E2" s="674"/>
    </row>
    <row r="3" spans="1:11" ht="43.5" customHeight="1" x14ac:dyDescent="0.2">
      <c r="A3" s="361" t="s">
        <v>115</v>
      </c>
      <c r="B3" s="363" t="s">
        <v>114</v>
      </c>
      <c r="C3" s="362" t="s">
        <v>173</v>
      </c>
      <c r="D3" s="362" t="s">
        <v>174</v>
      </c>
      <c r="E3" s="32" t="s">
        <v>119</v>
      </c>
    </row>
    <row r="4" spans="1:11" ht="17.25" customHeight="1" x14ac:dyDescent="0.2">
      <c r="A4" s="28"/>
      <c r="B4" s="328"/>
      <c r="C4" s="34" t="s">
        <v>158</v>
      </c>
      <c r="D4" s="34" t="s">
        <v>159</v>
      </c>
      <c r="E4" s="35" t="s">
        <v>12</v>
      </c>
    </row>
    <row r="5" spans="1:11" x14ac:dyDescent="0.2">
      <c r="A5" s="28">
        <v>1</v>
      </c>
      <c r="B5" s="328" t="s">
        <v>219</v>
      </c>
      <c r="C5" s="46">
        <f>C6</f>
        <v>25947758</v>
      </c>
      <c r="D5" s="46">
        <f>D6</f>
        <v>1280000</v>
      </c>
      <c r="E5" s="47">
        <f t="shared" ref="E5:E6" si="0">SUM(C5:D5)</f>
        <v>27227758</v>
      </c>
      <c r="F5" s="441"/>
      <c r="G5" s="110"/>
      <c r="H5" s="110"/>
      <c r="I5" s="110"/>
      <c r="J5" s="110"/>
      <c r="K5" s="110"/>
    </row>
    <row r="6" spans="1:11" x14ac:dyDescent="0.2">
      <c r="A6" s="28">
        <f>A5+1</f>
        <v>2</v>
      </c>
      <c r="B6" s="25" t="s">
        <v>144</v>
      </c>
      <c r="C6" s="48">
        <v>25947758</v>
      </c>
      <c r="D6" s="48">
        <v>1280000</v>
      </c>
      <c r="E6" s="47">
        <f t="shared" si="0"/>
        <v>27227758</v>
      </c>
      <c r="F6" s="658"/>
      <c r="G6" s="110"/>
      <c r="H6" s="110"/>
      <c r="I6" s="110"/>
      <c r="J6" s="110"/>
      <c r="K6" s="110"/>
    </row>
    <row r="7" spans="1:11" ht="15.75" customHeight="1" x14ac:dyDescent="0.2">
      <c r="A7" s="28">
        <f>A6+1</f>
        <v>3</v>
      </c>
      <c r="B7" s="328" t="s">
        <v>220</v>
      </c>
      <c r="C7" s="46">
        <f>SUM(C8:C12)</f>
        <v>14567610</v>
      </c>
      <c r="D7" s="46">
        <f>SUM(D8:D12)</f>
        <v>0</v>
      </c>
      <c r="E7" s="47">
        <f>SUM(C7:D7)</f>
        <v>14567610</v>
      </c>
    </row>
    <row r="8" spans="1:11" x14ac:dyDescent="0.2">
      <c r="A8" s="28">
        <f t="shared" ref="A8:A19" si="1">A7+1</f>
        <v>4</v>
      </c>
      <c r="B8" s="25" t="s">
        <v>145</v>
      </c>
      <c r="C8" s="48">
        <v>13265400</v>
      </c>
      <c r="D8" s="316" t="s">
        <v>179</v>
      </c>
      <c r="E8" s="47">
        <f t="shared" ref="E8:E19" si="2">SUM(C8:D8)</f>
        <v>13265400</v>
      </c>
    </row>
    <row r="9" spans="1:11" x14ac:dyDescent="0.2">
      <c r="A9" s="28">
        <f t="shared" si="1"/>
        <v>5</v>
      </c>
      <c r="B9" s="25" t="s">
        <v>146</v>
      </c>
      <c r="C9" s="48">
        <v>1122770</v>
      </c>
      <c r="D9" s="316" t="s">
        <v>179</v>
      </c>
      <c r="E9" s="47">
        <f t="shared" si="2"/>
        <v>1122770</v>
      </c>
    </row>
    <row r="10" spans="1:11" x14ac:dyDescent="0.2">
      <c r="A10" s="28">
        <f t="shared" si="1"/>
        <v>6</v>
      </c>
      <c r="B10" s="25" t="s">
        <v>147</v>
      </c>
      <c r="C10" s="316" t="s">
        <v>179</v>
      </c>
      <c r="D10" s="316" t="s">
        <v>179</v>
      </c>
      <c r="E10" s="47">
        <f t="shared" si="2"/>
        <v>0</v>
      </c>
    </row>
    <row r="11" spans="1:11" x14ac:dyDescent="0.2">
      <c r="A11" s="28">
        <f t="shared" si="1"/>
        <v>7</v>
      </c>
      <c r="B11" s="25" t="s">
        <v>148</v>
      </c>
      <c r="C11" s="316" t="s">
        <v>179</v>
      </c>
      <c r="D11" s="316" t="s">
        <v>179</v>
      </c>
      <c r="E11" s="47">
        <f t="shared" si="2"/>
        <v>0</v>
      </c>
    </row>
    <row r="12" spans="1:11" x14ac:dyDescent="0.2">
      <c r="A12" s="28">
        <f t="shared" si="1"/>
        <v>8</v>
      </c>
      <c r="B12" s="25" t="s">
        <v>86</v>
      </c>
      <c r="C12" s="48">
        <v>179440</v>
      </c>
      <c r="D12" s="316" t="s">
        <v>179</v>
      </c>
      <c r="E12" s="47">
        <f t="shared" si="2"/>
        <v>179440</v>
      </c>
    </row>
    <row r="13" spans="1:11" ht="15.75" customHeight="1" x14ac:dyDescent="0.2">
      <c r="A13" s="28">
        <f t="shared" si="1"/>
        <v>9</v>
      </c>
      <c r="B13" s="328" t="s">
        <v>221</v>
      </c>
      <c r="C13" s="46">
        <f>C14</f>
        <v>243210</v>
      </c>
      <c r="D13" s="46">
        <f>D14</f>
        <v>0</v>
      </c>
      <c r="E13" s="47">
        <f t="shared" si="2"/>
        <v>243210</v>
      </c>
    </row>
    <row r="14" spans="1:11" x14ac:dyDescent="0.2">
      <c r="A14" s="28">
        <f t="shared" si="1"/>
        <v>10</v>
      </c>
      <c r="B14" s="25" t="s">
        <v>87</v>
      </c>
      <c r="C14" s="48">
        <v>243210</v>
      </c>
      <c r="D14" s="48"/>
      <c r="E14" s="47">
        <f t="shared" si="2"/>
        <v>243210</v>
      </c>
    </row>
    <row r="15" spans="1:11" x14ac:dyDescent="0.2">
      <c r="A15" s="28">
        <f t="shared" si="1"/>
        <v>11</v>
      </c>
      <c r="B15" s="328" t="s">
        <v>222</v>
      </c>
      <c r="C15" s="46">
        <f>SUM(C16:C18)</f>
        <v>3338687</v>
      </c>
      <c r="D15" s="46">
        <f>SUM(D16:D18)</f>
        <v>0</v>
      </c>
      <c r="E15" s="47">
        <f t="shared" si="2"/>
        <v>3338687</v>
      </c>
    </row>
    <row r="16" spans="1:11" x14ac:dyDescent="0.2">
      <c r="A16" s="28">
        <f t="shared" si="1"/>
        <v>12</v>
      </c>
      <c r="B16" s="25" t="s">
        <v>88</v>
      </c>
      <c r="C16" s="48">
        <v>645019</v>
      </c>
      <c r="D16" s="316" t="s">
        <v>179</v>
      </c>
      <c r="E16" s="47">
        <f t="shared" si="2"/>
        <v>645019</v>
      </c>
    </row>
    <row r="17" spans="1:5" x14ac:dyDescent="0.2">
      <c r="A17" s="28">
        <f t="shared" si="1"/>
        <v>13</v>
      </c>
      <c r="B17" s="25" t="s">
        <v>89</v>
      </c>
      <c r="C17" s="48">
        <v>477944</v>
      </c>
      <c r="D17" s="316" t="s">
        <v>179</v>
      </c>
      <c r="E17" s="47">
        <f t="shared" si="2"/>
        <v>477944</v>
      </c>
    </row>
    <row r="18" spans="1:5" x14ac:dyDescent="0.2">
      <c r="A18" s="28">
        <f t="shared" si="1"/>
        <v>14</v>
      </c>
      <c r="B18" s="25" t="s">
        <v>90</v>
      </c>
      <c r="C18" s="48">
        <v>2215724</v>
      </c>
      <c r="D18" s="316" t="s">
        <v>179</v>
      </c>
      <c r="E18" s="47">
        <f t="shared" si="2"/>
        <v>2215724</v>
      </c>
    </row>
    <row r="19" spans="1:5" ht="16.5" thickBot="1" x14ac:dyDescent="0.25">
      <c r="A19" s="29">
        <f t="shared" si="1"/>
        <v>15</v>
      </c>
      <c r="B19" s="43" t="s">
        <v>223</v>
      </c>
      <c r="C19" s="49">
        <f>C5+C7+C13+C15</f>
        <v>44097265</v>
      </c>
      <c r="D19" s="49">
        <f>D5+D7+D13+D15</f>
        <v>1280000</v>
      </c>
      <c r="E19" s="50">
        <f t="shared" si="2"/>
        <v>45377265</v>
      </c>
    </row>
    <row r="20" spans="1:5" x14ac:dyDescent="0.2">
      <c r="A20" s="18"/>
      <c r="B20" s="44"/>
      <c r="C20" s="20"/>
      <c r="D20" s="20"/>
    </row>
    <row r="21" spans="1:5" x14ac:dyDescent="0.2">
      <c r="A21" s="21"/>
      <c r="B21" s="113"/>
    </row>
    <row r="23" spans="1:5" x14ac:dyDescent="0.2">
      <c r="B23" s="45" t="s">
        <v>91</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H21"/>
  <sheetViews>
    <sheetView zoomScale="90" zoomScaleNormal="90" workbookViewId="0">
      <pane xSplit="2" ySplit="5" topLeftCell="C6" activePane="bottomRight" state="frozen"/>
      <selection pane="topRight" activeCell="C1" sqref="C1"/>
      <selection pane="bottomLeft" activeCell="A6" sqref="A6"/>
      <selection pane="bottomRight" activeCell="D11" sqref="D11"/>
    </sheetView>
  </sheetViews>
  <sheetFormatPr defaultRowHeight="12.75" x14ac:dyDescent="0.2"/>
  <cols>
    <col min="1" max="1" width="8.28515625" style="86" customWidth="1"/>
    <col min="2" max="2" width="77.7109375" style="86" customWidth="1"/>
    <col min="3" max="6" width="14.7109375" style="86" customWidth="1"/>
    <col min="7" max="7" width="43.28515625" style="86" customWidth="1"/>
    <col min="8" max="16384" width="9.140625" style="86"/>
  </cols>
  <sheetData>
    <row r="1" spans="1:8" ht="50.1" customHeight="1" x14ac:dyDescent="0.2">
      <c r="A1" s="781" t="s">
        <v>785</v>
      </c>
      <c r="B1" s="782"/>
      <c r="C1" s="782"/>
      <c r="D1" s="782"/>
      <c r="E1" s="782"/>
      <c r="F1" s="783"/>
      <c r="H1" s="109"/>
    </row>
    <row r="2" spans="1:8" ht="33" customHeight="1" x14ac:dyDescent="0.2">
      <c r="A2" s="786" t="s">
        <v>864</v>
      </c>
      <c r="B2" s="787"/>
      <c r="C2" s="787"/>
      <c r="D2" s="787"/>
      <c r="E2" s="787"/>
      <c r="F2" s="788"/>
    </row>
    <row r="3" spans="1:8" ht="18.75" customHeight="1" x14ac:dyDescent="0.2">
      <c r="A3" s="773" t="s">
        <v>115</v>
      </c>
      <c r="B3" s="739" t="s">
        <v>192</v>
      </c>
      <c r="C3" s="735" t="s">
        <v>571</v>
      </c>
      <c r="D3" s="735"/>
      <c r="E3" s="735" t="s">
        <v>210</v>
      </c>
      <c r="F3" s="785"/>
    </row>
    <row r="4" spans="1:8" ht="18.75" customHeight="1" x14ac:dyDescent="0.2">
      <c r="A4" s="784"/>
      <c r="B4" s="739"/>
      <c r="C4" s="93">
        <v>2019</v>
      </c>
      <c r="D4" s="93">
        <v>2020</v>
      </c>
      <c r="E4" s="13">
        <v>2019</v>
      </c>
      <c r="F4" s="27">
        <v>2020</v>
      </c>
    </row>
    <row r="5" spans="1:8" ht="15.75" x14ac:dyDescent="0.2">
      <c r="A5" s="28"/>
      <c r="B5" s="83"/>
      <c r="C5" s="23" t="s">
        <v>158</v>
      </c>
      <c r="D5" s="23" t="s">
        <v>159</v>
      </c>
      <c r="E5" s="33" t="s">
        <v>160</v>
      </c>
      <c r="F5" s="85" t="s">
        <v>166</v>
      </c>
    </row>
    <row r="6" spans="1:8" ht="31.5" x14ac:dyDescent="0.2">
      <c r="A6" s="28">
        <v>1</v>
      </c>
      <c r="B6" s="41" t="s">
        <v>534</v>
      </c>
      <c r="C6" s="77" t="s">
        <v>179</v>
      </c>
      <c r="D6" s="77" t="s">
        <v>179</v>
      </c>
      <c r="E6" s="129">
        <v>1916</v>
      </c>
      <c r="F6" s="137">
        <v>1884</v>
      </c>
    </row>
    <row r="7" spans="1:8" ht="37.5" x14ac:dyDescent="0.2">
      <c r="A7" s="28">
        <f>A6+1</f>
        <v>2</v>
      </c>
      <c r="B7" s="60" t="s">
        <v>203</v>
      </c>
      <c r="C7" s="77" t="s">
        <v>179</v>
      </c>
      <c r="D7" s="77" t="s">
        <v>179</v>
      </c>
      <c r="E7" s="129">
        <v>18966</v>
      </c>
      <c r="F7" s="137">
        <v>17630</v>
      </c>
    </row>
    <row r="8" spans="1:8" ht="15.75" x14ac:dyDescent="0.2">
      <c r="A8" s="28">
        <v>3</v>
      </c>
      <c r="B8" s="75" t="s">
        <v>149</v>
      </c>
      <c r="C8" s="77" t="s">
        <v>179</v>
      </c>
      <c r="D8" s="77" t="s">
        <v>179</v>
      </c>
      <c r="E8" s="58">
        <f>E7/12</f>
        <v>1580.5</v>
      </c>
      <c r="F8" s="128">
        <f>F7/12</f>
        <v>1469.1666666666667</v>
      </c>
    </row>
    <row r="9" spans="1:8" ht="31.5" x14ac:dyDescent="0.2">
      <c r="A9" s="28">
        <f t="shared" ref="A9:A18" si="0">A8+1</f>
        <v>4</v>
      </c>
      <c r="B9" s="60" t="s">
        <v>213</v>
      </c>
      <c r="C9" s="48">
        <v>1206543</v>
      </c>
      <c r="D9" s="79">
        <v>299493.95</v>
      </c>
      <c r="E9" s="77" t="s">
        <v>179</v>
      </c>
      <c r="F9" s="80" t="s">
        <v>179</v>
      </c>
    </row>
    <row r="10" spans="1:8" ht="31.5" x14ac:dyDescent="0.2">
      <c r="A10" s="28">
        <f t="shared" si="0"/>
        <v>5</v>
      </c>
      <c r="B10" s="60" t="s">
        <v>225</v>
      </c>
      <c r="C10" s="48">
        <v>45387.02</v>
      </c>
      <c r="D10" s="48">
        <v>24471</v>
      </c>
      <c r="E10" s="48">
        <v>913</v>
      </c>
      <c r="F10" s="55">
        <v>620</v>
      </c>
    </row>
    <row r="11" spans="1:8" ht="29.25" customHeight="1" x14ac:dyDescent="0.2">
      <c r="A11" s="28">
        <f t="shared" si="0"/>
        <v>6</v>
      </c>
      <c r="B11" s="314" t="s">
        <v>647</v>
      </c>
      <c r="C11" s="129">
        <v>1144786</v>
      </c>
      <c r="D11" s="129">
        <v>1816899</v>
      </c>
      <c r="E11" s="77" t="s">
        <v>179</v>
      </c>
      <c r="F11" s="80" t="s">
        <v>179</v>
      </c>
      <c r="G11" s="597"/>
    </row>
    <row r="12" spans="1:8" ht="15.75" x14ac:dyDescent="0.2">
      <c r="A12" s="28">
        <f t="shared" si="0"/>
        <v>7</v>
      </c>
      <c r="B12" s="60" t="s">
        <v>211</v>
      </c>
      <c r="C12" s="48">
        <v>264</v>
      </c>
      <c r="D12" s="48">
        <v>21738</v>
      </c>
      <c r="E12" s="77" t="s">
        <v>179</v>
      </c>
      <c r="F12" s="80" t="s">
        <v>179</v>
      </c>
    </row>
    <row r="13" spans="1:8" ht="15.75" x14ac:dyDescent="0.2">
      <c r="A13" s="28">
        <f t="shared" si="0"/>
        <v>8</v>
      </c>
      <c r="B13" s="60" t="s">
        <v>226</v>
      </c>
      <c r="C13" s="58">
        <f>SUM(C9:C12)</f>
        <v>2396980.02</v>
      </c>
      <c r="D13" s="58">
        <f>SUM(D9:D12)</f>
        <v>2162601.9500000002</v>
      </c>
      <c r="E13" s="77" t="s">
        <v>179</v>
      </c>
      <c r="F13" s="80" t="s">
        <v>179</v>
      </c>
    </row>
    <row r="14" spans="1:8" ht="15.75" x14ac:dyDescent="0.2">
      <c r="A14" s="28">
        <f t="shared" si="0"/>
        <v>9</v>
      </c>
      <c r="B14" s="60" t="s">
        <v>227</v>
      </c>
      <c r="C14" s="58">
        <f>C15+C16</f>
        <v>1675288.1600000001</v>
      </c>
      <c r="D14" s="58">
        <f>D15+D16</f>
        <v>1935017.0899999999</v>
      </c>
      <c r="E14" s="77" t="s">
        <v>179</v>
      </c>
      <c r="F14" s="80" t="s">
        <v>179</v>
      </c>
    </row>
    <row r="15" spans="1:8" ht="15.75" x14ac:dyDescent="0.2">
      <c r="A15" s="28">
        <f t="shared" si="0"/>
        <v>10</v>
      </c>
      <c r="B15" s="42" t="s">
        <v>22</v>
      </c>
      <c r="C15" s="48">
        <v>885738.61</v>
      </c>
      <c r="D15" s="48">
        <v>1162080.8899999999</v>
      </c>
      <c r="E15" s="77" t="s">
        <v>179</v>
      </c>
      <c r="F15" s="80" t="s">
        <v>179</v>
      </c>
    </row>
    <row r="16" spans="1:8" ht="15.75" x14ac:dyDescent="0.2">
      <c r="A16" s="28">
        <f t="shared" si="0"/>
        <v>11</v>
      </c>
      <c r="B16" s="42" t="s">
        <v>23</v>
      </c>
      <c r="C16" s="48">
        <v>789549.55</v>
      </c>
      <c r="D16" s="48">
        <v>772936.2</v>
      </c>
      <c r="E16" s="77" t="s">
        <v>179</v>
      </c>
      <c r="F16" s="80" t="s">
        <v>179</v>
      </c>
    </row>
    <row r="17" spans="1:6" ht="31.5" x14ac:dyDescent="0.2">
      <c r="A17" s="28">
        <f t="shared" si="0"/>
        <v>12</v>
      </c>
      <c r="B17" s="60" t="s">
        <v>228</v>
      </c>
      <c r="C17" s="58">
        <f>+C13-C14</f>
        <v>721691.85999999987</v>
      </c>
      <c r="D17" s="58">
        <f>+D13-D14</f>
        <v>227584.86000000034</v>
      </c>
      <c r="E17" s="77" t="s">
        <v>179</v>
      </c>
      <c r="F17" s="80" t="s">
        <v>179</v>
      </c>
    </row>
    <row r="18" spans="1:6" ht="16.5" thickBot="1" x14ac:dyDescent="0.25">
      <c r="A18" s="29">
        <f t="shared" si="0"/>
        <v>13</v>
      </c>
      <c r="B18" s="91" t="s">
        <v>229</v>
      </c>
      <c r="C18" s="59">
        <f>IF(E8=0,0,C14/E8)</f>
        <v>1059.9735273647582</v>
      </c>
      <c r="D18" s="59">
        <f>IF(F8=0,0,D14/F8)</f>
        <v>1317.0848031764037</v>
      </c>
      <c r="E18" s="81" t="s">
        <v>179</v>
      </c>
      <c r="F18" s="82" t="s">
        <v>179</v>
      </c>
    </row>
    <row r="20" spans="1:6" ht="15" x14ac:dyDescent="0.2">
      <c r="A20" s="758" t="s">
        <v>212</v>
      </c>
      <c r="B20" s="759"/>
      <c r="C20" s="759"/>
      <c r="D20" s="759"/>
      <c r="E20" s="759"/>
      <c r="F20" s="760"/>
    </row>
    <row r="21" spans="1:6" ht="35.25" customHeight="1" x14ac:dyDescent="0.2">
      <c r="A21" s="778" t="s">
        <v>37</v>
      </c>
      <c r="B21" s="779"/>
      <c r="C21" s="779"/>
      <c r="D21" s="779"/>
      <c r="E21" s="779"/>
      <c r="F21" s="780"/>
    </row>
  </sheetData>
  <mergeCells count="8">
    <mergeCell ref="A21:F21"/>
    <mergeCell ref="A1:F1"/>
    <mergeCell ref="A3:A4"/>
    <mergeCell ref="B3:B4"/>
    <mergeCell ref="C3:D3"/>
    <mergeCell ref="E3:F3"/>
    <mergeCell ref="A2:F2"/>
    <mergeCell ref="A20:F20"/>
  </mergeCells>
  <phoneticPr fontId="5" type="noConversion"/>
  <pageMargins left="0.66" right="0.45" top="0.98425196850393704" bottom="0.77" header="0.51181102362204722" footer="0.51181102362204722"/>
  <pageSetup paperSize="9" scale="9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29"/>
  <sheetViews>
    <sheetView workbookViewId="0">
      <pane xSplit="2" ySplit="4" topLeftCell="C5" activePane="bottomRight" state="frozen"/>
      <selection pane="topRight" activeCell="C1" sqref="C1"/>
      <selection pane="bottomLeft" activeCell="A5" sqref="A5"/>
      <selection pane="bottomRight" activeCell="D28" sqref="D28"/>
    </sheetView>
  </sheetViews>
  <sheetFormatPr defaultRowHeight="15.75" x14ac:dyDescent="0.25"/>
  <cols>
    <col min="1" max="1" width="8.140625" style="231" customWidth="1"/>
    <col min="2" max="2" width="81" style="258" customWidth="1"/>
    <col min="3" max="3" width="18.7109375" style="231" customWidth="1"/>
    <col min="4" max="4" width="18.5703125" style="231" customWidth="1"/>
    <col min="5" max="5" width="11.42578125" style="232" customWidth="1"/>
    <col min="6" max="16384" width="9.140625" style="231"/>
  </cols>
  <sheetData>
    <row r="1" spans="1:11" ht="50.1" customHeight="1" thickBot="1" x14ac:dyDescent="0.3">
      <c r="A1" s="792" t="s">
        <v>808</v>
      </c>
      <c r="B1" s="793"/>
      <c r="C1" s="793"/>
      <c r="D1" s="794"/>
      <c r="E1" s="230"/>
    </row>
    <row r="2" spans="1:11" ht="29.25" customHeight="1" x14ac:dyDescent="0.25">
      <c r="A2" s="795" t="s">
        <v>865</v>
      </c>
      <c r="B2" s="796"/>
      <c r="C2" s="796"/>
      <c r="D2" s="797"/>
    </row>
    <row r="3" spans="1:11" ht="33" customHeight="1" x14ac:dyDescent="0.25">
      <c r="A3" s="233" t="s">
        <v>115</v>
      </c>
      <c r="B3" s="234" t="s">
        <v>192</v>
      </c>
      <c r="C3" s="235">
        <v>2019</v>
      </c>
      <c r="D3" s="236">
        <v>2020</v>
      </c>
    </row>
    <row r="4" spans="1:11" x14ac:dyDescent="0.25">
      <c r="A4" s="237"/>
      <c r="B4" s="238"/>
      <c r="C4" s="239" t="s">
        <v>158</v>
      </c>
      <c r="D4" s="266" t="s">
        <v>159</v>
      </c>
    </row>
    <row r="5" spans="1:11" ht="18.75" x14ac:dyDescent="0.25">
      <c r="A5" s="240">
        <v>1</v>
      </c>
      <c r="B5" s="241" t="s">
        <v>152</v>
      </c>
      <c r="C5" s="242">
        <f>+C6+C9</f>
        <v>550963.24</v>
      </c>
      <c r="D5" s="267">
        <f>D6+D9</f>
        <v>198880.59999999998</v>
      </c>
    </row>
    <row r="6" spans="1:11" ht="18.75" customHeight="1" x14ac:dyDescent="0.25">
      <c r="A6" s="240">
        <f t="shared" ref="A6:A13" si="0">A5+1</f>
        <v>2</v>
      </c>
      <c r="B6" s="241" t="s">
        <v>217</v>
      </c>
      <c r="C6" s="242">
        <f>+C7+C8</f>
        <v>282814.84000000003</v>
      </c>
      <c r="D6" s="267">
        <f>+D7+D8</f>
        <v>92960.8</v>
      </c>
    </row>
    <row r="7" spans="1:11" x14ac:dyDescent="0.25">
      <c r="A7" s="240">
        <f t="shared" si="0"/>
        <v>3</v>
      </c>
      <c r="B7" s="245" t="s">
        <v>215</v>
      </c>
      <c r="C7" s="243">
        <v>278375.14</v>
      </c>
      <c r="D7" s="268">
        <v>91762.3</v>
      </c>
      <c r="E7" s="583"/>
    </row>
    <row r="8" spans="1:11" x14ac:dyDescent="0.25">
      <c r="A8" s="240">
        <f t="shared" si="0"/>
        <v>4</v>
      </c>
      <c r="B8" s="245" t="s">
        <v>216</v>
      </c>
      <c r="C8" s="243">
        <v>4439.7</v>
      </c>
      <c r="D8" s="268">
        <v>1198.5</v>
      </c>
    </row>
    <row r="9" spans="1:11" x14ac:dyDescent="0.25">
      <c r="A9" s="240">
        <f t="shared" si="0"/>
        <v>5</v>
      </c>
      <c r="B9" s="241" t="s">
        <v>138</v>
      </c>
      <c r="C9" s="244">
        <f>+C10+C11-C12</f>
        <v>268148.40000000002</v>
      </c>
      <c r="D9" s="269">
        <f>+D10+D11-D12</f>
        <v>105919.79999999999</v>
      </c>
    </row>
    <row r="10" spans="1:11" ht="19.5" customHeight="1" x14ac:dyDescent="0.25">
      <c r="A10" s="240">
        <f t="shared" si="0"/>
        <v>6</v>
      </c>
      <c r="B10" s="245" t="s">
        <v>107</v>
      </c>
      <c r="C10" s="243">
        <v>59847</v>
      </c>
      <c r="D10" s="269">
        <f>+C12</f>
        <v>425149.6</v>
      </c>
    </row>
    <row r="11" spans="1:11" x14ac:dyDescent="0.25">
      <c r="A11" s="240">
        <f t="shared" si="0"/>
        <v>7</v>
      </c>
      <c r="B11" s="245" t="s">
        <v>118</v>
      </c>
      <c r="C11" s="243">
        <v>633451</v>
      </c>
      <c r="D11" s="268">
        <v>148201</v>
      </c>
    </row>
    <row r="12" spans="1:11" x14ac:dyDescent="0.25">
      <c r="A12" s="240">
        <f t="shared" si="0"/>
        <v>8</v>
      </c>
      <c r="B12" s="245" t="s">
        <v>555</v>
      </c>
      <c r="C12" s="244">
        <f>C10+C11-C20</f>
        <v>425149.6</v>
      </c>
      <c r="D12" s="269">
        <f>D10+D11-D20</f>
        <v>467430.8</v>
      </c>
    </row>
    <row r="13" spans="1:11" ht="30" customHeight="1" x14ac:dyDescent="0.25">
      <c r="A13" s="240">
        <f t="shared" si="0"/>
        <v>9</v>
      </c>
      <c r="B13" s="241" t="s">
        <v>556</v>
      </c>
      <c r="C13" s="246">
        <v>572237.12</v>
      </c>
      <c r="D13" s="270">
        <f>D15</f>
        <v>190185.85</v>
      </c>
    </row>
    <row r="14" spans="1:11" x14ac:dyDescent="0.25">
      <c r="A14" s="240"/>
      <c r="B14" s="273" t="s">
        <v>172</v>
      </c>
      <c r="C14" s="247"/>
      <c r="D14" s="271"/>
      <c r="E14" s="248"/>
      <c r="F14" s="249"/>
      <c r="G14" s="249"/>
      <c r="H14" s="249"/>
      <c r="I14" s="249"/>
      <c r="J14" s="249"/>
      <c r="K14" s="249"/>
    </row>
    <row r="15" spans="1:11" ht="18.75" x14ac:dyDescent="0.25">
      <c r="A15" s="240">
        <f>A13+1</f>
        <v>10</v>
      </c>
      <c r="B15" s="274" t="s">
        <v>218</v>
      </c>
      <c r="C15" s="243">
        <v>572237.12</v>
      </c>
      <c r="D15" s="268">
        <v>190185.85</v>
      </c>
    </row>
    <row r="16" spans="1:11" ht="30.75" customHeight="1" x14ac:dyDescent="0.25">
      <c r="A16" s="240">
        <f t="shared" ref="A16:A21" si="1">+A15+1</f>
        <v>11</v>
      </c>
      <c r="B16" s="241" t="s">
        <v>557</v>
      </c>
      <c r="C16" s="242">
        <f>C5-C13</f>
        <v>-21273.880000000005</v>
      </c>
      <c r="D16" s="267">
        <f>D5-D13</f>
        <v>8694.7499999999709</v>
      </c>
    </row>
    <row r="17" spans="1:6" ht="18.75" x14ac:dyDescent="0.25">
      <c r="A17" s="240">
        <f t="shared" si="1"/>
        <v>12</v>
      </c>
      <c r="B17" s="241" t="s">
        <v>558</v>
      </c>
      <c r="C17" s="242">
        <f>C18+C19</f>
        <v>206268</v>
      </c>
      <c r="D17" s="267">
        <f>D18+D19</f>
        <v>75657</v>
      </c>
      <c r="E17" s="583"/>
    </row>
    <row r="18" spans="1:6" x14ac:dyDescent="0.25">
      <c r="A18" s="283">
        <f t="shared" si="1"/>
        <v>13</v>
      </c>
      <c r="B18" s="250" t="s">
        <v>613</v>
      </c>
      <c r="C18" s="246">
        <v>206268</v>
      </c>
      <c r="D18" s="272">
        <v>75657</v>
      </c>
      <c r="E18" s="583"/>
    </row>
    <row r="19" spans="1:6" ht="18.75" x14ac:dyDescent="0.25">
      <c r="A19" s="283">
        <f>+A18+1</f>
        <v>14</v>
      </c>
      <c r="B19" s="250" t="s">
        <v>559</v>
      </c>
      <c r="C19" s="246"/>
      <c r="D19" s="272"/>
    </row>
    <row r="20" spans="1:6" x14ac:dyDescent="0.25">
      <c r="A20" s="283">
        <f>+A19+1</f>
        <v>15</v>
      </c>
      <c r="B20" s="241" t="s">
        <v>560</v>
      </c>
      <c r="C20" s="242">
        <f>(C18*1.3 +C19*1.3)</f>
        <v>268148.40000000002</v>
      </c>
      <c r="D20" s="267">
        <f>(D18*1.4+D19*1.4)</f>
        <v>105919.79999999999</v>
      </c>
    </row>
    <row r="21" spans="1:6" ht="16.5" thickBot="1" x14ac:dyDescent="0.3">
      <c r="A21" s="284">
        <f t="shared" si="1"/>
        <v>16</v>
      </c>
      <c r="B21" s="251" t="s">
        <v>570</v>
      </c>
      <c r="C21" s="564">
        <f>IF(C18=0,0,C15/C18)</f>
        <v>2.7742408904919813</v>
      </c>
      <c r="D21" s="565">
        <f>IF(D18=0,0,D15/D18)</f>
        <v>2.5137905283053783</v>
      </c>
    </row>
    <row r="22" spans="1:6" s="249" customFormat="1" x14ac:dyDescent="0.25">
      <c r="A22" s="252"/>
      <c r="B22" s="253"/>
      <c r="C22" s="254"/>
      <c r="D22" s="254"/>
      <c r="E22" s="232"/>
      <c r="F22" s="231"/>
    </row>
    <row r="23" spans="1:6" s="256" customFormat="1" x14ac:dyDescent="0.25">
      <c r="A23" s="798" t="s">
        <v>214</v>
      </c>
      <c r="B23" s="799"/>
      <c r="C23" s="799"/>
      <c r="D23" s="800"/>
      <c r="E23" s="255"/>
    </row>
    <row r="24" spans="1:6" s="256" customFormat="1" x14ac:dyDescent="0.25">
      <c r="A24" s="801" t="s">
        <v>529</v>
      </c>
      <c r="B24" s="802"/>
      <c r="C24" s="802"/>
      <c r="D24" s="803"/>
      <c r="E24" s="255"/>
    </row>
    <row r="25" spans="1:6" s="256" customFormat="1" x14ac:dyDescent="0.25">
      <c r="A25" s="804" t="s">
        <v>612</v>
      </c>
      <c r="B25" s="805"/>
      <c r="C25" s="805"/>
      <c r="D25" s="806"/>
      <c r="E25" s="255"/>
    </row>
    <row r="26" spans="1:6" s="256" customFormat="1" x14ac:dyDescent="0.25">
      <c r="A26" s="789" t="s">
        <v>531</v>
      </c>
      <c r="B26" s="790"/>
      <c r="C26" s="790"/>
      <c r="D26" s="791"/>
      <c r="E26" s="255"/>
    </row>
    <row r="27" spans="1:6" s="256" customFormat="1" x14ac:dyDescent="0.25">
      <c r="B27" s="257"/>
      <c r="E27" s="255"/>
    </row>
    <row r="28" spans="1:6" s="256" customFormat="1" x14ac:dyDescent="0.25">
      <c r="B28" s="257"/>
      <c r="E28" s="255"/>
    </row>
    <row r="29" spans="1:6" s="256" customFormat="1" x14ac:dyDescent="0.25">
      <c r="B29" s="257"/>
      <c r="E29" s="255"/>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tabColor indexed="42"/>
    <pageSetUpPr fitToPage="1"/>
  </sheetPr>
  <dimension ref="A1:L24"/>
  <sheetViews>
    <sheetView zoomScale="90" zoomScaleNormal="90" workbookViewId="0">
      <pane xSplit="2" ySplit="5" topLeftCell="C6" activePane="bottomRight" state="frozen"/>
      <selection pane="topRight" activeCell="C1" sqref="C1"/>
      <selection pane="bottomLeft" activeCell="A6" sqref="A6"/>
      <selection pane="bottomRight" activeCell="I22" sqref="I22"/>
    </sheetView>
  </sheetViews>
  <sheetFormatPr defaultRowHeight="15.75" x14ac:dyDescent="0.25"/>
  <cols>
    <col min="1" max="1" width="9.140625" style="2"/>
    <col min="2" max="2" width="88.7109375" style="7" customWidth="1"/>
    <col min="3" max="3" width="23.42578125" style="2" customWidth="1"/>
    <col min="4" max="4" width="24.42578125" style="2" customWidth="1"/>
    <col min="5" max="5" width="15.28515625" style="206" bestFit="1" customWidth="1"/>
    <col min="6" max="6" width="9.140625" style="206"/>
    <col min="7" max="11" width="9.140625" style="2"/>
    <col min="12" max="12" width="14.7109375" style="2" bestFit="1" customWidth="1"/>
    <col min="13" max="16384" width="9.140625" style="2"/>
  </cols>
  <sheetData>
    <row r="1" spans="1:12" ht="50.1" customHeight="1" thickBot="1" x14ac:dyDescent="0.3">
      <c r="A1" s="807" t="s">
        <v>786</v>
      </c>
      <c r="B1" s="808"/>
      <c r="C1" s="808"/>
      <c r="D1" s="809"/>
    </row>
    <row r="2" spans="1:12" ht="27.75" customHeight="1" x14ac:dyDescent="0.25">
      <c r="A2" s="672" t="s">
        <v>865</v>
      </c>
      <c r="B2" s="673"/>
      <c r="C2" s="673"/>
      <c r="D2" s="674"/>
    </row>
    <row r="3" spans="1:12" ht="18.75" customHeight="1" x14ac:dyDescent="0.25">
      <c r="A3" s="690" t="s">
        <v>115</v>
      </c>
      <c r="B3" s="810" t="s">
        <v>192</v>
      </c>
      <c r="C3" s="811" t="s">
        <v>176</v>
      </c>
      <c r="D3" s="812"/>
    </row>
    <row r="4" spans="1:12" s="4" customFormat="1" ht="19.5" customHeight="1" x14ac:dyDescent="0.2">
      <c r="A4" s="690"/>
      <c r="B4" s="810"/>
      <c r="C4" s="15">
        <v>2019</v>
      </c>
      <c r="D4" s="14">
        <v>2020</v>
      </c>
      <c r="E4" s="207"/>
      <c r="F4" s="207"/>
    </row>
    <row r="5" spans="1:12" s="4" customFormat="1" x14ac:dyDescent="0.2">
      <c r="A5" s="28"/>
      <c r="B5" s="26"/>
      <c r="C5" s="15" t="s">
        <v>158</v>
      </c>
      <c r="D5" s="14" t="s">
        <v>159</v>
      </c>
      <c r="E5" s="207"/>
      <c r="F5" s="207"/>
    </row>
    <row r="6" spans="1:12" s="4" customFormat="1" x14ac:dyDescent="0.2">
      <c r="A6" s="101">
        <v>1</v>
      </c>
      <c r="B6" s="56" t="s">
        <v>117</v>
      </c>
      <c r="C6" s="149">
        <v>281.74</v>
      </c>
      <c r="D6" s="653">
        <v>1759</v>
      </c>
      <c r="E6" s="207"/>
      <c r="F6" s="207"/>
    </row>
    <row r="7" spans="1:12" s="4" customFormat="1" x14ac:dyDescent="0.2">
      <c r="A7" s="101">
        <f t="shared" ref="A7:A20" si="0">A6+1</f>
        <v>2</v>
      </c>
      <c r="B7" s="41" t="s">
        <v>95</v>
      </c>
      <c r="C7" s="46">
        <f>SUM(C8:C13)</f>
        <v>1490987.96</v>
      </c>
      <c r="D7" s="654">
        <f>SUM(D8:D13)</f>
        <v>1404705.15</v>
      </c>
      <c r="E7" s="207"/>
      <c r="F7" s="207"/>
    </row>
    <row r="8" spans="1:12" s="4" customFormat="1" ht="18.75" x14ac:dyDescent="0.2">
      <c r="A8" s="101">
        <f t="shared" si="0"/>
        <v>3</v>
      </c>
      <c r="B8" s="57" t="s">
        <v>235</v>
      </c>
      <c r="C8" s="129"/>
      <c r="D8" s="655"/>
      <c r="E8" s="207"/>
      <c r="F8" s="207"/>
    </row>
    <row r="9" spans="1:12" s="4" customFormat="1" x14ac:dyDescent="0.2">
      <c r="A9" s="101">
        <f t="shared" si="0"/>
        <v>4</v>
      </c>
      <c r="B9" s="57" t="s">
        <v>238</v>
      </c>
      <c r="C9" s="129">
        <v>1490987.96</v>
      </c>
      <c r="D9" s="655">
        <v>1404705.15</v>
      </c>
      <c r="E9" s="547"/>
      <c r="F9" s="207"/>
    </row>
    <row r="10" spans="1:12" s="4" customFormat="1" x14ac:dyDescent="0.2">
      <c r="A10" s="101">
        <f t="shared" si="0"/>
        <v>5</v>
      </c>
      <c r="B10" s="57" t="s">
        <v>635</v>
      </c>
      <c r="C10" s="129"/>
      <c r="D10" s="655"/>
      <c r="E10" s="207"/>
      <c r="F10" s="207"/>
    </row>
    <row r="11" spans="1:12" s="4" customFormat="1" x14ac:dyDescent="0.2">
      <c r="A11" s="101">
        <f t="shared" si="0"/>
        <v>6</v>
      </c>
      <c r="B11" s="57" t="s">
        <v>236</v>
      </c>
      <c r="C11" s="129"/>
      <c r="D11" s="655"/>
      <c r="E11" s="207"/>
      <c r="F11" s="207"/>
    </row>
    <row r="12" spans="1:12" s="4" customFormat="1" x14ac:dyDescent="0.2">
      <c r="A12" s="101">
        <f t="shared" si="0"/>
        <v>7</v>
      </c>
      <c r="B12" s="57" t="s">
        <v>237</v>
      </c>
      <c r="C12" s="129"/>
      <c r="D12" s="655"/>
      <c r="E12" s="207"/>
      <c r="F12" s="207"/>
    </row>
    <row r="13" spans="1:12" s="4" customFormat="1" ht="19.5" customHeight="1" x14ac:dyDescent="0.2">
      <c r="A13" s="101">
        <f t="shared" si="0"/>
        <v>8</v>
      </c>
      <c r="B13" s="57" t="s">
        <v>239</v>
      </c>
      <c r="C13" s="129"/>
      <c r="D13" s="655"/>
      <c r="E13" s="207"/>
      <c r="F13" s="207"/>
    </row>
    <row r="14" spans="1:12" s="4" customFormat="1" ht="21.75" customHeight="1" x14ac:dyDescent="0.2">
      <c r="A14" s="101">
        <f t="shared" si="0"/>
        <v>9</v>
      </c>
      <c r="B14" s="41" t="s">
        <v>20</v>
      </c>
      <c r="C14" s="46">
        <f>C6+C7</f>
        <v>1491269.7</v>
      </c>
      <c r="D14" s="654">
        <f>D6+D7</f>
        <v>1406464.15</v>
      </c>
      <c r="E14" s="207"/>
      <c r="F14" s="207"/>
    </row>
    <row r="15" spans="1:12" s="4" customFormat="1" ht="27" customHeight="1" x14ac:dyDescent="0.2">
      <c r="A15" s="101">
        <f t="shared" si="0"/>
        <v>10</v>
      </c>
      <c r="B15" s="328" t="s">
        <v>809</v>
      </c>
      <c r="C15" s="149">
        <v>1136960</v>
      </c>
      <c r="D15" s="656">
        <v>1423700</v>
      </c>
      <c r="E15" s="898"/>
      <c r="F15" s="899"/>
      <c r="G15" s="224"/>
      <c r="H15" s="590"/>
      <c r="I15" s="590"/>
    </row>
    <row r="16" spans="1:12" s="4" customFormat="1" ht="31.5" x14ac:dyDescent="0.2">
      <c r="A16" s="116" t="s">
        <v>540</v>
      </c>
      <c r="B16" s="60" t="s">
        <v>710</v>
      </c>
      <c r="C16" s="149">
        <v>154153.64000000001</v>
      </c>
      <c r="D16" s="653">
        <f>6720.95+790.7</f>
        <v>7511.65</v>
      </c>
      <c r="E16" s="438"/>
      <c r="F16" s="207"/>
      <c r="L16" s="545"/>
    </row>
    <row r="17" spans="1:12" s="4" customFormat="1" ht="28.5" customHeight="1" x14ac:dyDescent="0.2">
      <c r="A17" s="101">
        <f>A15+1</f>
        <v>11</v>
      </c>
      <c r="B17" s="41" t="s">
        <v>576</v>
      </c>
      <c r="C17" s="149">
        <v>1247694.18</v>
      </c>
      <c r="D17" s="653">
        <v>863792.49</v>
      </c>
      <c r="E17" s="207"/>
      <c r="F17" s="207"/>
    </row>
    <row r="18" spans="1:12" s="4" customFormat="1" ht="23.25" customHeight="1" x14ac:dyDescent="0.2">
      <c r="A18" s="101">
        <f t="shared" si="0"/>
        <v>12</v>
      </c>
      <c r="B18" s="41" t="s">
        <v>141</v>
      </c>
      <c r="C18" s="149">
        <v>0</v>
      </c>
      <c r="D18" s="653">
        <v>0</v>
      </c>
      <c r="E18" s="207"/>
      <c r="F18" s="207"/>
    </row>
    <row r="19" spans="1:12" s="4" customFormat="1" ht="33" customHeight="1" x14ac:dyDescent="0.2">
      <c r="A19" s="101">
        <f t="shared" si="0"/>
        <v>13</v>
      </c>
      <c r="B19" s="41" t="s">
        <v>577</v>
      </c>
      <c r="C19" s="149">
        <v>5039974.03</v>
      </c>
      <c r="D19" s="653">
        <v>2773960.16</v>
      </c>
      <c r="E19" s="207"/>
      <c r="F19" s="207"/>
      <c r="L19" s="546"/>
    </row>
    <row r="20" spans="1:12" s="4" customFormat="1" ht="21" customHeight="1" thickBot="1" x14ac:dyDescent="0.25">
      <c r="A20" s="102">
        <f t="shared" si="0"/>
        <v>14</v>
      </c>
      <c r="B20" s="43" t="s">
        <v>39</v>
      </c>
      <c r="C20" s="133">
        <f>SUM(C14:C19)</f>
        <v>9070051.5500000007</v>
      </c>
      <c r="D20" s="657">
        <f>SUM(D14:D19)</f>
        <v>6475428.4500000002</v>
      </c>
      <c r="E20" s="207"/>
      <c r="F20" s="207"/>
    </row>
    <row r="21" spans="1:12" ht="9" customHeight="1" x14ac:dyDescent="0.25"/>
    <row r="22" spans="1:12" ht="18" customHeight="1" x14ac:dyDescent="0.25">
      <c r="A22" s="758" t="s">
        <v>43</v>
      </c>
      <c r="B22" s="759"/>
      <c r="C22" s="759"/>
      <c r="D22" s="760"/>
    </row>
    <row r="23" spans="1:12" x14ac:dyDescent="0.25">
      <c r="A23" s="778" t="s">
        <v>7</v>
      </c>
      <c r="B23" s="779"/>
      <c r="C23" s="779"/>
      <c r="D23" s="780"/>
      <c r="E23" s="207"/>
      <c r="F23" s="207"/>
      <c r="G23" s="123"/>
      <c r="H23" s="123"/>
      <c r="I23" s="123"/>
    </row>
    <row r="24" spans="1:12" x14ac:dyDescent="0.25">
      <c r="A24" s="451" t="s">
        <v>711</v>
      </c>
      <c r="B24" s="452" t="s">
        <v>787</v>
      </c>
    </row>
  </sheetData>
  <mergeCells count="7">
    <mergeCell ref="A23:D23"/>
    <mergeCell ref="A22:D22"/>
    <mergeCell ref="A1:D1"/>
    <mergeCell ref="A3:A4"/>
    <mergeCell ref="B3:B4"/>
    <mergeCell ref="C3:D3"/>
    <mergeCell ref="A2:D2"/>
  </mergeCells>
  <phoneticPr fontId="0" type="noConversion"/>
  <printOptions gridLines="1"/>
  <pageMargins left="0.74803149606299213" right="0.54" top="0.98425196850393704" bottom="0.82" header="0.51181102362204722" footer="0.51181102362204722"/>
  <pageSetup paperSize="9" scale="9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O83"/>
  <sheetViews>
    <sheetView zoomScale="90" zoomScaleNormal="90" workbookViewId="0">
      <pane xSplit="2" ySplit="5" topLeftCell="C6" activePane="bottomRight" state="frozen"/>
      <selection pane="topRight" activeCell="C1" sqref="C1"/>
      <selection pane="bottomLeft" activeCell="A6" sqref="A6"/>
      <selection pane="bottomRight" activeCell="N23" sqref="N23"/>
    </sheetView>
  </sheetViews>
  <sheetFormatPr defaultRowHeight="15.75" x14ac:dyDescent="0.25"/>
  <cols>
    <col min="1" max="1" width="7.42578125" style="2" customWidth="1"/>
    <col min="2" max="2" width="51.5703125" style="7" customWidth="1"/>
    <col min="3" max="3" width="22.28515625" style="7" customWidth="1"/>
    <col min="4" max="4" width="18.140625" style="2" customWidth="1"/>
    <col min="5" max="5" width="18.5703125" style="2" customWidth="1"/>
    <col min="6" max="6" width="16.28515625" style="2" customWidth="1"/>
    <col min="7" max="7" width="11.85546875" style="2" customWidth="1"/>
    <col min="8" max="8" width="15.42578125" style="2" customWidth="1"/>
    <col min="9" max="9" width="18.28515625" style="2" customWidth="1"/>
    <col min="10" max="10" width="13.28515625" style="2" customWidth="1"/>
    <col min="11" max="13" width="9.140625" style="2"/>
    <col min="14" max="14" width="11.5703125" style="2" customWidth="1"/>
    <col min="15" max="15" width="16.5703125" style="2" bestFit="1" customWidth="1"/>
    <col min="16" max="16384" width="9.140625" style="2"/>
  </cols>
  <sheetData>
    <row r="1" spans="1:15" ht="35.1" customHeight="1" thickBot="1" x14ac:dyDescent="0.3">
      <c r="A1" s="815" t="s">
        <v>788</v>
      </c>
      <c r="B1" s="816"/>
      <c r="C1" s="816"/>
      <c r="D1" s="816"/>
      <c r="E1" s="816"/>
      <c r="F1" s="816"/>
      <c r="G1" s="816"/>
      <c r="H1" s="816"/>
      <c r="I1" s="817"/>
    </row>
    <row r="2" spans="1:15" ht="35.1" customHeight="1" x14ac:dyDescent="0.25">
      <c r="A2" s="722" t="s">
        <v>865</v>
      </c>
      <c r="B2" s="723"/>
      <c r="C2" s="723"/>
      <c r="D2" s="723"/>
      <c r="E2" s="723"/>
      <c r="F2" s="723"/>
      <c r="G2" s="723"/>
      <c r="H2" s="723"/>
      <c r="I2" s="724"/>
    </row>
    <row r="3" spans="1:15" s="4" customFormat="1" ht="35.25" customHeight="1" x14ac:dyDescent="0.2">
      <c r="A3" s="774" t="s">
        <v>115</v>
      </c>
      <c r="B3" s="692" t="s">
        <v>192</v>
      </c>
      <c r="C3" s="820" t="s">
        <v>810</v>
      </c>
      <c r="D3" s="744" t="s">
        <v>789</v>
      </c>
      <c r="E3" s="744" t="s">
        <v>790</v>
      </c>
      <c r="F3" s="744" t="s">
        <v>727</v>
      </c>
      <c r="G3" s="818" t="s">
        <v>121</v>
      </c>
      <c r="H3" s="818" t="s">
        <v>875</v>
      </c>
      <c r="I3" s="813" t="s">
        <v>122</v>
      </c>
    </row>
    <row r="4" spans="1:15" s="4" customFormat="1" ht="72" customHeight="1" x14ac:dyDescent="0.2">
      <c r="A4" s="690"/>
      <c r="B4" s="739"/>
      <c r="C4" s="821"/>
      <c r="D4" s="745"/>
      <c r="E4" s="745"/>
      <c r="F4" s="745"/>
      <c r="G4" s="819"/>
      <c r="H4" s="819"/>
      <c r="I4" s="814"/>
    </row>
    <row r="5" spans="1:15" s="4" customFormat="1" x14ac:dyDescent="0.2">
      <c r="A5" s="28"/>
      <c r="B5" s="87"/>
      <c r="C5" s="90" t="s">
        <v>158</v>
      </c>
      <c r="D5" s="90" t="s">
        <v>159</v>
      </c>
      <c r="E5" s="33" t="s">
        <v>160</v>
      </c>
      <c r="F5" s="33" t="s">
        <v>166</v>
      </c>
      <c r="G5" s="33" t="s">
        <v>161</v>
      </c>
      <c r="H5" s="33" t="s">
        <v>162</v>
      </c>
      <c r="I5" s="213" t="s">
        <v>541</v>
      </c>
    </row>
    <row r="6" spans="1:15" s="4" customFormat="1" x14ac:dyDescent="0.2">
      <c r="A6" s="28">
        <v>1</v>
      </c>
      <c r="B6" s="64" t="s">
        <v>231</v>
      </c>
      <c r="C6" s="48"/>
      <c r="D6" s="48">
        <f>D8</f>
        <v>3636.6</v>
      </c>
      <c r="E6" s="48">
        <f>E8</f>
        <v>2964</v>
      </c>
      <c r="F6" s="48">
        <v>2976</v>
      </c>
      <c r="G6" s="48"/>
      <c r="H6" s="48"/>
      <c r="I6" s="128">
        <f t="shared" ref="I6:I17" si="0">SUM(C6:H6)</f>
        <v>9576.6</v>
      </c>
    </row>
    <row r="7" spans="1:15" s="4" customFormat="1" x14ac:dyDescent="0.2">
      <c r="A7" s="28"/>
      <c r="B7" s="65" t="s">
        <v>172</v>
      </c>
      <c r="C7" s="48"/>
      <c r="D7" s="48"/>
      <c r="E7" s="48"/>
      <c r="F7" s="48"/>
      <c r="G7" s="48"/>
      <c r="H7" s="48"/>
      <c r="I7" s="128"/>
    </row>
    <row r="8" spans="1:15" s="4" customFormat="1" x14ac:dyDescent="0.2">
      <c r="A8" s="28">
        <v>2</v>
      </c>
      <c r="B8" s="107" t="s">
        <v>21</v>
      </c>
      <c r="C8" s="48"/>
      <c r="D8" s="48">
        <v>3636.6</v>
      </c>
      <c r="E8" s="48">
        <v>2964</v>
      </c>
      <c r="F8" s="48"/>
      <c r="G8" s="48"/>
      <c r="H8" s="48"/>
      <c r="I8" s="128">
        <f t="shared" si="0"/>
        <v>6600.6</v>
      </c>
    </row>
    <row r="9" spans="1:15" x14ac:dyDescent="0.25">
      <c r="A9" s="28">
        <v>3</v>
      </c>
      <c r="B9" s="64" t="s">
        <v>157</v>
      </c>
      <c r="C9" s="48"/>
      <c r="D9" s="48"/>
      <c r="E9" s="48"/>
      <c r="F9" s="48"/>
      <c r="G9" s="48"/>
      <c r="H9" s="48"/>
      <c r="I9" s="128">
        <f t="shared" si="0"/>
        <v>0</v>
      </c>
    </row>
    <row r="10" spans="1:15" ht="31.5" x14ac:dyDescent="0.25">
      <c r="A10" s="28">
        <v>4</v>
      </c>
      <c r="B10" s="446" t="s">
        <v>712</v>
      </c>
      <c r="C10" s="58">
        <f>SUM(C11:C16)</f>
        <v>18138.68</v>
      </c>
      <c r="D10" s="58">
        <f t="shared" ref="D10:I10" si="1">SUM(D11:D16)</f>
        <v>75182.05</v>
      </c>
      <c r="E10" s="58">
        <f t="shared" si="1"/>
        <v>142657.67000000001</v>
      </c>
      <c r="F10" s="58">
        <f t="shared" si="1"/>
        <v>136708.37</v>
      </c>
      <c r="G10" s="58">
        <f t="shared" si="1"/>
        <v>0</v>
      </c>
      <c r="H10" s="58">
        <f t="shared" si="1"/>
        <v>3550.53</v>
      </c>
      <c r="I10" s="128">
        <f t="shared" si="1"/>
        <v>376237.3</v>
      </c>
      <c r="J10" s="436"/>
    </row>
    <row r="11" spans="1:15" x14ac:dyDescent="0.25">
      <c r="A11" s="28">
        <v>5</v>
      </c>
      <c r="B11" s="447" t="s">
        <v>206</v>
      </c>
      <c r="C11" s="48"/>
      <c r="D11" s="48"/>
      <c r="E11" s="48"/>
      <c r="F11" s="48"/>
      <c r="G11" s="48"/>
      <c r="H11" s="48"/>
      <c r="I11" s="128">
        <f t="shared" si="0"/>
        <v>0</v>
      </c>
    </row>
    <row r="12" spans="1:15" x14ac:dyDescent="0.25">
      <c r="A12" s="28">
        <v>6</v>
      </c>
      <c r="B12" s="447" t="s">
        <v>709</v>
      </c>
      <c r="C12" s="48"/>
      <c r="D12" s="48"/>
      <c r="E12" s="48"/>
      <c r="F12" s="48"/>
      <c r="G12" s="48"/>
      <c r="H12" s="48"/>
      <c r="I12" s="128">
        <f t="shared" si="0"/>
        <v>0</v>
      </c>
      <c r="J12" s="437"/>
    </row>
    <row r="13" spans="1:15" x14ac:dyDescent="0.25">
      <c r="A13" s="28">
        <v>7</v>
      </c>
      <c r="B13" s="308" t="s">
        <v>207</v>
      </c>
      <c r="C13" s="48"/>
      <c r="D13" s="48"/>
      <c r="E13" s="48">
        <v>70131.360000000001</v>
      </c>
      <c r="F13" s="48">
        <f>42456+27410</f>
        <v>69866</v>
      </c>
      <c r="G13" s="48"/>
      <c r="H13" s="48"/>
      <c r="I13" s="128">
        <f t="shared" si="0"/>
        <v>139997.35999999999</v>
      </c>
    </row>
    <row r="14" spans="1:15" ht="31.5" x14ac:dyDescent="0.25">
      <c r="A14" s="28">
        <v>8</v>
      </c>
      <c r="B14" s="447" t="s">
        <v>208</v>
      </c>
      <c r="C14" s="48">
        <v>18138.68</v>
      </c>
      <c r="D14" s="48">
        <v>75182.05</v>
      </c>
      <c r="E14" s="48">
        <v>66180.52</v>
      </c>
      <c r="F14" s="48">
        <v>53896.52</v>
      </c>
      <c r="G14" s="48"/>
      <c r="H14" s="48">
        <v>3550.53</v>
      </c>
      <c r="I14" s="128">
        <f t="shared" si="0"/>
        <v>216948.3</v>
      </c>
    </row>
    <row r="15" spans="1:15" ht="31.5" x14ac:dyDescent="0.25">
      <c r="A15" s="38">
        <v>9</v>
      </c>
      <c r="B15" s="447" t="s">
        <v>209</v>
      </c>
      <c r="C15" s="48"/>
      <c r="D15" s="48"/>
      <c r="E15" s="48">
        <v>6345.79</v>
      </c>
      <c r="F15" s="48">
        <v>12945.85</v>
      </c>
      <c r="G15" s="48"/>
      <c r="H15" s="48"/>
      <c r="I15" s="128">
        <f t="shared" si="0"/>
        <v>19291.64</v>
      </c>
      <c r="O15" s="550"/>
    </row>
    <row r="16" spans="1:15" x14ac:dyDescent="0.25">
      <c r="A16" s="28">
        <v>10</v>
      </c>
      <c r="B16" s="447" t="s">
        <v>707</v>
      </c>
      <c r="C16" s="48"/>
      <c r="D16" s="48"/>
      <c r="E16" s="48"/>
      <c r="F16" s="48"/>
      <c r="G16" s="48"/>
      <c r="H16" s="48"/>
      <c r="I16" s="128">
        <f t="shared" si="0"/>
        <v>0</v>
      </c>
      <c r="J16" s="436"/>
      <c r="O16" s="550"/>
    </row>
    <row r="17" spans="1:15" x14ac:dyDescent="0.25">
      <c r="A17" s="28">
        <v>11</v>
      </c>
      <c r="B17" s="448" t="s">
        <v>99</v>
      </c>
      <c r="C17" s="48"/>
      <c r="D17" s="48"/>
      <c r="E17" s="48"/>
      <c r="F17" s="48">
        <v>33200</v>
      </c>
      <c r="G17" s="48"/>
      <c r="H17" s="48"/>
      <c r="I17" s="128">
        <f t="shared" si="0"/>
        <v>33200</v>
      </c>
      <c r="O17" s="550"/>
    </row>
    <row r="18" spans="1:15" x14ac:dyDescent="0.25">
      <c r="A18" s="38">
        <v>12</v>
      </c>
      <c r="B18" s="446" t="s">
        <v>100</v>
      </c>
      <c r="C18" s="48"/>
      <c r="D18" s="48"/>
      <c r="E18" s="48">
        <v>7020</v>
      </c>
      <c r="F18" s="48">
        <v>219900</v>
      </c>
      <c r="G18" s="48"/>
      <c r="H18" s="48"/>
      <c r="I18" s="128">
        <f t="shared" ref="I18:I23" si="2">SUM(C18:H18)</f>
        <v>226920</v>
      </c>
    </row>
    <row r="19" spans="1:15" x14ac:dyDescent="0.25">
      <c r="A19" s="28">
        <v>13</v>
      </c>
      <c r="B19" s="446" t="s">
        <v>169</v>
      </c>
      <c r="C19" s="48">
        <v>160000</v>
      </c>
      <c r="D19" s="48"/>
      <c r="E19" s="48">
        <f>297292.19+2500</f>
        <v>299792.19</v>
      </c>
      <c r="F19" s="48">
        <f>2803762.13+7716+2888.69</f>
        <v>2814366.82</v>
      </c>
      <c r="G19" s="48"/>
      <c r="H19" s="48"/>
      <c r="I19" s="128">
        <f t="shared" si="2"/>
        <v>3274159.01</v>
      </c>
    </row>
    <row r="20" spans="1:15" x14ac:dyDescent="0.25">
      <c r="A20" s="28">
        <v>14</v>
      </c>
      <c r="B20" s="446" t="s">
        <v>101</v>
      </c>
      <c r="C20" s="48"/>
      <c r="D20" s="48"/>
      <c r="E20" s="48">
        <v>36000</v>
      </c>
      <c r="F20" s="48"/>
      <c r="G20" s="48"/>
      <c r="H20" s="48"/>
      <c r="I20" s="128">
        <f t="shared" si="2"/>
        <v>36000</v>
      </c>
    </row>
    <row r="21" spans="1:15" x14ac:dyDescent="0.25">
      <c r="A21" s="38">
        <v>15</v>
      </c>
      <c r="B21" s="446" t="s">
        <v>177</v>
      </c>
      <c r="C21" s="48"/>
      <c r="D21" s="48"/>
      <c r="E21" s="48"/>
      <c r="F21" s="48"/>
      <c r="G21" s="48"/>
      <c r="H21" s="48"/>
      <c r="I21" s="128">
        <f t="shared" si="2"/>
        <v>0</v>
      </c>
      <c r="O21" s="549"/>
    </row>
    <row r="22" spans="1:15" x14ac:dyDescent="0.25">
      <c r="A22" s="28">
        <v>16</v>
      </c>
      <c r="B22" s="449" t="s">
        <v>682</v>
      </c>
      <c r="C22" s="417"/>
      <c r="D22" s="48"/>
      <c r="E22" s="48"/>
      <c r="F22" s="48"/>
      <c r="G22" s="48"/>
      <c r="H22" s="48"/>
      <c r="I22" s="128">
        <f t="shared" si="2"/>
        <v>0</v>
      </c>
    </row>
    <row r="23" spans="1:15" ht="48" thickBot="1" x14ac:dyDescent="0.3">
      <c r="A23" s="29">
        <v>17</v>
      </c>
      <c r="B23" s="450" t="s">
        <v>713</v>
      </c>
      <c r="C23" s="418">
        <f>+C6+C9+C10+C17+C18+C19+C20+C21+C22</f>
        <v>178138.68</v>
      </c>
      <c r="D23" s="355">
        <f>+D6+D9+D10+D17+D18+D19+D20+D21+D22</f>
        <v>78818.650000000009</v>
      </c>
      <c r="E23" s="588">
        <f t="shared" ref="E23:H23" si="3">+E6+E9+E10+E17+E18+E19+E20+E21+E22</f>
        <v>488433.86</v>
      </c>
      <c r="F23" s="355">
        <f t="shared" si="3"/>
        <v>3207151.19</v>
      </c>
      <c r="G23" s="355">
        <f t="shared" si="3"/>
        <v>0</v>
      </c>
      <c r="H23" s="355">
        <f t="shared" si="3"/>
        <v>3550.53</v>
      </c>
      <c r="I23" s="589">
        <f t="shared" si="2"/>
        <v>3956092.9099999997</v>
      </c>
      <c r="M23" s="549"/>
      <c r="N23" s="548"/>
    </row>
    <row r="24" spans="1:15" x14ac:dyDescent="0.25">
      <c r="C24" s="205"/>
      <c r="D24" s="204"/>
      <c r="E24" s="204"/>
      <c r="F24" s="204"/>
      <c r="G24" s="204"/>
      <c r="H24" s="204"/>
    </row>
    <row r="25" spans="1:15" x14ac:dyDescent="0.25">
      <c r="A25" s="442" t="s">
        <v>711</v>
      </c>
      <c r="B25" s="443" t="s">
        <v>791</v>
      </c>
      <c r="C25" s="204"/>
      <c r="D25" s="204"/>
      <c r="E25" s="204"/>
      <c r="F25" s="204"/>
      <c r="G25" s="204"/>
      <c r="H25" s="204"/>
    </row>
    <row r="26" spans="1:15" x14ac:dyDescent="0.25">
      <c r="C26" s="204"/>
      <c r="D26" s="204"/>
      <c r="E26" s="204"/>
      <c r="F26" s="204"/>
      <c r="G26" s="204"/>
      <c r="H26" s="204"/>
    </row>
    <row r="27" spans="1:15" x14ac:dyDescent="0.25">
      <c r="C27" s="204"/>
      <c r="D27" s="204"/>
      <c r="E27" s="204"/>
      <c r="F27" s="204"/>
      <c r="G27" s="204"/>
      <c r="H27" s="204"/>
    </row>
    <row r="28" spans="1:15" x14ac:dyDescent="0.25">
      <c r="C28" s="204"/>
      <c r="D28" s="204"/>
      <c r="E28" s="204"/>
      <c r="F28" s="204"/>
      <c r="G28" s="204"/>
      <c r="H28" s="204"/>
    </row>
    <row r="29" spans="1:15" x14ac:dyDescent="0.25">
      <c r="C29" s="204"/>
      <c r="D29" s="204"/>
      <c r="E29" s="204"/>
      <c r="F29" s="204"/>
      <c r="G29" s="204"/>
      <c r="H29" s="204"/>
    </row>
    <row r="30" spans="1:15" x14ac:dyDescent="0.25">
      <c r="C30" s="204"/>
      <c r="D30" s="204"/>
      <c r="E30" s="204"/>
      <c r="F30" s="204"/>
      <c r="G30" s="204"/>
      <c r="H30" s="204"/>
    </row>
    <row r="31" spans="1:15" x14ac:dyDescent="0.25">
      <c r="C31" s="204"/>
      <c r="D31" s="204"/>
      <c r="E31" s="204"/>
      <c r="F31" s="204"/>
      <c r="G31" s="204"/>
      <c r="H31" s="204"/>
    </row>
    <row r="32" spans="1:15" x14ac:dyDescent="0.25">
      <c r="C32" s="204"/>
      <c r="D32" s="204"/>
      <c r="E32" s="204"/>
      <c r="F32" s="204"/>
      <c r="G32" s="204"/>
      <c r="H32" s="204"/>
    </row>
    <row r="33" spans="3:8" x14ac:dyDescent="0.25">
      <c r="C33" s="204"/>
      <c r="D33" s="204"/>
      <c r="E33" s="204"/>
      <c r="F33" s="204"/>
      <c r="G33" s="204"/>
      <c r="H33" s="204"/>
    </row>
    <row r="34" spans="3:8" x14ac:dyDescent="0.25">
      <c r="C34" s="204"/>
      <c r="D34" s="204"/>
      <c r="E34" s="204"/>
      <c r="F34" s="204"/>
      <c r="G34" s="204"/>
      <c r="H34" s="204"/>
    </row>
    <row r="35" spans="3:8" x14ac:dyDescent="0.25">
      <c r="C35" s="204"/>
      <c r="D35" s="204"/>
      <c r="E35" s="204"/>
      <c r="F35" s="204"/>
      <c r="G35" s="204"/>
      <c r="H35" s="204"/>
    </row>
    <row r="36" spans="3:8" x14ac:dyDescent="0.25">
      <c r="C36" s="204"/>
      <c r="D36" s="204"/>
      <c r="E36" s="204"/>
      <c r="F36" s="204"/>
      <c r="G36" s="204"/>
      <c r="H36" s="204"/>
    </row>
    <row r="37" spans="3:8" x14ac:dyDescent="0.25">
      <c r="C37" s="204"/>
      <c r="D37" s="204"/>
      <c r="E37" s="204"/>
      <c r="F37" s="204"/>
      <c r="G37" s="204"/>
      <c r="H37" s="204"/>
    </row>
    <row r="38" spans="3:8" x14ac:dyDescent="0.25">
      <c r="C38" s="204"/>
      <c r="D38" s="204"/>
      <c r="E38" s="204"/>
      <c r="F38" s="204"/>
      <c r="G38" s="204"/>
      <c r="H38" s="204"/>
    </row>
    <row r="39" spans="3:8" x14ac:dyDescent="0.25">
      <c r="C39" s="204"/>
      <c r="D39" s="204"/>
      <c r="E39" s="204"/>
      <c r="F39" s="204"/>
      <c r="G39" s="204"/>
      <c r="H39" s="204"/>
    </row>
    <row r="40" spans="3:8" x14ac:dyDescent="0.25">
      <c r="C40" s="204"/>
      <c r="D40" s="204"/>
      <c r="E40" s="204"/>
      <c r="F40" s="204"/>
      <c r="G40" s="204"/>
      <c r="H40" s="204"/>
    </row>
    <row r="41" spans="3:8" x14ac:dyDescent="0.25">
      <c r="C41" s="204"/>
      <c r="D41" s="204"/>
      <c r="E41" s="204"/>
      <c r="F41" s="204"/>
      <c r="G41" s="204"/>
      <c r="H41" s="204"/>
    </row>
    <row r="42" spans="3:8" x14ac:dyDescent="0.25">
      <c r="C42" s="204"/>
      <c r="D42" s="204"/>
      <c r="E42" s="204"/>
      <c r="F42" s="204"/>
      <c r="G42" s="204"/>
      <c r="H42" s="204"/>
    </row>
    <row r="43" spans="3:8" x14ac:dyDescent="0.25">
      <c r="C43" s="204"/>
      <c r="D43" s="204"/>
      <c r="E43" s="204"/>
      <c r="F43" s="204"/>
      <c r="G43" s="204"/>
      <c r="H43" s="204"/>
    </row>
    <row r="44" spans="3:8" x14ac:dyDescent="0.25">
      <c r="C44" s="204"/>
      <c r="D44" s="204"/>
      <c r="E44" s="204"/>
      <c r="F44" s="204"/>
      <c r="G44" s="204"/>
      <c r="H44" s="204"/>
    </row>
    <row r="45" spans="3:8" x14ac:dyDescent="0.25">
      <c r="C45" s="204"/>
      <c r="D45" s="204"/>
      <c r="E45" s="204"/>
      <c r="F45" s="204"/>
      <c r="G45" s="204"/>
      <c r="H45" s="204"/>
    </row>
    <row r="46" spans="3:8" x14ac:dyDescent="0.25">
      <c r="C46" s="204"/>
      <c r="D46" s="204"/>
      <c r="E46" s="204"/>
      <c r="F46" s="204"/>
      <c r="G46" s="204"/>
      <c r="H46" s="204"/>
    </row>
    <row r="47" spans="3:8" x14ac:dyDescent="0.25">
      <c r="C47" s="204"/>
      <c r="D47" s="204"/>
      <c r="E47" s="204"/>
      <c r="F47" s="204"/>
      <c r="G47" s="204"/>
      <c r="H47" s="204"/>
    </row>
    <row r="48" spans="3:8" x14ac:dyDescent="0.25">
      <c r="C48" s="204"/>
      <c r="D48" s="204"/>
      <c r="E48" s="204"/>
      <c r="F48" s="204"/>
      <c r="G48" s="204"/>
      <c r="H48" s="204"/>
    </row>
    <row r="49" spans="3:8" x14ac:dyDescent="0.25">
      <c r="C49" s="204"/>
      <c r="D49" s="204"/>
      <c r="E49" s="204"/>
      <c r="F49" s="204"/>
      <c r="G49" s="204"/>
      <c r="H49" s="204"/>
    </row>
    <row r="50" spans="3:8" x14ac:dyDescent="0.25">
      <c r="C50" s="204"/>
      <c r="D50" s="204"/>
      <c r="E50" s="204"/>
      <c r="F50" s="204"/>
      <c r="G50" s="204"/>
      <c r="H50" s="204"/>
    </row>
    <row r="51" spans="3:8" x14ac:dyDescent="0.25">
      <c r="C51" s="204"/>
      <c r="D51" s="204"/>
      <c r="E51" s="204"/>
      <c r="F51" s="204"/>
      <c r="G51" s="204"/>
      <c r="H51" s="204"/>
    </row>
    <row r="52" spans="3:8" x14ac:dyDescent="0.25">
      <c r="C52" s="204"/>
      <c r="D52" s="204"/>
      <c r="E52" s="204"/>
      <c r="F52" s="204"/>
      <c r="G52" s="204"/>
      <c r="H52" s="204"/>
    </row>
    <row r="53" spans="3:8" x14ac:dyDescent="0.25">
      <c r="C53" s="204"/>
      <c r="D53" s="204"/>
      <c r="E53" s="204"/>
      <c r="F53" s="204"/>
      <c r="G53" s="204"/>
      <c r="H53" s="204"/>
    </row>
    <row r="54" spans="3:8" x14ac:dyDescent="0.25">
      <c r="C54" s="204"/>
      <c r="D54" s="204"/>
      <c r="E54" s="204"/>
      <c r="F54" s="204"/>
      <c r="G54" s="204"/>
      <c r="H54" s="204"/>
    </row>
    <row r="55" spans="3:8" x14ac:dyDescent="0.25">
      <c r="C55" s="204"/>
      <c r="D55" s="204"/>
      <c r="E55" s="204"/>
      <c r="F55" s="204"/>
      <c r="G55" s="204"/>
      <c r="H55" s="204"/>
    </row>
    <row r="56" spans="3:8" x14ac:dyDescent="0.25">
      <c r="C56" s="204"/>
      <c r="D56" s="204"/>
      <c r="E56" s="204"/>
      <c r="F56" s="204"/>
      <c r="G56" s="204"/>
      <c r="H56" s="204"/>
    </row>
    <row r="57" spans="3:8" x14ac:dyDescent="0.25">
      <c r="C57" s="204"/>
      <c r="D57" s="204"/>
      <c r="E57" s="204"/>
      <c r="F57" s="204"/>
      <c r="G57" s="204"/>
      <c r="H57" s="204"/>
    </row>
    <row r="58" spans="3:8" x14ac:dyDescent="0.25">
      <c r="C58" s="204"/>
      <c r="D58" s="204"/>
      <c r="E58" s="204"/>
      <c r="F58" s="204"/>
      <c r="G58" s="204"/>
      <c r="H58" s="204"/>
    </row>
    <row r="59" spans="3:8" x14ac:dyDescent="0.25">
      <c r="C59" s="204"/>
      <c r="D59" s="204"/>
      <c r="E59" s="204"/>
      <c r="F59" s="204"/>
      <c r="G59" s="204"/>
      <c r="H59" s="204"/>
    </row>
    <row r="60" spans="3:8" x14ac:dyDescent="0.25">
      <c r="C60" s="204"/>
      <c r="D60" s="204"/>
      <c r="E60" s="204"/>
      <c r="F60" s="204"/>
      <c r="G60" s="204"/>
      <c r="H60" s="204"/>
    </row>
    <row r="61" spans="3:8" x14ac:dyDescent="0.25">
      <c r="C61" s="204"/>
      <c r="D61" s="204"/>
      <c r="E61" s="204"/>
      <c r="F61" s="204"/>
      <c r="G61" s="204"/>
      <c r="H61" s="204"/>
    </row>
    <row r="62" spans="3:8" x14ac:dyDescent="0.25">
      <c r="C62" s="204"/>
      <c r="D62" s="204"/>
      <c r="E62" s="204"/>
      <c r="F62" s="204"/>
      <c r="G62" s="204"/>
      <c r="H62" s="204"/>
    </row>
    <row r="63" spans="3:8" x14ac:dyDescent="0.25">
      <c r="C63" s="204"/>
      <c r="D63" s="204"/>
      <c r="E63" s="204"/>
      <c r="F63" s="204"/>
      <c r="G63" s="204"/>
      <c r="H63" s="204"/>
    </row>
    <row r="64" spans="3:8" x14ac:dyDescent="0.25">
      <c r="C64" s="204"/>
      <c r="D64" s="204"/>
      <c r="E64" s="204"/>
      <c r="F64" s="204"/>
      <c r="G64" s="204"/>
      <c r="H64" s="204"/>
    </row>
    <row r="65" spans="3:8" x14ac:dyDescent="0.25">
      <c r="C65" s="204"/>
      <c r="D65" s="204"/>
      <c r="E65" s="204"/>
      <c r="F65" s="204"/>
      <c r="G65" s="204"/>
      <c r="H65" s="204"/>
    </row>
    <row r="66" spans="3:8" x14ac:dyDescent="0.25">
      <c r="C66" s="204"/>
      <c r="D66" s="204"/>
      <c r="E66" s="204"/>
      <c r="F66" s="204"/>
      <c r="G66" s="204"/>
      <c r="H66" s="204"/>
    </row>
    <row r="67" spans="3:8" x14ac:dyDescent="0.25">
      <c r="C67" s="204"/>
      <c r="D67" s="204"/>
      <c r="E67" s="204"/>
      <c r="F67" s="204"/>
      <c r="G67" s="204"/>
      <c r="H67" s="204"/>
    </row>
    <row r="68" spans="3:8" x14ac:dyDescent="0.25">
      <c r="C68" s="204"/>
      <c r="D68" s="204"/>
      <c r="E68" s="204"/>
      <c r="F68" s="204"/>
      <c r="G68" s="204"/>
      <c r="H68" s="204"/>
    </row>
    <row r="69" spans="3:8" x14ac:dyDescent="0.25">
      <c r="C69" s="204"/>
      <c r="D69" s="204"/>
      <c r="E69" s="204"/>
      <c r="F69" s="204"/>
      <c r="G69" s="204"/>
      <c r="H69" s="204"/>
    </row>
    <row r="70" spans="3:8" x14ac:dyDescent="0.25">
      <c r="C70" s="204"/>
      <c r="D70" s="204"/>
      <c r="E70" s="204"/>
      <c r="F70" s="204"/>
      <c r="G70" s="204"/>
      <c r="H70" s="204"/>
    </row>
    <row r="71" spans="3:8" x14ac:dyDescent="0.25">
      <c r="C71" s="204"/>
      <c r="D71" s="204"/>
      <c r="E71" s="204"/>
      <c r="F71" s="204"/>
      <c r="G71" s="204"/>
      <c r="H71" s="204"/>
    </row>
    <row r="72" spans="3:8" x14ac:dyDescent="0.25">
      <c r="C72" s="204"/>
      <c r="D72" s="204"/>
      <c r="E72" s="204"/>
      <c r="F72" s="204"/>
      <c r="G72" s="204"/>
      <c r="H72" s="204"/>
    </row>
    <row r="73" spans="3:8" x14ac:dyDescent="0.25">
      <c r="C73" s="204"/>
      <c r="D73" s="204"/>
      <c r="E73" s="204"/>
      <c r="F73" s="204"/>
      <c r="G73" s="204"/>
      <c r="H73" s="204"/>
    </row>
    <row r="74" spans="3:8" x14ac:dyDescent="0.25">
      <c r="C74" s="204"/>
      <c r="D74" s="204"/>
      <c r="E74" s="204"/>
      <c r="F74" s="204"/>
      <c r="G74" s="204"/>
      <c r="H74" s="204"/>
    </row>
    <row r="75" spans="3:8" x14ac:dyDescent="0.25">
      <c r="C75" s="204"/>
      <c r="D75" s="204"/>
      <c r="E75" s="204"/>
      <c r="F75" s="204"/>
      <c r="G75" s="204"/>
      <c r="H75" s="204"/>
    </row>
    <row r="76" spans="3:8" x14ac:dyDescent="0.25">
      <c r="C76" s="204"/>
      <c r="D76" s="204"/>
      <c r="E76" s="204"/>
      <c r="F76" s="204"/>
      <c r="G76" s="204"/>
      <c r="H76" s="204"/>
    </row>
    <row r="77" spans="3:8" x14ac:dyDescent="0.25">
      <c r="C77" s="204"/>
      <c r="D77" s="204"/>
      <c r="E77" s="204"/>
      <c r="F77" s="204"/>
      <c r="G77" s="204"/>
      <c r="H77" s="204"/>
    </row>
    <row r="78" spans="3:8" x14ac:dyDescent="0.25">
      <c r="C78" s="204"/>
      <c r="D78" s="204"/>
      <c r="E78" s="204"/>
      <c r="F78" s="204"/>
      <c r="G78" s="204"/>
      <c r="H78" s="204"/>
    </row>
    <row r="79" spans="3:8" x14ac:dyDescent="0.25">
      <c r="C79" s="204"/>
      <c r="D79" s="204"/>
      <c r="E79" s="204"/>
      <c r="F79" s="204"/>
      <c r="G79" s="204"/>
      <c r="H79" s="204"/>
    </row>
    <row r="80" spans="3:8" x14ac:dyDescent="0.25">
      <c r="C80" s="204"/>
      <c r="D80" s="204"/>
      <c r="E80" s="204"/>
      <c r="F80" s="204"/>
      <c r="G80" s="204"/>
      <c r="H80" s="204"/>
    </row>
    <row r="81" spans="3:8" x14ac:dyDescent="0.25">
      <c r="C81" s="204"/>
      <c r="D81" s="204"/>
      <c r="E81" s="204"/>
      <c r="F81" s="204"/>
      <c r="G81" s="204"/>
      <c r="H81" s="204"/>
    </row>
    <row r="82" spans="3:8" x14ac:dyDescent="0.25">
      <c r="C82" s="204"/>
      <c r="D82" s="204"/>
      <c r="E82" s="204"/>
      <c r="F82" s="204"/>
      <c r="G82" s="204"/>
      <c r="H82" s="204"/>
    </row>
    <row r="83" spans="3:8" x14ac:dyDescent="0.25">
      <c r="C83" s="204"/>
      <c r="D83" s="204"/>
      <c r="E83" s="204"/>
      <c r="F83" s="204"/>
      <c r="G83" s="204"/>
      <c r="H83" s="204"/>
    </row>
  </sheetData>
  <mergeCells count="11">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V23"/>
  <sheetViews>
    <sheetView zoomScale="90" zoomScaleNormal="90" workbookViewId="0">
      <pane xSplit="2" ySplit="5" topLeftCell="C6" activePane="bottomRight" state="frozen"/>
      <selection pane="topRight" activeCell="C1" sqref="C1"/>
      <selection pane="bottomLeft" activeCell="A6" sqref="A6"/>
      <selection pane="bottomRight" activeCell="C30" sqref="C30"/>
    </sheetView>
  </sheetViews>
  <sheetFormatPr defaultRowHeight="15.75" x14ac:dyDescent="0.25"/>
  <cols>
    <col min="1" max="1" width="7.28515625" style="223" customWidth="1"/>
    <col min="2" max="2" width="38.85546875" style="228" customWidth="1"/>
    <col min="3" max="4" width="12.85546875" style="223" customWidth="1"/>
    <col min="5" max="5" width="12.140625" style="223" customWidth="1"/>
    <col min="6" max="6" width="11.85546875" style="223" customWidth="1"/>
    <col min="7" max="7" width="11.42578125" style="223" customWidth="1"/>
    <col min="8" max="8" width="10.5703125" style="223" customWidth="1"/>
    <col min="9" max="9" width="13.42578125" style="223" customWidth="1"/>
    <col min="10" max="10" width="12.42578125" style="223" customWidth="1"/>
    <col min="11" max="11" width="14.5703125" style="223" customWidth="1"/>
    <col min="12" max="12" width="14.42578125" style="223" customWidth="1"/>
    <col min="13" max="13" width="14.85546875" style="223" customWidth="1"/>
    <col min="14" max="14" width="14.7109375" style="223" customWidth="1"/>
    <col min="15" max="15" width="38.5703125" style="223" customWidth="1"/>
    <col min="16" max="16" width="17.28515625" style="223" customWidth="1"/>
    <col min="17" max="16384" width="9.140625" style="223"/>
  </cols>
  <sheetData>
    <row r="1" spans="1:256" ht="27.75" customHeight="1" thickBot="1" x14ac:dyDescent="0.3">
      <c r="A1" s="825" t="s">
        <v>792</v>
      </c>
      <c r="B1" s="826"/>
      <c r="C1" s="826"/>
      <c r="D1" s="826"/>
      <c r="E1" s="826"/>
      <c r="F1" s="826"/>
      <c r="G1" s="826"/>
      <c r="H1" s="826"/>
      <c r="I1" s="826"/>
      <c r="J1" s="826"/>
      <c r="K1" s="826"/>
      <c r="L1" s="826"/>
      <c r="M1" s="826"/>
      <c r="N1" s="827"/>
    </row>
    <row r="2" spans="1:256" ht="28.5" customHeight="1" x14ac:dyDescent="0.25">
      <c r="A2" s="828" t="s">
        <v>865</v>
      </c>
      <c r="B2" s="829"/>
      <c r="C2" s="829"/>
      <c r="D2" s="829"/>
      <c r="E2" s="829"/>
      <c r="F2" s="829"/>
      <c r="G2" s="829"/>
      <c r="H2" s="829"/>
      <c r="I2" s="830"/>
      <c r="J2" s="830"/>
      <c r="K2" s="829"/>
      <c r="L2" s="829"/>
      <c r="M2" s="829"/>
      <c r="N2" s="831"/>
    </row>
    <row r="3" spans="1:256" ht="51.75" customHeight="1" x14ac:dyDescent="0.25">
      <c r="A3" s="832" t="s">
        <v>115</v>
      </c>
      <c r="B3" s="833" t="s">
        <v>610</v>
      </c>
      <c r="C3" s="822" t="s">
        <v>195</v>
      </c>
      <c r="D3" s="822"/>
      <c r="E3" s="822" t="s">
        <v>196</v>
      </c>
      <c r="F3" s="822"/>
      <c r="G3" s="822" t="s">
        <v>197</v>
      </c>
      <c r="H3" s="811"/>
      <c r="I3" s="835" t="s">
        <v>565</v>
      </c>
      <c r="J3" s="835"/>
      <c r="K3" s="836" t="s">
        <v>178</v>
      </c>
      <c r="L3" s="822"/>
      <c r="M3" s="822" t="s">
        <v>191</v>
      </c>
      <c r="N3" s="823"/>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c r="BT3" s="224"/>
      <c r="BU3" s="224"/>
      <c r="BV3" s="224"/>
      <c r="BW3" s="224"/>
      <c r="BX3" s="224"/>
      <c r="BY3" s="224"/>
      <c r="BZ3" s="224"/>
      <c r="CA3" s="224"/>
      <c r="CB3" s="224"/>
      <c r="CC3" s="224"/>
      <c r="CD3" s="224"/>
      <c r="CE3" s="224"/>
      <c r="CF3" s="224"/>
      <c r="CG3" s="224"/>
      <c r="CH3" s="224"/>
      <c r="CI3" s="224"/>
      <c r="CJ3" s="224"/>
      <c r="CK3" s="224"/>
      <c r="CL3" s="224"/>
      <c r="CM3" s="224"/>
      <c r="CN3" s="224"/>
      <c r="CO3" s="224"/>
      <c r="CP3" s="224"/>
      <c r="CQ3" s="224"/>
      <c r="CR3" s="224"/>
      <c r="CS3" s="224"/>
      <c r="CT3" s="224"/>
      <c r="CU3" s="224"/>
      <c r="CV3" s="224"/>
      <c r="CW3" s="224"/>
      <c r="CX3" s="224"/>
      <c r="CY3" s="224"/>
      <c r="CZ3" s="224"/>
      <c r="DA3" s="224"/>
      <c r="DB3" s="224"/>
      <c r="DC3" s="224"/>
      <c r="DD3" s="224"/>
      <c r="DE3" s="224"/>
      <c r="DF3" s="224"/>
      <c r="DG3" s="224"/>
      <c r="DH3" s="224"/>
      <c r="DI3" s="224"/>
      <c r="DJ3" s="224"/>
      <c r="DK3" s="224"/>
      <c r="DL3" s="224"/>
      <c r="DM3" s="224"/>
      <c r="DN3" s="224"/>
      <c r="DO3" s="224"/>
      <c r="DP3" s="224"/>
      <c r="DQ3" s="224"/>
      <c r="DR3" s="224"/>
      <c r="DS3" s="224"/>
      <c r="DT3" s="224"/>
      <c r="DU3" s="224"/>
      <c r="DV3" s="224"/>
      <c r="DW3" s="224"/>
      <c r="DX3" s="224"/>
      <c r="DY3" s="224"/>
      <c r="DZ3" s="224"/>
      <c r="EA3" s="224"/>
      <c r="EB3" s="224"/>
      <c r="EC3" s="224"/>
      <c r="ED3" s="224"/>
      <c r="EE3" s="224"/>
      <c r="EF3" s="224"/>
      <c r="EG3" s="224"/>
      <c r="EH3" s="224"/>
      <c r="EI3" s="224"/>
      <c r="EJ3" s="224"/>
      <c r="EK3" s="224"/>
      <c r="EL3" s="224"/>
      <c r="EM3" s="224"/>
      <c r="EN3" s="224"/>
      <c r="EO3" s="224"/>
      <c r="EP3" s="224"/>
      <c r="EQ3" s="224"/>
      <c r="ER3" s="224"/>
      <c r="ES3" s="224"/>
      <c r="ET3" s="224"/>
      <c r="EU3" s="224"/>
      <c r="EV3" s="224"/>
      <c r="EW3" s="224"/>
      <c r="EX3" s="224"/>
      <c r="EY3" s="224"/>
      <c r="EZ3" s="224"/>
      <c r="FA3" s="224"/>
      <c r="FB3" s="224"/>
      <c r="FC3" s="224"/>
      <c r="FD3" s="224"/>
      <c r="FE3" s="224"/>
      <c r="FF3" s="224"/>
      <c r="FG3" s="224"/>
      <c r="FH3" s="224"/>
      <c r="FI3" s="224"/>
      <c r="FJ3" s="224"/>
      <c r="FK3" s="224"/>
      <c r="FL3" s="224"/>
      <c r="FM3" s="224"/>
      <c r="FN3" s="224"/>
      <c r="FO3" s="224"/>
      <c r="FP3" s="224"/>
      <c r="FQ3" s="224"/>
      <c r="FR3" s="224"/>
      <c r="FS3" s="224"/>
      <c r="FT3" s="224"/>
      <c r="FU3" s="224"/>
      <c r="FV3" s="224"/>
      <c r="FW3" s="224"/>
      <c r="FX3" s="224"/>
      <c r="FY3" s="224"/>
      <c r="FZ3" s="224"/>
      <c r="GA3" s="224"/>
      <c r="GB3" s="224"/>
      <c r="GC3" s="224"/>
      <c r="GD3" s="224"/>
      <c r="GE3" s="224"/>
      <c r="GF3" s="224"/>
      <c r="GG3" s="224"/>
      <c r="GH3" s="224"/>
      <c r="GI3" s="224"/>
      <c r="GJ3" s="224"/>
      <c r="GK3" s="224"/>
      <c r="GL3" s="224"/>
      <c r="GM3" s="224"/>
      <c r="GN3" s="224"/>
      <c r="GO3" s="224"/>
      <c r="GP3" s="224"/>
      <c r="GQ3" s="224"/>
      <c r="GR3" s="224"/>
      <c r="GS3" s="224"/>
      <c r="GT3" s="224"/>
      <c r="GU3" s="224"/>
      <c r="GV3" s="224"/>
      <c r="GW3" s="224"/>
      <c r="GX3" s="224"/>
      <c r="GY3" s="224"/>
      <c r="GZ3" s="224"/>
      <c r="HA3" s="224"/>
      <c r="HB3" s="224"/>
      <c r="HC3" s="224"/>
      <c r="HD3" s="224"/>
      <c r="HE3" s="224"/>
      <c r="HF3" s="224"/>
      <c r="HG3" s="224"/>
      <c r="HH3" s="224"/>
      <c r="HI3" s="224"/>
      <c r="HJ3" s="224"/>
      <c r="HK3" s="224"/>
      <c r="HL3" s="224"/>
      <c r="HM3" s="224"/>
      <c r="HN3" s="224"/>
      <c r="HO3" s="224"/>
      <c r="HP3" s="224"/>
      <c r="HQ3" s="224"/>
      <c r="HR3" s="224"/>
      <c r="HS3" s="224"/>
      <c r="HT3" s="224"/>
      <c r="HU3" s="224"/>
      <c r="HV3" s="224"/>
      <c r="HW3" s="224"/>
      <c r="HX3" s="224"/>
      <c r="HY3" s="224"/>
      <c r="HZ3" s="224"/>
      <c r="IA3" s="224"/>
      <c r="IB3" s="224"/>
      <c r="IC3" s="224"/>
      <c r="ID3" s="224"/>
      <c r="IE3" s="224"/>
      <c r="IF3" s="224"/>
      <c r="IG3" s="224"/>
      <c r="IH3" s="224"/>
      <c r="II3" s="224"/>
      <c r="IJ3" s="224"/>
      <c r="IK3" s="224"/>
      <c r="IL3" s="224"/>
      <c r="IM3" s="224"/>
      <c r="IN3" s="224"/>
      <c r="IO3" s="224"/>
      <c r="IP3" s="224"/>
      <c r="IQ3" s="224"/>
      <c r="IR3" s="224"/>
      <c r="IS3" s="224"/>
      <c r="IT3" s="224"/>
      <c r="IU3" s="224"/>
      <c r="IV3" s="224"/>
    </row>
    <row r="4" spans="1:256" ht="17.25" customHeight="1" x14ac:dyDescent="0.25">
      <c r="A4" s="832"/>
      <c r="B4" s="834"/>
      <c r="C4" s="364">
        <v>2019</v>
      </c>
      <c r="D4" s="364">
        <v>2020</v>
      </c>
      <c r="E4" s="495">
        <v>2019</v>
      </c>
      <c r="F4" s="495">
        <v>2020</v>
      </c>
      <c r="G4" s="495">
        <v>2019</v>
      </c>
      <c r="H4" s="495">
        <v>2020</v>
      </c>
      <c r="I4" s="495">
        <v>2019</v>
      </c>
      <c r="J4" s="495">
        <v>2020</v>
      </c>
      <c r="K4" s="495">
        <v>2019</v>
      </c>
      <c r="L4" s="495">
        <v>2020</v>
      </c>
      <c r="M4" s="409">
        <v>2019</v>
      </c>
      <c r="N4" s="409">
        <v>2020</v>
      </c>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4"/>
      <c r="CA4" s="224"/>
      <c r="CB4" s="224"/>
      <c r="CC4" s="224"/>
      <c r="CD4" s="224"/>
      <c r="CE4" s="224"/>
      <c r="CF4" s="224"/>
      <c r="CG4" s="224"/>
      <c r="CH4" s="224"/>
      <c r="CI4" s="224"/>
      <c r="CJ4" s="224"/>
      <c r="CK4" s="224"/>
      <c r="CL4" s="224"/>
      <c r="CM4" s="224"/>
      <c r="CN4" s="224"/>
      <c r="CO4" s="224"/>
      <c r="CP4" s="224"/>
      <c r="CQ4" s="224"/>
      <c r="CR4" s="224"/>
      <c r="CS4" s="224"/>
      <c r="CT4" s="224"/>
      <c r="CU4" s="224"/>
      <c r="CV4" s="224"/>
      <c r="CW4" s="224"/>
      <c r="CX4" s="224"/>
      <c r="CY4" s="224"/>
      <c r="CZ4" s="224"/>
      <c r="DA4" s="224"/>
      <c r="DB4" s="224"/>
      <c r="DC4" s="224"/>
      <c r="DD4" s="224"/>
      <c r="DE4" s="224"/>
      <c r="DF4" s="224"/>
      <c r="DG4" s="224"/>
      <c r="DH4" s="224"/>
      <c r="DI4" s="224"/>
      <c r="DJ4" s="224"/>
      <c r="DK4" s="224"/>
      <c r="DL4" s="224"/>
      <c r="DM4" s="224"/>
      <c r="DN4" s="224"/>
      <c r="DO4" s="224"/>
      <c r="DP4" s="224"/>
      <c r="DQ4" s="224"/>
      <c r="DR4" s="224"/>
      <c r="DS4" s="224"/>
      <c r="DT4" s="224"/>
      <c r="DU4" s="224"/>
      <c r="DV4" s="224"/>
      <c r="DW4" s="224"/>
      <c r="DX4" s="224"/>
      <c r="DY4" s="224"/>
      <c r="DZ4" s="224"/>
      <c r="EA4" s="224"/>
      <c r="EB4" s="224"/>
      <c r="EC4" s="224"/>
      <c r="ED4" s="224"/>
      <c r="EE4" s="224"/>
      <c r="EF4" s="224"/>
      <c r="EG4" s="224"/>
      <c r="EH4" s="224"/>
      <c r="EI4" s="224"/>
      <c r="EJ4" s="224"/>
      <c r="EK4" s="224"/>
      <c r="EL4" s="224"/>
      <c r="EM4" s="224"/>
      <c r="EN4" s="224"/>
      <c r="EO4" s="224"/>
      <c r="EP4" s="224"/>
      <c r="EQ4" s="224"/>
      <c r="ER4" s="224"/>
      <c r="ES4" s="224"/>
      <c r="ET4" s="224"/>
      <c r="EU4" s="224"/>
      <c r="EV4" s="224"/>
      <c r="EW4" s="224"/>
      <c r="EX4" s="224"/>
      <c r="EY4" s="224"/>
      <c r="EZ4" s="224"/>
      <c r="FA4" s="224"/>
      <c r="FB4" s="224"/>
      <c r="FC4" s="224"/>
      <c r="FD4" s="224"/>
      <c r="FE4" s="224"/>
      <c r="FF4" s="224"/>
      <c r="FG4" s="224"/>
      <c r="FH4" s="224"/>
      <c r="FI4" s="224"/>
      <c r="FJ4" s="224"/>
      <c r="FK4" s="224"/>
      <c r="FL4" s="224"/>
      <c r="FM4" s="224"/>
      <c r="FN4" s="224"/>
      <c r="FO4" s="224"/>
      <c r="FP4" s="224"/>
      <c r="FQ4" s="224"/>
      <c r="FR4" s="224"/>
      <c r="FS4" s="224"/>
      <c r="FT4" s="224"/>
      <c r="FU4" s="224"/>
      <c r="FV4" s="224"/>
      <c r="FW4" s="224"/>
      <c r="FX4" s="224"/>
      <c r="FY4" s="224"/>
      <c r="FZ4" s="224"/>
      <c r="GA4" s="224"/>
      <c r="GB4" s="224"/>
      <c r="GC4" s="224"/>
      <c r="GD4" s="224"/>
      <c r="GE4" s="224"/>
      <c r="GF4" s="224"/>
      <c r="GG4" s="224"/>
      <c r="GH4" s="224"/>
      <c r="GI4" s="224"/>
      <c r="GJ4" s="224"/>
      <c r="GK4" s="224"/>
      <c r="GL4" s="224"/>
      <c r="GM4" s="224"/>
      <c r="GN4" s="224"/>
      <c r="GO4" s="224"/>
      <c r="GP4" s="224"/>
      <c r="GQ4" s="224"/>
      <c r="GR4" s="224"/>
      <c r="GS4" s="224"/>
      <c r="GT4" s="224"/>
      <c r="GU4" s="224"/>
      <c r="GV4" s="224"/>
      <c r="GW4" s="224"/>
      <c r="GX4" s="224"/>
      <c r="GY4" s="224"/>
      <c r="GZ4" s="224"/>
      <c r="HA4" s="224"/>
      <c r="HB4" s="224"/>
      <c r="HC4" s="224"/>
      <c r="HD4" s="224"/>
      <c r="HE4" s="224"/>
      <c r="HF4" s="224"/>
      <c r="HG4" s="224"/>
      <c r="HH4" s="224"/>
      <c r="HI4" s="224"/>
      <c r="HJ4" s="224"/>
      <c r="HK4" s="224"/>
      <c r="HL4" s="224"/>
      <c r="HM4" s="224"/>
      <c r="HN4" s="224"/>
      <c r="HO4" s="224"/>
      <c r="HP4" s="224"/>
      <c r="HQ4" s="224"/>
      <c r="HR4" s="224"/>
      <c r="HS4" s="224"/>
      <c r="HT4" s="224"/>
      <c r="HU4" s="224"/>
      <c r="HV4" s="224"/>
      <c r="HW4" s="224"/>
      <c r="HX4" s="224"/>
      <c r="HY4" s="224"/>
      <c r="HZ4" s="224"/>
      <c r="IA4" s="224"/>
      <c r="IB4" s="224"/>
      <c r="IC4" s="224"/>
      <c r="ID4" s="224"/>
      <c r="IE4" s="224"/>
      <c r="IF4" s="224"/>
      <c r="IG4" s="224"/>
      <c r="IH4" s="224"/>
      <c r="II4" s="224"/>
      <c r="IJ4" s="224"/>
      <c r="IK4" s="224"/>
      <c r="IL4" s="224"/>
      <c r="IM4" s="224"/>
      <c r="IN4" s="224"/>
      <c r="IO4" s="224"/>
      <c r="IP4" s="224"/>
      <c r="IQ4" s="224"/>
      <c r="IR4" s="224"/>
      <c r="IS4" s="224"/>
      <c r="IT4" s="224"/>
      <c r="IU4" s="224"/>
      <c r="IV4" s="224"/>
    </row>
    <row r="5" spans="1:256" x14ac:dyDescent="0.25">
      <c r="A5" s="38"/>
      <c r="B5" s="225"/>
      <c r="C5" s="33" t="s">
        <v>158</v>
      </c>
      <c r="D5" s="33" t="s">
        <v>159</v>
      </c>
      <c r="E5" s="33" t="s">
        <v>160</v>
      </c>
      <c r="F5" s="33" t="s">
        <v>166</v>
      </c>
      <c r="G5" s="33" t="s">
        <v>161</v>
      </c>
      <c r="H5" s="259" t="s">
        <v>162</v>
      </c>
      <c r="I5" s="33" t="s">
        <v>163</v>
      </c>
      <c r="J5" s="33" t="s">
        <v>164</v>
      </c>
      <c r="K5" s="33" t="s">
        <v>165</v>
      </c>
      <c r="L5" s="33" t="s">
        <v>538</v>
      </c>
      <c r="M5" s="376" t="s">
        <v>645</v>
      </c>
      <c r="N5" s="377" t="s">
        <v>646</v>
      </c>
      <c r="O5" s="224"/>
      <c r="P5" s="224"/>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c r="II5" s="226"/>
      <c r="IJ5" s="226"/>
      <c r="IK5" s="226"/>
      <c r="IL5" s="226"/>
      <c r="IM5" s="226"/>
      <c r="IN5" s="226"/>
      <c r="IO5" s="226"/>
      <c r="IP5" s="226"/>
      <c r="IQ5" s="226"/>
      <c r="IR5" s="226"/>
      <c r="IS5" s="226"/>
      <c r="IT5" s="226"/>
      <c r="IU5" s="226"/>
      <c r="IV5" s="226"/>
    </row>
    <row r="6" spans="1:256" ht="31.5" x14ac:dyDescent="0.25">
      <c r="A6" s="38">
        <v>1</v>
      </c>
      <c r="B6" s="337" t="s">
        <v>111</v>
      </c>
      <c r="C6" s="552">
        <v>9209914.4700000007</v>
      </c>
      <c r="D6" s="559">
        <f>C17</f>
        <v>11958336.040000001</v>
      </c>
      <c r="E6" s="552">
        <v>281.74</v>
      </c>
      <c r="F6" s="553">
        <f>E17</f>
        <v>1759</v>
      </c>
      <c r="G6" s="552">
        <v>310266.28000000003</v>
      </c>
      <c r="H6" s="554">
        <f>G17</f>
        <v>353409.31000000006</v>
      </c>
      <c r="I6" s="293"/>
      <c r="J6" s="294">
        <f>SUM(I17)</f>
        <v>0</v>
      </c>
      <c r="K6" s="293"/>
      <c r="L6" s="294">
        <f>SUM(K17)</f>
        <v>0</v>
      </c>
      <c r="M6" s="294">
        <f t="shared" ref="M6:N8" si="0">C6+E6+G6+I6+K6</f>
        <v>9520462.4900000002</v>
      </c>
      <c r="N6" s="296">
        <f t="shared" si="0"/>
        <v>12313504.350000001</v>
      </c>
      <c r="O6" s="224"/>
      <c r="P6" s="224"/>
    </row>
    <row r="7" spans="1:256" ht="31.5" x14ac:dyDescent="0.25">
      <c r="A7" s="38">
        <v>2</v>
      </c>
      <c r="B7" s="338" t="s">
        <v>554</v>
      </c>
      <c r="C7" s="553">
        <f t="shared" ref="C7:L7" si="1">SUM(C8:C15)</f>
        <v>2892787.48</v>
      </c>
      <c r="D7" s="553">
        <f t="shared" si="1"/>
        <v>1931873.13</v>
      </c>
      <c r="E7" s="553">
        <f t="shared" si="1"/>
        <v>1490987.96</v>
      </c>
      <c r="F7" s="559">
        <f t="shared" si="1"/>
        <v>1404705.15</v>
      </c>
      <c r="G7" s="560">
        <f>SUM(G8:G15)</f>
        <v>1158619</v>
      </c>
      <c r="H7" s="561">
        <f>SUM(H8:H15)</f>
        <v>1179048.96</v>
      </c>
      <c r="I7" s="294">
        <f t="shared" si="1"/>
        <v>0</v>
      </c>
      <c r="J7" s="294">
        <f t="shared" si="1"/>
        <v>0</v>
      </c>
      <c r="K7" s="294">
        <f t="shared" si="1"/>
        <v>0</v>
      </c>
      <c r="L7" s="294">
        <f t="shared" si="1"/>
        <v>0</v>
      </c>
      <c r="M7" s="294">
        <f t="shared" si="0"/>
        <v>5542394.4399999995</v>
      </c>
      <c r="N7" s="296">
        <f t="shared" si="0"/>
        <v>4515627.24</v>
      </c>
      <c r="O7" s="224"/>
      <c r="P7" s="224"/>
    </row>
    <row r="8" spans="1:256" ht="22.5" customHeight="1" x14ac:dyDescent="0.25">
      <c r="A8" s="38">
        <v>3</v>
      </c>
      <c r="B8" s="339" t="s">
        <v>40</v>
      </c>
      <c r="C8" s="555">
        <v>2892787.48</v>
      </c>
      <c r="D8" s="555">
        <v>1931873.13</v>
      </c>
      <c r="E8" s="555"/>
      <c r="F8" s="555"/>
      <c r="G8" s="556"/>
      <c r="H8" s="556"/>
      <c r="I8" s="297"/>
      <c r="J8" s="297"/>
      <c r="K8" s="297"/>
      <c r="L8" s="297"/>
      <c r="M8" s="294">
        <f t="shared" si="0"/>
        <v>2892787.48</v>
      </c>
      <c r="N8" s="296">
        <f t="shared" si="0"/>
        <v>1931873.13</v>
      </c>
    </row>
    <row r="9" spans="1:256" ht="169.5" customHeight="1" x14ac:dyDescent="0.25">
      <c r="A9" s="38">
        <v>4</v>
      </c>
      <c r="B9" s="339" t="s">
        <v>180</v>
      </c>
      <c r="C9" s="557" t="s">
        <v>179</v>
      </c>
      <c r="D9" s="557" t="s">
        <v>179</v>
      </c>
      <c r="E9" s="558">
        <v>1490987.96</v>
      </c>
      <c r="F9" s="558">
        <v>1404705.15</v>
      </c>
      <c r="G9" s="557" t="s">
        <v>179</v>
      </c>
      <c r="H9" s="557" t="s">
        <v>179</v>
      </c>
      <c r="I9" s="299" t="s">
        <v>179</v>
      </c>
      <c r="J9" s="299" t="s">
        <v>179</v>
      </c>
      <c r="K9" s="298" t="s">
        <v>179</v>
      </c>
      <c r="L9" s="298" t="s">
        <v>179</v>
      </c>
      <c r="M9" s="294">
        <f>E9</f>
        <v>1490987.96</v>
      </c>
      <c r="N9" s="296">
        <f>F9</f>
        <v>1404705.15</v>
      </c>
      <c r="O9" s="652"/>
      <c r="P9" s="651"/>
    </row>
    <row r="10" spans="1:256" ht="78.75" customHeight="1" x14ac:dyDescent="0.25">
      <c r="A10" s="38">
        <v>5</v>
      </c>
      <c r="B10" s="339" t="s">
        <v>1</v>
      </c>
      <c r="C10" s="557" t="s">
        <v>179</v>
      </c>
      <c r="D10" s="557" t="s">
        <v>179</v>
      </c>
      <c r="E10" s="555"/>
      <c r="F10" s="555"/>
      <c r="G10" s="557" t="s">
        <v>179</v>
      </c>
      <c r="H10" s="557" t="s">
        <v>179</v>
      </c>
      <c r="I10" s="299" t="s">
        <v>179</v>
      </c>
      <c r="J10" s="299" t="s">
        <v>179</v>
      </c>
      <c r="K10" s="298" t="s">
        <v>179</v>
      </c>
      <c r="L10" s="298" t="s">
        <v>179</v>
      </c>
      <c r="M10" s="294">
        <f>E10</f>
        <v>0</v>
      </c>
      <c r="N10" s="296">
        <f>F10</f>
        <v>0</v>
      </c>
      <c r="O10" s="696"/>
      <c r="P10" s="697"/>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c r="II10" s="226"/>
      <c r="IJ10" s="226"/>
      <c r="IK10" s="226"/>
      <c r="IL10" s="226"/>
      <c r="IM10" s="226"/>
      <c r="IN10" s="226"/>
      <c r="IO10" s="226"/>
      <c r="IP10" s="226"/>
      <c r="IQ10" s="226"/>
      <c r="IR10" s="226"/>
      <c r="IS10" s="226"/>
      <c r="IT10" s="226"/>
      <c r="IU10" s="226"/>
      <c r="IV10" s="226"/>
    </row>
    <row r="11" spans="1:256" ht="31.5" x14ac:dyDescent="0.25">
      <c r="A11" s="38">
        <v>6</v>
      </c>
      <c r="B11" s="339" t="s">
        <v>181</v>
      </c>
      <c r="C11" s="557" t="s">
        <v>179</v>
      </c>
      <c r="D11" s="557" t="s">
        <v>179</v>
      </c>
      <c r="E11" s="555"/>
      <c r="F11" s="555"/>
      <c r="G11" s="556"/>
      <c r="H11" s="556"/>
      <c r="I11" s="300"/>
      <c r="J11" s="300"/>
      <c r="K11" s="293"/>
      <c r="L11" s="293"/>
      <c r="M11" s="294">
        <f>E11+G11+I11+K11</f>
        <v>0</v>
      </c>
      <c r="N11" s="296">
        <f>F11+H11+J11+L11</f>
        <v>0</v>
      </c>
    </row>
    <row r="12" spans="1:256" ht="17.25" customHeight="1" x14ac:dyDescent="0.25">
      <c r="A12" s="38">
        <v>7</v>
      </c>
      <c r="B12" s="339" t="s">
        <v>182</v>
      </c>
      <c r="C12" s="555"/>
      <c r="D12" s="555"/>
      <c r="E12" s="555"/>
      <c r="F12" s="555"/>
      <c r="G12" s="556"/>
      <c r="H12" s="556"/>
      <c r="I12" s="300"/>
      <c r="J12" s="300"/>
      <c r="K12" s="297"/>
      <c r="L12" s="297"/>
      <c r="M12" s="294">
        <f>C12+E12+G12+I12+K12</f>
        <v>0</v>
      </c>
      <c r="N12" s="296">
        <f>D12+F12+H12+J12+L12</f>
        <v>0</v>
      </c>
    </row>
    <row r="13" spans="1:256" ht="18.75" x14ac:dyDescent="0.25">
      <c r="A13" s="38">
        <v>8</v>
      </c>
      <c r="B13" s="340" t="s">
        <v>41</v>
      </c>
      <c r="C13" s="557" t="s">
        <v>179</v>
      </c>
      <c r="D13" s="557" t="s">
        <v>179</v>
      </c>
      <c r="E13" s="557" t="s">
        <v>179</v>
      </c>
      <c r="F13" s="557" t="s">
        <v>179</v>
      </c>
      <c r="G13" s="555">
        <v>1114965</v>
      </c>
      <c r="H13" s="562">
        <v>1122963</v>
      </c>
      <c r="I13" s="301" t="s">
        <v>179</v>
      </c>
      <c r="J13" s="301" t="s">
        <v>179</v>
      </c>
      <c r="K13" s="301" t="s">
        <v>179</v>
      </c>
      <c r="L13" s="301" t="s">
        <v>179</v>
      </c>
      <c r="M13" s="294">
        <f>G13</f>
        <v>1114965</v>
      </c>
      <c r="N13" s="296">
        <f>H13</f>
        <v>1122963</v>
      </c>
    </row>
    <row r="14" spans="1:256" ht="19.5" customHeight="1" x14ac:dyDescent="0.25">
      <c r="A14" s="38">
        <v>9</v>
      </c>
      <c r="B14" s="339" t="s">
        <v>8</v>
      </c>
      <c r="C14" s="557" t="s">
        <v>179</v>
      </c>
      <c r="D14" s="557" t="s">
        <v>179</v>
      </c>
      <c r="E14" s="557" t="s">
        <v>179</v>
      </c>
      <c r="F14" s="557" t="s">
        <v>179</v>
      </c>
      <c r="G14" s="555">
        <v>43654</v>
      </c>
      <c r="H14" s="555">
        <v>56085.96</v>
      </c>
      <c r="I14" s="302" t="s">
        <v>179</v>
      </c>
      <c r="J14" s="302" t="s">
        <v>179</v>
      </c>
      <c r="K14" s="301" t="s">
        <v>179</v>
      </c>
      <c r="L14" s="301" t="s">
        <v>179</v>
      </c>
      <c r="M14" s="294">
        <f>G14</f>
        <v>43654</v>
      </c>
      <c r="N14" s="296">
        <f>H14</f>
        <v>56085.96</v>
      </c>
    </row>
    <row r="15" spans="1:256" ht="18.75" x14ac:dyDescent="0.25">
      <c r="A15" s="38">
        <v>10</v>
      </c>
      <c r="B15" s="339" t="s">
        <v>42</v>
      </c>
      <c r="C15" s="555"/>
      <c r="D15" s="555"/>
      <c r="E15" s="555"/>
      <c r="F15" s="555"/>
      <c r="G15" s="556"/>
      <c r="H15" s="556"/>
      <c r="I15" s="300"/>
      <c r="J15" s="300"/>
      <c r="K15" s="297"/>
      <c r="L15" s="297"/>
      <c r="M15" s="294">
        <f>C15+E15+G15+I15+K15</f>
        <v>0</v>
      </c>
      <c r="N15" s="296">
        <f>D15+F15+H15+J15+L15</f>
        <v>0</v>
      </c>
    </row>
    <row r="16" spans="1:256" ht="31.5" x14ac:dyDescent="0.25">
      <c r="A16" s="38">
        <v>11</v>
      </c>
      <c r="B16" s="337" t="s">
        <v>112</v>
      </c>
      <c r="C16" s="552">
        <v>144365.91</v>
      </c>
      <c r="D16" s="552">
        <v>83393.679999999993</v>
      </c>
      <c r="E16" s="552">
        <v>1489510.7</v>
      </c>
      <c r="F16" s="563">
        <v>1406464.15</v>
      </c>
      <c r="G16" s="555">
        <v>1115475.97</v>
      </c>
      <c r="H16" s="555">
        <v>993260</v>
      </c>
      <c r="I16" s="293"/>
      <c r="J16" s="293"/>
      <c r="K16" s="293"/>
      <c r="L16" s="293"/>
      <c r="M16" s="294">
        <f t="shared" ref="M16:N18" si="2">C16+E16+G16+I16+K16</f>
        <v>2749352.58</v>
      </c>
      <c r="N16" s="296">
        <f t="shared" si="2"/>
        <v>2483117.83</v>
      </c>
    </row>
    <row r="17" spans="1:14" ht="31.5" x14ac:dyDescent="0.25">
      <c r="A17" s="38">
        <v>12</v>
      </c>
      <c r="B17" s="337" t="s">
        <v>9</v>
      </c>
      <c r="C17" s="294">
        <f t="shared" ref="C17:L17" si="3">C6+C7-C16</f>
        <v>11958336.040000001</v>
      </c>
      <c r="D17" s="294">
        <f t="shared" si="3"/>
        <v>13806815.490000002</v>
      </c>
      <c r="E17" s="294">
        <f t="shared" si="3"/>
        <v>1759</v>
      </c>
      <c r="F17" s="294">
        <f t="shared" si="3"/>
        <v>0</v>
      </c>
      <c r="G17" s="295">
        <f t="shared" si="3"/>
        <v>353409.31000000006</v>
      </c>
      <c r="H17" s="295">
        <f t="shared" si="3"/>
        <v>539198.27</v>
      </c>
      <c r="I17" s="294">
        <f t="shared" si="3"/>
        <v>0</v>
      </c>
      <c r="J17" s="294">
        <f t="shared" si="3"/>
        <v>0</v>
      </c>
      <c r="K17" s="294">
        <f t="shared" si="3"/>
        <v>0</v>
      </c>
      <c r="L17" s="294">
        <f t="shared" si="3"/>
        <v>0</v>
      </c>
      <c r="M17" s="294">
        <f t="shared" si="2"/>
        <v>12313504.350000001</v>
      </c>
      <c r="N17" s="296">
        <f t="shared" si="2"/>
        <v>14346013.760000002</v>
      </c>
    </row>
    <row r="18" spans="1:14" ht="48.75" customHeight="1" thickBot="1" x14ac:dyDescent="0.3">
      <c r="A18" s="227">
        <v>13</v>
      </c>
      <c r="B18" s="341" t="s">
        <v>609</v>
      </c>
      <c r="C18" s="303">
        <v>0</v>
      </c>
      <c r="D18" s="303">
        <v>0</v>
      </c>
      <c r="E18" s="303">
        <v>0</v>
      </c>
      <c r="F18" s="303">
        <v>0</v>
      </c>
      <c r="G18" s="304">
        <v>0</v>
      </c>
      <c r="H18" s="304">
        <v>0</v>
      </c>
      <c r="I18" s="303">
        <v>0</v>
      </c>
      <c r="J18" s="303">
        <v>0</v>
      </c>
      <c r="K18" s="303">
        <v>0</v>
      </c>
      <c r="L18" s="303">
        <v>0</v>
      </c>
      <c r="M18" s="305">
        <f t="shared" si="2"/>
        <v>0</v>
      </c>
      <c r="N18" s="306">
        <f t="shared" si="2"/>
        <v>0</v>
      </c>
    </row>
    <row r="19" spans="1:14" x14ac:dyDescent="0.25">
      <c r="F19" s="439"/>
      <c r="H19" s="439"/>
      <c r="I19" s="229"/>
      <c r="J19" s="229"/>
    </row>
    <row r="20" spans="1:14" x14ac:dyDescent="0.25">
      <c r="A20" s="229" t="s">
        <v>43</v>
      </c>
      <c r="B20" s="229"/>
      <c r="C20" s="229"/>
      <c r="E20" s="229"/>
      <c r="F20" s="229"/>
      <c r="G20" s="229"/>
      <c r="H20" s="229"/>
      <c r="I20" s="229"/>
      <c r="J20" s="229"/>
      <c r="K20" s="229"/>
      <c r="L20" s="229"/>
      <c r="M20" s="229"/>
      <c r="N20" s="229"/>
    </row>
    <row r="21" spans="1:14" x14ac:dyDescent="0.25">
      <c r="A21" s="229" t="s">
        <v>44</v>
      </c>
      <c r="B21" s="229"/>
      <c r="C21" s="229"/>
      <c r="D21" s="229"/>
      <c r="E21" s="229"/>
      <c r="F21" s="229"/>
      <c r="G21" s="229"/>
      <c r="H21" s="229"/>
      <c r="I21" s="229"/>
      <c r="J21" s="229"/>
      <c r="K21" s="229"/>
      <c r="L21" s="229"/>
      <c r="M21" s="229"/>
      <c r="N21" s="229"/>
    </row>
    <row r="22" spans="1:14" ht="33" customHeight="1" x14ac:dyDescent="0.25">
      <c r="A22" s="824" t="s">
        <v>45</v>
      </c>
      <c r="B22" s="824"/>
      <c r="C22" s="824"/>
      <c r="D22" s="229"/>
      <c r="E22" s="229"/>
      <c r="F22" s="229"/>
      <c r="G22" s="229"/>
      <c r="H22" s="229"/>
      <c r="I22" s="229"/>
      <c r="J22" s="229"/>
      <c r="K22" s="229"/>
      <c r="L22" s="229"/>
      <c r="M22" s="229"/>
      <c r="N22" s="229"/>
    </row>
    <row r="23" spans="1:14" x14ac:dyDescent="0.25">
      <c r="L23" s="229"/>
    </row>
  </sheetData>
  <mergeCells count="12">
    <mergeCell ref="O10:P10"/>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5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tabColor indexed="42"/>
    <pageSetUpPr fitToPage="1"/>
  </sheetPr>
  <dimension ref="A1:H24"/>
  <sheetViews>
    <sheetView zoomScaleNormal="100" workbookViewId="0">
      <pane xSplit="2" ySplit="4" topLeftCell="C5" activePane="bottomRight" state="frozen"/>
      <selection pane="topRight" activeCell="C1" sqref="C1"/>
      <selection pane="bottomLeft" activeCell="A5" sqref="A5"/>
      <selection pane="bottomRight" activeCell="E16" sqref="E16"/>
    </sheetView>
  </sheetViews>
  <sheetFormatPr defaultRowHeight="15.75" x14ac:dyDescent="0.2"/>
  <cols>
    <col min="1" max="1" width="10.5703125" style="11" customWidth="1"/>
    <col min="2" max="2" width="43.140625" style="66" customWidth="1"/>
    <col min="3" max="3" width="28.42578125" style="10" customWidth="1"/>
    <col min="4" max="4" width="46.5703125" style="10" customWidth="1"/>
    <col min="5" max="5" width="35.140625" style="10" customWidth="1"/>
    <col min="6" max="6" width="14.28515625" style="10" bestFit="1" customWidth="1"/>
    <col min="7" max="16384" width="9.140625" style="10"/>
  </cols>
  <sheetData>
    <row r="1" spans="1:8" ht="50.1" customHeight="1" thickBot="1" x14ac:dyDescent="0.25">
      <c r="A1" s="675" t="s">
        <v>793</v>
      </c>
      <c r="B1" s="676"/>
      <c r="C1" s="676"/>
      <c r="D1" s="677"/>
    </row>
    <row r="2" spans="1:8" ht="35.1" customHeight="1" x14ac:dyDescent="0.2">
      <c r="A2" s="672" t="s">
        <v>866</v>
      </c>
      <c r="B2" s="673"/>
      <c r="C2" s="673"/>
      <c r="D2" s="674"/>
    </row>
    <row r="3" spans="1:8" ht="31.5" x14ac:dyDescent="0.2">
      <c r="A3" s="105" t="s">
        <v>115</v>
      </c>
      <c r="B3" s="93" t="s">
        <v>167</v>
      </c>
      <c r="C3" s="93" t="s">
        <v>794</v>
      </c>
      <c r="D3" s="32" t="s">
        <v>750</v>
      </c>
    </row>
    <row r="4" spans="1:8" s="12" customFormat="1" ht="18" customHeight="1" x14ac:dyDescent="0.2">
      <c r="A4" s="101"/>
      <c r="B4" s="104" t="s">
        <v>158</v>
      </c>
      <c r="C4" s="84" t="s">
        <v>159</v>
      </c>
      <c r="D4" s="85" t="s">
        <v>160</v>
      </c>
      <c r="F4" s="599"/>
      <c r="G4" s="599"/>
      <c r="H4" s="10"/>
    </row>
    <row r="5" spans="1:8" s="12" customFormat="1" ht="31.5" x14ac:dyDescent="0.2">
      <c r="A5" s="101">
        <v>1</v>
      </c>
      <c r="B5" s="64" t="s">
        <v>748</v>
      </c>
      <c r="C5" s="580">
        <f>C6+C7+C11+C12+C13+C14+C15+C16+C17+C18+C19+C20+C21</f>
        <v>26469646.049999997</v>
      </c>
      <c r="D5" s="63"/>
      <c r="F5" s="10"/>
      <c r="G5" s="10"/>
      <c r="H5" s="10"/>
    </row>
    <row r="6" spans="1:8" ht="183" customHeight="1" x14ac:dyDescent="0.2">
      <c r="A6" s="101">
        <v>2</v>
      </c>
      <c r="B6" s="479" t="s">
        <v>739</v>
      </c>
      <c r="C6" s="628">
        <v>14108337.439999999</v>
      </c>
      <c r="D6" s="629" t="s">
        <v>878</v>
      </c>
    </row>
    <row r="7" spans="1:8" ht="31.5" x14ac:dyDescent="0.2">
      <c r="A7" s="101">
        <v>3</v>
      </c>
      <c r="B7" s="114" t="s">
        <v>747</v>
      </c>
      <c r="C7" s="58">
        <f>C8+C9+C10</f>
        <v>462387.41000000003</v>
      </c>
      <c r="D7" s="125"/>
    </row>
    <row r="8" spans="1:8" x14ac:dyDescent="0.2">
      <c r="A8" s="101">
        <v>4</v>
      </c>
      <c r="B8" s="481" t="s">
        <v>731</v>
      </c>
      <c r="C8" s="129"/>
      <c r="D8" s="112"/>
    </row>
    <row r="9" spans="1:8" x14ac:dyDescent="0.2">
      <c r="A9" s="101">
        <v>5</v>
      </c>
      <c r="B9" s="481" t="s">
        <v>732</v>
      </c>
      <c r="C9" s="129">
        <v>30352.38</v>
      </c>
      <c r="D9" s="630" t="s">
        <v>879</v>
      </c>
    </row>
    <row r="10" spans="1:8" ht="165.75" customHeight="1" x14ac:dyDescent="0.2">
      <c r="A10" s="101">
        <v>6</v>
      </c>
      <c r="B10" s="481" t="s">
        <v>733</v>
      </c>
      <c r="C10" s="129">
        <v>432035.03</v>
      </c>
      <c r="D10" s="630" t="s">
        <v>880</v>
      </c>
    </row>
    <row r="11" spans="1:8" x14ac:dyDescent="0.2">
      <c r="A11" s="101">
        <v>7</v>
      </c>
      <c r="B11" s="114" t="s">
        <v>740</v>
      </c>
      <c r="C11" s="129">
        <v>35638.53</v>
      </c>
      <c r="D11" s="630" t="s">
        <v>881</v>
      </c>
    </row>
    <row r="12" spans="1:8" x14ac:dyDescent="0.2">
      <c r="A12" s="101">
        <v>8</v>
      </c>
      <c r="B12" s="480" t="s">
        <v>734</v>
      </c>
      <c r="C12" s="129"/>
      <c r="D12" s="112"/>
    </row>
    <row r="13" spans="1:8" x14ac:dyDescent="0.2">
      <c r="A13" s="101">
        <v>9</v>
      </c>
      <c r="B13" s="480" t="s">
        <v>735</v>
      </c>
      <c r="C13" s="129"/>
      <c r="D13" s="630" t="s">
        <v>882</v>
      </c>
    </row>
    <row r="14" spans="1:8" ht="63" customHeight="1" x14ac:dyDescent="0.2">
      <c r="A14" s="101">
        <v>10</v>
      </c>
      <c r="B14" s="480" t="s">
        <v>736</v>
      </c>
      <c r="C14" s="129"/>
      <c r="D14" s="631" t="s">
        <v>883</v>
      </c>
    </row>
    <row r="15" spans="1:8" ht="31.5" x14ac:dyDescent="0.2">
      <c r="A15" s="101">
        <v>11</v>
      </c>
      <c r="B15" s="480" t="s">
        <v>737</v>
      </c>
      <c r="C15" s="129"/>
      <c r="D15" s="125"/>
    </row>
    <row r="16" spans="1:8" x14ac:dyDescent="0.2">
      <c r="A16" s="101">
        <v>12</v>
      </c>
      <c r="B16" s="480" t="s">
        <v>738</v>
      </c>
      <c r="C16" s="129"/>
      <c r="D16" s="125"/>
    </row>
    <row r="17" spans="1:4" ht="90" customHeight="1" x14ac:dyDescent="0.2">
      <c r="A17" s="101">
        <v>13</v>
      </c>
      <c r="B17" s="480" t="s">
        <v>741</v>
      </c>
      <c r="C17" s="129">
        <v>127643.1</v>
      </c>
      <c r="D17" s="632" t="s">
        <v>884</v>
      </c>
    </row>
    <row r="18" spans="1:4" ht="76.5" customHeight="1" x14ac:dyDescent="0.2">
      <c r="A18" s="101">
        <v>14</v>
      </c>
      <c r="B18" s="114" t="s">
        <v>742</v>
      </c>
      <c r="C18" s="129">
        <v>454383.21</v>
      </c>
      <c r="D18" s="630" t="s">
        <v>885</v>
      </c>
    </row>
    <row r="19" spans="1:4" x14ac:dyDescent="0.2">
      <c r="A19" s="101">
        <v>15</v>
      </c>
      <c r="B19" s="366" t="s">
        <v>743</v>
      </c>
      <c r="C19" s="129"/>
      <c r="D19" s="112"/>
    </row>
    <row r="20" spans="1:4" x14ac:dyDescent="0.2">
      <c r="A20" s="101">
        <v>16</v>
      </c>
      <c r="B20" s="114" t="s">
        <v>744</v>
      </c>
      <c r="C20" s="129">
        <v>40000</v>
      </c>
      <c r="D20" s="630" t="s">
        <v>886</v>
      </c>
    </row>
    <row r="21" spans="1:4" ht="408.95" customHeight="1" x14ac:dyDescent="0.2">
      <c r="A21" s="101">
        <v>17</v>
      </c>
      <c r="B21" s="114" t="s">
        <v>746</v>
      </c>
      <c r="C21" s="150">
        <v>11241256.359999999</v>
      </c>
      <c r="D21" s="630" t="s">
        <v>887</v>
      </c>
    </row>
    <row r="22" spans="1:4" x14ac:dyDescent="0.2">
      <c r="A22" s="478">
        <v>18</v>
      </c>
      <c r="B22" s="487" t="s">
        <v>745</v>
      </c>
      <c r="C22" s="150"/>
      <c r="D22" s="126"/>
    </row>
    <row r="23" spans="1:4" x14ac:dyDescent="0.2">
      <c r="A23" s="478">
        <v>19</v>
      </c>
      <c r="B23" s="106" t="s">
        <v>545</v>
      </c>
      <c r="C23" s="150">
        <v>512.92999999999995</v>
      </c>
      <c r="D23" s="126"/>
    </row>
    <row r="24" spans="1:4" ht="32.25" thickBot="1" x14ac:dyDescent="0.25">
      <c r="A24" s="102">
        <v>20</v>
      </c>
      <c r="B24" s="76" t="s">
        <v>749</v>
      </c>
      <c r="C24" s="365">
        <f>+C5+C22+C23</f>
        <v>26470158.979999997</v>
      </c>
      <c r="D24" s="73"/>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3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1"/>
  <sheetViews>
    <sheetView zoomScale="90" zoomScaleNormal="90" workbookViewId="0">
      <pane xSplit="2" ySplit="5" topLeftCell="C6" activePane="bottomRight" state="frozen"/>
      <selection pane="topRight" activeCell="C1" sqref="C1"/>
      <selection pane="bottomLeft" activeCell="A6" sqref="A6"/>
      <selection pane="bottomRight" activeCell="D30" sqref="D30"/>
    </sheetView>
  </sheetViews>
  <sheetFormatPr defaultRowHeight="15.75" x14ac:dyDescent="0.2"/>
  <cols>
    <col min="1" max="1" width="7.7109375" style="18" customWidth="1"/>
    <col min="2" max="2" width="47.5703125" style="19" customWidth="1"/>
    <col min="3" max="3" width="17.85546875" style="20" customWidth="1"/>
    <col min="4" max="4" width="16.85546875" style="20" customWidth="1"/>
    <col min="5" max="5" width="17.140625" style="20" customWidth="1"/>
    <col min="6" max="6" width="18.140625" style="20" customWidth="1"/>
    <col min="7" max="7" width="17.42578125" style="20" customWidth="1"/>
    <col min="8" max="8" width="17" style="20" customWidth="1"/>
    <col min="9" max="9" width="11.28515625" style="20" customWidth="1"/>
    <col min="10" max="10" width="13" style="20" customWidth="1"/>
    <col min="11" max="11" width="13.140625" style="20" bestFit="1" customWidth="1"/>
    <col min="12" max="16384" width="9.140625" style="20"/>
  </cols>
  <sheetData>
    <row r="1" spans="1:11" s="24" customFormat="1" ht="69" customHeight="1" thickBot="1" x14ac:dyDescent="0.25">
      <c r="A1" s="838" t="s">
        <v>795</v>
      </c>
      <c r="B1" s="839"/>
      <c r="C1" s="839"/>
      <c r="D1" s="839"/>
      <c r="E1" s="839"/>
      <c r="F1" s="839"/>
      <c r="G1" s="839"/>
      <c r="H1" s="840"/>
      <c r="I1" s="260"/>
    </row>
    <row r="2" spans="1:11" s="24" customFormat="1" ht="35.1" customHeight="1" x14ac:dyDescent="0.2">
      <c r="A2" s="722" t="s">
        <v>862</v>
      </c>
      <c r="B2" s="723"/>
      <c r="C2" s="723"/>
      <c r="D2" s="723"/>
      <c r="E2" s="723"/>
      <c r="F2" s="723"/>
      <c r="G2" s="723"/>
      <c r="H2" s="724"/>
    </row>
    <row r="3" spans="1:11" ht="27" customHeight="1" x14ac:dyDescent="0.2">
      <c r="A3" s="774" t="s">
        <v>115</v>
      </c>
      <c r="B3" s="692" t="s">
        <v>192</v>
      </c>
      <c r="C3" s="729" t="s">
        <v>173</v>
      </c>
      <c r="D3" s="729"/>
      <c r="E3" s="729" t="s">
        <v>174</v>
      </c>
      <c r="F3" s="729"/>
      <c r="G3" s="841" t="s">
        <v>119</v>
      </c>
      <c r="H3" s="842"/>
    </row>
    <row r="4" spans="1:11" ht="33" customHeight="1" x14ac:dyDescent="0.2">
      <c r="A4" s="690"/>
      <c r="B4" s="739"/>
      <c r="C4" s="489" t="s">
        <v>32</v>
      </c>
      <c r="D4" s="489" t="s">
        <v>108</v>
      </c>
      <c r="E4" s="489" t="s">
        <v>32</v>
      </c>
      <c r="F4" s="489" t="s">
        <v>108</v>
      </c>
      <c r="G4" s="489" t="s">
        <v>32</v>
      </c>
      <c r="H4" s="491" t="s">
        <v>108</v>
      </c>
    </row>
    <row r="5" spans="1:11" ht="21.6" customHeight="1" x14ac:dyDescent="0.2">
      <c r="A5" s="488"/>
      <c r="B5" s="490"/>
      <c r="C5" s="39" t="s">
        <v>158</v>
      </c>
      <c r="D5" s="39" t="s">
        <v>159</v>
      </c>
      <c r="E5" s="39" t="s">
        <v>160</v>
      </c>
      <c r="F5" s="39" t="s">
        <v>166</v>
      </c>
      <c r="G5" s="39" t="s">
        <v>15</v>
      </c>
      <c r="H5" s="261" t="s">
        <v>16</v>
      </c>
    </row>
    <row r="6" spans="1:11" ht="18" customHeight="1" x14ac:dyDescent="0.2">
      <c r="A6" s="262">
        <v>1</v>
      </c>
      <c r="B6" s="453" t="s">
        <v>714</v>
      </c>
      <c r="C6" s="215">
        <f>C7</f>
        <v>0</v>
      </c>
      <c r="D6" s="215">
        <f>D8</f>
        <v>0</v>
      </c>
      <c r="E6" s="215">
        <f>E7</f>
        <v>0</v>
      </c>
      <c r="F6" s="215">
        <f>F8</f>
        <v>0</v>
      </c>
      <c r="G6" s="215">
        <f>C6+E6</f>
        <v>0</v>
      </c>
      <c r="H6" s="263">
        <f>D6+F6</f>
        <v>0</v>
      </c>
      <c r="K6" s="405"/>
    </row>
    <row r="7" spans="1:11" ht="18" customHeight="1" x14ac:dyDescent="0.2">
      <c r="A7" s="262">
        <v>2</v>
      </c>
      <c r="B7" s="454" t="s">
        <v>752</v>
      </c>
      <c r="C7" s="216"/>
      <c r="D7" s="292" t="s">
        <v>574</v>
      </c>
      <c r="E7" s="216"/>
      <c r="F7" s="292" t="s">
        <v>574</v>
      </c>
      <c r="G7" s="483">
        <f t="shared" ref="G7" si="0">C7+E7</f>
        <v>0</v>
      </c>
      <c r="H7" s="484" t="s">
        <v>574</v>
      </c>
      <c r="K7" s="405"/>
    </row>
    <row r="8" spans="1:11" ht="18" customHeight="1" x14ac:dyDescent="0.2">
      <c r="A8" s="262">
        <f t="shared" ref="A8:A11" si="1">A7+1</f>
        <v>3</v>
      </c>
      <c r="B8" s="454" t="s">
        <v>753</v>
      </c>
      <c r="C8" s="292" t="s">
        <v>574</v>
      </c>
      <c r="D8" s="216"/>
      <c r="E8" s="292" t="s">
        <v>574</v>
      </c>
      <c r="F8" s="216"/>
      <c r="G8" s="485" t="s">
        <v>574</v>
      </c>
      <c r="H8" s="486">
        <f t="shared" ref="H8:H11" si="2">D8+F8</f>
        <v>0</v>
      </c>
      <c r="I8" s="405"/>
      <c r="J8" s="405"/>
      <c r="K8" s="405"/>
    </row>
    <row r="9" spans="1:11" ht="18" customHeight="1" x14ac:dyDescent="0.2">
      <c r="A9" s="262">
        <f t="shared" si="1"/>
        <v>4</v>
      </c>
      <c r="B9" s="453" t="s">
        <v>715</v>
      </c>
      <c r="C9" s="215">
        <f>SUM(C10:C11)</f>
        <v>0</v>
      </c>
      <c r="D9" s="215">
        <f>SUM(D10:D11)</f>
        <v>0</v>
      </c>
      <c r="E9" s="215">
        <f>SUM(E10:E11)</f>
        <v>0</v>
      </c>
      <c r="F9" s="215">
        <f>SUM(F10:F11)</f>
        <v>0</v>
      </c>
      <c r="G9" s="215">
        <f>C9+E9</f>
        <v>0</v>
      </c>
      <c r="H9" s="263">
        <f t="shared" si="2"/>
        <v>0</v>
      </c>
      <c r="I9" s="405"/>
      <c r="J9" s="405"/>
      <c r="K9" s="405"/>
    </row>
    <row r="10" spans="1:11" ht="18" customHeight="1" x14ac:dyDescent="0.2">
      <c r="A10" s="262">
        <f t="shared" si="1"/>
        <v>5</v>
      </c>
      <c r="B10" s="454" t="s">
        <v>754</v>
      </c>
      <c r="C10" s="216"/>
      <c r="D10" s="292" t="s">
        <v>574</v>
      </c>
      <c r="E10" s="216"/>
      <c r="F10" s="292" t="s">
        <v>574</v>
      </c>
      <c r="G10" s="483">
        <f>C10+E10</f>
        <v>0</v>
      </c>
      <c r="H10" s="484" t="s">
        <v>574</v>
      </c>
      <c r="I10" s="405"/>
      <c r="J10" s="405"/>
      <c r="K10" s="405"/>
    </row>
    <row r="11" spans="1:11" ht="18" customHeight="1" x14ac:dyDescent="0.2">
      <c r="A11" s="262">
        <f t="shared" si="1"/>
        <v>6</v>
      </c>
      <c r="B11" s="454" t="s">
        <v>755</v>
      </c>
      <c r="C11" s="292" t="s">
        <v>574</v>
      </c>
      <c r="D11" s="216"/>
      <c r="E11" s="292" t="s">
        <v>574</v>
      </c>
      <c r="F11" s="216"/>
      <c r="G11" s="485" t="s">
        <v>574</v>
      </c>
      <c r="H11" s="486">
        <f t="shared" si="2"/>
        <v>0</v>
      </c>
      <c r="I11" s="492"/>
      <c r="J11" s="405"/>
      <c r="K11" s="405"/>
    </row>
    <row r="12" spans="1:11" ht="18" customHeight="1" x14ac:dyDescent="0.2">
      <c r="A12" s="262">
        <v>7</v>
      </c>
      <c r="B12" s="453" t="s">
        <v>678</v>
      </c>
      <c r="C12" s="635">
        <f>SUM(C13:C14)</f>
        <v>273659.74</v>
      </c>
      <c r="D12" s="635">
        <f t="shared" ref="D12:F12" si="3">SUM(D13:D14)</f>
        <v>32195.25</v>
      </c>
      <c r="E12" s="635">
        <f t="shared" si="3"/>
        <v>0</v>
      </c>
      <c r="F12" s="635">
        <f t="shared" si="3"/>
        <v>0</v>
      </c>
      <c r="G12" s="635">
        <f>C12+E12</f>
        <v>273659.74</v>
      </c>
      <c r="H12" s="636">
        <f>D12+F12</f>
        <v>32195.25</v>
      </c>
      <c r="I12" s="493"/>
      <c r="J12" s="405"/>
      <c r="K12" s="405"/>
    </row>
    <row r="13" spans="1:11" ht="18" customHeight="1" x14ac:dyDescent="0.2">
      <c r="A13" s="262">
        <v>8</v>
      </c>
      <c r="B13" s="454" t="s">
        <v>680</v>
      </c>
      <c r="C13" s="637">
        <v>273659.74</v>
      </c>
      <c r="D13" s="637" t="s">
        <v>574</v>
      </c>
      <c r="E13" s="637"/>
      <c r="F13" s="637" t="s">
        <v>574</v>
      </c>
      <c r="G13" s="638">
        <f>C13+E13</f>
        <v>273659.74</v>
      </c>
      <c r="H13" s="639" t="s">
        <v>574</v>
      </c>
      <c r="I13" s="493"/>
      <c r="J13" s="405"/>
      <c r="K13" s="405"/>
    </row>
    <row r="14" spans="1:11" ht="18" customHeight="1" x14ac:dyDescent="0.2">
      <c r="A14" s="262">
        <v>9</v>
      </c>
      <c r="B14" s="454" t="s">
        <v>681</v>
      </c>
      <c r="C14" s="637" t="s">
        <v>574</v>
      </c>
      <c r="D14" s="640">
        <v>32195.25</v>
      </c>
      <c r="E14" s="637" t="s">
        <v>574</v>
      </c>
      <c r="F14" s="640"/>
      <c r="G14" s="641" t="s">
        <v>574</v>
      </c>
      <c r="H14" s="642">
        <f>D14+F14</f>
        <v>32195.25</v>
      </c>
      <c r="I14" s="493"/>
      <c r="J14" s="405"/>
      <c r="K14" s="405"/>
    </row>
    <row r="15" spans="1:11" ht="18" customHeight="1" x14ac:dyDescent="0.2">
      <c r="A15" s="262">
        <v>10</v>
      </c>
      <c r="B15" s="214" t="s">
        <v>679</v>
      </c>
      <c r="C15" s="635">
        <f>SUM(C16:C17)</f>
        <v>763443.28</v>
      </c>
      <c r="D15" s="635">
        <f t="shared" ref="D15:F15" si="4">SUM(D16:D17)</f>
        <v>89816.87</v>
      </c>
      <c r="E15" s="635">
        <f t="shared" si="4"/>
        <v>0</v>
      </c>
      <c r="F15" s="635">
        <f t="shared" si="4"/>
        <v>0</v>
      </c>
      <c r="G15" s="635">
        <f>C15+E15</f>
        <v>763443.28</v>
      </c>
      <c r="H15" s="636">
        <f>D15+F15</f>
        <v>89816.87</v>
      </c>
      <c r="I15" s="493"/>
      <c r="J15" s="405"/>
      <c r="K15" s="405"/>
    </row>
    <row r="16" spans="1:11" ht="18" customHeight="1" x14ac:dyDescent="0.2">
      <c r="A16" s="262">
        <v>11</v>
      </c>
      <c r="B16" s="217" t="s">
        <v>756</v>
      </c>
      <c r="C16" s="637">
        <v>763443.28</v>
      </c>
      <c r="D16" s="637" t="s">
        <v>574</v>
      </c>
      <c r="E16" s="637"/>
      <c r="F16" s="637" t="s">
        <v>574</v>
      </c>
      <c r="G16" s="638">
        <f>C16+E16</f>
        <v>763443.28</v>
      </c>
      <c r="H16" s="639" t="s">
        <v>574</v>
      </c>
      <c r="I16" s="493"/>
      <c r="J16" s="405"/>
      <c r="K16" s="405"/>
    </row>
    <row r="17" spans="1:11" ht="18" customHeight="1" x14ac:dyDescent="0.2">
      <c r="A17" s="262">
        <v>12</v>
      </c>
      <c r="B17" s="217" t="s">
        <v>757</v>
      </c>
      <c r="C17" s="637" t="s">
        <v>574</v>
      </c>
      <c r="D17" s="640">
        <v>89816.87</v>
      </c>
      <c r="E17" s="637" t="s">
        <v>574</v>
      </c>
      <c r="F17" s="640"/>
      <c r="G17" s="641" t="s">
        <v>574</v>
      </c>
      <c r="H17" s="642">
        <f>D17+F17</f>
        <v>89816.87</v>
      </c>
      <c r="I17" s="493"/>
      <c r="J17" s="405"/>
      <c r="K17" s="405"/>
    </row>
    <row r="18" spans="1:11" ht="44.25" customHeight="1" x14ac:dyDescent="0.2">
      <c r="A18" s="262">
        <v>13</v>
      </c>
      <c r="B18" s="453" t="s">
        <v>767</v>
      </c>
      <c r="C18" s="635">
        <f>C6+C9+C12+C15</f>
        <v>1037103.02</v>
      </c>
      <c r="D18" s="635">
        <f>D6+D9+D12+D15</f>
        <v>122012.12</v>
      </c>
      <c r="E18" s="635">
        <f>E6+E9+E12+E15</f>
        <v>0</v>
      </c>
      <c r="F18" s="635">
        <f>F6+F9+F12+F15</f>
        <v>0</v>
      </c>
      <c r="G18" s="635">
        <f>C18+E18</f>
        <v>1037103.02</v>
      </c>
      <c r="H18" s="635">
        <f>D18+F18</f>
        <v>122012.12</v>
      </c>
      <c r="I18" s="493"/>
      <c r="J18" s="405"/>
      <c r="K18" s="405"/>
    </row>
    <row r="19" spans="1:11" ht="45" customHeight="1" x14ac:dyDescent="0.2">
      <c r="A19" s="262">
        <v>14</v>
      </c>
      <c r="B19" s="453" t="s">
        <v>766</v>
      </c>
      <c r="C19" s="635">
        <f>C20+C23+C26+C29</f>
        <v>59572.689999999995</v>
      </c>
      <c r="D19" s="635">
        <f>D20+D23+D26+D29</f>
        <v>26960.28</v>
      </c>
      <c r="E19" s="635">
        <f>E20+E23+E26+E29</f>
        <v>78027.95</v>
      </c>
      <c r="F19" s="635">
        <f>F20+F23+F26+F29</f>
        <v>790.7</v>
      </c>
      <c r="G19" s="635">
        <f>C19+E19</f>
        <v>137600.63999999998</v>
      </c>
      <c r="H19" s="635">
        <f>D19+F19</f>
        <v>27750.98</v>
      </c>
      <c r="I19" s="493"/>
      <c r="J19" s="405"/>
      <c r="K19" s="405"/>
    </row>
    <row r="20" spans="1:11" ht="18" customHeight="1" x14ac:dyDescent="0.2">
      <c r="A20" s="262">
        <v>15</v>
      </c>
      <c r="B20" s="214" t="s">
        <v>751</v>
      </c>
      <c r="C20" s="635"/>
      <c r="D20" s="635">
        <f t="shared" ref="D20:F20" si="5">SUM(D21:D22)</f>
        <v>0</v>
      </c>
      <c r="E20" s="635">
        <f t="shared" si="5"/>
        <v>0</v>
      </c>
      <c r="F20" s="635">
        <f t="shared" si="5"/>
        <v>0</v>
      </c>
      <c r="G20" s="635">
        <f>SUM(G21:G22)</f>
        <v>0</v>
      </c>
      <c r="H20" s="636">
        <f t="shared" ref="H20" si="6">SUM(H21:H22)</f>
        <v>0</v>
      </c>
      <c r="I20" s="493"/>
      <c r="J20" s="405"/>
      <c r="K20" s="405"/>
    </row>
    <row r="21" spans="1:11" ht="18" customHeight="1" x14ac:dyDescent="0.2">
      <c r="A21" s="262">
        <v>16</v>
      </c>
      <c r="B21" s="217" t="s">
        <v>758</v>
      </c>
      <c r="C21" s="643"/>
      <c r="D21" s="637" t="s">
        <v>574</v>
      </c>
      <c r="E21" s="643"/>
      <c r="F21" s="637" t="s">
        <v>574</v>
      </c>
      <c r="G21" s="638">
        <f t="shared" ref="G21:H28" si="7">C21+E21</f>
        <v>0</v>
      </c>
      <c r="H21" s="639" t="s">
        <v>574</v>
      </c>
      <c r="I21" s="406"/>
      <c r="J21" s="405"/>
      <c r="K21" s="405"/>
    </row>
    <row r="22" spans="1:11" ht="18" customHeight="1" x14ac:dyDescent="0.2">
      <c r="A22" s="262">
        <v>17</v>
      </c>
      <c r="B22" s="217" t="s">
        <v>759</v>
      </c>
      <c r="C22" s="637" t="s">
        <v>574</v>
      </c>
      <c r="D22" s="643"/>
      <c r="E22" s="637" t="s">
        <v>574</v>
      </c>
      <c r="F22" s="643"/>
      <c r="G22" s="641" t="s">
        <v>574</v>
      </c>
      <c r="H22" s="642">
        <f t="shared" si="7"/>
        <v>0</v>
      </c>
      <c r="I22" s="406"/>
      <c r="J22" s="405"/>
      <c r="K22" s="405"/>
    </row>
    <row r="23" spans="1:11" ht="18" customHeight="1" x14ac:dyDescent="0.2">
      <c r="A23" s="262">
        <v>18</v>
      </c>
      <c r="B23" s="482" t="s">
        <v>760</v>
      </c>
      <c r="C23" s="635">
        <f>SUM(C24:C25)</f>
        <v>59122.42</v>
      </c>
      <c r="D23" s="635">
        <f t="shared" ref="D23:H23" si="8">SUM(D24:D25)</f>
        <v>6955.57</v>
      </c>
      <c r="E23" s="635">
        <f t="shared" si="8"/>
        <v>6720.95</v>
      </c>
      <c r="F23" s="635">
        <f t="shared" si="8"/>
        <v>790.7</v>
      </c>
      <c r="G23" s="635">
        <f t="shared" si="8"/>
        <v>0</v>
      </c>
      <c r="H23" s="636">
        <f t="shared" si="8"/>
        <v>7746.2699999999995</v>
      </c>
      <c r="I23" s="405"/>
      <c r="J23" s="405"/>
      <c r="K23" s="405"/>
    </row>
    <row r="24" spans="1:11" ht="18" customHeight="1" x14ac:dyDescent="0.2">
      <c r="A24" s="407">
        <v>19</v>
      </c>
      <c r="B24" s="217" t="s">
        <v>761</v>
      </c>
      <c r="C24" s="643">
        <v>59122.42</v>
      </c>
      <c r="D24" s="637" t="s">
        <v>574</v>
      </c>
      <c r="E24" s="643">
        <v>6720.95</v>
      </c>
      <c r="F24" s="637" t="s">
        <v>574</v>
      </c>
      <c r="G24" s="638"/>
      <c r="H24" s="639" t="s">
        <v>574</v>
      </c>
      <c r="I24" s="405"/>
      <c r="J24" s="405"/>
      <c r="K24" s="405"/>
    </row>
    <row r="25" spans="1:11" ht="18" customHeight="1" x14ac:dyDescent="0.2">
      <c r="A25" s="262">
        <v>20</v>
      </c>
      <c r="B25" s="217" t="s">
        <v>762</v>
      </c>
      <c r="C25" s="637" t="s">
        <v>574</v>
      </c>
      <c r="D25" s="643">
        <v>6955.57</v>
      </c>
      <c r="E25" s="637" t="s">
        <v>574</v>
      </c>
      <c r="F25" s="643">
        <v>790.7</v>
      </c>
      <c r="G25" s="641" t="s">
        <v>574</v>
      </c>
      <c r="H25" s="642">
        <f t="shared" si="7"/>
        <v>7746.2699999999995</v>
      </c>
      <c r="I25" s="405"/>
      <c r="J25" s="405"/>
      <c r="K25" s="405"/>
    </row>
    <row r="26" spans="1:11" ht="18" customHeight="1" x14ac:dyDescent="0.2">
      <c r="A26" s="407">
        <v>21</v>
      </c>
      <c r="B26" s="482" t="s">
        <v>763</v>
      </c>
      <c r="C26" s="635">
        <f>SUM(C27:C28)</f>
        <v>450.27</v>
      </c>
      <c r="D26" s="635">
        <f>SUM(D27:D28)</f>
        <v>0</v>
      </c>
      <c r="E26" s="635">
        <f>SUM(E27:E28)</f>
        <v>71307</v>
      </c>
      <c r="F26" s="635">
        <f>SUM(F27:F28)</f>
        <v>0</v>
      </c>
      <c r="G26" s="635">
        <f t="shared" ref="G26:H26" si="9">SUM(G28)</f>
        <v>0</v>
      </c>
      <c r="H26" s="636">
        <f t="shared" si="9"/>
        <v>0</v>
      </c>
      <c r="I26" s="405"/>
      <c r="J26" s="405"/>
      <c r="K26" s="405"/>
    </row>
    <row r="27" spans="1:11" ht="18" customHeight="1" x14ac:dyDescent="0.2">
      <c r="A27" s="262">
        <v>22</v>
      </c>
      <c r="B27" s="217" t="s">
        <v>764</v>
      </c>
      <c r="C27" s="643">
        <v>450.27</v>
      </c>
      <c r="D27" s="637" t="s">
        <v>574</v>
      </c>
      <c r="E27" s="643">
        <v>71307</v>
      </c>
      <c r="F27" s="637" t="s">
        <v>574</v>
      </c>
      <c r="G27" s="638">
        <f t="shared" si="7"/>
        <v>71757.27</v>
      </c>
      <c r="H27" s="639" t="s">
        <v>574</v>
      </c>
      <c r="I27" s="405"/>
      <c r="J27" s="405"/>
      <c r="K27" s="405"/>
    </row>
    <row r="28" spans="1:11" ht="18" customHeight="1" x14ac:dyDescent="0.2">
      <c r="A28" s="407">
        <v>23</v>
      </c>
      <c r="B28" s="494" t="s">
        <v>765</v>
      </c>
      <c r="C28" s="637" t="s">
        <v>574</v>
      </c>
      <c r="D28" s="640"/>
      <c r="E28" s="637" t="s">
        <v>574</v>
      </c>
      <c r="F28" s="640"/>
      <c r="G28" s="641" t="s">
        <v>574</v>
      </c>
      <c r="H28" s="642">
        <f t="shared" si="7"/>
        <v>0</v>
      </c>
      <c r="I28" s="405"/>
      <c r="J28" s="405"/>
      <c r="K28" s="405"/>
    </row>
    <row r="29" spans="1:11" ht="18" customHeight="1" x14ac:dyDescent="0.2">
      <c r="A29" s="407" t="s">
        <v>770</v>
      </c>
      <c r="B29" s="482" t="s">
        <v>870</v>
      </c>
      <c r="C29" s="635">
        <f>C30</f>
        <v>0</v>
      </c>
      <c r="D29" s="635">
        <f>D30</f>
        <v>20004.71</v>
      </c>
      <c r="E29" s="635">
        <v>0</v>
      </c>
      <c r="F29" s="635">
        <v>0</v>
      </c>
      <c r="G29" s="635">
        <f>SUM(G30)</f>
        <v>0</v>
      </c>
      <c r="H29" s="636">
        <f>D29+F29</f>
        <v>20004.71</v>
      </c>
      <c r="I29" s="405"/>
      <c r="J29" s="405"/>
      <c r="K29" s="405"/>
    </row>
    <row r="30" spans="1:11" ht="18" customHeight="1" x14ac:dyDescent="0.2">
      <c r="A30" s="407" t="s">
        <v>771</v>
      </c>
      <c r="B30" s="217" t="s">
        <v>870</v>
      </c>
      <c r="C30" s="644"/>
      <c r="D30" s="643">
        <v>20004.71</v>
      </c>
      <c r="E30" s="644"/>
      <c r="F30" s="643"/>
      <c r="G30" s="643">
        <f>C30</f>
        <v>0</v>
      </c>
      <c r="H30" s="645">
        <f>D30+F30</f>
        <v>20004.71</v>
      </c>
      <c r="I30" s="405"/>
      <c r="J30" s="405"/>
      <c r="K30" s="405"/>
    </row>
    <row r="31" spans="1:11" ht="18" customHeight="1" x14ac:dyDescent="0.2">
      <c r="A31" s="407"/>
      <c r="B31" s="217"/>
      <c r="C31" s="644"/>
      <c r="D31" s="643"/>
      <c r="E31" s="644"/>
      <c r="F31" s="643"/>
      <c r="G31" s="643"/>
      <c r="H31" s="645"/>
      <c r="I31" s="405"/>
      <c r="J31" s="405"/>
      <c r="K31" s="405"/>
    </row>
    <row r="32" spans="1:11" ht="18" customHeight="1" x14ac:dyDescent="0.2">
      <c r="A32" s="407"/>
      <c r="B32" s="217"/>
      <c r="C32" s="644"/>
      <c r="D32" s="643"/>
      <c r="E32" s="644"/>
      <c r="F32" s="643"/>
      <c r="G32" s="643"/>
      <c r="H32" s="645"/>
      <c r="I32" s="405"/>
      <c r="J32" s="405"/>
      <c r="K32" s="405"/>
    </row>
    <row r="33" spans="1:12" ht="18" customHeight="1" x14ac:dyDescent="0.2">
      <c r="A33" s="407"/>
      <c r="B33" s="217"/>
      <c r="C33" s="644"/>
      <c r="D33" s="643"/>
      <c r="E33" s="644"/>
      <c r="F33" s="643"/>
      <c r="G33" s="643"/>
      <c r="H33" s="645"/>
      <c r="I33" s="405"/>
      <c r="J33" s="405"/>
      <c r="K33" s="405"/>
    </row>
    <row r="34" spans="1:12" ht="18" customHeight="1" x14ac:dyDescent="0.2">
      <c r="A34" s="407"/>
      <c r="B34" s="217"/>
      <c r="C34" s="643"/>
      <c r="D34" s="643"/>
      <c r="E34" s="643"/>
      <c r="F34" s="643"/>
      <c r="G34" s="643"/>
      <c r="H34" s="645"/>
      <c r="I34" s="405"/>
      <c r="J34" s="405"/>
      <c r="K34" s="405"/>
    </row>
    <row r="35" spans="1:12" ht="18" customHeight="1" thickBot="1" x14ac:dyDescent="0.25">
      <c r="A35" s="264">
        <v>24</v>
      </c>
      <c r="B35" s="287" t="s">
        <v>769</v>
      </c>
      <c r="C35" s="646">
        <f>C18+C19</f>
        <v>1096675.71</v>
      </c>
      <c r="D35" s="646">
        <f t="shared" ref="D35:H35" si="10">D18+D19</f>
        <v>148972.4</v>
      </c>
      <c r="E35" s="646">
        <f t="shared" si="10"/>
        <v>78027.95</v>
      </c>
      <c r="F35" s="646">
        <f t="shared" si="10"/>
        <v>790.7</v>
      </c>
      <c r="G35" s="646">
        <f t="shared" si="10"/>
        <v>1174703.6599999999</v>
      </c>
      <c r="H35" s="646">
        <f t="shared" si="10"/>
        <v>149763.1</v>
      </c>
      <c r="I35" s="406"/>
      <c r="J35" s="571"/>
      <c r="K35" s="571"/>
      <c r="L35" s="647"/>
    </row>
    <row r="36" spans="1:12" x14ac:dyDescent="0.2">
      <c r="I36" s="406"/>
    </row>
    <row r="37" spans="1:12" x14ac:dyDescent="0.2">
      <c r="A37" s="444" t="s">
        <v>711</v>
      </c>
      <c r="B37" s="445" t="s">
        <v>768</v>
      </c>
      <c r="C37" s="445"/>
      <c r="D37" s="445"/>
      <c r="I37" s="406"/>
    </row>
    <row r="38" spans="1:12" x14ac:dyDescent="0.2">
      <c r="I38" s="406"/>
    </row>
    <row r="39" spans="1:12" ht="15.75" customHeight="1" x14ac:dyDescent="0.2">
      <c r="A39" s="837" t="s">
        <v>871</v>
      </c>
      <c r="B39" s="837"/>
      <c r="C39" s="837"/>
      <c r="D39" s="837"/>
      <c r="E39" s="837"/>
      <c r="F39" s="837"/>
      <c r="G39" s="837"/>
      <c r="H39" s="837"/>
    </row>
    <row r="40" spans="1:12" ht="16.5" customHeight="1" x14ac:dyDescent="0.2">
      <c r="A40" s="837" t="s">
        <v>872</v>
      </c>
      <c r="B40" s="837"/>
      <c r="C40" s="837"/>
      <c r="D40" s="837"/>
      <c r="E40" s="837"/>
      <c r="F40" s="837"/>
      <c r="G40" s="837"/>
      <c r="H40" s="837"/>
    </row>
    <row r="41" spans="1:12" ht="16.5" customHeight="1" x14ac:dyDescent="0.2">
      <c r="A41" s="837" t="s">
        <v>873</v>
      </c>
      <c r="B41" s="837"/>
      <c r="C41" s="837"/>
      <c r="D41" s="837"/>
      <c r="E41" s="837"/>
      <c r="F41" s="837"/>
      <c r="G41" s="837"/>
      <c r="H41" s="837"/>
      <c r="I41" s="837"/>
    </row>
  </sheetData>
  <sheetProtection selectLockedCells="1"/>
  <mergeCells count="10">
    <mergeCell ref="A41:I41"/>
    <mergeCell ref="A39:H39"/>
    <mergeCell ref="A40:H40"/>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5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G18" sqref="G18"/>
    </sheetView>
  </sheetViews>
  <sheetFormatPr defaultRowHeight="15.75" x14ac:dyDescent="0.25"/>
  <cols>
    <col min="1" max="1" width="9.5703125" style="3" customWidth="1"/>
    <col min="2" max="2" width="58.42578125" style="1" customWidth="1"/>
    <col min="3" max="3" width="22.140625" style="17" customWidth="1"/>
    <col min="4" max="4" width="21.140625" style="17" customWidth="1"/>
    <col min="5" max="5" width="24.140625" style="17" customWidth="1"/>
    <col min="6" max="16384" width="9.140625" style="1"/>
  </cols>
  <sheetData>
    <row r="1" spans="1:9" ht="80.25" customHeight="1" thickBot="1" x14ac:dyDescent="0.3">
      <c r="A1" s="843" t="s">
        <v>796</v>
      </c>
      <c r="B1" s="844"/>
      <c r="C1" s="844"/>
      <c r="D1" s="844"/>
      <c r="E1" s="845"/>
      <c r="F1" s="6"/>
      <c r="G1" s="6"/>
    </row>
    <row r="2" spans="1:9" ht="35.1" customHeight="1" x14ac:dyDescent="0.25">
      <c r="A2" s="672" t="s">
        <v>862</v>
      </c>
      <c r="B2" s="673"/>
      <c r="C2" s="673"/>
      <c r="D2" s="673"/>
      <c r="E2" s="674"/>
      <c r="F2" s="6"/>
      <c r="G2" s="6"/>
    </row>
    <row r="3" spans="1:9" s="9" customFormat="1" ht="46.9" customHeight="1" x14ac:dyDescent="0.25">
      <c r="A3" s="327" t="s">
        <v>115</v>
      </c>
      <c r="B3" s="329" t="s">
        <v>192</v>
      </c>
      <c r="C3" s="329" t="s">
        <v>173</v>
      </c>
      <c r="D3" s="329" t="s">
        <v>174</v>
      </c>
      <c r="E3" s="330" t="s">
        <v>116</v>
      </c>
    </row>
    <row r="4" spans="1:9" s="9" customFormat="1" ht="16.5" customHeight="1" x14ac:dyDescent="0.25">
      <c r="A4" s="327"/>
      <c r="B4" s="329"/>
      <c r="C4" s="329" t="s">
        <v>158</v>
      </c>
      <c r="D4" s="329" t="s">
        <v>159</v>
      </c>
      <c r="E4" s="330" t="s">
        <v>12</v>
      </c>
    </row>
    <row r="5" spans="1:9" s="9" customFormat="1" ht="17.45" customHeight="1" x14ac:dyDescent="0.25">
      <c r="A5" s="327"/>
      <c r="B5" s="161" t="s">
        <v>224</v>
      </c>
      <c r="C5" s="62"/>
      <c r="D5" s="62"/>
      <c r="E5" s="117"/>
    </row>
    <row r="6" spans="1:9" s="9" customFormat="1" ht="17.45" customHeight="1" x14ac:dyDescent="0.25">
      <c r="A6" s="116">
        <v>1</v>
      </c>
      <c r="B6" s="103" t="s">
        <v>250</v>
      </c>
      <c r="C6" s="46">
        <f>SUM(C7:C10)</f>
        <v>2346431.61</v>
      </c>
      <c r="D6" s="46">
        <f>SUM(D7:D10)</f>
        <v>136000</v>
      </c>
      <c r="E6" s="47">
        <f>C6+D6</f>
        <v>2482431.61</v>
      </c>
    </row>
    <row r="7" spans="1:9" s="17" customFormat="1" x14ac:dyDescent="0.2">
      <c r="A7" s="28">
        <f>A6+1</f>
        <v>2</v>
      </c>
      <c r="B7" s="114" t="s">
        <v>80</v>
      </c>
      <c r="C7" s="48">
        <v>2346431.61</v>
      </c>
      <c r="D7" s="129">
        <v>136000</v>
      </c>
      <c r="E7" s="47">
        <f>C7+D7</f>
        <v>2482431.61</v>
      </c>
    </row>
    <row r="8" spans="1:9" s="17" customFormat="1" x14ac:dyDescent="0.2">
      <c r="A8" s="28">
        <f>A7+1</f>
        <v>3</v>
      </c>
      <c r="B8" s="114" t="s">
        <v>248</v>
      </c>
      <c r="C8" s="48">
        <v>0</v>
      </c>
      <c r="D8" s="48"/>
      <c r="E8" s="47">
        <f t="shared" ref="E8:E16" si="0">C8+D8</f>
        <v>0</v>
      </c>
      <c r="G8" s="332"/>
    </row>
    <row r="9" spans="1:9" s="17" customFormat="1" x14ac:dyDescent="0.2">
      <c r="A9" s="28">
        <f>A8+1</f>
        <v>4</v>
      </c>
      <c r="B9" s="114"/>
      <c r="C9" s="48"/>
      <c r="D9" s="48"/>
      <c r="E9" s="47"/>
    </row>
    <row r="10" spans="1:9" s="17" customFormat="1" x14ac:dyDescent="0.2">
      <c r="A10" s="28">
        <f>A9+1</f>
        <v>5</v>
      </c>
      <c r="B10" s="114"/>
      <c r="C10" s="48"/>
      <c r="D10" s="48"/>
      <c r="E10" s="47">
        <f t="shared" si="0"/>
        <v>0</v>
      </c>
    </row>
    <row r="11" spans="1:9" s="17" customFormat="1" x14ac:dyDescent="0.2">
      <c r="A11" s="38"/>
      <c r="B11" s="161" t="s">
        <v>544</v>
      </c>
      <c r="C11" s="62"/>
      <c r="D11" s="62"/>
      <c r="E11" s="117"/>
    </row>
    <row r="12" spans="1:9" x14ac:dyDescent="0.25">
      <c r="A12" s="38">
        <v>6</v>
      </c>
      <c r="B12" s="114" t="s">
        <v>5</v>
      </c>
      <c r="C12" s="131">
        <v>3130</v>
      </c>
      <c r="D12" s="131"/>
      <c r="E12" s="47">
        <f t="shared" si="0"/>
        <v>3130</v>
      </c>
    </row>
    <row r="13" spans="1:9" x14ac:dyDescent="0.25">
      <c r="A13" s="38">
        <v>7</v>
      </c>
      <c r="B13" s="114" t="s">
        <v>6</v>
      </c>
      <c r="C13" s="48">
        <v>0</v>
      </c>
      <c r="D13" s="48"/>
      <c r="E13" s="47">
        <f t="shared" si="0"/>
        <v>0</v>
      </c>
    </row>
    <row r="14" spans="1:9" s="40" customFormat="1" x14ac:dyDescent="0.25">
      <c r="A14" s="38"/>
      <c r="B14" s="75"/>
      <c r="C14" s="151"/>
      <c r="D14" s="151"/>
      <c r="E14" s="117"/>
    </row>
    <row r="15" spans="1:9" x14ac:dyDescent="0.25">
      <c r="A15" s="38">
        <v>8</v>
      </c>
      <c r="B15" s="75" t="s">
        <v>251</v>
      </c>
      <c r="C15" s="132">
        <f>SUM(C16:C17)</f>
        <v>0</v>
      </c>
      <c r="D15" s="132">
        <f>SUM(D16:D17)</f>
        <v>0</v>
      </c>
      <c r="E15" s="47">
        <f t="shared" si="0"/>
        <v>0</v>
      </c>
    </row>
    <row r="16" spans="1:9" ht="31.5" x14ac:dyDescent="0.25">
      <c r="A16" s="38" t="s">
        <v>249</v>
      </c>
      <c r="B16" s="308" t="s">
        <v>597</v>
      </c>
      <c r="C16" s="131"/>
      <c r="D16" s="131"/>
      <c r="E16" s="47">
        <f t="shared" si="0"/>
        <v>0</v>
      </c>
      <c r="I16" s="331"/>
    </row>
    <row r="17" spans="1:5" x14ac:dyDescent="0.25">
      <c r="A17" s="38"/>
      <c r="B17" s="75"/>
      <c r="C17" s="151"/>
      <c r="D17" s="151"/>
      <c r="E17" s="117"/>
    </row>
    <row r="18" spans="1:5" ht="16.5" thickBot="1" x14ac:dyDescent="0.3">
      <c r="A18" s="119">
        <v>9</v>
      </c>
      <c r="B18" s="120" t="s">
        <v>528</v>
      </c>
      <c r="C18" s="59">
        <f>C6+C12+C13+C15</f>
        <v>2349561.61</v>
      </c>
      <c r="D18" s="59">
        <f>D6+D12+D13+D15</f>
        <v>136000</v>
      </c>
      <c r="E18" s="130">
        <f>E6+E12+E13+E15</f>
        <v>2485561.61</v>
      </c>
    </row>
    <row r="19" spans="1:5" x14ac:dyDescent="0.25">
      <c r="E19" s="20"/>
    </row>
    <row r="21" spans="1:5" x14ac:dyDescent="0.25">
      <c r="B21" s="209"/>
      <c r="C21" s="3"/>
    </row>
    <row r="22" spans="1:5" x14ac:dyDescent="0.25">
      <c r="B22" s="3"/>
      <c r="C22" s="3"/>
    </row>
    <row r="23" spans="1:5" x14ac:dyDescent="0.25">
      <c r="B23" s="3"/>
      <c r="C23" s="3"/>
    </row>
    <row r="24" spans="1:5" x14ac:dyDescent="0.25">
      <c r="D24" s="332"/>
    </row>
  </sheetData>
  <protectedRanges>
    <protectedRange sqref="C8:D10" name="Rozsah2_1"/>
    <protectedRange sqref="C11:D11" name="Rozsah2_2"/>
  </protectedRanges>
  <mergeCells count="2">
    <mergeCell ref="A1:E1"/>
    <mergeCell ref="A2:E2"/>
  </mergeCells>
  <phoneticPr fontId="5" type="noConversion"/>
  <pageMargins left="0.79" right="0.74803149606299213" top="0.98425196850393704" bottom="0.77" header="0.51181102362204722" footer="0.51181102362204722"/>
  <pageSetup paperSize="9" scale="9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G29"/>
  <sheetViews>
    <sheetView zoomScale="90" zoomScaleNormal="90" workbookViewId="0">
      <pane xSplit="2" ySplit="5" topLeftCell="C6" activePane="bottomRight" state="frozen"/>
      <selection pane="topRight" activeCell="C1" sqref="C1"/>
      <selection pane="bottomLeft" activeCell="A6" sqref="A6"/>
      <selection pane="bottomRight" activeCell="G10" sqref="G10"/>
    </sheetView>
  </sheetViews>
  <sheetFormatPr defaultRowHeight="15.75" x14ac:dyDescent="0.2"/>
  <cols>
    <col min="1" max="1" width="9.140625" style="17"/>
    <col min="2" max="2" width="75.42578125" style="67" customWidth="1"/>
    <col min="3" max="6" width="17.28515625" style="17" customWidth="1"/>
    <col min="7" max="7" width="66.42578125" style="17" customWidth="1"/>
    <col min="8" max="16384" width="9.140625" style="17"/>
  </cols>
  <sheetData>
    <row r="1" spans="1:7" ht="35.1" customHeight="1" thickBot="1" x14ac:dyDescent="0.25">
      <c r="A1" s="669" t="s">
        <v>797</v>
      </c>
      <c r="B1" s="853"/>
      <c r="C1" s="853"/>
      <c r="D1" s="853"/>
      <c r="E1" s="853"/>
      <c r="F1" s="854"/>
    </row>
    <row r="2" spans="1:7" ht="35.1" customHeight="1" x14ac:dyDescent="0.2">
      <c r="A2" s="722" t="s">
        <v>862</v>
      </c>
      <c r="B2" s="775"/>
      <c r="C2" s="776" t="s">
        <v>611</v>
      </c>
      <c r="D2" s="776"/>
      <c r="E2" s="776"/>
      <c r="F2" s="777"/>
    </row>
    <row r="3" spans="1:7" ht="22.9" customHeight="1" x14ac:dyDescent="0.2">
      <c r="A3" s="690" t="s">
        <v>115</v>
      </c>
      <c r="B3" s="739" t="s">
        <v>192</v>
      </c>
      <c r="C3" s="735">
        <v>2019</v>
      </c>
      <c r="D3" s="735"/>
      <c r="E3" s="735">
        <v>2020</v>
      </c>
      <c r="F3" s="785"/>
    </row>
    <row r="4" spans="1:7" ht="75" customHeight="1" x14ac:dyDescent="0.2">
      <c r="A4" s="690"/>
      <c r="B4" s="739"/>
      <c r="C4" s="410" t="s">
        <v>17</v>
      </c>
      <c r="D4" s="410" t="s">
        <v>109</v>
      </c>
      <c r="E4" s="410" t="s">
        <v>17</v>
      </c>
      <c r="F4" s="411" t="s">
        <v>110</v>
      </c>
    </row>
    <row r="5" spans="1:7" x14ac:dyDescent="0.2">
      <c r="A5" s="28"/>
      <c r="B5" s="92"/>
      <c r="C5" s="36" t="s">
        <v>158</v>
      </c>
      <c r="D5" s="36" t="s">
        <v>159</v>
      </c>
      <c r="E5" s="36" t="s">
        <v>160</v>
      </c>
      <c r="F5" s="37" t="s">
        <v>166</v>
      </c>
    </row>
    <row r="6" spans="1:7" ht="31.5" x14ac:dyDescent="0.2">
      <c r="A6" s="28">
        <v>1</v>
      </c>
      <c r="B6" s="448" t="s">
        <v>716</v>
      </c>
      <c r="C6" s="115">
        <f>C7+C10+C13+C16+C19+C22</f>
        <v>50211.97</v>
      </c>
      <c r="D6" s="115">
        <f t="shared" ref="D6:F6" si="0">D7+D10+D13+D16+D19+D22</f>
        <v>425</v>
      </c>
      <c r="E6" s="115">
        <f t="shared" si="0"/>
        <v>48160</v>
      </c>
      <c r="F6" s="115">
        <f t="shared" si="0"/>
        <v>319</v>
      </c>
      <c r="G6" s="357"/>
    </row>
    <row r="7" spans="1:7" x14ac:dyDescent="0.2">
      <c r="A7" s="28">
        <v>2</v>
      </c>
      <c r="B7" s="448" t="s">
        <v>717</v>
      </c>
      <c r="C7" s="115">
        <f>SUM(C8:C9)</f>
        <v>3300</v>
      </c>
      <c r="D7" s="115">
        <f t="shared" ref="D7:F7" si="1">SUM(D8:D9)</f>
        <v>21</v>
      </c>
      <c r="E7" s="115">
        <f t="shared" si="1"/>
        <v>2542</v>
      </c>
      <c r="F7" s="416">
        <f t="shared" si="1"/>
        <v>6</v>
      </c>
      <c r="G7" s="357"/>
    </row>
    <row r="8" spans="1:7" x14ac:dyDescent="0.2">
      <c r="A8" s="28">
        <v>3</v>
      </c>
      <c r="B8" s="447" t="s">
        <v>19</v>
      </c>
      <c r="C8" s="134">
        <v>3300</v>
      </c>
      <c r="D8" s="134">
        <v>21</v>
      </c>
      <c r="E8" s="134">
        <v>2542</v>
      </c>
      <c r="F8" s="152">
        <v>6</v>
      </c>
      <c r="G8" s="357"/>
    </row>
    <row r="9" spans="1:7" ht="18.75" x14ac:dyDescent="0.2">
      <c r="A9" s="28">
        <v>4</v>
      </c>
      <c r="B9" s="447" t="s">
        <v>718</v>
      </c>
      <c r="C9" s="134"/>
      <c r="D9" s="134"/>
      <c r="E9" s="134"/>
      <c r="F9" s="152"/>
      <c r="G9" s="357"/>
    </row>
    <row r="10" spans="1:7" ht="21" customHeight="1" x14ac:dyDescent="0.2">
      <c r="A10" s="28">
        <v>5</v>
      </c>
      <c r="B10" s="448" t="s">
        <v>622</v>
      </c>
      <c r="C10" s="115">
        <f>SUM(C11:C12)</f>
        <v>18950</v>
      </c>
      <c r="D10" s="115">
        <f t="shared" ref="D10:F10" si="2">SUM(D11:D12)</f>
        <v>102</v>
      </c>
      <c r="E10" s="115">
        <f t="shared" si="2"/>
        <v>21050</v>
      </c>
      <c r="F10" s="416">
        <f t="shared" si="2"/>
        <v>125</v>
      </c>
      <c r="G10" s="357"/>
    </row>
    <row r="11" spans="1:7" x14ac:dyDescent="0.2">
      <c r="A11" s="28">
        <v>6</v>
      </c>
      <c r="B11" s="447" t="s">
        <v>19</v>
      </c>
      <c r="C11" s="134">
        <v>18950</v>
      </c>
      <c r="D11" s="134">
        <v>102</v>
      </c>
      <c r="E11" s="134">
        <v>21050</v>
      </c>
      <c r="F11" s="152">
        <v>125</v>
      </c>
      <c r="G11" s="357"/>
    </row>
    <row r="12" spans="1:7" ht="18.75" x14ac:dyDescent="0.2">
      <c r="A12" s="28">
        <v>7</v>
      </c>
      <c r="B12" s="447" t="s">
        <v>718</v>
      </c>
      <c r="C12" s="134"/>
      <c r="D12" s="134"/>
      <c r="E12" s="134"/>
      <c r="F12" s="152"/>
      <c r="G12" s="357"/>
    </row>
    <row r="13" spans="1:7" x14ac:dyDescent="0.2">
      <c r="A13" s="28">
        <v>8</v>
      </c>
      <c r="B13" s="448" t="s">
        <v>623</v>
      </c>
      <c r="C13" s="115">
        <f>C14+C15</f>
        <v>15224.47</v>
      </c>
      <c r="D13" s="115">
        <f t="shared" ref="D13:F13" si="3">D14+D15</f>
        <v>156</v>
      </c>
      <c r="E13" s="115">
        <f t="shared" si="3"/>
        <v>12468</v>
      </c>
      <c r="F13" s="416">
        <f t="shared" si="3"/>
        <v>111</v>
      </c>
      <c r="G13" s="357"/>
    </row>
    <row r="14" spans="1:7" x14ac:dyDescent="0.2">
      <c r="A14" s="28">
        <v>9</v>
      </c>
      <c r="B14" s="447" t="s">
        <v>19</v>
      </c>
      <c r="C14" s="134">
        <v>15224.47</v>
      </c>
      <c r="D14" s="134">
        <v>156</v>
      </c>
      <c r="E14" s="134">
        <v>12468</v>
      </c>
      <c r="F14" s="152">
        <v>111</v>
      </c>
      <c r="G14" s="357"/>
    </row>
    <row r="15" spans="1:7" ht="18.75" x14ac:dyDescent="0.2">
      <c r="A15" s="28">
        <v>10</v>
      </c>
      <c r="B15" s="447" t="s">
        <v>718</v>
      </c>
      <c r="C15" s="134"/>
      <c r="D15" s="134"/>
      <c r="E15" s="134"/>
      <c r="F15" s="152"/>
      <c r="G15" s="357"/>
    </row>
    <row r="16" spans="1:7" x14ac:dyDescent="0.2">
      <c r="A16" s="28">
        <v>11</v>
      </c>
      <c r="B16" s="448" t="s">
        <v>719</v>
      </c>
      <c r="C16" s="115">
        <f>SUM(C17:C18)</f>
        <v>5217.5</v>
      </c>
      <c r="D16" s="115">
        <f t="shared" ref="D16:F16" si="4">SUM(D17:D18)</f>
        <v>51</v>
      </c>
      <c r="E16" s="115">
        <f t="shared" si="4"/>
        <v>2000</v>
      </c>
      <c r="F16" s="416">
        <f t="shared" si="4"/>
        <v>8</v>
      </c>
    </row>
    <row r="17" spans="1:6" x14ac:dyDescent="0.2">
      <c r="A17" s="28">
        <v>12</v>
      </c>
      <c r="B17" s="447" t="s">
        <v>19</v>
      </c>
      <c r="C17" s="134">
        <v>5217.5</v>
      </c>
      <c r="D17" s="134">
        <v>51</v>
      </c>
      <c r="E17" s="134">
        <v>2000</v>
      </c>
      <c r="F17" s="152">
        <v>8</v>
      </c>
    </row>
    <row r="18" spans="1:6" ht="18.75" x14ac:dyDescent="0.2">
      <c r="A18" s="28">
        <v>13</v>
      </c>
      <c r="B18" s="447" t="s">
        <v>718</v>
      </c>
      <c r="C18" s="134"/>
      <c r="D18" s="134"/>
      <c r="E18" s="134"/>
      <c r="F18" s="152"/>
    </row>
    <row r="19" spans="1:6" x14ac:dyDescent="0.2">
      <c r="A19" s="28">
        <v>14</v>
      </c>
      <c r="B19" s="448" t="s">
        <v>720</v>
      </c>
      <c r="C19" s="115">
        <f>SUM(C20:C21)</f>
        <v>900</v>
      </c>
      <c r="D19" s="115">
        <f t="shared" ref="D19:F19" si="5">SUM(D20:D21)</f>
        <v>2</v>
      </c>
      <c r="E19" s="115">
        <f t="shared" si="5"/>
        <v>3000</v>
      </c>
      <c r="F19" s="416">
        <f t="shared" si="5"/>
        <v>12</v>
      </c>
    </row>
    <row r="20" spans="1:6" x14ac:dyDescent="0.2">
      <c r="A20" s="28">
        <v>15</v>
      </c>
      <c r="B20" s="447" t="s">
        <v>19</v>
      </c>
      <c r="C20" s="134">
        <v>300</v>
      </c>
      <c r="D20" s="134">
        <v>1</v>
      </c>
      <c r="E20" s="134">
        <v>1400</v>
      </c>
      <c r="F20" s="152">
        <v>4</v>
      </c>
    </row>
    <row r="21" spans="1:6" ht="18.75" x14ac:dyDescent="0.2">
      <c r="A21" s="28">
        <v>16</v>
      </c>
      <c r="B21" s="455" t="s">
        <v>718</v>
      </c>
      <c r="C21" s="153">
        <v>600</v>
      </c>
      <c r="D21" s="153">
        <v>1</v>
      </c>
      <c r="E21" s="153">
        <v>1600</v>
      </c>
      <c r="F21" s="154">
        <v>8</v>
      </c>
    </row>
    <row r="22" spans="1:6" x14ac:dyDescent="0.2">
      <c r="A22" s="28">
        <v>17</v>
      </c>
      <c r="B22" s="456" t="s">
        <v>687</v>
      </c>
      <c r="C22" s="115">
        <f>C23+C24</f>
        <v>6620</v>
      </c>
      <c r="D22" s="115">
        <f t="shared" ref="D22:F22" si="6">D23+D24</f>
        <v>93</v>
      </c>
      <c r="E22" s="115">
        <f t="shared" si="6"/>
        <v>7100</v>
      </c>
      <c r="F22" s="416">
        <f t="shared" si="6"/>
        <v>57</v>
      </c>
    </row>
    <row r="23" spans="1:6" x14ac:dyDescent="0.2">
      <c r="A23" s="28">
        <v>18</v>
      </c>
      <c r="B23" s="447" t="s">
        <v>19</v>
      </c>
      <c r="C23" s="153">
        <v>6620</v>
      </c>
      <c r="D23" s="153">
        <v>93</v>
      </c>
      <c r="E23" s="153">
        <v>7100</v>
      </c>
      <c r="F23" s="154">
        <v>57</v>
      </c>
    </row>
    <row r="24" spans="1:6" ht="18.75" x14ac:dyDescent="0.2">
      <c r="A24" s="28">
        <v>19</v>
      </c>
      <c r="B24" s="455" t="s">
        <v>718</v>
      </c>
      <c r="C24" s="153"/>
      <c r="D24" s="153"/>
      <c r="E24" s="153"/>
      <c r="F24" s="154"/>
    </row>
    <row r="25" spans="1:6" ht="19.5" thickBot="1" x14ac:dyDescent="0.25">
      <c r="A25" s="29">
        <v>20</v>
      </c>
      <c r="B25" s="457" t="s">
        <v>721</v>
      </c>
      <c r="C25" s="155" t="s">
        <v>179</v>
      </c>
      <c r="D25" s="156">
        <f>D6</f>
        <v>425</v>
      </c>
      <c r="E25" s="155" t="s">
        <v>179</v>
      </c>
      <c r="F25" s="157">
        <v>319</v>
      </c>
    </row>
    <row r="26" spans="1:6" s="110" customFormat="1" x14ac:dyDescent="0.2">
      <c r="A26" s="342"/>
      <c r="B26" s="343"/>
      <c r="C26" s="344"/>
      <c r="D26" s="345"/>
      <c r="E26" s="344"/>
      <c r="F26" s="345"/>
    </row>
    <row r="27" spans="1:6" x14ac:dyDescent="0.2">
      <c r="A27" s="847" t="s">
        <v>535</v>
      </c>
      <c r="B27" s="848"/>
      <c r="C27" s="848"/>
      <c r="D27" s="848"/>
      <c r="E27" s="848"/>
      <c r="F27" s="849"/>
    </row>
    <row r="28" spans="1:6" x14ac:dyDescent="0.2">
      <c r="A28" s="850" t="s">
        <v>536</v>
      </c>
      <c r="B28" s="851"/>
      <c r="C28" s="851"/>
      <c r="D28" s="851"/>
      <c r="E28" s="851"/>
      <c r="F28" s="852"/>
    </row>
    <row r="29" spans="1:6" x14ac:dyDescent="0.2">
      <c r="A29" s="846" t="s">
        <v>620</v>
      </c>
      <c r="B29" s="846"/>
      <c r="C29" s="846"/>
      <c r="D29" s="846"/>
      <c r="E29" s="846"/>
      <c r="F29" s="846"/>
    </row>
  </sheetData>
  <mergeCells count="1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7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H16"/>
  <sheetViews>
    <sheetView zoomScaleNormal="100" workbookViewId="0">
      <pane xSplit="2" ySplit="5" topLeftCell="C6" activePane="bottomRight" state="frozen"/>
      <selection pane="topRight" activeCell="C1" sqref="C1"/>
      <selection pane="bottomLeft" activeCell="A5" sqref="A5"/>
      <selection pane="bottomRight" activeCell="G13" sqref="G13"/>
    </sheetView>
  </sheetViews>
  <sheetFormatPr defaultRowHeight="18.75" x14ac:dyDescent="0.25"/>
  <cols>
    <col min="1" max="1" width="9.140625" style="231"/>
    <col min="2" max="2" width="53" style="258" customWidth="1"/>
    <col min="3" max="3" width="20.7109375" style="291" customWidth="1"/>
    <col min="4" max="4" width="20.28515625" style="291" customWidth="1"/>
    <col min="5" max="5" width="16.7109375" style="291" customWidth="1"/>
    <col min="6" max="6" width="17.85546875" style="231" customWidth="1"/>
    <col min="7" max="7" width="16.140625" style="231" customWidth="1"/>
    <col min="8" max="16384" width="9.140625" style="231"/>
  </cols>
  <sheetData>
    <row r="1" spans="1:8" ht="50.1" customHeight="1" thickBot="1" x14ac:dyDescent="0.3">
      <c r="A1" s="792" t="s">
        <v>798</v>
      </c>
      <c r="B1" s="855"/>
      <c r="C1" s="855"/>
      <c r="D1" s="856"/>
      <c r="E1" s="856"/>
      <c r="F1" s="857"/>
    </row>
    <row r="2" spans="1:8" ht="35.1" customHeight="1" thickBot="1" x14ac:dyDescent="0.3">
      <c r="A2" s="858" t="s">
        <v>862</v>
      </c>
      <c r="B2" s="859"/>
      <c r="C2" s="859"/>
      <c r="D2" s="860"/>
      <c r="E2" s="860"/>
      <c r="F2" s="861"/>
    </row>
    <row r="3" spans="1:8" ht="33" customHeight="1" x14ac:dyDescent="0.25">
      <c r="A3" s="774" t="s">
        <v>115</v>
      </c>
      <c r="B3" s="864" t="s">
        <v>192</v>
      </c>
      <c r="C3" s="862">
        <v>2019</v>
      </c>
      <c r="D3" s="862"/>
      <c r="E3" s="862">
        <v>2020</v>
      </c>
      <c r="F3" s="862"/>
    </row>
    <row r="4" spans="1:8" ht="78" customHeight="1" x14ac:dyDescent="0.25">
      <c r="A4" s="690"/>
      <c r="B4" s="865"/>
      <c r="C4" s="470" t="s">
        <v>643</v>
      </c>
      <c r="D4" s="470" t="s">
        <v>726</v>
      </c>
      <c r="E4" s="470" t="s">
        <v>643</v>
      </c>
      <c r="F4" s="471" t="s">
        <v>726</v>
      </c>
    </row>
    <row r="5" spans="1:8" ht="18.75" customHeight="1" x14ac:dyDescent="0.25">
      <c r="A5" s="233"/>
      <c r="B5" s="234"/>
      <c r="C5" s="235" t="s">
        <v>158</v>
      </c>
      <c r="D5" s="235" t="s">
        <v>159</v>
      </c>
      <c r="E5" s="367" t="s">
        <v>160</v>
      </c>
      <c r="F5" s="369" t="s">
        <v>166</v>
      </c>
    </row>
    <row r="6" spans="1:8" s="288" customFormat="1" ht="53.25" customHeight="1" x14ac:dyDescent="0.2">
      <c r="A6" s="240">
        <v>1</v>
      </c>
      <c r="B6" s="368" t="s">
        <v>572</v>
      </c>
      <c r="C6" s="243"/>
      <c r="D6" s="243">
        <v>34</v>
      </c>
      <c r="E6" s="242">
        <f>C9</f>
        <v>0</v>
      </c>
      <c r="F6" s="370">
        <f>D9</f>
        <v>200</v>
      </c>
      <c r="G6" s="348"/>
      <c r="H6" s="349"/>
    </row>
    <row r="7" spans="1:8" ht="36" customHeight="1" x14ac:dyDescent="0.25">
      <c r="A7" s="240">
        <v>2</v>
      </c>
      <c r="B7" s="368" t="s">
        <v>637</v>
      </c>
      <c r="C7" s="243">
        <v>149025</v>
      </c>
      <c r="D7" s="243">
        <v>318700</v>
      </c>
      <c r="E7" s="243">
        <v>170010</v>
      </c>
      <c r="F7" s="371">
        <v>307934</v>
      </c>
      <c r="G7" s="569"/>
    </row>
    <row r="8" spans="1:8" ht="35.25" customHeight="1" x14ac:dyDescent="0.25">
      <c r="A8" s="240">
        <v>3</v>
      </c>
      <c r="B8" s="368" t="s">
        <v>573</v>
      </c>
      <c r="C8" s="243">
        <v>149025</v>
      </c>
      <c r="D8" s="243">
        <v>318534</v>
      </c>
      <c r="E8" s="243">
        <v>170010</v>
      </c>
      <c r="F8" s="371">
        <v>308070</v>
      </c>
      <c r="G8" s="223"/>
    </row>
    <row r="9" spans="1:8" ht="39.75" customHeight="1" x14ac:dyDescent="0.25">
      <c r="A9" s="240">
        <v>4</v>
      </c>
      <c r="B9" s="368" t="s">
        <v>638</v>
      </c>
      <c r="C9" s="242">
        <f>C6+C7-C8</f>
        <v>0</v>
      </c>
      <c r="D9" s="242">
        <f>D6+D7-D8</f>
        <v>200</v>
      </c>
      <c r="E9" s="242">
        <f>E6+E7-E8</f>
        <v>0</v>
      </c>
      <c r="F9" s="370">
        <f>F6+F7-F8</f>
        <v>64</v>
      </c>
    </row>
    <row r="10" spans="1:8" ht="36" customHeight="1" thickBot="1" x14ac:dyDescent="0.3">
      <c r="A10" s="372">
        <v>5</v>
      </c>
      <c r="B10" s="373" t="s">
        <v>639</v>
      </c>
      <c r="C10" s="374">
        <v>257</v>
      </c>
      <c r="D10" s="374">
        <v>861</v>
      </c>
      <c r="E10" s="374">
        <v>211</v>
      </c>
      <c r="F10" s="375">
        <v>754</v>
      </c>
    </row>
    <row r="11" spans="1:8" ht="21" customHeight="1" x14ac:dyDescent="0.25">
      <c r="A11" s="289"/>
      <c r="B11" s="290"/>
      <c r="C11" s="231"/>
      <c r="D11" s="231"/>
      <c r="E11" s="231"/>
      <c r="G11" s="288"/>
    </row>
    <row r="12" spans="1:8" ht="21" customHeight="1" x14ac:dyDescent="0.25">
      <c r="A12" s="863" t="s">
        <v>640</v>
      </c>
      <c r="B12" s="863"/>
      <c r="C12" s="863"/>
      <c r="D12" s="863"/>
      <c r="E12" s="863"/>
      <c r="F12" s="863"/>
    </row>
    <row r="13" spans="1:8" ht="18" x14ac:dyDescent="0.25">
      <c r="A13" s="350" t="s">
        <v>641</v>
      </c>
      <c r="B13" s="351"/>
      <c r="C13" s="346"/>
      <c r="D13" s="346"/>
      <c r="E13" s="346"/>
      <c r="F13" s="347"/>
    </row>
    <row r="14" spans="1:8" ht="18" x14ac:dyDescent="0.25">
      <c r="A14" s="350" t="s">
        <v>642</v>
      </c>
      <c r="B14" s="351"/>
      <c r="C14" s="346"/>
      <c r="D14" s="346"/>
      <c r="E14" s="346"/>
      <c r="F14" s="347"/>
    </row>
    <row r="16" spans="1:8" x14ac:dyDescent="0.25">
      <c r="C16" s="291" t="s">
        <v>91</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indexed="42"/>
    <pageSetUpPr fitToPage="1"/>
  </sheetPr>
  <dimension ref="A1:K33"/>
  <sheetViews>
    <sheetView workbookViewId="0">
      <pane xSplit="2" ySplit="4" topLeftCell="C17" activePane="bottomRight" state="frozen"/>
      <selection pane="topRight" activeCell="C1" sqref="C1"/>
      <selection pane="bottomLeft" activeCell="A5" sqref="A5"/>
      <selection pane="bottomRight" activeCell="F5" sqref="F5"/>
    </sheetView>
  </sheetViews>
  <sheetFormatPr defaultRowHeight="15.75" x14ac:dyDescent="0.25"/>
  <cols>
    <col min="1" max="1" width="10.140625" style="3" customWidth="1"/>
    <col min="2" max="2" width="83" style="54" customWidth="1"/>
    <col min="3" max="3" width="15.42578125" style="1" customWidth="1"/>
    <col min="4" max="4" width="14.28515625" style="1" customWidth="1"/>
    <col min="5" max="5" width="14.7109375" style="1" customWidth="1"/>
    <col min="6" max="10" width="9.140625" style="1"/>
    <col min="11" max="11" width="10.7109375" style="1" bestFit="1" customWidth="1"/>
    <col min="12" max="16384" width="9.140625" style="1"/>
  </cols>
  <sheetData>
    <row r="1" spans="1:7" ht="50.1" customHeight="1" thickBot="1" x14ac:dyDescent="0.3">
      <c r="A1" s="675" t="s">
        <v>774</v>
      </c>
      <c r="B1" s="676"/>
      <c r="C1" s="676"/>
      <c r="D1" s="676"/>
      <c r="E1" s="677"/>
      <c r="F1" s="6"/>
      <c r="G1" s="6"/>
    </row>
    <row r="2" spans="1:7" s="16" customFormat="1" ht="38.25" customHeight="1" x14ac:dyDescent="0.2">
      <c r="A2" s="678" t="s">
        <v>857</v>
      </c>
      <c r="B2" s="679"/>
      <c r="C2" s="679"/>
      <c r="D2" s="679"/>
      <c r="E2" s="680"/>
    </row>
    <row r="3" spans="1:7" s="9" customFormat="1" ht="35.25" customHeight="1" x14ac:dyDescent="0.25">
      <c r="A3" s="327" t="s">
        <v>115</v>
      </c>
      <c r="B3" s="333" t="s">
        <v>192</v>
      </c>
      <c r="C3" s="329" t="s">
        <v>173</v>
      </c>
      <c r="D3" s="329" t="s">
        <v>174</v>
      </c>
      <c r="E3" s="32" t="s">
        <v>119</v>
      </c>
    </row>
    <row r="4" spans="1:7" s="17" customFormat="1" ht="17.25" customHeight="1" x14ac:dyDescent="0.2">
      <c r="A4" s="28"/>
      <c r="B4" s="328"/>
      <c r="C4" s="34" t="s">
        <v>158</v>
      </c>
      <c r="D4" s="34" t="s">
        <v>159</v>
      </c>
      <c r="E4" s="35" t="s">
        <v>12</v>
      </c>
    </row>
    <row r="5" spans="1:7" ht="31.5" x14ac:dyDescent="0.25">
      <c r="A5" s="30">
        <v>1</v>
      </c>
      <c r="B5" s="51" t="s">
        <v>562</v>
      </c>
      <c r="C5" s="58">
        <f>SUM(C6:C10)</f>
        <v>1610854.06</v>
      </c>
      <c r="D5" s="58">
        <f>SUM(D6:D9)</f>
        <v>7700</v>
      </c>
      <c r="E5" s="128">
        <f>C5+D5</f>
        <v>1618554.06</v>
      </c>
      <c r="F5" s="208"/>
    </row>
    <row r="6" spans="1:7" x14ac:dyDescent="0.25">
      <c r="A6" s="30" t="s">
        <v>183</v>
      </c>
      <c r="B6" s="52" t="s">
        <v>855</v>
      </c>
      <c r="C6" s="48">
        <v>1275000</v>
      </c>
      <c r="D6" s="48"/>
      <c r="E6" s="128">
        <f t="shared" ref="E6:E31" si="0">C6+D6</f>
        <v>1275000</v>
      </c>
    </row>
    <row r="7" spans="1:7" x14ac:dyDescent="0.25">
      <c r="A7" s="30" t="s">
        <v>240</v>
      </c>
      <c r="B7" s="52" t="s">
        <v>856</v>
      </c>
      <c r="C7" s="48">
        <v>94092.28</v>
      </c>
      <c r="D7" s="48">
        <v>7700</v>
      </c>
      <c r="E7" s="128">
        <f t="shared" si="0"/>
        <v>101792.28</v>
      </c>
    </row>
    <row r="8" spans="1:7" x14ac:dyDescent="0.25">
      <c r="A8" s="30" t="s">
        <v>832</v>
      </c>
      <c r="B8" s="52" t="s">
        <v>833</v>
      </c>
      <c r="C8" s="48">
        <v>197538</v>
      </c>
      <c r="D8" s="48"/>
      <c r="E8" s="128">
        <f t="shared" si="0"/>
        <v>197538</v>
      </c>
    </row>
    <row r="9" spans="1:7" x14ac:dyDescent="0.25">
      <c r="A9" s="30" t="s">
        <v>834</v>
      </c>
      <c r="B9" s="52" t="s">
        <v>835</v>
      </c>
      <c r="C9" s="48">
        <v>18000</v>
      </c>
      <c r="D9" s="48"/>
      <c r="E9" s="128">
        <f t="shared" si="0"/>
        <v>18000</v>
      </c>
    </row>
    <row r="10" spans="1:7" x14ac:dyDescent="0.25">
      <c r="A10" s="30" t="s">
        <v>852</v>
      </c>
      <c r="B10" s="52" t="s">
        <v>851</v>
      </c>
      <c r="C10" s="48">
        <v>26223.78</v>
      </c>
      <c r="D10" s="48"/>
      <c r="E10" s="128">
        <f t="shared" si="0"/>
        <v>26223.78</v>
      </c>
    </row>
    <row r="11" spans="1:7" x14ac:dyDescent="0.25">
      <c r="A11" s="30"/>
      <c r="B11" s="52"/>
      <c r="C11" s="48"/>
      <c r="D11" s="48"/>
      <c r="E11" s="128"/>
    </row>
    <row r="12" spans="1:7" x14ac:dyDescent="0.25">
      <c r="A12" s="30">
        <v>2</v>
      </c>
      <c r="B12" s="51" t="s">
        <v>33</v>
      </c>
      <c r="C12" s="58">
        <f>SUM(C13:C13)</f>
        <v>0</v>
      </c>
      <c r="D12" s="58">
        <f>SUM(D13:D13)</f>
        <v>0</v>
      </c>
      <c r="E12" s="128">
        <f t="shared" si="0"/>
        <v>0</v>
      </c>
    </row>
    <row r="13" spans="1:7" x14ac:dyDescent="0.25">
      <c r="A13" s="30" t="s">
        <v>184</v>
      </c>
      <c r="B13" s="52"/>
      <c r="C13" s="48"/>
      <c r="D13" s="48"/>
      <c r="E13" s="128"/>
    </row>
    <row r="14" spans="1:7" x14ac:dyDescent="0.25">
      <c r="A14" s="30"/>
      <c r="B14" s="52"/>
      <c r="C14" s="48"/>
      <c r="D14" s="48"/>
      <c r="E14" s="128"/>
    </row>
    <row r="15" spans="1:7" x14ac:dyDescent="0.25">
      <c r="A15" s="30">
        <v>3</v>
      </c>
      <c r="B15" s="51" t="s">
        <v>142</v>
      </c>
      <c r="C15" s="58">
        <f>SUM(C16:C18)</f>
        <v>39650</v>
      </c>
      <c r="D15" s="58">
        <f>SUM(D16:D17)</f>
        <v>0</v>
      </c>
      <c r="E15" s="128">
        <f t="shared" si="0"/>
        <v>39650</v>
      </c>
    </row>
    <row r="16" spans="1:7" x14ac:dyDescent="0.25">
      <c r="A16" s="30" t="s">
        <v>185</v>
      </c>
      <c r="B16" s="127" t="s">
        <v>836</v>
      </c>
      <c r="C16" s="48">
        <v>33500</v>
      </c>
      <c r="D16" s="48"/>
      <c r="E16" s="128">
        <f t="shared" si="0"/>
        <v>33500</v>
      </c>
    </row>
    <row r="17" spans="1:11" x14ac:dyDescent="0.25">
      <c r="A17" s="30" t="s">
        <v>241</v>
      </c>
      <c r="B17" s="127" t="s">
        <v>837</v>
      </c>
      <c r="C17" s="48">
        <v>150</v>
      </c>
      <c r="D17" s="48"/>
      <c r="E17" s="128">
        <f t="shared" si="0"/>
        <v>150</v>
      </c>
    </row>
    <row r="18" spans="1:11" x14ac:dyDescent="0.25">
      <c r="A18" s="30" t="s">
        <v>838</v>
      </c>
      <c r="B18" s="52" t="s">
        <v>839</v>
      </c>
      <c r="C18" s="48">
        <v>6000</v>
      </c>
      <c r="D18" s="48"/>
      <c r="E18" s="128">
        <f t="shared" si="0"/>
        <v>6000</v>
      </c>
    </row>
    <row r="19" spans="1:11" x14ac:dyDescent="0.25">
      <c r="A19" s="30"/>
      <c r="B19" s="52"/>
      <c r="C19" s="48"/>
      <c r="D19" s="48"/>
      <c r="E19" s="128"/>
    </row>
    <row r="20" spans="1:11" x14ac:dyDescent="0.25">
      <c r="A20" s="30">
        <v>4</v>
      </c>
      <c r="B20" s="51" t="s">
        <v>143</v>
      </c>
      <c r="C20" s="58">
        <f>SUM(C21:C30)</f>
        <v>1428364.9000000001</v>
      </c>
      <c r="D20" s="58">
        <f>SUM(D21:D30)</f>
        <v>78027.95</v>
      </c>
      <c r="E20" s="128">
        <f t="shared" si="0"/>
        <v>1506392.85</v>
      </c>
    </row>
    <row r="21" spans="1:11" x14ac:dyDescent="0.25">
      <c r="A21" s="30" t="s">
        <v>134</v>
      </c>
      <c r="B21" s="52" t="s">
        <v>840</v>
      </c>
      <c r="C21" s="129">
        <v>19954.580000000002</v>
      </c>
      <c r="D21" s="129"/>
      <c r="E21" s="128">
        <f t="shared" si="0"/>
        <v>19954.580000000002</v>
      </c>
    </row>
    <row r="22" spans="1:11" x14ac:dyDescent="0.25">
      <c r="A22" s="30" t="s">
        <v>242</v>
      </c>
      <c r="B22" s="52" t="s">
        <v>841</v>
      </c>
      <c r="C22" s="129">
        <v>262597</v>
      </c>
      <c r="D22" s="129"/>
      <c r="E22" s="128">
        <f t="shared" si="0"/>
        <v>262597</v>
      </c>
      <c r="K22" s="544"/>
    </row>
    <row r="23" spans="1:11" x14ac:dyDescent="0.25">
      <c r="A23" s="30" t="s">
        <v>842</v>
      </c>
      <c r="B23" s="52" t="s">
        <v>846</v>
      </c>
      <c r="C23" s="129">
        <f>144727.4+6974+142382</f>
        <v>294083.40000000002</v>
      </c>
      <c r="D23" s="129"/>
      <c r="E23" s="128">
        <f t="shared" si="0"/>
        <v>294083.40000000002</v>
      </c>
      <c r="K23" s="544"/>
    </row>
    <row r="24" spans="1:11" x14ac:dyDescent="0.25">
      <c r="A24" s="30" t="s">
        <v>843</v>
      </c>
      <c r="B24" s="52" t="s">
        <v>847</v>
      </c>
      <c r="C24" s="129">
        <f>44700+667237.5</f>
        <v>711937.5</v>
      </c>
      <c r="D24" s="129"/>
      <c r="E24" s="128">
        <f t="shared" si="0"/>
        <v>711937.5</v>
      </c>
      <c r="K24" s="544"/>
    </row>
    <row r="25" spans="1:11" x14ac:dyDescent="0.25">
      <c r="A25" s="30" t="s">
        <v>844</v>
      </c>
      <c r="B25" s="52" t="s">
        <v>848</v>
      </c>
      <c r="C25" s="129">
        <v>6800</v>
      </c>
      <c r="D25" s="129"/>
      <c r="E25" s="128">
        <f t="shared" si="0"/>
        <v>6800</v>
      </c>
      <c r="K25" s="544"/>
    </row>
    <row r="26" spans="1:11" x14ac:dyDescent="0.25">
      <c r="A26" s="30" t="s">
        <v>845</v>
      </c>
      <c r="B26" s="52" t="s">
        <v>854</v>
      </c>
      <c r="C26" s="129">
        <v>57467.05</v>
      </c>
      <c r="D26" s="129"/>
      <c r="E26" s="128">
        <f t="shared" si="0"/>
        <v>57467.05</v>
      </c>
      <c r="K26" s="544"/>
    </row>
    <row r="27" spans="1:11" x14ac:dyDescent="0.25">
      <c r="A27" s="30" t="s">
        <v>849</v>
      </c>
      <c r="B27" s="52" t="s">
        <v>858</v>
      </c>
      <c r="C27" s="129">
        <v>6705</v>
      </c>
      <c r="D27" s="129"/>
      <c r="E27" s="128">
        <f t="shared" si="0"/>
        <v>6705</v>
      </c>
      <c r="K27" s="544"/>
    </row>
    <row r="28" spans="1:11" x14ac:dyDescent="0.25">
      <c r="A28" s="30" t="s">
        <v>850</v>
      </c>
      <c r="B28" s="52" t="s">
        <v>853</v>
      </c>
      <c r="C28" s="48">
        <v>9248.48</v>
      </c>
      <c r="D28" s="48"/>
      <c r="E28" s="128">
        <f t="shared" si="0"/>
        <v>9248.48</v>
      </c>
    </row>
    <row r="29" spans="1:11" x14ac:dyDescent="0.25">
      <c r="A29" s="566" t="s">
        <v>867</v>
      </c>
      <c r="B29" s="567" t="s">
        <v>869</v>
      </c>
      <c r="C29" s="131">
        <f>49800+9321.62</f>
        <v>59121.62</v>
      </c>
      <c r="D29" s="131">
        <v>6720.95</v>
      </c>
      <c r="E29" s="568">
        <f t="shared" si="0"/>
        <v>65842.570000000007</v>
      </c>
      <c r="G29" s="570"/>
    </row>
    <row r="30" spans="1:11" x14ac:dyDescent="0.25">
      <c r="A30" s="566" t="s">
        <v>868</v>
      </c>
      <c r="B30" s="567" t="s">
        <v>874</v>
      </c>
      <c r="C30" s="131">
        <v>450.27</v>
      </c>
      <c r="D30" s="131">
        <v>71307</v>
      </c>
      <c r="E30" s="568">
        <f t="shared" si="0"/>
        <v>71757.27</v>
      </c>
    </row>
    <row r="31" spans="1:11" ht="16.5" thickBot="1" x14ac:dyDescent="0.3">
      <c r="A31" s="31">
        <v>5</v>
      </c>
      <c r="B31" s="53" t="s">
        <v>175</v>
      </c>
      <c r="C31" s="133">
        <f>C5+C12+C15+C20</f>
        <v>3078868.96</v>
      </c>
      <c r="D31" s="133">
        <f>D5+D12+D15+D20</f>
        <v>85727.95</v>
      </c>
      <c r="E31" s="130">
        <f t="shared" si="0"/>
        <v>3164596.91</v>
      </c>
    </row>
    <row r="33" spans="1:2" s="220" customFormat="1" x14ac:dyDescent="0.25">
      <c r="A33" s="218"/>
      <c r="B33" s="219" t="s">
        <v>563</v>
      </c>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tabColor indexed="42"/>
    <pageSetUpPr fitToPage="1"/>
  </sheetPr>
  <dimension ref="A1:N13"/>
  <sheetViews>
    <sheetView workbookViewId="0">
      <pane xSplit="1" ySplit="5" topLeftCell="B6" activePane="bottomRight" state="frozen"/>
      <selection pane="topRight" activeCell="B1" sqref="B1"/>
      <selection pane="bottomLeft" activeCell="A6" sqref="A6"/>
      <selection pane="bottomRight" activeCell="H13" sqref="H13"/>
    </sheetView>
  </sheetViews>
  <sheetFormatPr defaultRowHeight="15.75" x14ac:dyDescent="0.2"/>
  <cols>
    <col min="1" max="1" width="8.85546875" style="70" customWidth="1"/>
    <col min="2" max="2" width="20.5703125" style="70" customWidth="1"/>
    <col min="3" max="3" width="18.28515625" style="70" customWidth="1"/>
    <col min="4" max="4" width="15.85546875" style="70" customWidth="1"/>
    <col min="5" max="5" width="15.7109375" style="70" customWidth="1"/>
    <col min="6" max="6" width="14.5703125" style="70" customWidth="1"/>
    <col min="7" max="7" width="18.7109375" style="70" customWidth="1"/>
    <col min="8" max="8" width="20.28515625" style="70" customWidth="1"/>
    <col min="9" max="9" width="18" style="70" customWidth="1"/>
    <col min="10" max="10" width="17.140625" style="70" customWidth="1"/>
    <col min="11" max="11" width="16.85546875" style="70" customWidth="1"/>
    <col min="12" max="12" width="15.140625" style="70" customWidth="1"/>
    <col min="13" max="13" width="17.7109375" style="70" customWidth="1"/>
    <col min="14" max="16384" width="9.140625" style="70"/>
  </cols>
  <sheetData>
    <row r="1" spans="1:14" s="68" customFormat="1" ht="35.1" customHeight="1" thickBot="1" x14ac:dyDescent="0.25">
      <c r="A1" s="871" t="s">
        <v>799</v>
      </c>
      <c r="B1" s="872"/>
      <c r="C1" s="872"/>
      <c r="D1" s="872"/>
      <c r="E1" s="872"/>
      <c r="F1" s="872"/>
      <c r="G1" s="872"/>
      <c r="H1" s="872"/>
      <c r="I1" s="872"/>
      <c r="J1" s="872"/>
      <c r="K1" s="872"/>
      <c r="L1" s="872"/>
      <c r="M1" s="873"/>
    </row>
    <row r="2" spans="1:14" s="68" customFormat="1" ht="42.75" customHeight="1" x14ac:dyDescent="0.2">
      <c r="A2" s="722" t="s">
        <v>865</v>
      </c>
      <c r="B2" s="723"/>
      <c r="C2" s="723"/>
      <c r="D2" s="723"/>
      <c r="E2" s="723"/>
      <c r="F2" s="723"/>
      <c r="G2" s="723"/>
      <c r="H2" s="723"/>
      <c r="I2" s="723"/>
      <c r="J2" s="723"/>
      <c r="K2" s="723"/>
      <c r="L2" s="723"/>
      <c r="M2" s="724"/>
    </row>
    <row r="3" spans="1:14" s="68" customFormat="1" ht="45.75" customHeight="1" x14ac:dyDescent="0.2">
      <c r="A3" s="867" t="s">
        <v>115</v>
      </c>
      <c r="B3" s="869" t="s">
        <v>722</v>
      </c>
      <c r="C3" s="869"/>
      <c r="D3" s="869"/>
      <c r="E3" s="869"/>
      <c r="F3" s="869"/>
      <c r="G3" s="869"/>
      <c r="H3" s="869" t="s">
        <v>800</v>
      </c>
      <c r="I3" s="869"/>
      <c r="J3" s="869"/>
      <c r="K3" s="869"/>
      <c r="L3" s="869"/>
      <c r="M3" s="870"/>
    </row>
    <row r="4" spans="1:14" s="69" customFormat="1" ht="171.75" customHeight="1" x14ac:dyDescent="0.2">
      <c r="A4" s="868"/>
      <c r="B4" s="285" t="s">
        <v>568</v>
      </c>
      <c r="C4" s="285" t="s">
        <v>569</v>
      </c>
      <c r="D4" s="285" t="s">
        <v>120</v>
      </c>
      <c r="E4" s="285" t="s">
        <v>34</v>
      </c>
      <c r="F4" s="285" t="s">
        <v>35</v>
      </c>
      <c r="G4" s="285" t="s">
        <v>113</v>
      </c>
      <c r="H4" s="285" t="s">
        <v>568</v>
      </c>
      <c r="I4" s="285" t="s">
        <v>569</v>
      </c>
      <c r="J4" s="285" t="s">
        <v>120</v>
      </c>
      <c r="K4" s="285" t="s">
        <v>34</v>
      </c>
      <c r="L4" s="95" t="s">
        <v>35</v>
      </c>
      <c r="M4" s="97" t="s">
        <v>113</v>
      </c>
    </row>
    <row r="5" spans="1:14" x14ac:dyDescent="0.2">
      <c r="A5" s="98"/>
      <c r="B5" s="96" t="s">
        <v>158</v>
      </c>
      <c r="C5" s="96" t="s">
        <v>159</v>
      </c>
      <c r="D5" s="96" t="s">
        <v>160</v>
      </c>
      <c r="E5" s="96" t="s">
        <v>166</v>
      </c>
      <c r="F5" s="96" t="s">
        <v>161</v>
      </c>
      <c r="G5" s="96" t="s">
        <v>537</v>
      </c>
      <c r="H5" s="96" t="s">
        <v>163</v>
      </c>
      <c r="I5" s="96" t="s">
        <v>164</v>
      </c>
      <c r="J5" s="96" t="s">
        <v>165</v>
      </c>
      <c r="K5" s="96" t="s">
        <v>538</v>
      </c>
      <c r="L5" s="210" t="s">
        <v>539</v>
      </c>
      <c r="M5" s="99" t="s">
        <v>621</v>
      </c>
    </row>
    <row r="6" spans="1:14" ht="78" customHeight="1" thickBot="1" x14ac:dyDescent="0.25">
      <c r="A6" s="100">
        <v>1</v>
      </c>
      <c r="B6" s="598">
        <v>16930797.84</v>
      </c>
      <c r="C6" s="598">
        <v>24587361.440000001</v>
      </c>
      <c r="D6" s="598">
        <v>1666585.05</v>
      </c>
      <c r="E6" s="598">
        <v>1143503.8500000001</v>
      </c>
      <c r="F6" s="598">
        <v>2817369.32</v>
      </c>
      <c r="G6" s="211">
        <f>SUM(B6:F6)</f>
        <v>47145617.5</v>
      </c>
      <c r="H6" s="598">
        <v>17942171.760000002</v>
      </c>
      <c r="I6" s="598">
        <f>22218963.23+790.7+6720.95</f>
        <v>22226474.879999999</v>
      </c>
      <c r="J6" s="598">
        <v>3136894.86</v>
      </c>
      <c r="K6" s="598">
        <f>1752473.9-790.7-6720.95</f>
        <v>1744962.25</v>
      </c>
      <c r="L6" s="598">
        <v>2542543.2599999998</v>
      </c>
      <c r="M6" s="212">
        <f>SUM(H6:L6)</f>
        <v>47593047.009999998</v>
      </c>
      <c r="N6" s="600"/>
    </row>
    <row r="7" spans="1:14" x14ac:dyDescent="0.2">
      <c r="H7" s="440"/>
      <c r="I7" s="440"/>
    </row>
    <row r="8" spans="1:14" x14ac:dyDescent="0.2">
      <c r="H8" s="599"/>
    </row>
    <row r="9" spans="1:14" ht="15.75" customHeight="1" x14ac:dyDescent="0.2">
      <c r="B9" s="360"/>
      <c r="C9" s="360"/>
      <c r="H9" s="10"/>
    </row>
    <row r="10" spans="1:14" x14ac:dyDescent="0.2">
      <c r="H10" s="600"/>
    </row>
    <row r="11" spans="1:14" x14ac:dyDescent="0.2">
      <c r="B11" s="360"/>
      <c r="C11" s="360"/>
    </row>
    <row r="13" spans="1:14" ht="15.75" customHeight="1" x14ac:dyDescent="0.2">
      <c r="B13" s="866"/>
      <c r="C13" s="866"/>
      <c r="D13" s="866"/>
      <c r="E13" s="866"/>
    </row>
  </sheetData>
  <mergeCells count="6">
    <mergeCell ref="B13:E13"/>
    <mergeCell ref="A3:A4"/>
    <mergeCell ref="B3:G3"/>
    <mergeCell ref="H3:M3"/>
    <mergeCell ref="A1:M1"/>
    <mergeCell ref="A2:M2"/>
  </mergeCells>
  <phoneticPr fontId="21" type="noConversion"/>
  <pageMargins left="0.4" right="0.27" top="0.98425196850393704" bottom="0.98425196850393704"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4"/>
  <sheetViews>
    <sheetView zoomScale="90" zoomScaleNormal="90" workbookViewId="0">
      <pane xSplit="3" ySplit="3" topLeftCell="D16" activePane="bottomRight" state="frozen"/>
      <selection pane="topRight" activeCell="D1" sqref="D1"/>
      <selection pane="bottomLeft" activeCell="A4" sqref="A4"/>
      <selection pane="bottomRight" activeCell="K28" sqref="K28"/>
    </sheetView>
  </sheetViews>
  <sheetFormatPr defaultRowHeight="15.75" x14ac:dyDescent="0.2"/>
  <cols>
    <col min="1" max="1" width="7.28515625" style="166" customWidth="1"/>
    <col min="2" max="2" width="39.85546875" style="166" customWidth="1"/>
    <col min="3" max="3" width="9.42578125" style="166" customWidth="1"/>
    <col min="4" max="4" width="18.42578125" style="166" customWidth="1"/>
    <col min="5" max="5" width="16.7109375" style="166" customWidth="1"/>
    <col min="6" max="6" width="15.42578125" style="166" customWidth="1"/>
    <col min="7" max="7" width="20.140625" style="166" customWidth="1"/>
    <col min="8" max="16384" width="9.140625" style="166"/>
  </cols>
  <sheetData>
    <row r="1" spans="1:7" ht="66.75" customHeight="1" thickBot="1" x14ac:dyDescent="0.25">
      <c r="A1" s="880" t="s">
        <v>801</v>
      </c>
      <c r="B1" s="881"/>
      <c r="C1" s="881"/>
      <c r="D1" s="881"/>
      <c r="E1" s="881"/>
      <c r="F1" s="882"/>
    </row>
    <row r="2" spans="1:7" ht="36.75" customHeight="1" thickBot="1" x14ac:dyDescent="0.25">
      <c r="A2" s="883" t="s">
        <v>859</v>
      </c>
      <c r="B2" s="884"/>
      <c r="C2" s="884"/>
      <c r="D2" s="884"/>
      <c r="E2" s="884"/>
      <c r="F2" s="885"/>
    </row>
    <row r="3" spans="1:7" s="167" customFormat="1" ht="69" customHeight="1" thickBot="1" x14ac:dyDescent="0.25">
      <c r="A3" s="429" t="s">
        <v>378</v>
      </c>
      <c r="B3" s="429" t="s">
        <v>252</v>
      </c>
      <c r="C3" s="432" t="s">
        <v>115</v>
      </c>
      <c r="D3" s="432" t="s">
        <v>802</v>
      </c>
      <c r="E3" s="433" t="s">
        <v>803</v>
      </c>
      <c r="F3" s="434" t="s">
        <v>776</v>
      </c>
      <c r="G3" s="166"/>
    </row>
    <row r="4" spans="1:7" s="167" customFormat="1" x14ac:dyDescent="0.2">
      <c r="A4" s="425"/>
      <c r="B4" s="435"/>
      <c r="C4" s="427"/>
      <c r="D4" s="427" t="s">
        <v>158</v>
      </c>
      <c r="E4" s="427" t="s">
        <v>159</v>
      </c>
      <c r="F4" s="428" t="s">
        <v>160</v>
      </c>
      <c r="G4" s="166"/>
    </row>
    <row r="5" spans="1:7" customFormat="1" x14ac:dyDescent="0.25">
      <c r="A5" s="201">
        <v>601</v>
      </c>
      <c r="B5" s="194" t="s">
        <v>452</v>
      </c>
      <c r="C5" s="195" t="s">
        <v>453</v>
      </c>
      <c r="D5" s="178">
        <v>278375.14</v>
      </c>
      <c r="E5" s="189">
        <v>91762.3</v>
      </c>
      <c r="F5" s="193">
        <f>E5-D5</f>
        <v>-186612.84000000003</v>
      </c>
      <c r="G5" s="166"/>
    </row>
    <row r="6" spans="1:7" customFormat="1" x14ac:dyDescent="0.25">
      <c r="A6" s="202">
        <v>602</v>
      </c>
      <c r="B6" s="196" t="s">
        <v>454</v>
      </c>
      <c r="C6" s="197" t="s">
        <v>455</v>
      </c>
      <c r="D6" s="179">
        <v>1251930.02</v>
      </c>
      <c r="E6" s="190">
        <v>323964.95</v>
      </c>
      <c r="F6" s="193">
        <f t="shared" ref="F6:F39" si="0">E6-D6</f>
        <v>-927965.07000000007</v>
      </c>
      <c r="G6" s="166"/>
    </row>
    <row r="7" spans="1:7" customFormat="1" x14ac:dyDescent="0.25">
      <c r="A7" s="202">
        <v>604</v>
      </c>
      <c r="B7" s="198" t="s">
        <v>456</v>
      </c>
      <c r="C7" s="197" t="s">
        <v>457</v>
      </c>
      <c r="D7" s="179">
        <v>0</v>
      </c>
      <c r="E7" s="190"/>
      <c r="F7" s="193">
        <f t="shared" si="0"/>
        <v>0</v>
      </c>
      <c r="G7" s="166"/>
    </row>
    <row r="8" spans="1:7" customFormat="1" x14ac:dyDescent="0.25">
      <c r="A8" s="202">
        <v>611</v>
      </c>
      <c r="B8" s="196" t="s">
        <v>458</v>
      </c>
      <c r="C8" s="197" t="s">
        <v>459</v>
      </c>
      <c r="D8" s="179"/>
      <c r="E8" s="190"/>
      <c r="F8" s="193">
        <f t="shared" si="0"/>
        <v>0</v>
      </c>
      <c r="G8" s="166"/>
    </row>
    <row r="9" spans="1:7" customFormat="1" x14ac:dyDescent="0.25">
      <c r="A9" s="202">
        <v>612</v>
      </c>
      <c r="B9" s="196" t="s">
        <v>460</v>
      </c>
      <c r="C9" s="197" t="s">
        <v>461</v>
      </c>
      <c r="D9" s="179"/>
      <c r="E9" s="190"/>
      <c r="F9" s="193">
        <f t="shared" si="0"/>
        <v>0</v>
      </c>
      <c r="G9" s="166"/>
    </row>
    <row r="10" spans="1:7" customFormat="1" x14ac:dyDescent="0.25">
      <c r="A10" s="202">
        <v>613</v>
      </c>
      <c r="B10" s="196" t="s">
        <v>462</v>
      </c>
      <c r="C10" s="197" t="s">
        <v>463</v>
      </c>
      <c r="D10" s="179"/>
      <c r="E10" s="190"/>
      <c r="F10" s="193">
        <f t="shared" si="0"/>
        <v>0</v>
      </c>
      <c r="G10" s="166"/>
    </row>
    <row r="11" spans="1:7" customFormat="1" x14ac:dyDescent="0.25">
      <c r="A11" s="202">
        <v>614</v>
      </c>
      <c r="B11" s="196" t="s">
        <v>464</v>
      </c>
      <c r="C11" s="197" t="s">
        <v>465</v>
      </c>
      <c r="D11" s="179"/>
      <c r="E11" s="190"/>
      <c r="F11" s="193">
        <f t="shared" si="0"/>
        <v>0</v>
      </c>
      <c r="G11" s="166"/>
    </row>
    <row r="12" spans="1:7" customFormat="1" x14ac:dyDescent="0.25">
      <c r="A12" s="202">
        <v>621</v>
      </c>
      <c r="B12" s="196" t="s">
        <v>466</v>
      </c>
      <c r="C12" s="197" t="s">
        <v>467</v>
      </c>
      <c r="D12" s="179"/>
      <c r="E12" s="190"/>
      <c r="F12" s="193">
        <f t="shared" si="0"/>
        <v>0</v>
      </c>
      <c r="G12" s="166"/>
    </row>
    <row r="13" spans="1:7" customFormat="1" x14ac:dyDescent="0.25">
      <c r="A13" s="202">
        <v>622</v>
      </c>
      <c r="B13" s="196" t="s">
        <v>468</v>
      </c>
      <c r="C13" s="197" t="s">
        <v>469</v>
      </c>
      <c r="D13" s="179"/>
      <c r="E13" s="190"/>
      <c r="F13" s="193">
        <f t="shared" si="0"/>
        <v>0</v>
      </c>
      <c r="G13" s="166"/>
    </row>
    <row r="14" spans="1:7" customFormat="1" x14ac:dyDescent="0.25">
      <c r="A14" s="202">
        <v>623</v>
      </c>
      <c r="B14" s="196" t="s">
        <v>470</v>
      </c>
      <c r="C14" s="197" t="s">
        <v>471</v>
      </c>
      <c r="D14" s="179"/>
      <c r="E14" s="190"/>
      <c r="F14" s="193">
        <f t="shared" si="0"/>
        <v>0</v>
      </c>
    </row>
    <row r="15" spans="1:7" customFormat="1" x14ac:dyDescent="0.25">
      <c r="A15" s="202">
        <v>624</v>
      </c>
      <c r="B15" s="196" t="s">
        <v>472</v>
      </c>
      <c r="C15" s="197" t="s">
        <v>473</v>
      </c>
      <c r="D15" s="179"/>
      <c r="E15" s="190"/>
      <c r="F15" s="193">
        <f t="shared" si="0"/>
        <v>0</v>
      </c>
    </row>
    <row r="16" spans="1:7" customFormat="1" x14ac:dyDescent="0.25">
      <c r="A16" s="202">
        <v>641</v>
      </c>
      <c r="B16" s="196" t="s">
        <v>409</v>
      </c>
      <c r="C16" s="197" t="s">
        <v>474</v>
      </c>
      <c r="D16" s="179"/>
      <c r="E16" s="190"/>
      <c r="F16" s="193">
        <f t="shared" si="0"/>
        <v>0</v>
      </c>
    </row>
    <row r="17" spans="1:7" customFormat="1" x14ac:dyDescent="0.25">
      <c r="A17" s="202">
        <v>642</v>
      </c>
      <c r="B17" s="196" t="s">
        <v>411</v>
      </c>
      <c r="C17" s="197" t="s">
        <v>475</v>
      </c>
      <c r="D17" s="179"/>
      <c r="E17" s="190"/>
      <c r="F17" s="193">
        <f t="shared" si="0"/>
        <v>0</v>
      </c>
    </row>
    <row r="18" spans="1:7" customFormat="1" x14ac:dyDescent="0.25">
      <c r="A18" s="202">
        <v>643</v>
      </c>
      <c r="B18" s="196" t="s">
        <v>476</v>
      </c>
      <c r="C18" s="197" t="s">
        <v>477</v>
      </c>
      <c r="D18" s="179"/>
      <c r="E18" s="190"/>
      <c r="F18" s="193">
        <f t="shared" si="0"/>
        <v>0</v>
      </c>
    </row>
    <row r="19" spans="1:7" customFormat="1" x14ac:dyDescent="0.25">
      <c r="A19" s="202">
        <v>644</v>
      </c>
      <c r="B19" s="196" t="s">
        <v>415</v>
      </c>
      <c r="C19" s="197" t="s">
        <v>478</v>
      </c>
      <c r="D19" s="179"/>
      <c r="E19" s="190"/>
      <c r="F19" s="193">
        <f t="shared" si="0"/>
        <v>0</v>
      </c>
    </row>
    <row r="20" spans="1:7" customFormat="1" x14ac:dyDescent="0.25">
      <c r="A20" s="202">
        <v>645</v>
      </c>
      <c r="B20" s="196" t="s">
        <v>479</v>
      </c>
      <c r="C20" s="197" t="s">
        <v>480</v>
      </c>
      <c r="D20" s="179"/>
      <c r="E20" s="190"/>
      <c r="F20" s="193">
        <f t="shared" si="0"/>
        <v>0</v>
      </c>
    </row>
    <row r="21" spans="1:7" customFormat="1" x14ac:dyDescent="0.25">
      <c r="A21" s="202">
        <v>646</v>
      </c>
      <c r="B21" s="196" t="s">
        <v>481</v>
      </c>
      <c r="C21" s="197" t="s">
        <v>482</v>
      </c>
      <c r="D21" s="179"/>
      <c r="E21" s="190"/>
      <c r="F21" s="193">
        <f t="shared" si="0"/>
        <v>0</v>
      </c>
    </row>
    <row r="22" spans="1:7" customFormat="1" x14ac:dyDescent="0.25">
      <c r="A22" s="202">
        <v>647</v>
      </c>
      <c r="B22" s="196" t="s">
        <v>483</v>
      </c>
      <c r="C22" s="197" t="s">
        <v>484</v>
      </c>
      <c r="D22" s="179"/>
      <c r="E22" s="190"/>
      <c r="F22" s="193">
        <f t="shared" si="0"/>
        <v>0</v>
      </c>
    </row>
    <row r="23" spans="1:7" customFormat="1" x14ac:dyDescent="0.25">
      <c r="A23" s="202">
        <v>648</v>
      </c>
      <c r="B23" s="458" t="s">
        <v>723</v>
      </c>
      <c r="C23" s="197" t="s">
        <v>485</v>
      </c>
      <c r="D23" s="179">
        <f>'[2]T4-Výnosy zo školného'!C18</f>
        <v>43654</v>
      </c>
      <c r="E23" s="190">
        <f>'[2]T4-Výnosy zo školného'!D18</f>
        <v>56085.96</v>
      </c>
      <c r="F23" s="193">
        <f t="shared" si="0"/>
        <v>12431.96</v>
      </c>
    </row>
    <row r="24" spans="1:7" customFormat="1" x14ac:dyDescent="0.25">
      <c r="A24" s="202">
        <v>649</v>
      </c>
      <c r="B24" s="196" t="s">
        <v>486</v>
      </c>
      <c r="C24" s="197" t="s">
        <v>487</v>
      </c>
      <c r="D24" s="179">
        <f>193.7+4509.78</f>
        <v>4703.4799999999996</v>
      </c>
      <c r="E24" s="190">
        <f>21738+1198.5</f>
        <v>22936.5</v>
      </c>
      <c r="F24" s="193">
        <f t="shared" si="0"/>
        <v>18233.02</v>
      </c>
    </row>
    <row r="25" spans="1:7" customFormat="1" x14ac:dyDescent="0.25">
      <c r="A25" s="202">
        <v>651</v>
      </c>
      <c r="B25" s="196" t="s">
        <v>488</v>
      </c>
      <c r="C25" s="197" t="s">
        <v>489</v>
      </c>
      <c r="D25" s="179"/>
      <c r="E25" s="190"/>
      <c r="F25" s="193">
        <f t="shared" si="0"/>
        <v>0</v>
      </c>
    </row>
    <row r="26" spans="1:7" customFormat="1" x14ac:dyDescent="0.25">
      <c r="A26" s="202">
        <v>652</v>
      </c>
      <c r="B26" s="196" t="s">
        <v>490</v>
      </c>
      <c r="C26" s="197" t="s">
        <v>491</v>
      </c>
      <c r="D26" s="179"/>
      <c r="E26" s="190"/>
      <c r="F26" s="193">
        <f t="shared" si="0"/>
        <v>0</v>
      </c>
    </row>
    <row r="27" spans="1:7" customFormat="1" x14ac:dyDescent="0.25">
      <c r="A27" s="202">
        <v>653</v>
      </c>
      <c r="B27" s="196" t="s">
        <v>492</v>
      </c>
      <c r="C27" s="197" t="s">
        <v>493</v>
      </c>
      <c r="D27" s="179"/>
      <c r="E27" s="190"/>
      <c r="F27" s="193">
        <f t="shared" si="0"/>
        <v>0</v>
      </c>
    </row>
    <row r="28" spans="1:7" customFormat="1" x14ac:dyDescent="0.25">
      <c r="A28" s="202">
        <v>654</v>
      </c>
      <c r="B28" s="196" t="s">
        <v>494</v>
      </c>
      <c r="C28" s="197" t="s">
        <v>495</v>
      </c>
      <c r="D28" s="179"/>
      <c r="E28" s="190"/>
      <c r="F28" s="193">
        <f t="shared" si="0"/>
        <v>0</v>
      </c>
    </row>
    <row r="29" spans="1:7" customFormat="1" x14ac:dyDescent="0.25">
      <c r="A29" s="202">
        <v>655</v>
      </c>
      <c r="B29" s="196" t="s">
        <v>496</v>
      </c>
      <c r="C29" s="197" t="s">
        <v>497</v>
      </c>
      <c r="D29" s="179"/>
      <c r="E29" s="190"/>
      <c r="F29" s="193">
        <f t="shared" si="0"/>
        <v>0</v>
      </c>
    </row>
    <row r="30" spans="1:7" customFormat="1" x14ac:dyDescent="0.25">
      <c r="A30" s="203">
        <v>656</v>
      </c>
      <c r="B30" s="196" t="s">
        <v>498</v>
      </c>
      <c r="C30" s="197" t="s">
        <v>499</v>
      </c>
      <c r="D30" s="179">
        <v>51046.97</v>
      </c>
      <c r="E30" s="190">
        <v>48160</v>
      </c>
      <c r="F30" s="193">
        <f t="shared" si="0"/>
        <v>-2886.9700000000012</v>
      </c>
      <c r="G30" s="357"/>
    </row>
    <row r="31" spans="1:7" customFormat="1" x14ac:dyDescent="0.25">
      <c r="A31" s="203">
        <v>657</v>
      </c>
      <c r="B31" s="196" t="s">
        <v>500</v>
      </c>
      <c r="C31" s="197" t="s">
        <v>501</v>
      </c>
      <c r="D31" s="179"/>
      <c r="E31" s="190"/>
      <c r="F31" s="193">
        <f t="shared" si="0"/>
        <v>0</v>
      </c>
    </row>
    <row r="32" spans="1:7" customFormat="1" x14ac:dyDescent="0.25">
      <c r="A32" s="203">
        <v>658</v>
      </c>
      <c r="B32" s="196" t="s">
        <v>502</v>
      </c>
      <c r="C32" s="197" t="s">
        <v>503</v>
      </c>
      <c r="D32" s="179"/>
      <c r="E32" s="190"/>
      <c r="F32" s="193">
        <f t="shared" si="0"/>
        <v>0</v>
      </c>
    </row>
    <row r="33" spans="1:7" customFormat="1" x14ac:dyDescent="0.25">
      <c r="A33" s="203">
        <v>661</v>
      </c>
      <c r="B33" s="196" t="s">
        <v>504</v>
      </c>
      <c r="C33" s="197" t="s">
        <v>505</v>
      </c>
      <c r="D33" s="179"/>
      <c r="E33" s="190"/>
      <c r="F33" s="193">
        <f t="shared" si="0"/>
        <v>0</v>
      </c>
    </row>
    <row r="34" spans="1:7" customFormat="1" x14ac:dyDescent="0.25">
      <c r="A34" s="203">
        <v>662</v>
      </c>
      <c r="B34" s="196" t="s">
        <v>506</v>
      </c>
      <c r="C34" s="197" t="s">
        <v>507</v>
      </c>
      <c r="D34" s="179"/>
      <c r="E34" s="190"/>
      <c r="F34" s="193">
        <f t="shared" si="0"/>
        <v>0</v>
      </c>
    </row>
    <row r="35" spans="1:7" customFormat="1" x14ac:dyDescent="0.25">
      <c r="A35" s="203">
        <v>663</v>
      </c>
      <c r="B35" s="196" t="s">
        <v>508</v>
      </c>
      <c r="C35" s="197" t="s">
        <v>509</v>
      </c>
      <c r="D35" s="179"/>
      <c r="E35" s="190"/>
      <c r="F35" s="193">
        <f t="shared" si="0"/>
        <v>0</v>
      </c>
    </row>
    <row r="36" spans="1:7" customFormat="1" x14ac:dyDescent="0.25">
      <c r="A36" s="203">
        <v>664</v>
      </c>
      <c r="B36" s="196" t="s">
        <v>510</v>
      </c>
      <c r="C36" s="197" t="s">
        <v>511</v>
      </c>
      <c r="D36" s="179"/>
      <c r="E36" s="191"/>
      <c r="F36" s="193">
        <f t="shared" si="0"/>
        <v>0</v>
      </c>
      <c r="G36" s="166"/>
    </row>
    <row r="37" spans="1:7" customFormat="1" x14ac:dyDescent="0.25">
      <c r="A37" s="203">
        <v>665</v>
      </c>
      <c r="B37" s="196" t="s">
        <v>512</v>
      </c>
      <c r="C37" s="197" t="s">
        <v>513</v>
      </c>
      <c r="D37" s="179"/>
      <c r="E37" s="191"/>
      <c r="F37" s="193">
        <f t="shared" si="0"/>
        <v>0</v>
      </c>
      <c r="G37" s="166"/>
    </row>
    <row r="38" spans="1:7" x14ac:dyDescent="0.25">
      <c r="A38" s="203">
        <v>667</v>
      </c>
      <c r="B38" s="196" t="s">
        <v>514</v>
      </c>
      <c r="C38" s="197" t="s">
        <v>515</v>
      </c>
      <c r="D38" s="179"/>
      <c r="E38" s="191"/>
      <c r="F38" s="193">
        <f t="shared" si="0"/>
        <v>0</v>
      </c>
    </row>
    <row r="39" spans="1:7" x14ac:dyDescent="0.25">
      <c r="A39" s="203">
        <v>691</v>
      </c>
      <c r="B39" s="196" t="s">
        <v>516</v>
      </c>
      <c r="C39" s="197" t="s">
        <v>517</v>
      </c>
      <c r="D39" s="179">
        <v>1413194.03</v>
      </c>
      <c r="E39" s="191">
        <v>1727185.41</v>
      </c>
      <c r="F39" s="193">
        <f t="shared" si="0"/>
        <v>313991.37999999989</v>
      </c>
    </row>
    <row r="40" spans="1:7" x14ac:dyDescent="0.2">
      <c r="A40" s="874" t="s">
        <v>518</v>
      </c>
      <c r="B40" s="875"/>
      <c r="C40" s="199" t="s">
        <v>519</v>
      </c>
      <c r="D40" s="188">
        <f>SUM(D5:D39)</f>
        <v>3042903.64</v>
      </c>
      <c r="E40" s="192">
        <f>SUM(E5:E39)</f>
        <v>2270095.12</v>
      </c>
      <c r="F40" s="193">
        <f>SUM(F5:F39)</f>
        <v>-772808.52000000025</v>
      </c>
    </row>
    <row r="41" spans="1:7" x14ac:dyDescent="0.2">
      <c r="A41" s="876" t="s">
        <v>520</v>
      </c>
      <c r="B41" s="877"/>
      <c r="C41" s="200" t="s">
        <v>521</v>
      </c>
      <c r="D41" s="46">
        <f>D40-T23_Náklady_soc_oblasť!D42</f>
        <v>701738.69</v>
      </c>
      <c r="E41" s="222">
        <f>E40-T23_Náklady_soc_oblasť!E42</f>
        <v>40551.510000000242</v>
      </c>
      <c r="F41" s="193">
        <f>F40-T23_Náklady_soc_oblasť!F42</f>
        <v>-661187.18000000017</v>
      </c>
    </row>
    <row r="42" spans="1:7" x14ac:dyDescent="0.25">
      <c r="A42" s="203">
        <v>591</v>
      </c>
      <c r="B42" s="196" t="s">
        <v>522</v>
      </c>
      <c r="C42" s="197" t="s">
        <v>523</v>
      </c>
      <c r="D42" s="179"/>
      <c r="E42" s="190"/>
      <c r="F42" s="193">
        <f>E42-D42</f>
        <v>0</v>
      </c>
    </row>
    <row r="43" spans="1:7" x14ac:dyDescent="0.25">
      <c r="A43" s="203">
        <v>595</v>
      </c>
      <c r="B43" s="196" t="s">
        <v>524</v>
      </c>
      <c r="C43" s="197" t="s">
        <v>525</v>
      </c>
      <c r="D43" s="179"/>
      <c r="E43" s="190"/>
      <c r="F43" s="193">
        <f>E43-D43</f>
        <v>0</v>
      </c>
    </row>
    <row r="44" spans="1:7" ht="16.5" thickBot="1" x14ac:dyDescent="0.25">
      <c r="A44" s="878" t="s">
        <v>526</v>
      </c>
      <c r="B44" s="879"/>
      <c r="C44" s="321" t="s">
        <v>527</v>
      </c>
      <c r="D44" s="322">
        <f>D41-D42-D43</f>
        <v>701738.69</v>
      </c>
      <c r="E44" s="322">
        <f>E41-E42-E43</f>
        <v>40551.510000000242</v>
      </c>
      <c r="F44" s="320">
        <f>E44-D44</f>
        <v>-661187.1799999997</v>
      </c>
    </row>
  </sheetData>
  <mergeCells count="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3"/>
  <sheetViews>
    <sheetView tabSelected="1" zoomScale="90" zoomScaleNormal="90" workbookViewId="0">
      <pane xSplit="3" ySplit="3" topLeftCell="D4" activePane="bottomRight" state="frozen"/>
      <selection pane="topRight" activeCell="D1" sqref="D1"/>
      <selection pane="bottomLeft" activeCell="A4" sqref="A4"/>
      <selection pane="bottomRight" activeCell="I18" sqref="I18"/>
    </sheetView>
  </sheetViews>
  <sheetFormatPr defaultRowHeight="12.75" x14ac:dyDescent="0.2"/>
  <cols>
    <col min="1" max="1" width="8.28515625" customWidth="1"/>
    <col min="2" max="2" width="42.140625" customWidth="1"/>
    <col min="3" max="3" width="10.140625" customWidth="1"/>
    <col min="4" max="4" width="17.42578125" customWidth="1"/>
    <col min="5" max="5" width="17.140625" customWidth="1"/>
    <col min="6" max="6" width="16.5703125" customWidth="1"/>
  </cols>
  <sheetData>
    <row r="1" spans="1:6" ht="61.5" customHeight="1" thickBot="1" x14ac:dyDescent="0.25">
      <c r="A1" s="889" t="s">
        <v>804</v>
      </c>
      <c r="B1" s="890"/>
      <c r="C1" s="890"/>
      <c r="D1" s="890"/>
      <c r="E1" s="890"/>
      <c r="F1" s="891"/>
    </row>
    <row r="2" spans="1:6" ht="47.25" customHeight="1" thickBot="1" x14ac:dyDescent="0.25">
      <c r="A2" s="886" t="s">
        <v>889</v>
      </c>
      <c r="B2" s="887"/>
      <c r="C2" s="887"/>
      <c r="D2" s="887"/>
      <c r="E2" s="887"/>
      <c r="F2" s="888"/>
    </row>
    <row r="3" spans="1:6" ht="64.5" customHeight="1" thickBot="1" x14ac:dyDescent="0.25">
      <c r="A3" s="429" t="s">
        <v>378</v>
      </c>
      <c r="B3" s="430" t="s">
        <v>252</v>
      </c>
      <c r="C3" s="431" t="s">
        <v>115</v>
      </c>
      <c r="D3" s="432" t="s">
        <v>724</v>
      </c>
      <c r="E3" s="433" t="s">
        <v>805</v>
      </c>
      <c r="F3" s="434" t="s">
        <v>806</v>
      </c>
    </row>
    <row r="4" spans="1:6" ht="15.75" x14ac:dyDescent="0.2">
      <c r="A4" s="425"/>
      <c r="B4" s="426"/>
      <c r="C4" s="426"/>
      <c r="D4" s="427" t="s">
        <v>158</v>
      </c>
      <c r="E4" s="427" t="s">
        <v>159</v>
      </c>
      <c r="F4" s="428" t="s">
        <v>160</v>
      </c>
    </row>
    <row r="5" spans="1:6" ht="15.75" x14ac:dyDescent="0.25">
      <c r="A5" s="280">
        <v>501</v>
      </c>
      <c r="B5" s="184" t="s">
        <v>379</v>
      </c>
      <c r="C5" s="183" t="s">
        <v>380</v>
      </c>
      <c r="D5" s="178">
        <v>345076.76</v>
      </c>
      <c r="E5" s="189">
        <v>190428.96</v>
      </c>
      <c r="F5" s="193">
        <f>E5-D5</f>
        <v>-154647.80000000002</v>
      </c>
    </row>
    <row r="6" spans="1:6" ht="15.75" x14ac:dyDescent="0.25">
      <c r="A6" s="279">
        <v>502</v>
      </c>
      <c r="B6" s="185" t="s">
        <v>381</v>
      </c>
      <c r="C6" s="180" t="s">
        <v>382</v>
      </c>
      <c r="D6" s="179">
        <v>382457.02</v>
      </c>
      <c r="E6" s="190">
        <v>313484.95</v>
      </c>
      <c r="F6" s="323">
        <f t="shared" ref="F6:F41" si="0">E6-D6</f>
        <v>-68972.070000000007</v>
      </c>
    </row>
    <row r="7" spans="1:6" ht="15.75" x14ac:dyDescent="0.25">
      <c r="A7" s="279">
        <v>504</v>
      </c>
      <c r="B7" s="185" t="s">
        <v>383</v>
      </c>
      <c r="C7" s="180" t="s">
        <v>384</v>
      </c>
      <c r="D7" s="179">
        <v>0</v>
      </c>
      <c r="E7" s="190">
        <v>0</v>
      </c>
      <c r="F7" s="323">
        <f t="shared" si="0"/>
        <v>0</v>
      </c>
    </row>
    <row r="8" spans="1:6" ht="15.75" x14ac:dyDescent="0.25">
      <c r="A8" s="279">
        <v>511</v>
      </c>
      <c r="B8" s="185" t="s">
        <v>385</v>
      </c>
      <c r="C8" s="180" t="s">
        <v>386</v>
      </c>
      <c r="D8" s="179">
        <v>159789.16</v>
      </c>
      <c r="E8" s="190">
        <v>106547.08</v>
      </c>
      <c r="F8" s="323">
        <f t="shared" si="0"/>
        <v>-53242.080000000002</v>
      </c>
    </row>
    <row r="9" spans="1:6" ht="15.75" x14ac:dyDescent="0.25">
      <c r="A9" s="279">
        <v>512</v>
      </c>
      <c r="B9" s="185" t="s">
        <v>387</v>
      </c>
      <c r="C9" s="180" t="s">
        <v>388</v>
      </c>
      <c r="D9" s="179">
        <v>58.24</v>
      </c>
      <c r="E9" s="190">
        <v>20.100000000000001</v>
      </c>
      <c r="F9" s="323">
        <f t="shared" si="0"/>
        <v>-38.14</v>
      </c>
    </row>
    <row r="10" spans="1:6" ht="15.75" x14ac:dyDescent="0.25">
      <c r="A10" s="279">
        <v>513</v>
      </c>
      <c r="B10" s="185" t="s">
        <v>389</v>
      </c>
      <c r="C10" s="180" t="s">
        <v>390</v>
      </c>
      <c r="D10" s="179">
        <v>94.59</v>
      </c>
      <c r="E10" s="190">
        <v>0</v>
      </c>
      <c r="F10" s="323">
        <f t="shared" si="0"/>
        <v>-94.59</v>
      </c>
    </row>
    <row r="11" spans="1:6" ht="15.75" x14ac:dyDescent="0.25">
      <c r="A11" s="279">
        <v>518</v>
      </c>
      <c r="B11" s="185" t="s">
        <v>391</v>
      </c>
      <c r="C11" s="180" t="s">
        <v>392</v>
      </c>
      <c r="D11" s="179">
        <f>71370.96+71384.74</f>
        <v>142755.70000000001</v>
      </c>
      <c r="E11" s="190">
        <f>98449.52+98957.8</f>
        <v>197407.32</v>
      </c>
      <c r="F11" s="323">
        <f t="shared" si="0"/>
        <v>54651.619999999995</v>
      </c>
    </row>
    <row r="12" spans="1:6" ht="15.75" x14ac:dyDescent="0.25">
      <c r="A12" s="279">
        <v>521</v>
      </c>
      <c r="B12" s="185" t="s">
        <v>393</v>
      </c>
      <c r="C12" s="180" t="s">
        <v>394</v>
      </c>
      <c r="D12" s="179">
        <v>830031.49</v>
      </c>
      <c r="E12" s="190">
        <v>889997.32</v>
      </c>
      <c r="F12" s="323">
        <f t="shared" si="0"/>
        <v>59965.829999999958</v>
      </c>
    </row>
    <row r="13" spans="1:6" ht="15.75" x14ac:dyDescent="0.25">
      <c r="A13" s="279">
        <v>524</v>
      </c>
      <c r="B13" s="185" t="s">
        <v>395</v>
      </c>
      <c r="C13" s="180" t="s">
        <v>396</v>
      </c>
      <c r="D13" s="179">
        <v>289620.96000000002</v>
      </c>
      <c r="E13" s="190">
        <v>309983.46999999997</v>
      </c>
      <c r="F13" s="323">
        <f t="shared" si="0"/>
        <v>20362.509999999951</v>
      </c>
    </row>
    <row r="14" spans="1:6" ht="15.75" x14ac:dyDescent="0.25">
      <c r="A14" s="279">
        <v>525</v>
      </c>
      <c r="B14" s="185" t="s">
        <v>397</v>
      </c>
      <c r="C14" s="180" t="s">
        <v>398</v>
      </c>
      <c r="D14" s="179">
        <v>14635.82</v>
      </c>
      <c r="E14" s="190">
        <v>16079.66</v>
      </c>
      <c r="F14" s="323">
        <f t="shared" si="0"/>
        <v>1443.8400000000001</v>
      </c>
    </row>
    <row r="15" spans="1:6" ht="15.75" x14ac:dyDescent="0.25">
      <c r="A15" s="279">
        <v>527</v>
      </c>
      <c r="B15" s="185" t="s">
        <v>399</v>
      </c>
      <c r="C15" s="180" t="s">
        <v>400</v>
      </c>
      <c r="D15" s="179">
        <v>47448.56</v>
      </c>
      <c r="E15" s="190">
        <v>54245.21</v>
      </c>
      <c r="F15" s="323">
        <f t="shared" si="0"/>
        <v>6796.6500000000015</v>
      </c>
    </row>
    <row r="16" spans="1:6" ht="15.75" x14ac:dyDescent="0.25">
      <c r="A16" s="279">
        <v>528</v>
      </c>
      <c r="B16" s="185" t="s">
        <v>401</v>
      </c>
      <c r="C16" s="180" t="s">
        <v>402</v>
      </c>
      <c r="D16" s="179">
        <v>0</v>
      </c>
      <c r="E16" s="190">
        <v>0</v>
      </c>
      <c r="F16" s="323">
        <f t="shared" si="0"/>
        <v>0</v>
      </c>
    </row>
    <row r="17" spans="1:6" ht="15.75" x14ac:dyDescent="0.25">
      <c r="A17" s="279">
        <v>531</v>
      </c>
      <c r="B17" s="185" t="s">
        <v>403</v>
      </c>
      <c r="C17" s="180" t="s">
        <v>404</v>
      </c>
      <c r="D17" s="179">
        <v>0</v>
      </c>
      <c r="E17" s="190">
        <v>0</v>
      </c>
      <c r="F17" s="323">
        <f t="shared" si="0"/>
        <v>0</v>
      </c>
    </row>
    <row r="18" spans="1:6" ht="15.75" x14ac:dyDescent="0.25">
      <c r="A18" s="279">
        <v>532</v>
      </c>
      <c r="B18" s="185" t="s">
        <v>405</v>
      </c>
      <c r="C18" s="180" t="s">
        <v>406</v>
      </c>
      <c r="D18" s="179">
        <v>20269.099999999999</v>
      </c>
      <c r="E18" s="190">
        <v>31943.95</v>
      </c>
      <c r="F18" s="323">
        <f t="shared" si="0"/>
        <v>11674.850000000002</v>
      </c>
    </row>
    <row r="19" spans="1:6" ht="15.75" x14ac:dyDescent="0.25">
      <c r="A19" s="279">
        <v>538</v>
      </c>
      <c r="B19" s="185" t="s">
        <v>407</v>
      </c>
      <c r="C19" s="180" t="s">
        <v>408</v>
      </c>
      <c r="D19" s="179">
        <v>80</v>
      </c>
      <c r="E19" s="190">
        <v>105</v>
      </c>
      <c r="F19" s="323">
        <f t="shared" si="0"/>
        <v>25</v>
      </c>
    </row>
    <row r="20" spans="1:6" ht="15.75" x14ac:dyDescent="0.25">
      <c r="A20" s="279">
        <v>541</v>
      </c>
      <c r="B20" s="185" t="s">
        <v>409</v>
      </c>
      <c r="C20" s="180" t="s">
        <v>410</v>
      </c>
      <c r="D20" s="179"/>
      <c r="E20" s="190"/>
      <c r="F20" s="323">
        <f t="shared" si="0"/>
        <v>0</v>
      </c>
    </row>
    <row r="21" spans="1:6" ht="15.75" x14ac:dyDescent="0.25">
      <c r="A21" s="279">
        <v>542</v>
      </c>
      <c r="B21" s="185" t="s">
        <v>411</v>
      </c>
      <c r="C21" s="180" t="s">
        <v>412</v>
      </c>
      <c r="D21" s="179"/>
      <c r="E21" s="190"/>
      <c r="F21" s="323">
        <f t="shared" si="0"/>
        <v>0</v>
      </c>
    </row>
    <row r="22" spans="1:6" ht="15.75" x14ac:dyDescent="0.25">
      <c r="A22" s="279">
        <v>543</v>
      </c>
      <c r="B22" s="185" t="s">
        <v>413</v>
      </c>
      <c r="C22" s="180" t="s">
        <v>414</v>
      </c>
      <c r="D22" s="179"/>
      <c r="E22" s="190"/>
      <c r="F22" s="323">
        <f t="shared" si="0"/>
        <v>0</v>
      </c>
    </row>
    <row r="23" spans="1:6" ht="15.75" x14ac:dyDescent="0.25">
      <c r="A23" s="279">
        <v>544</v>
      </c>
      <c r="B23" s="185" t="s">
        <v>415</v>
      </c>
      <c r="C23" s="180" t="s">
        <v>416</v>
      </c>
      <c r="D23" s="179"/>
      <c r="E23" s="190"/>
      <c r="F23" s="323">
        <f t="shared" si="0"/>
        <v>0</v>
      </c>
    </row>
    <row r="24" spans="1:6" ht="15.75" x14ac:dyDescent="0.25">
      <c r="A24" s="279">
        <v>545</v>
      </c>
      <c r="B24" s="185" t="s">
        <v>417</v>
      </c>
      <c r="C24" s="180" t="s">
        <v>418</v>
      </c>
      <c r="D24" s="179"/>
      <c r="E24" s="190"/>
      <c r="F24" s="323">
        <f t="shared" si="0"/>
        <v>0</v>
      </c>
    </row>
    <row r="25" spans="1:6" ht="15.75" x14ac:dyDescent="0.25">
      <c r="A25" s="279">
        <v>546</v>
      </c>
      <c r="B25" s="185" t="s">
        <v>419</v>
      </c>
      <c r="C25" s="180" t="s">
        <v>420</v>
      </c>
      <c r="D25" s="179"/>
      <c r="E25" s="190"/>
      <c r="F25" s="323">
        <f t="shared" si="0"/>
        <v>0</v>
      </c>
    </row>
    <row r="26" spans="1:6" ht="15.75" x14ac:dyDescent="0.25">
      <c r="A26" s="279">
        <v>547</v>
      </c>
      <c r="B26" s="185" t="s">
        <v>421</v>
      </c>
      <c r="C26" s="180" t="s">
        <v>422</v>
      </c>
      <c r="D26" s="179"/>
      <c r="E26" s="190"/>
      <c r="F26" s="323">
        <f t="shared" si="0"/>
        <v>0</v>
      </c>
    </row>
    <row r="27" spans="1:6" ht="15.75" x14ac:dyDescent="0.25">
      <c r="A27" s="279">
        <v>548</v>
      </c>
      <c r="B27" s="185" t="s">
        <v>423</v>
      </c>
      <c r="C27" s="180" t="s">
        <v>424</v>
      </c>
      <c r="D27" s="179"/>
      <c r="E27" s="190"/>
      <c r="F27" s="323">
        <f t="shared" si="0"/>
        <v>0</v>
      </c>
    </row>
    <row r="28" spans="1:6" ht="15.75" x14ac:dyDescent="0.25">
      <c r="A28" s="279">
        <v>549</v>
      </c>
      <c r="B28" s="185" t="s">
        <v>425</v>
      </c>
      <c r="C28" s="180" t="s">
        <v>426</v>
      </c>
      <c r="D28" s="179">
        <f>'[2]T19-Štip_ z vlastných '!C6</f>
        <v>50211.97</v>
      </c>
      <c r="E28" s="190">
        <f>'[2]T19-Štip_ z vlastných '!E6</f>
        <v>48160</v>
      </c>
      <c r="F28" s="323">
        <f t="shared" si="0"/>
        <v>-2051.9700000000012</v>
      </c>
    </row>
    <row r="29" spans="1:6" ht="15.75" x14ac:dyDescent="0.25">
      <c r="A29" s="279">
        <v>551</v>
      </c>
      <c r="B29" s="185" t="s">
        <v>427</v>
      </c>
      <c r="C29" s="180" t="s">
        <v>428</v>
      </c>
      <c r="D29" s="179">
        <v>14981.58</v>
      </c>
      <c r="E29" s="190">
        <v>15054.63</v>
      </c>
      <c r="F29" s="323">
        <f t="shared" si="0"/>
        <v>73.049999999999272</v>
      </c>
    </row>
    <row r="30" spans="1:6" ht="15.75" x14ac:dyDescent="0.25">
      <c r="A30" s="281">
        <v>552</v>
      </c>
      <c r="B30" s="185" t="s">
        <v>543</v>
      </c>
      <c r="C30" s="180" t="s">
        <v>429</v>
      </c>
      <c r="D30" s="179"/>
      <c r="E30" s="190"/>
      <c r="F30" s="323">
        <f t="shared" si="0"/>
        <v>0</v>
      </c>
    </row>
    <row r="31" spans="1:6" ht="15.75" x14ac:dyDescent="0.25">
      <c r="A31" s="281">
        <v>553</v>
      </c>
      <c r="B31" s="185" t="s">
        <v>430</v>
      </c>
      <c r="C31" s="180" t="s">
        <v>431</v>
      </c>
      <c r="D31" s="179"/>
      <c r="E31" s="190"/>
      <c r="F31" s="323">
        <f t="shared" si="0"/>
        <v>0</v>
      </c>
    </row>
    <row r="32" spans="1:6" ht="15.75" x14ac:dyDescent="0.25">
      <c r="A32" s="281">
        <v>554</v>
      </c>
      <c r="B32" s="185" t="s">
        <v>432</v>
      </c>
      <c r="C32" s="180" t="s">
        <v>433</v>
      </c>
      <c r="D32" s="179"/>
      <c r="E32" s="190"/>
      <c r="F32" s="323">
        <f t="shared" si="0"/>
        <v>0</v>
      </c>
    </row>
    <row r="33" spans="1:6" ht="15.75" x14ac:dyDescent="0.25">
      <c r="A33" s="281">
        <v>555</v>
      </c>
      <c r="B33" s="185" t="s">
        <v>434</v>
      </c>
      <c r="C33" s="180" t="s">
        <v>435</v>
      </c>
      <c r="D33" s="179"/>
      <c r="E33" s="190"/>
      <c r="F33" s="323">
        <f t="shared" si="0"/>
        <v>0</v>
      </c>
    </row>
    <row r="34" spans="1:6" ht="15.75" x14ac:dyDescent="0.25">
      <c r="A34" s="281">
        <v>556</v>
      </c>
      <c r="B34" s="185" t="s">
        <v>436</v>
      </c>
      <c r="C34" s="180" t="s">
        <v>437</v>
      </c>
      <c r="D34" s="179">
        <f>'[2]T5 - Analýza nákladov'!C96</f>
        <v>43654</v>
      </c>
      <c r="E34" s="190">
        <f>'[2]T5 - Analýza nákladov'!E96</f>
        <v>56085.96</v>
      </c>
      <c r="F34" s="323">
        <f t="shared" si="0"/>
        <v>12431.96</v>
      </c>
    </row>
    <row r="35" spans="1:6" ht="15.75" x14ac:dyDescent="0.25">
      <c r="A35" s="281">
        <v>557</v>
      </c>
      <c r="B35" s="185" t="s">
        <v>438</v>
      </c>
      <c r="C35" s="180" t="s">
        <v>439</v>
      </c>
      <c r="D35" s="179"/>
      <c r="E35" s="190"/>
      <c r="F35" s="323">
        <f t="shared" si="0"/>
        <v>0</v>
      </c>
    </row>
    <row r="36" spans="1:6" ht="15.75" x14ac:dyDescent="0.25">
      <c r="A36" s="281">
        <v>558</v>
      </c>
      <c r="B36" s="185" t="s">
        <v>440</v>
      </c>
      <c r="C36" s="180" t="s">
        <v>441</v>
      </c>
      <c r="D36" s="179"/>
      <c r="E36" s="190"/>
      <c r="F36" s="323">
        <f t="shared" si="0"/>
        <v>0</v>
      </c>
    </row>
    <row r="37" spans="1:6" ht="20.25" customHeight="1" x14ac:dyDescent="0.25">
      <c r="A37" s="281">
        <v>561</v>
      </c>
      <c r="B37" s="185" t="s">
        <v>443</v>
      </c>
      <c r="C37" s="180" t="s">
        <v>442</v>
      </c>
      <c r="D37" s="179"/>
      <c r="E37" s="190"/>
      <c r="F37" s="323">
        <f t="shared" si="0"/>
        <v>0</v>
      </c>
    </row>
    <row r="38" spans="1:6" ht="15.75" x14ac:dyDescent="0.25">
      <c r="A38" s="281">
        <v>562</v>
      </c>
      <c r="B38" s="185" t="s">
        <v>445</v>
      </c>
      <c r="C38" s="180" t="s">
        <v>444</v>
      </c>
      <c r="D38" s="179"/>
      <c r="E38" s="190"/>
      <c r="F38" s="323">
        <f t="shared" si="0"/>
        <v>0</v>
      </c>
    </row>
    <row r="39" spans="1:6" ht="15.75" x14ac:dyDescent="0.25">
      <c r="A39" s="281">
        <v>563</v>
      </c>
      <c r="B39" s="185" t="s">
        <v>447</v>
      </c>
      <c r="C39" s="180" t="s">
        <v>446</v>
      </c>
      <c r="D39" s="179"/>
      <c r="E39" s="190"/>
      <c r="F39" s="323">
        <f t="shared" si="0"/>
        <v>0</v>
      </c>
    </row>
    <row r="40" spans="1:6" ht="15.75" x14ac:dyDescent="0.25">
      <c r="A40" s="282">
        <v>565</v>
      </c>
      <c r="B40" s="286" t="s">
        <v>542</v>
      </c>
      <c r="C40" s="180" t="s">
        <v>448</v>
      </c>
      <c r="D40" s="187"/>
      <c r="E40" s="191"/>
      <c r="F40" s="323">
        <f t="shared" si="0"/>
        <v>0</v>
      </c>
    </row>
    <row r="41" spans="1:6" ht="16.5" thickBot="1" x14ac:dyDescent="0.3">
      <c r="A41" s="282">
        <v>567</v>
      </c>
      <c r="B41" s="186" t="s">
        <v>449</v>
      </c>
      <c r="C41" s="181" t="s">
        <v>450</v>
      </c>
      <c r="D41" s="187"/>
      <c r="E41" s="191"/>
      <c r="F41" s="324">
        <f t="shared" si="0"/>
        <v>0</v>
      </c>
    </row>
    <row r="42" spans="1:6" ht="24.75" customHeight="1" thickBot="1" x14ac:dyDescent="0.25">
      <c r="A42" s="892" t="s">
        <v>566</v>
      </c>
      <c r="B42" s="893"/>
      <c r="C42" s="278" t="s">
        <v>451</v>
      </c>
      <c r="D42" s="182">
        <f>SUM(D5:D41)</f>
        <v>2341164.9500000002</v>
      </c>
      <c r="E42" s="319">
        <f>SUM(E5:E41)</f>
        <v>2229543.61</v>
      </c>
      <c r="F42" s="325">
        <f>SUM(F5:F41)</f>
        <v>-111621.34000000014</v>
      </c>
    </row>
    <row r="43" spans="1:6" x14ac:dyDescent="0.2">
      <c r="B43" s="168"/>
      <c r="C43" s="168"/>
      <c r="D43" s="168"/>
      <c r="E43" s="168"/>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895" t="s">
        <v>375</v>
      </c>
      <c r="B1" s="896"/>
      <c r="C1" s="896"/>
      <c r="D1" s="896"/>
      <c r="E1" s="896"/>
      <c r="F1" s="897"/>
    </row>
    <row r="2" spans="1:6" ht="19.5" customHeight="1" x14ac:dyDescent="0.25">
      <c r="A2" s="894" t="s">
        <v>246</v>
      </c>
      <c r="B2" s="894"/>
      <c r="C2" s="894"/>
      <c r="D2" s="894"/>
      <c r="E2" s="894"/>
      <c r="F2" s="894"/>
    </row>
    <row r="3" spans="1:6" ht="42" customHeight="1" x14ac:dyDescent="0.2">
      <c r="A3" s="169" t="s">
        <v>253</v>
      </c>
      <c r="B3" s="170" t="s">
        <v>254</v>
      </c>
      <c r="C3" s="177" t="s">
        <v>377</v>
      </c>
      <c r="D3" s="170" t="s">
        <v>372</v>
      </c>
      <c r="E3" s="170" t="s">
        <v>373</v>
      </c>
      <c r="F3" s="170" t="s">
        <v>374</v>
      </c>
    </row>
    <row r="4" spans="1:6" ht="15.75" x14ac:dyDescent="0.25">
      <c r="A4" s="171" t="s">
        <v>255</v>
      </c>
      <c r="B4" s="171" t="s">
        <v>256</v>
      </c>
      <c r="C4" s="172"/>
      <c r="D4" s="172"/>
      <c r="E4" s="172"/>
      <c r="F4" s="172"/>
    </row>
    <row r="5" spans="1:6" ht="15.75" x14ac:dyDescent="0.25">
      <c r="A5" s="176" t="s">
        <v>257</v>
      </c>
      <c r="B5" s="171" t="s">
        <v>258</v>
      </c>
      <c r="C5" s="172"/>
      <c r="D5" s="172"/>
      <c r="E5" s="172"/>
      <c r="F5" s="172"/>
    </row>
    <row r="6" spans="1:6" ht="15.75" x14ac:dyDescent="0.25">
      <c r="A6" s="171" t="s">
        <v>259</v>
      </c>
      <c r="B6" s="171" t="s">
        <v>260</v>
      </c>
      <c r="C6" s="172"/>
      <c r="D6" s="172"/>
      <c r="E6" s="172"/>
      <c r="F6" s="172"/>
    </row>
    <row r="7" spans="1:6" ht="15.75" x14ac:dyDescent="0.25">
      <c r="A7" s="171" t="s">
        <v>261</v>
      </c>
      <c r="B7" s="171" t="s">
        <v>262</v>
      </c>
      <c r="C7" s="172"/>
      <c r="D7" s="172"/>
      <c r="E7" s="172"/>
      <c r="F7" s="172"/>
    </row>
    <row r="8" spans="1:6" ht="15.75" x14ac:dyDescent="0.25">
      <c r="A8" s="175" t="s">
        <v>376</v>
      </c>
      <c r="B8" s="171" t="s">
        <v>263</v>
      </c>
      <c r="C8" s="172"/>
      <c r="D8" s="172"/>
      <c r="E8" s="172"/>
      <c r="F8" s="172"/>
    </row>
    <row r="9" spans="1:6" ht="15.75" x14ac:dyDescent="0.25">
      <c r="A9" s="171" t="s">
        <v>264</v>
      </c>
      <c r="B9" s="171" t="s">
        <v>265</v>
      </c>
      <c r="C9" s="172"/>
      <c r="D9" s="172"/>
      <c r="E9" s="172"/>
      <c r="F9" s="172"/>
    </row>
    <row r="10" spans="1:6" ht="15.75" x14ac:dyDescent="0.25">
      <c r="A10" s="171" t="s">
        <v>266</v>
      </c>
      <c r="B10" s="171" t="s">
        <v>267</v>
      </c>
      <c r="C10" s="172"/>
      <c r="D10" s="172"/>
      <c r="E10" s="172"/>
      <c r="F10" s="172"/>
    </row>
    <row r="11" spans="1:6" ht="15.75" x14ac:dyDescent="0.25">
      <c r="A11" s="171" t="s">
        <v>268</v>
      </c>
      <c r="B11" s="171" t="s">
        <v>269</v>
      </c>
      <c r="C11" s="172"/>
      <c r="D11" s="172"/>
      <c r="E11" s="172"/>
      <c r="F11" s="172"/>
    </row>
    <row r="12" spans="1:6" ht="15.75" x14ac:dyDescent="0.25">
      <c r="A12" s="176" t="s">
        <v>270</v>
      </c>
      <c r="B12" s="171" t="s">
        <v>271</v>
      </c>
      <c r="C12" s="172"/>
      <c r="D12" s="172"/>
      <c r="E12" s="172"/>
      <c r="F12" s="172"/>
    </row>
    <row r="13" spans="1:6" ht="15.75" x14ac:dyDescent="0.25">
      <c r="A13" s="171" t="s">
        <v>272</v>
      </c>
      <c r="B13" s="171" t="s">
        <v>273</v>
      </c>
      <c r="C13" s="172"/>
      <c r="D13" s="172"/>
      <c r="E13" s="172"/>
      <c r="F13" s="172"/>
    </row>
    <row r="14" spans="1:6" ht="15.75" x14ac:dyDescent="0.25">
      <c r="A14" s="171" t="s">
        <v>274</v>
      </c>
      <c r="B14" s="171" t="s">
        <v>275</v>
      </c>
      <c r="C14" s="172"/>
      <c r="D14" s="172"/>
      <c r="E14" s="172"/>
      <c r="F14" s="172"/>
    </row>
    <row r="15" spans="1:6" ht="15.75" x14ac:dyDescent="0.25">
      <c r="A15" s="171" t="s">
        <v>276</v>
      </c>
      <c r="B15" s="171" t="s">
        <v>277</v>
      </c>
      <c r="C15" s="172"/>
      <c r="D15" s="172"/>
      <c r="E15" s="172"/>
      <c r="F15" s="172"/>
    </row>
    <row r="16" spans="1:6" ht="15.75" x14ac:dyDescent="0.25">
      <c r="A16" s="171" t="s">
        <v>278</v>
      </c>
      <c r="B16" s="171" t="s">
        <v>279</v>
      </c>
      <c r="C16" s="172"/>
      <c r="D16" s="172"/>
      <c r="E16" s="172"/>
      <c r="F16" s="172"/>
    </row>
    <row r="17" spans="1:6" ht="15.75" x14ac:dyDescent="0.25">
      <c r="A17" s="171" t="s">
        <v>280</v>
      </c>
      <c r="B17" s="171" t="s">
        <v>281</v>
      </c>
      <c r="C17" s="172"/>
      <c r="D17" s="172"/>
      <c r="E17" s="172"/>
      <c r="F17" s="172"/>
    </row>
    <row r="18" spans="1:6" ht="15.75" x14ac:dyDescent="0.25">
      <c r="A18" s="171" t="s">
        <v>282</v>
      </c>
      <c r="B18" s="171" t="s">
        <v>283</v>
      </c>
      <c r="C18" s="172"/>
      <c r="D18" s="172"/>
      <c r="E18" s="172"/>
      <c r="F18" s="172"/>
    </row>
    <row r="19" spans="1:6" ht="15.75" x14ac:dyDescent="0.25">
      <c r="A19" s="171" t="s">
        <v>284</v>
      </c>
      <c r="B19" s="171" t="s">
        <v>285</v>
      </c>
      <c r="C19" s="172"/>
      <c r="D19" s="172"/>
      <c r="E19" s="172"/>
      <c r="F19" s="172"/>
    </row>
    <row r="20" spans="1:6" ht="15.75" x14ac:dyDescent="0.25">
      <c r="A20" s="171" t="s">
        <v>286</v>
      </c>
      <c r="B20" s="171" t="s">
        <v>287</v>
      </c>
      <c r="C20" s="172"/>
      <c r="D20" s="172"/>
      <c r="E20" s="172"/>
      <c r="F20" s="172"/>
    </row>
    <row r="21" spans="1:6" ht="15.75" x14ac:dyDescent="0.25">
      <c r="A21" s="171" t="s">
        <v>288</v>
      </c>
      <c r="B21" s="171" t="s">
        <v>289</v>
      </c>
      <c r="C21" s="172"/>
      <c r="D21" s="172"/>
      <c r="E21" s="172"/>
      <c r="F21" s="172"/>
    </row>
    <row r="22" spans="1:6" ht="15.75" x14ac:dyDescent="0.25">
      <c r="A22" s="171" t="s">
        <v>290</v>
      </c>
      <c r="B22" s="171" t="s">
        <v>291</v>
      </c>
      <c r="C22" s="172"/>
      <c r="D22" s="172"/>
      <c r="E22" s="172"/>
      <c r="F22" s="172"/>
    </row>
    <row r="23" spans="1:6" ht="15.75" x14ac:dyDescent="0.25">
      <c r="A23" s="171" t="s">
        <v>292</v>
      </c>
      <c r="B23" s="171" t="s">
        <v>293</v>
      </c>
      <c r="C23" s="172"/>
      <c r="D23" s="172"/>
      <c r="E23" s="172"/>
      <c r="F23" s="172"/>
    </row>
    <row r="24" spans="1:6" ht="15.75" x14ac:dyDescent="0.25">
      <c r="A24" s="176" t="s">
        <v>294</v>
      </c>
      <c r="B24" s="171" t="s">
        <v>295</v>
      </c>
      <c r="C24" s="172"/>
      <c r="D24" s="172"/>
      <c r="E24" s="172"/>
      <c r="F24" s="172"/>
    </row>
    <row r="25" spans="1:6" ht="15.75" x14ac:dyDescent="0.25">
      <c r="A25" s="171" t="s">
        <v>296</v>
      </c>
      <c r="B25" s="171" t="s">
        <v>297</v>
      </c>
      <c r="C25" s="172"/>
      <c r="D25" s="172"/>
      <c r="E25" s="172"/>
      <c r="F25" s="172"/>
    </row>
    <row r="26" spans="1:6" ht="15.75" x14ac:dyDescent="0.25">
      <c r="A26" s="171" t="s">
        <v>298</v>
      </c>
      <c r="B26" s="171" t="s">
        <v>299</v>
      </c>
      <c r="C26" s="172"/>
      <c r="D26" s="172"/>
      <c r="E26" s="172"/>
      <c r="F26" s="172"/>
    </row>
    <row r="27" spans="1:6" ht="15.75" x14ac:dyDescent="0.25">
      <c r="A27" s="171" t="s">
        <v>300</v>
      </c>
      <c r="B27" s="171" t="s">
        <v>301</v>
      </c>
      <c r="C27" s="172"/>
      <c r="D27" s="172"/>
      <c r="E27" s="172"/>
      <c r="F27" s="172"/>
    </row>
    <row r="28" spans="1:6" ht="15.75" x14ac:dyDescent="0.25">
      <c r="A28" s="171" t="s">
        <v>302</v>
      </c>
      <c r="B28" s="171" t="s">
        <v>303</v>
      </c>
      <c r="C28" s="172"/>
      <c r="D28" s="172"/>
      <c r="E28" s="172"/>
      <c r="F28" s="172"/>
    </row>
    <row r="29" spans="1:6" ht="15.75" x14ac:dyDescent="0.25">
      <c r="A29" s="171" t="s">
        <v>304</v>
      </c>
      <c r="B29" s="171" t="s">
        <v>305</v>
      </c>
      <c r="C29" s="172"/>
      <c r="D29" s="172"/>
      <c r="E29" s="172"/>
      <c r="F29" s="172"/>
    </row>
    <row r="30" spans="1:6" ht="15.75" x14ac:dyDescent="0.25">
      <c r="A30" s="171" t="s">
        <v>306</v>
      </c>
      <c r="B30" s="171" t="s">
        <v>307</v>
      </c>
      <c r="C30" s="172"/>
      <c r="D30" s="172"/>
      <c r="E30" s="172"/>
      <c r="F30" s="172"/>
    </row>
    <row r="31" spans="1:6" ht="15.75" x14ac:dyDescent="0.25">
      <c r="A31" s="171" t="s">
        <v>308</v>
      </c>
      <c r="B31" s="171" t="s">
        <v>309</v>
      </c>
      <c r="C31" s="172"/>
      <c r="D31" s="172"/>
      <c r="E31" s="172"/>
      <c r="F31" s="172"/>
    </row>
    <row r="32" spans="1:6" ht="15.75" x14ac:dyDescent="0.25">
      <c r="A32" s="171" t="s">
        <v>310</v>
      </c>
      <c r="B32" s="171" t="s">
        <v>311</v>
      </c>
      <c r="C32" s="172"/>
      <c r="D32" s="172"/>
      <c r="E32" s="172"/>
      <c r="F32" s="172"/>
    </row>
    <row r="33" spans="1:6" ht="15.75" x14ac:dyDescent="0.25">
      <c r="A33" s="176" t="s">
        <v>312</v>
      </c>
      <c r="B33" s="171" t="s">
        <v>313</v>
      </c>
      <c r="C33" s="172"/>
      <c r="D33" s="172"/>
      <c r="E33" s="172"/>
      <c r="F33" s="172"/>
    </row>
    <row r="34" spans="1:6" ht="15.75" x14ac:dyDescent="0.25">
      <c r="A34" s="171" t="s">
        <v>314</v>
      </c>
      <c r="B34" s="171" t="s">
        <v>315</v>
      </c>
      <c r="C34" s="172"/>
      <c r="D34" s="172"/>
      <c r="E34" s="172"/>
      <c r="F34" s="172"/>
    </row>
    <row r="35" spans="1:6" ht="15.75" x14ac:dyDescent="0.25">
      <c r="A35" s="171" t="s">
        <v>316</v>
      </c>
      <c r="B35" s="171" t="s">
        <v>317</v>
      </c>
      <c r="C35" s="172"/>
      <c r="D35" s="172"/>
      <c r="E35" s="172"/>
      <c r="F35" s="172"/>
    </row>
    <row r="36" spans="1:6" ht="15.75" x14ac:dyDescent="0.25">
      <c r="A36" s="171" t="s">
        <v>318</v>
      </c>
      <c r="B36" s="171" t="s">
        <v>319</v>
      </c>
      <c r="C36" s="172"/>
      <c r="D36" s="172"/>
      <c r="E36" s="172"/>
      <c r="F36" s="172"/>
    </row>
    <row r="37" spans="1:6" ht="15.75" x14ac:dyDescent="0.25">
      <c r="A37" s="171" t="s">
        <v>320</v>
      </c>
      <c r="B37" s="171" t="s">
        <v>321</v>
      </c>
      <c r="C37" s="172"/>
      <c r="D37" s="172"/>
      <c r="E37" s="172"/>
      <c r="F37" s="172"/>
    </row>
    <row r="38" spans="1:6" ht="15.75" x14ac:dyDescent="0.25">
      <c r="A38" s="171" t="s">
        <v>322</v>
      </c>
      <c r="B38" s="171" t="s">
        <v>323</v>
      </c>
      <c r="C38" s="172"/>
      <c r="D38" s="172"/>
      <c r="E38" s="172"/>
      <c r="F38" s="172"/>
    </row>
    <row r="39" spans="1:6" ht="15.75" x14ac:dyDescent="0.25">
      <c r="A39" s="171" t="s">
        <v>324</v>
      </c>
      <c r="B39" s="171" t="s">
        <v>325</v>
      </c>
      <c r="C39" s="172"/>
      <c r="D39" s="172"/>
      <c r="E39" s="172"/>
      <c r="F39" s="172"/>
    </row>
    <row r="40" spans="1:6" ht="15.75" x14ac:dyDescent="0.25">
      <c r="A40" s="176" t="s">
        <v>326</v>
      </c>
      <c r="B40" s="171" t="s">
        <v>327</v>
      </c>
      <c r="C40" s="172"/>
      <c r="D40" s="172"/>
      <c r="E40" s="172"/>
      <c r="F40" s="172"/>
    </row>
    <row r="41" spans="1:6" ht="15.75" x14ac:dyDescent="0.25">
      <c r="A41" s="171" t="s">
        <v>328</v>
      </c>
      <c r="B41" s="171" t="s">
        <v>329</v>
      </c>
      <c r="C41" s="172"/>
      <c r="D41" s="172"/>
      <c r="E41" s="172"/>
      <c r="F41" s="172"/>
    </row>
    <row r="42" spans="1:6" ht="15.75" x14ac:dyDescent="0.25">
      <c r="A42" s="171" t="s">
        <v>330</v>
      </c>
      <c r="B42" s="171" t="s">
        <v>331</v>
      </c>
      <c r="C42" s="172"/>
      <c r="D42" s="172"/>
      <c r="E42" s="172"/>
      <c r="F42" s="172"/>
    </row>
    <row r="43" spans="1:6" ht="15.75" x14ac:dyDescent="0.25">
      <c r="A43" s="171" t="s">
        <v>332</v>
      </c>
      <c r="B43" s="171" t="s">
        <v>333</v>
      </c>
      <c r="C43" s="172"/>
      <c r="D43" s="172"/>
      <c r="E43" s="172"/>
      <c r="F43" s="172"/>
    </row>
    <row r="44" spans="1:6" ht="15.75" x14ac:dyDescent="0.25">
      <c r="A44" s="171" t="s">
        <v>334</v>
      </c>
      <c r="B44" s="171" t="s">
        <v>335</v>
      </c>
      <c r="C44" s="172"/>
      <c r="D44" s="172"/>
      <c r="E44" s="172"/>
      <c r="F44" s="172"/>
    </row>
    <row r="45" spans="1:6" ht="15.75" x14ac:dyDescent="0.25">
      <c r="A45" s="176" t="s">
        <v>336</v>
      </c>
      <c r="B45" s="171" t="s">
        <v>337</v>
      </c>
      <c r="C45" s="172"/>
      <c r="D45" s="172"/>
      <c r="E45" s="172"/>
      <c r="F45" s="172"/>
    </row>
    <row r="46" spans="1:6" ht="15.75" x14ac:dyDescent="0.25">
      <c r="A46" s="171" t="s">
        <v>338</v>
      </c>
      <c r="B46" s="171" t="s">
        <v>339</v>
      </c>
      <c r="C46" s="172"/>
      <c r="D46" s="172"/>
      <c r="E46" s="172"/>
      <c r="F46" s="172"/>
    </row>
    <row r="47" spans="1:6" ht="15.75" x14ac:dyDescent="0.25">
      <c r="A47" s="171" t="s">
        <v>330</v>
      </c>
      <c r="B47" s="171" t="s">
        <v>340</v>
      </c>
      <c r="C47" s="172"/>
      <c r="D47" s="172"/>
      <c r="E47" s="172"/>
      <c r="F47" s="172"/>
    </row>
    <row r="48" spans="1:6" ht="15.75" x14ac:dyDescent="0.25">
      <c r="A48" s="171" t="s">
        <v>341</v>
      </c>
      <c r="B48" s="171" t="s">
        <v>342</v>
      </c>
      <c r="C48" s="172"/>
      <c r="D48" s="172"/>
      <c r="E48" s="172"/>
      <c r="F48" s="172"/>
    </row>
    <row r="49" spans="1:6" ht="15.75" x14ac:dyDescent="0.25">
      <c r="A49" s="171" t="s">
        <v>343</v>
      </c>
      <c r="B49" s="171" t="s">
        <v>344</v>
      </c>
      <c r="C49" s="172"/>
      <c r="D49" s="172"/>
      <c r="E49" s="172"/>
      <c r="F49" s="172"/>
    </row>
    <row r="50" spans="1:6" ht="15.75" x14ac:dyDescent="0.25">
      <c r="A50" s="171" t="s">
        <v>345</v>
      </c>
      <c r="B50" s="171" t="s">
        <v>346</v>
      </c>
      <c r="C50" s="172"/>
      <c r="D50" s="172"/>
      <c r="E50" s="172"/>
      <c r="F50" s="172"/>
    </row>
    <row r="51" spans="1:6" ht="15.75" x14ac:dyDescent="0.25">
      <c r="A51" s="171" t="s">
        <v>332</v>
      </c>
      <c r="B51" s="171" t="s">
        <v>347</v>
      </c>
      <c r="C51" s="172"/>
      <c r="D51" s="172"/>
      <c r="E51" s="172"/>
      <c r="F51" s="172"/>
    </row>
    <row r="52" spans="1:6" ht="15.75" x14ac:dyDescent="0.25">
      <c r="A52" s="171" t="s">
        <v>348</v>
      </c>
      <c r="B52" s="171" t="s">
        <v>349</v>
      </c>
      <c r="C52" s="172"/>
      <c r="D52" s="172"/>
      <c r="E52" s="172"/>
      <c r="F52" s="172"/>
    </row>
    <row r="53" spans="1:6" ht="15.75" x14ac:dyDescent="0.25">
      <c r="A53" s="171" t="s">
        <v>334</v>
      </c>
      <c r="B53" s="171" t="s">
        <v>350</v>
      </c>
      <c r="C53" s="172"/>
      <c r="D53" s="172"/>
      <c r="E53" s="172"/>
      <c r="F53" s="172"/>
    </row>
    <row r="54" spans="1:6" ht="15.75" x14ac:dyDescent="0.25">
      <c r="A54" s="176" t="s">
        <v>351</v>
      </c>
      <c r="B54" s="171" t="s">
        <v>352</v>
      </c>
      <c r="C54" s="172"/>
      <c r="D54" s="172"/>
      <c r="E54" s="172"/>
      <c r="F54" s="172"/>
    </row>
    <row r="55" spans="1:6" ht="15.75" x14ac:dyDescent="0.25">
      <c r="A55" s="171" t="s">
        <v>353</v>
      </c>
      <c r="B55" s="171" t="s">
        <v>354</v>
      </c>
      <c r="C55" s="172"/>
      <c r="D55" s="172"/>
      <c r="E55" s="172"/>
      <c r="F55" s="172"/>
    </row>
    <row r="56" spans="1:6" ht="15.75" x14ac:dyDescent="0.25">
      <c r="A56" s="171" t="s">
        <v>355</v>
      </c>
      <c r="B56" s="171" t="s">
        <v>356</v>
      </c>
      <c r="C56" s="172"/>
      <c r="D56" s="172"/>
      <c r="E56" s="172"/>
      <c r="F56" s="172"/>
    </row>
    <row r="57" spans="1:6" ht="15.75" x14ac:dyDescent="0.25">
      <c r="A57" s="171" t="s">
        <v>357</v>
      </c>
      <c r="B57" s="171" t="s">
        <v>358</v>
      </c>
      <c r="C57" s="172"/>
      <c r="D57" s="172"/>
      <c r="E57" s="172"/>
      <c r="F57" s="172"/>
    </row>
    <row r="58" spans="1:6" ht="15.75" x14ac:dyDescent="0.25">
      <c r="A58" s="171" t="s">
        <v>359</v>
      </c>
      <c r="B58" s="171" t="s">
        <v>360</v>
      </c>
      <c r="C58" s="172"/>
      <c r="D58" s="172"/>
      <c r="E58" s="172"/>
      <c r="F58" s="172"/>
    </row>
    <row r="59" spans="1:6" ht="15.75" x14ac:dyDescent="0.25">
      <c r="A59" s="171" t="s">
        <v>361</v>
      </c>
      <c r="B59" s="171" t="s">
        <v>362</v>
      </c>
      <c r="C59" s="172"/>
      <c r="D59" s="172"/>
      <c r="E59" s="172"/>
      <c r="F59" s="172"/>
    </row>
    <row r="60" spans="1:6" ht="15.75" x14ac:dyDescent="0.25">
      <c r="A60" s="171" t="s">
        <v>363</v>
      </c>
      <c r="B60" s="171" t="s">
        <v>364</v>
      </c>
      <c r="C60" s="172"/>
      <c r="D60" s="172"/>
      <c r="E60" s="172"/>
      <c r="F60" s="172"/>
    </row>
    <row r="61" spans="1:6" ht="15.75" x14ac:dyDescent="0.25">
      <c r="A61" s="176" t="s">
        <v>365</v>
      </c>
      <c r="B61" s="171" t="s">
        <v>366</v>
      </c>
      <c r="C61" s="172"/>
      <c r="D61" s="172"/>
      <c r="E61" s="172"/>
      <c r="F61" s="172"/>
    </row>
    <row r="62" spans="1:6" ht="15.75" x14ac:dyDescent="0.25">
      <c r="A62" s="171" t="s">
        <v>367</v>
      </c>
      <c r="B62" s="171" t="s">
        <v>368</v>
      </c>
      <c r="C62" s="172"/>
      <c r="D62" s="172"/>
      <c r="E62" s="172"/>
      <c r="F62" s="172"/>
    </row>
    <row r="63" spans="1:6" ht="15.75" x14ac:dyDescent="0.25">
      <c r="A63" s="171" t="s">
        <v>369</v>
      </c>
      <c r="B63" s="171" t="s">
        <v>370</v>
      </c>
      <c r="C63" s="172"/>
      <c r="D63" s="172"/>
      <c r="E63" s="172"/>
      <c r="F63" s="172"/>
    </row>
    <row r="64" spans="1:6" ht="15.75" x14ac:dyDescent="0.25">
      <c r="A64" s="173" t="s">
        <v>371</v>
      </c>
      <c r="B64" s="174"/>
      <c r="C64" s="172"/>
      <c r="D64" s="172"/>
      <c r="E64" s="172"/>
      <c r="F64" s="172"/>
    </row>
    <row r="65" spans="1:6" ht="15.75" x14ac:dyDescent="0.25">
      <c r="A65" s="89"/>
      <c r="B65" s="89"/>
      <c r="C65" s="89"/>
      <c r="D65" s="89"/>
      <c r="E65" s="89"/>
      <c r="F65" s="89"/>
    </row>
    <row r="66" spans="1:6" ht="15.75" x14ac:dyDescent="0.25">
      <c r="A66" s="89"/>
      <c r="B66" s="89"/>
      <c r="C66" s="89"/>
      <c r="D66" s="89"/>
      <c r="E66" s="89"/>
      <c r="F66" s="89"/>
    </row>
    <row r="67" spans="1:6" ht="15.75" x14ac:dyDescent="0.25">
      <c r="A67" s="89"/>
      <c r="B67" s="89"/>
      <c r="C67" s="89"/>
      <c r="D67" s="89"/>
      <c r="E67" s="89"/>
      <c r="F67" s="89"/>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P77"/>
  <sheetViews>
    <sheetView zoomScale="80" zoomScaleNormal="80" workbookViewId="0">
      <pane xSplit="2" ySplit="5" topLeftCell="C51" activePane="bottomRight" state="frozen"/>
      <selection pane="topRight" activeCell="C1" sqref="C1"/>
      <selection pane="bottomLeft" activeCell="A6" sqref="A6"/>
      <selection pane="bottomRight" activeCell="D65" sqref="D65"/>
    </sheetView>
  </sheetViews>
  <sheetFormatPr defaultColWidth="9.140625" defaultRowHeight="15.75" x14ac:dyDescent="0.25"/>
  <cols>
    <col min="1" max="1" width="7.85546875" style="3" customWidth="1"/>
    <col min="2" max="2" width="82.140625" style="121" customWidth="1"/>
    <col min="3" max="3" width="16.42578125" style="122" customWidth="1"/>
    <col min="4" max="4" width="16.5703125" style="122" customWidth="1"/>
    <col min="5" max="5" width="16.42578125" style="122" customWidth="1"/>
    <col min="6" max="6" width="19.140625" style="122" customWidth="1"/>
    <col min="7" max="7" width="16.85546875" style="122" customWidth="1"/>
    <col min="8" max="8" width="20.140625" style="122" customWidth="1"/>
    <col min="9" max="9" width="21.42578125" style="1" bestFit="1" customWidth="1"/>
    <col min="10" max="17" width="9.140625" style="1"/>
    <col min="18" max="18" width="6.28515625" style="1" customWidth="1"/>
    <col min="19" max="16384" width="9.140625" style="1"/>
  </cols>
  <sheetData>
    <row r="1" spans="1:9" ht="35.1" customHeight="1" thickBot="1" x14ac:dyDescent="0.3">
      <c r="A1" s="687" t="s">
        <v>775</v>
      </c>
      <c r="B1" s="688"/>
      <c r="C1" s="688"/>
      <c r="D1" s="688"/>
      <c r="E1" s="688"/>
      <c r="F1" s="688"/>
      <c r="G1" s="688"/>
      <c r="H1" s="689"/>
      <c r="I1" s="208"/>
    </row>
    <row r="2" spans="1:9" ht="31.9" customHeight="1" x14ac:dyDescent="0.25">
      <c r="A2" s="672" t="s">
        <v>860</v>
      </c>
      <c r="B2" s="673"/>
      <c r="C2" s="673"/>
      <c r="D2" s="673"/>
      <c r="E2" s="673"/>
      <c r="F2" s="673"/>
      <c r="G2" s="673"/>
      <c r="H2" s="674"/>
    </row>
    <row r="3" spans="1:9" ht="24" customHeight="1" x14ac:dyDescent="0.25">
      <c r="A3" s="690" t="s">
        <v>115</v>
      </c>
      <c r="B3" s="691" t="s">
        <v>192</v>
      </c>
      <c r="C3" s="693">
        <v>2019</v>
      </c>
      <c r="D3" s="694"/>
      <c r="E3" s="693">
        <v>2020</v>
      </c>
      <c r="F3" s="694"/>
      <c r="G3" s="693" t="s">
        <v>776</v>
      </c>
      <c r="H3" s="695"/>
    </row>
    <row r="4" spans="1:9" s="9" customFormat="1" ht="31.5" x14ac:dyDescent="0.25">
      <c r="A4" s="690"/>
      <c r="B4" s="692"/>
      <c r="C4" s="497" t="s">
        <v>193</v>
      </c>
      <c r="D4" s="497" t="s">
        <v>194</v>
      </c>
      <c r="E4" s="497" t="s">
        <v>193</v>
      </c>
      <c r="F4" s="497" t="s">
        <v>194</v>
      </c>
      <c r="G4" s="497" t="s">
        <v>193</v>
      </c>
      <c r="H4" s="498" t="s">
        <v>194</v>
      </c>
      <c r="I4" s="1"/>
    </row>
    <row r="5" spans="1:9" s="9" customFormat="1" x14ac:dyDescent="0.25">
      <c r="A5" s="496"/>
      <c r="B5" s="328"/>
      <c r="C5" s="497" t="s">
        <v>158</v>
      </c>
      <c r="D5" s="497" t="s">
        <v>159</v>
      </c>
      <c r="E5" s="497" t="s">
        <v>160</v>
      </c>
      <c r="F5" s="497" t="s">
        <v>166</v>
      </c>
      <c r="G5" s="497" t="s">
        <v>13</v>
      </c>
      <c r="H5" s="498" t="s">
        <v>14</v>
      </c>
      <c r="I5" s="404"/>
    </row>
    <row r="6" spans="1:9" x14ac:dyDescent="0.25">
      <c r="A6" s="30">
        <v>1</v>
      </c>
      <c r="B6" s="60" t="s">
        <v>139</v>
      </c>
      <c r="C6" s="580">
        <f>SUM(C7:C10)</f>
        <v>279628.24</v>
      </c>
      <c r="D6" s="580">
        <f t="shared" ref="D6" si="0">SUM(D7:D10)</f>
        <v>465945.55</v>
      </c>
      <c r="E6" s="580">
        <v>91882.3</v>
      </c>
      <c r="F6" s="580">
        <v>325953.67</v>
      </c>
      <c r="G6" s="158">
        <f>E6-C6</f>
        <v>-187745.94</v>
      </c>
      <c r="H6" s="159">
        <f t="shared" ref="G6:H71" si="1">F6-D6</f>
        <v>-139991.88</v>
      </c>
    </row>
    <row r="7" spans="1:9" x14ac:dyDescent="0.25">
      <c r="A7" s="30">
        <f>A6+1</f>
        <v>2</v>
      </c>
      <c r="B7" s="307" t="s">
        <v>151</v>
      </c>
      <c r="C7" s="591"/>
      <c r="D7" s="591"/>
      <c r="E7" s="591"/>
      <c r="F7" s="591"/>
      <c r="G7" s="158">
        <f t="shared" si="1"/>
        <v>0</v>
      </c>
      <c r="H7" s="159">
        <f t="shared" si="1"/>
        <v>0</v>
      </c>
      <c r="I7" s="359"/>
    </row>
    <row r="8" spans="1:9" x14ac:dyDescent="0.25">
      <c r="A8" s="30">
        <f t="shared" ref="A8:A71" si="2">A7+1</f>
        <v>3</v>
      </c>
      <c r="B8" s="307" t="s">
        <v>171</v>
      </c>
      <c r="C8" s="591"/>
      <c r="D8" s="591"/>
      <c r="E8" s="591"/>
      <c r="F8" s="591"/>
      <c r="G8" s="158">
        <f t="shared" si="1"/>
        <v>0</v>
      </c>
      <c r="H8" s="159">
        <f t="shared" si="1"/>
        <v>0</v>
      </c>
      <c r="I8" s="359"/>
    </row>
    <row r="9" spans="1:9" x14ac:dyDescent="0.25">
      <c r="A9" s="30">
        <f t="shared" si="2"/>
        <v>4</v>
      </c>
      <c r="B9" s="307" t="s">
        <v>24</v>
      </c>
      <c r="C9" s="591">
        <v>278375.14</v>
      </c>
      <c r="D9" s="591">
        <v>464492.68</v>
      </c>
      <c r="E9" s="591">
        <v>91762.3</v>
      </c>
      <c r="F9" s="591">
        <v>324904.40000000002</v>
      </c>
      <c r="G9" s="158">
        <f t="shared" si="1"/>
        <v>-186612.84000000003</v>
      </c>
      <c r="H9" s="159">
        <f t="shared" si="1"/>
        <v>-139588.27999999997</v>
      </c>
      <c r="I9" s="359"/>
    </row>
    <row r="10" spans="1:9" x14ac:dyDescent="0.25">
      <c r="A10" s="30">
        <f t="shared" si="2"/>
        <v>5</v>
      </c>
      <c r="B10" s="307" t="s">
        <v>170</v>
      </c>
      <c r="C10" s="591">
        <v>1253.0999999999999</v>
      </c>
      <c r="D10" s="591">
        <v>1452.87</v>
      </c>
      <c r="E10" s="591">
        <v>120</v>
      </c>
      <c r="F10" s="591">
        <v>1049.27</v>
      </c>
      <c r="G10" s="158">
        <f t="shared" si="1"/>
        <v>-1133.0999999999999</v>
      </c>
      <c r="H10" s="159">
        <f t="shared" si="1"/>
        <v>-403.59999999999991</v>
      </c>
      <c r="I10" s="359"/>
    </row>
    <row r="11" spans="1:9" x14ac:dyDescent="0.25">
      <c r="A11" s="30">
        <f t="shared" si="2"/>
        <v>6</v>
      </c>
      <c r="B11" s="314" t="s">
        <v>595</v>
      </c>
      <c r="C11" s="580">
        <f>SUM(C12:C15)</f>
        <v>1636121.85</v>
      </c>
      <c r="D11" s="580">
        <f t="shared" ref="D11:F11" si="3">SUM(D12:D15)</f>
        <v>586469.82999999996</v>
      </c>
      <c r="E11" s="580">
        <f t="shared" si="3"/>
        <v>733688.36</v>
      </c>
      <c r="F11" s="580">
        <f t="shared" si="3"/>
        <v>284536.03999999998</v>
      </c>
      <c r="G11" s="158">
        <f t="shared" si="1"/>
        <v>-902433.49000000011</v>
      </c>
      <c r="H11" s="159">
        <f t="shared" si="1"/>
        <v>-301933.78999999998</v>
      </c>
    </row>
    <row r="12" spans="1:9" x14ac:dyDescent="0.25">
      <c r="A12" s="30">
        <f t="shared" si="2"/>
        <v>7</v>
      </c>
      <c r="B12" s="307" t="s">
        <v>46</v>
      </c>
      <c r="C12" s="591">
        <v>1251930.02</v>
      </c>
      <c r="D12" s="591">
        <v>0</v>
      </c>
      <c r="E12" s="591">
        <v>323964.95</v>
      </c>
      <c r="F12" s="591">
        <v>0</v>
      </c>
      <c r="G12" s="158">
        <f t="shared" si="1"/>
        <v>-927965.07000000007</v>
      </c>
      <c r="H12" s="159">
        <f t="shared" si="1"/>
        <v>0</v>
      </c>
    </row>
    <row r="13" spans="1:9" x14ac:dyDescent="0.25">
      <c r="A13" s="30">
        <f t="shared" si="2"/>
        <v>8</v>
      </c>
      <c r="B13" s="307" t="s">
        <v>47</v>
      </c>
      <c r="C13" s="591">
        <v>0</v>
      </c>
      <c r="D13" s="591">
        <v>0</v>
      </c>
      <c r="E13" s="591">
        <v>0</v>
      </c>
      <c r="F13" s="591">
        <v>0</v>
      </c>
      <c r="G13" s="158">
        <f t="shared" si="1"/>
        <v>0</v>
      </c>
      <c r="H13" s="159">
        <f t="shared" si="1"/>
        <v>0</v>
      </c>
    </row>
    <row r="14" spans="1:9" x14ac:dyDescent="0.25">
      <c r="A14" s="30">
        <f>A13+1</f>
        <v>9</v>
      </c>
      <c r="B14" s="307" t="s">
        <v>48</v>
      </c>
      <c r="C14" s="591">
        <v>0</v>
      </c>
      <c r="D14" s="591">
        <v>105895.28</v>
      </c>
      <c r="E14" s="591">
        <v>0</v>
      </c>
      <c r="F14" s="591">
        <v>74430.509999999995</v>
      </c>
      <c r="G14" s="158">
        <f t="shared" si="1"/>
        <v>0</v>
      </c>
      <c r="H14" s="159">
        <f t="shared" si="1"/>
        <v>-31464.770000000004</v>
      </c>
    </row>
    <row r="15" spans="1:9" x14ac:dyDescent="0.25">
      <c r="A15" s="276">
        <f t="shared" si="2"/>
        <v>10</v>
      </c>
      <c r="B15" s="307" t="s">
        <v>811</v>
      </c>
      <c r="C15" s="591">
        <v>384191.83</v>
      </c>
      <c r="D15" s="591">
        <f>476659.75+3914.8</f>
        <v>480574.55</v>
      </c>
      <c r="E15" s="591">
        <v>409723.41</v>
      </c>
      <c r="F15" s="591">
        <f>208584.41+1521.12</f>
        <v>210105.53</v>
      </c>
      <c r="G15" s="158">
        <f t="shared" si="1"/>
        <v>25531.579999999958</v>
      </c>
      <c r="H15" s="159">
        <f t="shared" si="1"/>
        <v>-270469.02</v>
      </c>
      <c r="I15" s="499"/>
    </row>
    <row r="16" spans="1:9" x14ac:dyDescent="0.25">
      <c r="A16" s="30">
        <f t="shared" si="2"/>
        <v>11</v>
      </c>
      <c r="B16" s="314" t="s">
        <v>10</v>
      </c>
      <c r="C16" s="591">
        <v>0</v>
      </c>
      <c r="D16" s="591">
        <v>132352.20000000001</v>
      </c>
      <c r="E16" s="591">
        <v>0</v>
      </c>
      <c r="F16" s="591">
        <v>118505.87</v>
      </c>
      <c r="G16" s="158">
        <f t="shared" si="1"/>
        <v>0</v>
      </c>
      <c r="H16" s="159">
        <f t="shared" si="1"/>
        <v>-13846.330000000016</v>
      </c>
      <c r="I16" s="499"/>
    </row>
    <row r="17" spans="1:9" x14ac:dyDescent="0.25">
      <c r="A17" s="30">
        <f t="shared" si="2"/>
        <v>12</v>
      </c>
      <c r="B17" s="314" t="s">
        <v>624</v>
      </c>
      <c r="C17" s="591">
        <v>0</v>
      </c>
      <c r="D17" s="591">
        <v>0</v>
      </c>
      <c r="E17" s="591">
        <v>0</v>
      </c>
      <c r="F17" s="591">
        <v>0</v>
      </c>
      <c r="G17" s="158">
        <f t="shared" si="1"/>
        <v>0</v>
      </c>
      <c r="H17" s="159">
        <f t="shared" si="1"/>
        <v>0</v>
      </c>
    </row>
    <row r="18" spans="1:9" x14ac:dyDescent="0.25">
      <c r="A18" s="30">
        <f t="shared" si="2"/>
        <v>13</v>
      </c>
      <c r="B18" s="314" t="s">
        <v>625</v>
      </c>
      <c r="C18" s="591">
        <v>10988.88</v>
      </c>
      <c r="D18" s="591">
        <v>0</v>
      </c>
      <c r="E18" s="591">
        <v>0</v>
      </c>
      <c r="F18" s="591">
        <v>0</v>
      </c>
      <c r="G18" s="158">
        <f t="shared" si="1"/>
        <v>-10988.88</v>
      </c>
      <c r="H18" s="159">
        <f t="shared" si="1"/>
        <v>0</v>
      </c>
    </row>
    <row r="19" spans="1:9" x14ac:dyDescent="0.25">
      <c r="A19" s="30">
        <f t="shared" si="2"/>
        <v>14</v>
      </c>
      <c r="B19" s="314" t="s">
        <v>199</v>
      </c>
      <c r="C19" s="591">
        <v>1163.1300000000001</v>
      </c>
      <c r="D19" s="591">
        <v>0</v>
      </c>
      <c r="E19" s="591">
        <v>500</v>
      </c>
      <c r="F19" s="591">
        <v>0</v>
      </c>
      <c r="G19" s="158">
        <f t="shared" si="1"/>
        <v>-663.13000000000011</v>
      </c>
      <c r="H19" s="159">
        <f t="shared" si="1"/>
        <v>0</v>
      </c>
    </row>
    <row r="20" spans="1:9" x14ac:dyDescent="0.25">
      <c r="A20" s="30">
        <f t="shared" si="2"/>
        <v>15</v>
      </c>
      <c r="B20" s="314" t="s">
        <v>200</v>
      </c>
      <c r="C20" s="591">
        <v>0</v>
      </c>
      <c r="D20" s="591">
        <v>0</v>
      </c>
      <c r="E20" s="591">
        <v>0</v>
      </c>
      <c r="F20" s="591">
        <v>0</v>
      </c>
      <c r="G20" s="158">
        <f t="shared" si="1"/>
        <v>0</v>
      </c>
      <c r="H20" s="159">
        <f t="shared" si="1"/>
        <v>0</v>
      </c>
    </row>
    <row r="21" spans="1:9" x14ac:dyDescent="0.25">
      <c r="A21" s="30">
        <f t="shared" si="2"/>
        <v>16</v>
      </c>
      <c r="B21" s="314" t="s">
        <v>596</v>
      </c>
      <c r="C21" s="580">
        <f>SUM(C22:C23)</f>
        <v>80.28</v>
      </c>
      <c r="D21" s="580">
        <f t="shared" ref="D21:E21" si="4">SUM(D22:D23)</f>
        <v>32.67</v>
      </c>
      <c r="E21" s="580">
        <f t="shared" si="4"/>
        <v>85.92</v>
      </c>
      <c r="F21" s="580">
        <v>42.94</v>
      </c>
      <c r="G21" s="158">
        <f t="shared" si="1"/>
        <v>5.6400000000000006</v>
      </c>
      <c r="H21" s="159">
        <f t="shared" si="1"/>
        <v>10.269999999999996</v>
      </c>
    </row>
    <row r="22" spans="1:9" x14ac:dyDescent="0.25">
      <c r="A22" s="30">
        <f t="shared" si="2"/>
        <v>17</v>
      </c>
      <c r="B22" s="307" t="s">
        <v>51</v>
      </c>
      <c r="C22" s="591">
        <v>0</v>
      </c>
      <c r="D22" s="591">
        <v>0</v>
      </c>
      <c r="E22" s="591">
        <v>0</v>
      </c>
      <c r="F22" s="591">
        <v>0</v>
      </c>
      <c r="G22" s="158">
        <f t="shared" si="1"/>
        <v>0</v>
      </c>
      <c r="H22" s="159">
        <f t="shared" si="1"/>
        <v>0</v>
      </c>
    </row>
    <row r="23" spans="1:9" x14ac:dyDescent="0.25">
      <c r="A23" s="30">
        <f t="shared" si="2"/>
        <v>18</v>
      </c>
      <c r="B23" s="307" t="s">
        <v>52</v>
      </c>
      <c r="C23" s="591">
        <v>80.28</v>
      </c>
      <c r="D23" s="592">
        <v>32.67</v>
      </c>
      <c r="E23" s="591">
        <v>85.92</v>
      </c>
      <c r="F23" s="592">
        <v>42.94</v>
      </c>
      <c r="G23" s="158">
        <f t="shared" si="1"/>
        <v>5.6400000000000006</v>
      </c>
      <c r="H23" s="159">
        <f t="shared" si="1"/>
        <v>10.269999999999996</v>
      </c>
    </row>
    <row r="24" spans="1:9" x14ac:dyDescent="0.25">
      <c r="A24" s="30">
        <f t="shared" si="2"/>
        <v>19</v>
      </c>
      <c r="B24" s="314" t="s">
        <v>201</v>
      </c>
      <c r="C24" s="591">
        <v>3110.58</v>
      </c>
      <c r="D24" s="591">
        <v>0</v>
      </c>
      <c r="E24" s="591">
        <v>2146.33</v>
      </c>
      <c r="F24" s="591">
        <v>0</v>
      </c>
      <c r="G24" s="158">
        <f t="shared" si="1"/>
        <v>-964.25</v>
      </c>
      <c r="H24" s="159">
        <f t="shared" si="1"/>
        <v>0</v>
      </c>
    </row>
    <row r="25" spans="1:9" x14ac:dyDescent="0.25">
      <c r="A25" s="30">
        <f t="shared" si="2"/>
        <v>20</v>
      </c>
      <c r="B25" s="472" t="s">
        <v>729</v>
      </c>
      <c r="C25" s="595">
        <f>SUM(C26:C30)</f>
        <v>13536434.93</v>
      </c>
      <c r="D25" s="580">
        <f t="shared" ref="D25:F25" si="5">SUM(D26:D30)</f>
        <v>0</v>
      </c>
      <c r="E25" s="595">
        <f>SUM(E26:E30)</f>
        <v>13999813.630000001</v>
      </c>
      <c r="F25" s="580">
        <f t="shared" si="5"/>
        <v>0</v>
      </c>
      <c r="G25" s="158">
        <f t="shared" si="1"/>
        <v>463378.70000000112</v>
      </c>
      <c r="H25" s="159">
        <f t="shared" si="1"/>
        <v>0</v>
      </c>
      <c r="I25" s="474"/>
    </row>
    <row r="26" spans="1:9" x14ac:dyDescent="0.25">
      <c r="A26" s="30">
        <f t="shared" si="2"/>
        <v>21</v>
      </c>
      <c r="B26" s="308" t="s">
        <v>663</v>
      </c>
      <c r="C26" s="591">
        <v>202399.43</v>
      </c>
      <c r="D26" s="591"/>
      <c r="E26" s="591">
        <v>226708.49</v>
      </c>
      <c r="F26" s="591">
        <v>0</v>
      </c>
      <c r="G26" s="158">
        <f t="shared" si="1"/>
        <v>24309.059999999998</v>
      </c>
      <c r="H26" s="159">
        <f t="shared" si="1"/>
        <v>0</v>
      </c>
    </row>
    <row r="27" spans="1:9" x14ac:dyDescent="0.25">
      <c r="A27" s="30">
        <f t="shared" si="2"/>
        <v>22</v>
      </c>
      <c r="B27" s="308" t="s">
        <v>664</v>
      </c>
      <c r="C27" s="591">
        <v>13131010</v>
      </c>
      <c r="D27" s="591"/>
      <c r="E27" s="591">
        <v>13505135</v>
      </c>
      <c r="F27" s="591">
        <v>0</v>
      </c>
      <c r="G27" s="158">
        <f t="shared" si="1"/>
        <v>374125</v>
      </c>
      <c r="H27" s="159">
        <f t="shared" si="1"/>
        <v>0</v>
      </c>
    </row>
    <row r="28" spans="1:9" x14ac:dyDescent="0.25">
      <c r="A28" s="30">
        <f t="shared" si="2"/>
        <v>23</v>
      </c>
      <c r="B28" s="308" t="s">
        <v>705</v>
      </c>
      <c r="C28" s="591">
        <v>0</v>
      </c>
      <c r="D28" s="591"/>
      <c r="E28" s="591">
        <v>0</v>
      </c>
      <c r="F28" s="591">
        <v>0</v>
      </c>
      <c r="G28" s="158">
        <f t="shared" si="1"/>
        <v>0</v>
      </c>
      <c r="H28" s="159">
        <f t="shared" si="1"/>
        <v>0</v>
      </c>
      <c r="I28" s="208"/>
    </row>
    <row r="29" spans="1:9" x14ac:dyDescent="0.25">
      <c r="A29" s="30">
        <f t="shared" si="2"/>
        <v>24</v>
      </c>
      <c r="B29" s="308" t="s">
        <v>706</v>
      </c>
      <c r="C29" s="591">
        <v>202065.5</v>
      </c>
      <c r="D29" s="591"/>
      <c r="E29" s="591">
        <v>267490.14</v>
      </c>
      <c r="F29" s="591">
        <v>0</v>
      </c>
      <c r="G29" s="158">
        <f t="shared" si="1"/>
        <v>65424.640000000014</v>
      </c>
      <c r="H29" s="159">
        <f t="shared" si="1"/>
        <v>0</v>
      </c>
      <c r="I29" s="208"/>
    </row>
    <row r="30" spans="1:9" x14ac:dyDescent="0.25">
      <c r="A30" s="30">
        <f t="shared" si="2"/>
        <v>25</v>
      </c>
      <c r="B30" s="308" t="s">
        <v>665</v>
      </c>
      <c r="C30" s="591">
        <v>960</v>
      </c>
      <c r="D30" s="591"/>
      <c r="E30" s="591">
        <v>480</v>
      </c>
      <c r="F30" s="591">
        <v>0</v>
      </c>
      <c r="G30" s="158">
        <f t="shared" si="1"/>
        <v>-480</v>
      </c>
      <c r="H30" s="159">
        <f t="shared" si="1"/>
        <v>0</v>
      </c>
    </row>
    <row r="31" spans="1:9" x14ac:dyDescent="0.25">
      <c r="A31" s="30">
        <f t="shared" si="2"/>
        <v>26</v>
      </c>
      <c r="B31" s="75" t="s">
        <v>812</v>
      </c>
      <c r="C31" s="580">
        <f>SUM(C32:C38)</f>
        <v>672199.91999999993</v>
      </c>
      <c r="D31" s="580">
        <f>SUM(D32:D38)</f>
        <v>0</v>
      </c>
      <c r="E31" s="580">
        <f>SUM(E32:E38)</f>
        <v>619997.71</v>
      </c>
      <c r="F31" s="580">
        <f>SUM(F32:F38)</f>
        <v>0</v>
      </c>
      <c r="G31" s="158">
        <f t="shared" si="1"/>
        <v>-52202.209999999963</v>
      </c>
      <c r="H31" s="159">
        <f t="shared" si="1"/>
        <v>0</v>
      </c>
      <c r="I31" s="474"/>
    </row>
    <row r="32" spans="1:9" x14ac:dyDescent="0.25">
      <c r="A32" s="30">
        <f t="shared" si="2"/>
        <v>27</v>
      </c>
      <c r="B32" s="114" t="s">
        <v>666</v>
      </c>
      <c r="C32" s="591">
        <v>208512</v>
      </c>
      <c r="D32" s="591"/>
      <c r="E32" s="591">
        <v>162159.29</v>
      </c>
      <c r="F32" s="591">
        <v>0</v>
      </c>
      <c r="G32" s="158">
        <f t="shared" si="1"/>
        <v>-46352.709999999992</v>
      </c>
      <c r="H32" s="159">
        <f t="shared" si="1"/>
        <v>0</v>
      </c>
    </row>
    <row r="33" spans="1:9" x14ac:dyDescent="0.25">
      <c r="A33" s="30">
        <f t="shared" si="2"/>
        <v>28</v>
      </c>
      <c r="B33" s="114" t="s">
        <v>667</v>
      </c>
      <c r="C33" s="591">
        <v>70580</v>
      </c>
      <c r="D33" s="591"/>
      <c r="E33" s="591">
        <v>65856.66</v>
      </c>
      <c r="F33" s="591">
        <v>0</v>
      </c>
      <c r="G33" s="158">
        <f t="shared" si="1"/>
        <v>-4723.3399999999965</v>
      </c>
      <c r="H33" s="159">
        <f t="shared" si="1"/>
        <v>0</v>
      </c>
    </row>
    <row r="34" spans="1:9" x14ac:dyDescent="0.25">
      <c r="A34" s="30">
        <f t="shared" si="2"/>
        <v>29</v>
      </c>
      <c r="B34" s="114" t="s">
        <v>668</v>
      </c>
      <c r="C34" s="591">
        <v>8444</v>
      </c>
      <c r="D34" s="591"/>
      <c r="E34" s="591">
        <v>14096</v>
      </c>
      <c r="F34" s="591">
        <v>0</v>
      </c>
      <c r="G34" s="158">
        <f t="shared" si="1"/>
        <v>5652</v>
      </c>
      <c r="H34" s="159">
        <f t="shared" si="1"/>
        <v>0</v>
      </c>
    </row>
    <row r="35" spans="1:9" x14ac:dyDescent="0.25">
      <c r="A35" s="30">
        <f t="shared" si="2"/>
        <v>30</v>
      </c>
      <c r="B35" s="114" t="s">
        <v>669</v>
      </c>
      <c r="C35" s="591">
        <v>18494.490000000002</v>
      </c>
      <c r="D35" s="591"/>
      <c r="E35" s="591">
        <v>10971.44</v>
      </c>
      <c r="F35" s="591">
        <v>0</v>
      </c>
      <c r="G35" s="158">
        <f t="shared" si="1"/>
        <v>-7523.0500000000011</v>
      </c>
      <c r="H35" s="159">
        <f t="shared" si="1"/>
        <v>0</v>
      </c>
    </row>
    <row r="36" spans="1:9" x14ac:dyDescent="0.25">
      <c r="A36" s="30">
        <f t="shared" si="2"/>
        <v>31</v>
      </c>
      <c r="B36" s="114" t="s">
        <v>661</v>
      </c>
      <c r="C36" s="591">
        <v>402</v>
      </c>
      <c r="D36" s="591"/>
      <c r="E36" s="591">
        <v>871</v>
      </c>
      <c r="F36" s="591">
        <v>0</v>
      </c>
      <c r="G36" s="158">
        <f t="shared" si="1"/>
        <v>469</v>
      </c>
      <c r="H36" s="159">
        <f t="shared" si="1"/>
        <v>0</v>
      </c>
    </row>
    <row r="37" spans="1:9" x14ac:dyDescent="0.25">
      <c r="A37" s="30">
        <f t="shared" si="2"/>
        <v>32</v>
      </c>
      <c r="B37" s="114" t="s">
        <v>662</v>
      </c>
      <c r="C37" s="591">
        <v>0</v>
      </c>
      <c r="D37" s="591"/>
      <c r="E37" s="591">
        <v>0</v>
      </c>
      <c r="F37" s="591">
        <v>0</v>
      </c>
      <c r="G37" s="158">
        <f t="shared" si="1"/>
        <v>0</v>
      </c>
      <c r="H37" s="159">
        <f t="shared" si="1"/>
        <v>0</v>
      </c>
    </row>
    <row r="38" spans="1:9" x14ac:dyDescent="0.25">
      <c r="A38" s="30">
        <f t="shared" si="2"/>
        <v>33</v>
      </c>
      <c r="B38" s="114" t="s">
        <v>813</v>
      </c>
      <c r="C38" s="591">
        <f>-800+366567.43</f>
        <v>365767.43</v>
      </c>
      <c r="D38" s="591"/>
      <c r="E38" s="591">
        <v>366043.32</v>
      </c>
      <c r="F38" s="591">
        <v>0</v>
      </c>
      <c r="G38" s="158">
        <f t="shared" si="1"/>
        <v>275.89000000001397</v>
      </c>
      <c r="H38" s="159">
        <f t="shared" si="1"/>
        <v>0</v>
      </c>
      <c r="I38" s="500"/>
    </row>
    <row r="39" spans="1:9" s="358" customFormat="1" ht="14.25" customHeight="1" x14ac:dyDescent="0.3">
      <c r="A39" s="30">
        <f t="shared" si="2"/>
        <v>34</v>
      </c>
      <c r="B39" s="75" t="s">
        <v>708</v>
      </c>
      <c r="C39" s="580">
        <f>SUM(C40:C49)</f>
        <v>1484818.0899999999</v>
      </c>
      <c r="D39" s="580">
        <f t="shared" ref="D39:F39" si="6">SUM(D40:D49)</f>
        <v>600.73</v>
      </c>
      <c r="E39" s="580">
        <f t="shared" si="6"/>
        <v>915963.02999999991</v>
      </c>
      <c r="F39" s="580">
        <f t="shared" si="6"/>
        <v>0.13</v>
      </c>
      <c r="G39" s="158">
        <f t="shared" si="1"/>
        <v>-568855.05999999994</v>
      </c>
      <c r="H39" s="159">
        <f t="shared" si="1"/>
        <v>-600.6</v>
      </c>
      <c r="I39" s="1"/>
    </row>
    <row r="40" spans="1:9" x14ac:dyDescent="0.25">
      <c r="A40" s="30">
        <f t="shared" si="2"/>
        <v>35</v>
      </c>
      <c r="B40" s="114" t="s">
        <v>644</v>
      </c>
      <c r="C40" s="591">
        <v>78757.929999999993</v>
      </c>
      <c r="D40" s="591">
        <v>0</v>
      </c>
      <c r="E40" s="591">
        <v>50405.71</v>
      </c>
      <c r="F40" s="591">
        <v>0</v>
      </c>
      <c r="G40" s="158">
        <f t="shared" si="1"/>
        <v>-28352.219999999994</v>
      </c>
      <c r="H40" s="159">
        <f t="shared" si="1"/>
        <v>0</v>
      </c>
    </row>
    <row r="41" spans="1:9" x14ac:dyDescent="0.25">
      <c r="A41" s="30">
        <f t="shared" si="2"/>
        <v>36</v>
      </c>
      <c r="B41" s="114" t="s">
        <v>53</v>
      </c>
      <c r="C41" s="591">
        <v>0</v>
      </c>
      <c r="D41" s="591">
        <v>0</v>
      </c>
      <c r="E41" s="591">
        <v>0</v>
      </c>
      <c r="F41" s="591">
        <v>0</v>
      </c>
      <c r="G41" s="158">
        <f t="shared" si="1"/>
        <v>0</v>
      </c>
      <c r="H41" s="159">
        <f t="shared" si="1"/>
        <v>0</v>
      </c>
    </row>
    <row r="42" spans="1:9" x14ac:dyDescent="0.25">
      <c r="A42" s="30">
        <f t="shared" si="2"/>
        <v>37</v>
      </c>
      <c r="B42" s="114" t="s">
        <v>54</v>
      </c>
      <c r="C42" s="591">
        <v>0</v>
      </c>
      <c r="D42" s="591">
        <v>0</v>
      </c>
      <c r="E42" s="591">
        <v>0</v>
      </c>
      <c r="F42" s="591">
        <v>0</v>
      </c>
      <c r="G42" s="158">
        <f t="shared" si="1"/>
        <v>0</v>
      </c>
      <c r="H42" s="159">
        <f t="shared" si="1"/>
        <v>0</v>
      </c>
    </row>
    <row r="43" spans="1:9" x14ac:dyDescent="0.25">
      <c r="A43" s="30">
        <f t="shared" si="2"/>
        <v>38</v>
      </c>
      <c r="B43" s="114" t="s">
        <v>55</v>
      </c>
      <c r="C43" s="591">
        <v>0</v>
      </c>
      <c r="D43" s="591">
        <v>594</v>
      </c>
      <c r="E43" s="591">
        <v>-135272.17000000001</v>
      </c>
      <c r="F43" s="591">
        <v>0</v>
      </c>
      <c r="G43" s="158">
        <f t="shared" si="1"/>
        <v>-135272.17000000001</v>
      </c>
      <c r="H43" s="159">
        <f t="shared" si="1"/>
        <v>-594</v>
      </c>
    </row>
    <row r="44" spans="1:9" x14ac:dyDescent="0.25">
      <c r="A44" s="30">
        <f t="shared" si="2"/>
        <v>39</v>
      </c>
      <c r="B44" s="114" t="s">
        <v>56</v>
      </c>
      <c r="C44" s="591">
        <v>0</v>
      </c>
      <c r="D44" s="591">
        <v>3.32</v>
      </c>
      <c r="E44" s="591">
        <v>0</v>
      </c>
      <c r="F44" s="591">
        <v>0</v>
      </c>
      <c r="G44" s="158">
        <f t="shared" si="1"/>
        <v>0</v>
      </c>
      <c r="H44" s="159">
        <f t="shared" si="1"/>
        <v>-3.32</v>
      </c>
    </row>
    <row r="45" spans="1:9" x14ac:dyDescent="0.25">
      <c r="A45" s="30">
        <f t="shared" si="2"/>
        <v>40</v>
      </c>
      <c r="B45" s="114" t="s">
        <v>57</v>
      </c>
      <c r="C45" s="591">
        <v>1548194.23</v>
      </c>
      <c r="D45" s="591">
        <v>0</v>
      </c>
      <c r="E45" s="591">
        <v>1033162.34</v>
      </c>
      <c r="F45" s="591">
        <v>0</v>
      </c>
      <c r="G45" s="158">
        <f t="shared" si="1"/>
        <v>-515031.89</v>
      </c>
      <c r="H45" s="159">
        <f t="shared" si="1"/>
        <v>0</v>
      </c>
    </row>
    <row r="46" spans="1:9" x14ac:dyDescent="0.25">
      <c r="A46" s="30">
        <f t="shared" si="2"/>
        <v>41</v>
      </c>
      <c r="B46" s="412" t="s">
        <v>578</v>
      </c>
      <c r="C46" s="591">
        <v>0</v>
      </c>
      <c r="D46" s="591">
        <v>0</v>
      </c>
      <c r="E46" s="591">
        <v>0</v>
      </c>
      <c r="F46" s="591">
        <v>0</v>
      </c>
      <c r="G46" s="158">
        <f t="shared" si="1"/>
        <v>0</v>
      </c>
      <c r="H46" s="159">
        <f t="shared" si="1"/>
        <v>0</v>
      </c>
    </row>
    <row r="47" spans="1:9" x14ac:dyDescent="0.25">
      <c r="A47" s="30">
        <f t="shared" si="2"/>
        <v>42</v>
      </c>
      <c r="B47" s="114" t="s">
        <v>58</v>
      </c>
      <c r="C47" s="591">
        <v>0</v>
      </c>
      <c r="D47" s="591">
        <v>0</v>
      </c>
      <c r="E47" s="591">
        <v>0</v>
      </c>
      <c r="F47" s="591">
        <v>0</v>
      </c>
      <c r="G47" s="158">
        <f t="shared" si="1"/>
        <v>0</v>
      </c>
      <c r="H47" s="159">
        <f t="shared" si="1"/>
        <v>0</v>
      </c>
    </row>
    <row r="48" spans="1:9" x14ac:dyDescent="0.25">
      <c r="A48" s="30">
        <f t="shared" si="2"/>
        <v>43</v>
      </c>
      <c r="B48" s="114" t="s">
        <v>636</v>
      </c>
      <c r="C48" s="591">
        <v>2458.56</v>
      </c>
      <c r="D48" s="591">
        <v>0</v>
      </c>
      <c r="E48" s="591">
        <v>2550</v>
      </c>
      <c r="F48" s="591">
        <v>0</v>
      </c>
      <c r="G48" s="158">
        <f t="shared" si="1"/>
        <v>91.440000000000055</v>
      </c>
      <c r="H48" s="159">
        <f t="shared" si="1"/>
        <v>0</v>
      </c>
    </row>
    <row r="49" spans="1:16" x14ac:dyDescent="0.25">
      <c r="A49" s="30">
        <f t="shared" si="2"/>
        <v>44</v>
      </c>
      <c r="B49" s="114" t="s">
        <v>814</v>
      </c>
      <c r="C49" s="591">
        <f>-144592.63</f>
        <v>-144592.63</v>
      </c>
      <c r="D49" s="591">
        <f>3.41</f>
        <v>3.41</v>
      </c>
      <c r="E49" s="591">
        <v>-34882.85</v>
      </c>
      <c r="F49" s="591">
        <v>0.13</v>
      </c>
      <c r="G49" s="158">
        <f t="shared" si="1"/>
        <v>109709.78</v>
      </c>
      <c r="H49" s="159">
        <f t="shared" si="1"/>
        <v>-3.2800000000000002</v>
      </c>
      <c r="I49" s="359"/>
      <c r="J49" s="359"/>
      <c r="K49" s="359"/>
      <c r="L49" s="359"/>
      <c r="M49" s="359"/>
      <c r="N49" s="359"/>
      <c r="O49" s="359"/>
      <c r="P49" s="359"/>
    </row>
    <row r="50" spans="1:16" x14ac:dyDescent="0.25">
      <c r="A50" s="30">
        <f t="shared" si="2"/>
        <v>45</v>
      </c>
      <c r="B50" s="75" t="s">
        <v>204</v>
      </c>
      <c r="C50" s="591">
        <v>22044</v>
      </c>
      <c r="D50" s="591">
        <v>0</v>
      </c>
      <c r="E50" s="591">
        <v>2257.8000000000002</v>
      </c>
      <c r="F50" s="591">
        <v>0</v>
      </c>
      <c r="G50" s="158">
        <f t="shared" si="1"/>
        <v>-19786.2</v>
      </c>
      <c r="H50" s="159">
        <f t="shared" si="1"/>
        <v>0</v>
      </c>
    </row>
    <row r="51" spans="1:16" x14ac:dyDescent="0.25">
      <c r="A51" s="30">
        <f t="shared" si="2"/>
        <v>46</v>
      </c>
      <c r="B51" s="75" t="s">
        <v>83</v>
      </c>
      <c r="C51" s="591"/>
      <c r="D51" s="591"/>
      <c r="E51" s="591">
        <v>0</v>
      </c>
      <c r="F51" s="591">
        <v>0</v>
      </c>
      <c r="G51" s="158">
        <f t="shared" si="1"/>
        <v>0</v>
      </c>
      <c r="H51" s="159">
        <f t="shared" si="1"/>
        <v>0</v>
      </c>
    </row>
    <row r="52" spans="1:16" x14ac:dyDescent="0.25">
      <c r="A52" s="30">
        <f t="shared" si="2"/>
        <v>47</v>
      </c>
      <c r="B52" s="75" t="s">
        <v>81</v>
      </c>
      <c r="C52" s="591">
        <v>0</v>
      </c>
      <c r="D52" s="591">
        <v>0</v>
      </c>
      <c r="E52" s="591">
        <v>0</v>
      </c>
      <c r="F52" s="591">
        <v>0</v>
      </c>
      <c r="G52" s="158">
        <f t="shared" si="1"/>
        <v>0</v>
      </c>
      <c r="H52" s="159">
        <f t="shared" si="1"/>
        <v>0</v>
      </c>
    </row>
    <row r="53" spans="1:16" x14ac:dyDescent="0.25">
      <c r="A53" s="30">
        <f t="shared" si="2"/>
        <v>48</v>
      </c>
      <c r="B53" s="75" t="s">
        <v>188</v>
      </c>
      <c r="C53" s="591">
        <v>0</v>
      </c>
      <c r="D53" s="591">
        <v>0</v>
      </c>
      <c r="E53" s="591">
        <v>35.5</v>
      </c>
      <c r="F53" s="591">
        <v>0</v>
      </c>
      <c r="G53" s="158">
        <f t="shared" si="1"/>
        <v>35.5</v>
      </c>
      <c r="H53" s="159">
        <f t="shared" si="1"/>
        <v>0</v>
      </c>
    </row>
    <row r="54" spans="1:16" x14ac:dyDescent="0.25">
      <c r="A54" s="30">
        <f t="shared" si="2"/>
        <v>49</v>
      </c>
      <c r="B54" s="75" t="s">
        <v>140</v>
      </c>
      <c r="C54" s="591">
        <v>0</v>
      </c>
      <c r="D54" s="591">
        <v>0</v>
      </c>
      <c r="E54" s="591">
        <v>0</v>
      </c>
      <c r="F54" s="591">
        <v>0</v>
      </c>
      <c r="G54" s="158">
        <f t="shared" si="1"/>
        <v>0</v>
      </c>
      <c r="H54" s="159">
        <f t="shared" si="1"/>
        <v>0</v>
      </c>
      <c r="I54" s="40"/>
    </row>
    <row r="55" spans="1:16" ht="18.75" x14ac:dyDescent="0.25">
      <c r="A55" s="30">
        <f t="shared" si="2"/>
        <v>50</v>
      </c>
      <c r="B55" s="472" t="s">
        <v>728</v>
      </c>
      <c r="C55" s="593">
        <f>SUM(C56:C61)</f>
        <v>195412.88</v>
      </c>
      <c r="D55" s="593">
        <f t="shared" ref="D55:E55" si="7">SUM(D56:D61)</f>
        <v>0</v>
      </c>
      <c r="E55" s="593">
        <f t="shared" si="7"/>
        <v>113012.68</v>
      </c>
      <c r="F55" s="593">
        <f>SUM(F56:F61)</f>
        <v>18541</v>
      </c>
      <c r="G55" s="158">
        <f t="shared" si="1"/>
        <v>-82400.200000000012</v>
      </c>
      <c r="H55" s="159">
        <f t="shared" si="1"/>
        <v>18541</v>
      </c>
      <c r="I55" s="474"/>
    </row>
    <row r="56" spans="1:16" ht="44.25" customHeight="1" x14ac:dyDescent="0.25">
      <c r="A56" s="30">
        <f t="shared" si="2"/>
        <v>51</v>
      </c>
      <c r="B56" s="114" t="s">
        <v>131</v>
      </c>
      <c r="C56" s="591">
        <v>144365.91</v>
      </c>
      <c r="D56" s="594" t="s">
        <v>179</v>
      </c>
      <c r="E56" s="591">
        <v>64852.68</v>
      </c>
      <c r="F56" s="650">
        <v>18541</v>
      </c>
      <c r="G56" s="158">
        <f t="shared" si="1"/>
        <v>-79513.23000000001</v>
      </c>
      <c r="H56" s="159" t="s">
        <v>179</v>
      </c>
      <c r="I56" s="663"/>
    </row>
    <row r="57" spans="1:16" x14ac:dyDescent="0.25">
      <c r="A57" s="30">
        <f t="shared" si="2"/>
        <v>52</v>
      </c>
      <c r="B57" s="114" t="s">
        <v>59</v>
      </c>
      <c r="C57" s="591">
        <v>51046.97</v>
      </c>
      <c r="D57" s="594" t="s">
        <v>179</v>
      </c>
      <c r="E57" s="591">
        <v>48160</v>
      </c>
      <c r="F57" s="594" t="s">
        <v>179</v>
      </c>
      <c r="G57" s="158">
        <f t="shared" si="1"/>
        <v>-2886.9700000000012</v>
      </c>
      <c r="H57" s="159" t="s">
        <v>179</v>
      </c>
      <c r="I57" s="40"/>
    </row>
    <row r="58" spans="1:16" ht="31.5" x14ac:dyDescent="0.25">
      <c r="A58" s="30">
        <f t="shared" si="2"/>
        <v>53</v>
      </c>
      <c r="B58" s="114" t="s">
        <v>608</v>
      </c>
      <c r="C58" s="591">
        <v>0</v>
      </c>
      <c r="D58" s="594" t="s">
        <v>179</v>
      </c>
      <c r="E58" s="591">
        <v>0</v>
      </c>
      <c r="F58" s="594" t="s">
        <v>179</v>
      </c>
      <c r="G58" s="158">
        <f t="shared" si="1"/>
        <v>0</v>
      </c>
      <c r="H58" s="159" t="s">
        <v>179</v>
      </c>
      <c r="I58" s="40"/>
    </row>
    <row r="59" spans="1:16" ht="18.75" x14ac:dyDescent="0.25">
      <c r="A59" s="30">
        <f t="shared" si="2"/>
        <v>54</v>
      </c>
      <c r="B59" s="114" t="s">
        <v>685</v>
      </c>
      <c r="C59" s="591">
        <v>0</v>
      </c>
      <c r="D59" s="594" t="s">
        <v>179</v>
      </c>
      <c r="E59" s="591">
        <v>0</v>
      </c>
      <c r="F59" s="594" t="s">
        <v>179</v>
      </c>
      <c r="G59" s="158">
        <f t="shared" si="1"/>
        <v>0</v>
      </c>
      <c r="H59" s="159" t="s">
        <v>179</v>
      </c>
      <c r="I59" s="40"/>
    </row>
    <row r="60" spans="1:16" x14ac:dyDescent="0.25">
      <c r="A60" s="30">
        <f t="shared" si="2"/>
        <v>55</v>
      </c>
      <c r="B60" s="114" t="s">
        <v>606</v>
      </c>
      <c r="C60" s="591">
        <v>0</v>
      </c>
      <c r="D60" s="594" t="s">
        <v>179</v>
      </c>
      <c r="E60" s="591">
        <v>0</v>
      </c>
      <c r="F60" s="594" t="s">
        <v>179</v>
      </c>
      <c r="G60" s="158">
        <f t="shared" si="1"/>
        <v>0</v>
      </c>
      <c r="H60" s="159" t="s">
        <v>179</v>
      </c>
      <c r="I60" s="40"/>
    </row>
    <row r="61" spans="1:16" x14ac:dyDescent="0.25">
      <c r="A61" s="30">
        <f t="shared" si="2"/>
        <v>56</v>
      </c>
      <c r="B61" s="75" t="s">
        <v>205</v>
      </c>
      <c r="C61" s="591">
        <v>0</v>
      </c>
      <c r="D61" s="591"/>
      <c r="E61" s="591">
        <v>0</v>
      </c>
      <c r="F61" s="591">
        <v>0</v>
      </c>
      <c r="G61" s="158">
        <f t="shared" si="1"/>
        <v>0</v>
      </c>
      <c r="H61" s="159">
        <f t="shared" si="1"/>
        <v>0</v>
      </c>
      <c r="I61" s="40"/>
    </row>
    <row r="62" spans="1:16" x14ac:dyDescent="0.25">
      <c r="A62" s="30">
        <f t="shared" si="2"/>
        <v>57</v>
      </c>
      <c r="B62" s="75" t="s">
        <v>82</v>
      </c>
      <c r="C62" s="591">
        <v>300</v>
      </c>
      <c r="D62" s="591">
        <v>135784.06</v>
      </c>
      <c r="E62" s="591">
        <v>0</v>
      </c>
      <c r="F62" s="591">
        <v>101114.49</v>
      </c>
      <c r="G62" s="158">
        <f t="shared" si="1"/>
        <v>-300</v>
      </c>
      <c r="H62" s="159">
        <f t="shared" si="1"/>
        <v>-34669.569999999992</v>
      </c>
      <c r="I62" s="40"/>
    </row>
    <row r="63" spans="1:16" x14ac:dyDescent="0.25">
      <c r="A63" s="30">
        <f t="shared" si="2"/>
        <v>58</v>
      </c>
      <c r="B63" s="413" t="s">
        <v>84</v>
      </c>
      <c r="C63" s="591">
        <f>40252.98+300</f>
        <v>40552.980000000003</v>
      </c>
      <c r="D63" s="591">
        <v>0</v>
      </c>
      <c r="E63" s="591">
        <v>22103.48</v>
      </c>
      <c r="F63" s="591">
        <v>0</v>
      </c>
      <c r="G63" s="158">
        <f t="shared" si="1"/>
        <v>-18449.500000000004</v>
      </c>
      <c r="H63" s="159">
        <f t="shared" si="1"/>
        <v>0</v>
      </c>
      <c r="I63" s="664"/>
    </row>
    <row r="64" spans="1:16" x14ac:dyDescent="0.25">
      <c r="A64" s="30">
        <f t="shared" si="2"/>
        <v>59</v>
      </c>
      <c r="B64" s="413" t="s">
        <v>815</v>
      </c>
      <c r="C64" s="591">
        <v>0</v>
      </c>
      <c r="D64" s="591">
        <v>0</v>
      </c>
      <c r="E64" s="591">
        <v>0</v>
      </c>
      <c r="F64" s="591">
        <v>0</v>
      </c>
      <c r="G64" s="158">
        <f t="shared" si="1"/>
        <v>0</v>
      </c>
      <c r="H64" s="159">
        <f t="shared" si="1"/>
        <v>0</v>
      </c>
      <c r="I64" s="664"/>
    </row>
    <row r="65" spans="1:9" x14ac:dyDescent="0.25">
      <c r="A65" s="30">
        <f t="shared" si="2"/>
        <v>60</v>
      </c>
      <c r="B65" s="414" t="s">
        <v>626</v>
      </c>
      <c r="C65" s="591">
        <v>0</v>
      </c>
      <c r="D65" s="591">
        <v>0</v>
      </c>
      <c r="E65" s="591">
        <v>0</v>
      </c>
      <c r="F65" s="591">
        <v>0</v>
      </c>
      <c r="G65" s="158">
        <f>E65-C65</f>
        <v>0</v>
      </c>
      <c r="H65" s="159">
        <f t="shared" si="1"/>
        <v>0</v>
      </c>
      <c r="I65" s="664"/>
    </row>
    <row r="66" spans="1:9" x14ac:dyDescent="0.25">
      <c r="A66" s="30">
        <f t="shared" si="2"/>
        <v>61</v>
      </c>
      <c r="B66" s="414" t="s">
        <v>816</v>
      </c>
      <c r="C66" s="591">
        <v>0</v>
      </c>
      <c r="D66" s="591">
        <v>0</v>
      </c>
      <c r="E66" s="591">
        <v>0</v>
      </c>
      <c r="F66" s="591">
        <v>0</v>
      </c>
      <c r="G66" s="158">
        <f>E66-C66</f>
        <v>0</v>
      </c>
      <c r="H66" s="159">
        <f t="shared" si="1"/>
        <v>0</v>
      </c>
      <c r="I66" s="664"/>
    </row>
    <row r="67" spans="1:9" x14ac:dyDescent="0.25">
      <c r="A67" s="30">
        <f t="shared" si="2"/>
        <v>62</v>
      </c>
      <c r="B67" s="413" t="s">
        <v>817</v>
      </c>
      <c r="C67" s="591">
        <v>1736243.68</v>
      </c>
      <c r="D67" s="591">
        <v>27011.56</v>
      </c>
      <c r="E67" s="591">
        <v>2398061.4700000002</v>
      </c>
      <c r="F67" s="591">
        <v>35478.21</v>
      </c>
      <c r="G67" s="158">
        <f>E67-C67</f>
        <v>661817.79000000027</v>
      </c>
      <c r="H67" s="159">
        <f t="shared" si="1"/>
        <v>8466.6499999999978</v>
      </c>
      <c r="I67" s="664"/>
    </row>
    <row r="68" spans="1:9" x14ac:dyDescent="0.25">
      <c r="A68" s="30">
        <f t="shared" si="2"/>
        <v>63</v>
      </c>
      <c r="B68" s="75" t="s">
        <v>85</v>
      </c>
      <c r="C68" s="591">
        <v>47781259.420000002</v>
      </c>
      <c r="D68" s="591">
        <v>0</v>
      </c>
      <c r="E68" s="591">
        <v>48479229.920000002</v>
      </c>
      <c r="F68" s="591">
        <v>0</v>
      </c>
      <c r="G68" s="158">
        <f t="shared" si="1"/>
        <v>697970.5</v>
      </c>
      <c r="H68" s="159">
        <f t="shared" si="1"/>
        <v>0</v>
      </c>
      <c r="I68" s="40"/>
    </row>
    <row r="69" spans="1:9" x14ac:dyDescent="0.25">
      <c r="A69" s="30">
        <f t="shared" si="2"/>
        <v>64</v>
      </c>
      <c r="B69" s="415" t="s">
        <v>172</v>
      </c>
      <c r="C69" s="135"/>
      <c r="D69" s="135"/>
      <c r="E69" s="135"/>
      <c r="F69" s="135"/>
      <c r="G69" s="158">
        <f t="shared" si="1"/>
        <v>0</v>
      </c>
      <c r="H69" s="159">
        <f t="shared" si="1"/>
        <v>0</v>
      </c>
      <c r="I69" s="40"/>
    </row>
    <row r="70" spans="1:9" x14ac:dyDescent="0.25">
      <c r="A70" s="30">
        <f t="shared" si="2"/>
        <v>65</v>
      </c>
      <c r="B70" s="415" t="s">
        <v>92</v>
      </c>
      <c r="C70" s="136">
        <v>387940.47</v>
      </c>
      <c r="D70" s="136"/>
      <c r="E70" s="136">
        <v>421466.54</v>
      </c>
      <c r="F70" s="136"/>
      <c r="G70" s="158">
        <f t="shared" si="1"/>
        <v>33526.070000000007</v>
      </c>
      <c r="H70" s="159">
        <f t="shared" si="1"/>
        <v>0</v>
      </c>
      <c r="I70" s="665"/>
    </row>
    <row r="71" spans="1:9" s="118" customFormat="1" ht="49.5" customHeight="1" thickBot="1" x14ac:dyDescent="0.3">
      <c r="A71" s="30">
        <f t="shared" si="2"/>
        <v>66</v>
      </c>
      <c r="B71" s="473" t="s">
        <v>818</v>
      </c>
      <c r="C71" s="59">
        <f>C6+C11+C16+C17+C18+C19+C20+C21+C24+C25+C31+C39+C50+C51+C52+C53+C54+C55+C61+C62+C63+C64+C65+C66+C67+C68</f>
        <v>67400358.859999999</v>
      </c>
      <c r="D71" s="59">
        <f t="shared" ref="D71:F71" si="8">D6+D11+D16+D17+D18+D19+D20+D21+D24+D25+D31+D39+D50+D51+D52+D53+D54+D55+D61+D62+D63+D64+D65+D66+D67+D68</f>
        <v>1348196.5999999999</v>
      </c>
      <c r="E71" s="596">
        <f t="shared" si="8"/>
        <v>67378778.129999995</v>
      </c>
      <c r="F71" s="365">
        <f t="shared" si="8"/>
        <v>884172.34999999986</v>
      </c>
      <c r="G71" s="164">
        <f>E71-C71</f>
        <v>-21580.730000004172</v>
      </c>
      <c r="H71" s="165">
        <f t="shared" si="1"/>
        <v>-464024.25</v>
      </c>
      <c r="I71" s="666"/>
    </row>
    <row r="72" spans="1:9" ht="21" customHeight="1" x14ac:dyDescent="0.25">
      <c r="B72" s="3"/>
      <c r="C72" s="3"/>
      <c r="D72" s="668"/>
      <c r="E72" s="356"/>
      <c r="F72" s="668"/>
      <c r="G72" s="3"/>
      <c r="H72" s="3"/>
      <c r="I72" s="40"/>
    </row>
    <row r="73" spans="1:9" x14ac:dyDescent="0.25">
      <c r="A73" s="681" t="s">
        <v>686</v>
      </c>
      <c r="B73" s="682"/>
      <c r="C73" s="682"/>
      <c r="D73" s="682"/>
      <c r="E73" s="682"/>
      <c r="F73" s="682"/>
      <c r="G73" s="682"/>
      <c r="H73" s="683"/>
      <c r="I73" s="667"/>
    </row>
    <row r="74" spans="1:9" ht="30.75" customHeight="1" x14ac:dyDescent="0.25">
      <c r="A74" s="684" t="s">
        <v>132</v>
      </c>
      <c r="B74" s="685"/>
      <c r="C74" s="685"/>
      <c r="D74" s="685"/>
      <c r="E74" s="685"/>
      <c r="F74" s="685"/>
      <c r="G74" s="685"/>
      <c r="H74" s="686"/>
      <c r="I74" s="40"/>
    </row>
    <row r="77" spans="1:9" ht="18.75" customHeight="1" x14ac:dyDescent="0.25"/>
  </sheetData>
  <mergeCells count="9">
    <mergeCell ref="A73:H73"/>
    <mergeCell ref="A74:H74"/>
    <mergeCell ref="A1:H1"/>
    <mergeCell ref="A2:H2"/>
    <mergeCell ref="A3:A4"/>
    <mergeCell ref="B3:B4"/>
    <mergeCell ref="C3:D3"/>
    <mergeCell ref="E3:F3"/>
    <mergeCell ref="G3:H3"/>
  </mergeCells>
  <printOptions gridLines="1"/>
  <pageMargins left="0.24" right="0.31496062992125984" top="0.43307086614173229" bottom="0.47244094488188981" header="0.39370078740157483" footer="0.23622047244094491"/>
  <pageSetup paperSize="9" scale="48" fitToWidth="2" fitToHeight="2" orientation="landscape" r:id="rId1"/>
  <headerFooter alignWithMargins="0">
    <oddFooter>&amp;C&amp;P z &amp;N</oddFooter>
  </headerFooter>
  <rowBreaks count="1" manualBreakCount="1">
    <brk id="3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90" zoomScaleNormal="90" workbookViewId="0">
      <selection activeCell="D24" sqref="D24"/>
    </sheetView>
  </sheetViews>
  <sheetFormatPr defaultRowHeight="15.75" x14ac:dyDescent="0.25"/>
  <cols>
    <col min="1" max="1" width="7.85546875" style="3" customWidth="1"/>
    <col min="2" max="2" width="98.28515625" style="5" customWidth="1"/>
    <col min="3" max="3" width="16.85546875" style="1" customWidth="1"/>
    <col min="4" max="4" width="17.28515625" style="1" customWidth="1"/>
    <col min="5" max="5" width="32.140625" style="1" customWidth="1"/>
    <col min="6" max="6" width="9.140625" style="1"/>
    <col min="7" max="7" width="6.5703125" style="1" customWidth="1"/>
    <col min="8" max="8" width="9.140625" style="1"/>
    <col min="9" max="9" width="9.140625" style="1" customWidth="1"/>
    <col min="10" max="10" width="13.7109375" style="1" bestFit="1" customWidth="1"/>
    <col min="11" max="12" width="9.140625" style="1"/>
    <col min="13" max="13" width="13.7109375" style="1" bestFit="1" customWidth="1"/>
    <col min="14" max="16384" width="9.140625" style="1"/>
  </cols>
  <sheetData>
    <row r="1" spans="1:9" ht="45.75" customHeight="1" thickBot="1" x14ac:dyDescent="0.3">
      <c r="A1" s="675" t="s">
        <v>777</v>
      </c>
      <c r="B1" s="676"/>
      <c r="C1" s="676"/>
      <c r="D1" s="677"/>
      <c r="E1" s="208"/>
    </row>
    <row r="2" spans="1:9" ht="37.5" customHeight="1" x14ac:dyDescent="0.25">
      <c r="A2" s="672" t="s">
        <v>861</v>
      </c>
      <c r="B2" s="673"/>
      <c r="C2" s="673"/>
      <c r="D2" s="674"/>
    </row>
    <row r="3" spans="1:9" s="9" customFormat="1" ht="31.5" x14ac:dyDescent="0.25">
      <c r="A3" s="334" t="s">
        <v>115</v>
      </c>
      <c r="B3" s="336" t="s">
        <v>192</v>
      </c>
      <c r="C3" s="335">
        <v>2019</v>
      </c>
      <c r="D3" s="310">
        <v>2020</v>
      </c>
    </row>
    <row r="4" spans="1:9" s="9" customFormat="1" x14ac:dyDescent="0.25">
      <c r="A4" s="334"/>
      <c r="B4" s="336"/>
      <c r="C4" s="335" t="s">
        <v>158</v>
      </c>
      <c r="D4" s="310" t="s">
        <v>159</v>
      </c>
      <c r="F4" s="89"/>
    </row>
    <row r="5" spans="1:9" x14ac:dyDescent="0.25">
      <c r="A5" s="30">
        <v>1</v>
      </c>
      <c r="B5" s="314" t="s">
        <v>676</v>
      </c>
      <c r="C5" s="424">
        <f>+SUM(C6:C9)</f>
        <v>13536434.93</v>
      </c>
      <c r="D5" s="424">
        <f>+SUM(D6:D9)</f>
        <v>13999813.630000001</v>
      </c>
      <c r="E5" s="9"/>
      <c r="F5" s="318"/>
      <c r="G5" s="221"/>
    </row>
    <row r="6" spans="1:9" x14ac:dyDescent="0.25">
      <c r="A6" s="30">
        <v>2</v>
      </c>
      <c r="B6" s="42" t="s">
        <v>654</v>
      </c>
      <c r="C6" s="48">
        <v>960</v>
      </c>
      <c r="D6" s="311">
        <v>480</v>
      </c>
      <c r="E6" s="317"/>
      <c r="F6" s="9"/>
      <c r="I6" s="208"/>
    </row>
    <row r="7" spans="1:9" x14ac:dyDescent="0.25">
      <c r="A7" s="30">
        <v>3</v>
      </c>
      <c r="B7" s="42" t="s">
        <v>655</v>
      </c>
      <c r="C7" s="48">
        <v>202399.43</v>
      </c>
      <c r="D7" s="311">
        <v>226708.49</v>
      </c>
      <c r="E7" s="317"/>
      <c r="F7" s="9"/>
      <c r="I7" s="208"/>
    </row>
    <row r="8" spans="1:9" x14ac:dyDescent="0.25">
      <c r="A8" s="30">
        <v>4</v>
      </c>
      <c r="B8" s="42" t="s">
        <v>704</v>
      </c>
      <c r="C8" s="48">
        <v>13131010</v>
      </c>
      <c r="D8" s="311">
        <v>13505135</v>
      </c>
      <c r="E8" s="317"/>
      <c r="F8" s="9"/>
      <c r="I8" s="208"/>
    </row>
    <row r="9" spans="1:9" x14ac:dyDescent="0.25">
      <c r="A9" s="30">
        <v>5</v>
      </c>
      <c r="B9" s="307" t="s">
        <v>703</v>
      </c>
      <c r="C9" s="48">
        <v>202065.5</v>
      </c>
      <c r="D9" s="311">
        <v>267490.14</v>
      </c>
      <c r="E9" s="317"/>
      <c r="F9" s="9"/>
      <c r="I9" s="208"/>
    </row>
    <row r="10" spans="1:9" x14ac:dyDescent="0.25">
      <c r="A10" s="30">
        <v>6</v>
      </c>
      <c r="B10" s="60" t="s">
        <v>684</v>
      </c>
      <c r="C10" s="58">
        <f>SUM(C11:C16)</f>
        <v>672199.91999999993</v>
      </c>
      <c r="D10" s="265">
        <f>SUM(D11:D16)</f>
        <v>619997.71</v>
      </c>
    </row>
    <row r="11" spans="1:9" x14ac:dyDescent="0.25">
      <c r="A11" s="30">
        <v>7</v>
      </c>
      <c r="B11" s="42" t="s">
        <v>656</v>
      </c>
      <c r="C11" s="48">
        <v>208512</v>
      </c>
      <c r="D11" s="311">
        <v>162159.29</v>
      </c>
    </row>
    <row r="12" spans="1:9" x14ac:dyDescent="0.25">
      <c r="A12" s="30">
        <v>8</v>
      </c>
      <c r="B12" s="42" t="s">
        <v>657</v>
      </c>
      <c r="C12" s="48">
        <v>70580</v>
      </c>
      <c r="D12" s="311">
        <v>65856.66</v>
      </c>
    </row>
    <row r="13" spans="1:9" x14ac:dyDescent="0.25">
      <c r="A13" s="30">
        <v>9</v>
      </c>
      <c r="B13" s="42" t="s">
        <v>658</v>
      </c>
      <c r="C13" s="48">
        <v>8444</v>
      </c>
      <c r="D13" s="311">
        <v>14096</v>
      </c>
    </row>
    <row r="14" spans="1:9" x14ac:dyDescent="0.25">
      <c r="A14" s="30">
        <v>10</v>
      </c>
      <c r="B14" s="42" t="s">
        <v>659</v>
      </c>
      <c r="C14" s="48">
        <v>18494.490000000002</v>
      </c>
      <c r="D14" s="311">
        <v>10971.44</v>
      </c>
    </row>
    <row r="15" spans="1:9" ht="31.5" x14ac:dyDescent="0.25">
      <c r="A15" s="30">
        <v>11</v>
      </c>
      <c r="B15" s="42" t="s">
        <v>660</v>
      </c>
      <c r="C15" s="48">
        <v>402</v>
      </c>
      <c r="D15" s="311">
        <v>871</v>
      </c>
    </row>
    <row r="16" spans="1:9" x14ac:dyDescent="0.25">
      <c r="A16" s="30">
        <v>12</v>
      </c>
      <c r="B16" s="42" t="s">
        <v>888</v>
      </c>
      <c r="C16" s="48">
        <v>365767.43</v>
      </c>
      <c r="D16" s="311">
        <v>366043.32</v>
      </c>
      <c r="E16" s="317"/>
    </row>
    <row r="17" spans="1:13" x14ac:dyDescent="0.25">
      <c r="A17" s="30">
        <v>13</v>
      </c>
      <c r="B17" s="60" t="s">
        <v>135</v>
      </c>
      <c r="C17" s="58">
        <f>(C6+C7)*0.2</f>
        <v>40671.885999999999</v>
      </c>
      <c r="D17" s="265">
        <f>(D6+D7)*0.2</f>
        <v>45437.698000000004</v>
      </c>
      <c r="M17" s="551"/>
    </row>
    <row r="18" spans="1:13" ht="16.5" thickBot="1" x14ac:dyDescent="0.3">
      <c r="A18" s="30">
        <v>14</v>
      </c>
      <c r="B18" s="61" t="s">
        <v>198</v>
      </c>
      <c r="C18" s="138">
        <v>43654</v>
      </c>
      <c r="D18" s="312">
        <v>56085.96</v>
      </c>
      <c r="M18" s="551"/>
    </row>
    <row r="19" spans="1:13" x14ac:dyDescent="0.25">
      <c r="B19" s="8"/>
      <c r="J19" s="551"/>
      <c r="M19" s="551"/>
    </row>
    <row r="20" spans="1:13" x14ac:dyDescent="0.25">
      <c r="A20" s="277"/>
      <c r="B20" s="326"/>
      <c r="J20" s="551"/>
      <c r="M20" s="551"/>
    </row>
    <row r="21" spans="1:13" x14ac:dyDescent="0.25">
      <c r="B21" s="315"/>
      <c r="J21" s="551"/>
    </row>
    <row r="22" spans="1:13" x14ac:dyDescent="0.25">
      <c r="B22" s="315"/>
      <c r="J22" s="551"/>
    </row>
    <row r="23" spans="1:13" x14ac:dyDescent="0.25">
      <c r="B23" s="8"/>
      <c r="J23" s="551"/>
    </row>
    <row r="24" spans="1:13" x14ac:dyDescent="0.25">
      <c r="B24" s="8"/>
      <c r="J24" s="551"/>
    </row>
    <row r="25" spans="1:13" x14ac:dyDescent="0.25">
      <c r="B25" s="8"/>
      <c r="J25" s="551"/>
    </row>
    <row r="26" spans="1:13" x14ac:dyDescent="0.25">
      <c r="B26" s="8"/>
      <c r="J26" s="551"/>
    </row>
  </sheetData>
  <mergeCells count="2">
    <mergeCell ref="A1:D1"/>
    <mergeCell ref="A2:D2"/>
  </mergeCells>
  <pageMargins left="0.70866141732283472" right="0.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92"/>
  <sheetViews>
    <sheetView zoomScale="80" zoomScaleNormal="80" zoomScaleSheetLayoutView="80" workbookViewId="0">
      <pane xSplit="2" ySplit="5" topLeftCell="C93" activePane="bottomRight" state="frozen"/>
      <selection pane="topRight" activeCell="C1" sqref="C1"/>
      <selection pane="bottomLeft" activeCell="A6" sqref="A6"/>
      <selection pane="bottomRight" activeCell="I119" sqref="I119"/>
    </sheetView>
  </sheetViews>
  <sheetFormatPr defaultColWidth="9.140625" defaultRowHeight="15.75" x14ac:dyDescent="0.25"/>
  <cols>
    <col min="1" max="1" width="8.42578125" style="542" customWidth="1"/>
    <col min="2" max="2" width="74.140625" style="543" customWidth="1"/>
    <col min="3" max="3" width="18" style="502" customWidth="1"/>
    <col min="4" max="7" width="17" style="502" customWidth="1"/>
    <col min="8" max="8" width="18" style="502" customWidth="1"/>
    <col min="9" max="9" width="34.42578125" style="503" customWidth="1"/>
    <col min="10" max="10" width="16.7109375" style="502" customWidth="1"/>
    <col min="11" max="11" width="12.140625" style="502" bestFit="1" customWidth="1"/>
    <col min="12" max="12" width="8.85546875" style="502" customWidth="1"/>
    <col min="13" max="16384" width="9.140625" style="502"/>
  </cols>
  <sheetData>
    <row r="1" spans="1:12" ht="35.1" customHeight="1" thickBot="1" x14ac:dyDescent="0.3">
      <c r="A1" s="699" t="s">
        <v>778</v>
      </c>
      <c r="B1" s="700"/>
      <c r="C1" s="700"/>
      <c r="D1" s="700"/>
      <c r="E1" s="700"/>
      <c r="F1" s="700"/>
      <c r="G1" s="700"/>
      <c r="H1" s="701"/>
      <c r="I1" s="501"/>
    </row>
    <row r="2" spans="1:12" ht="32.450000000000003" customHeight="1" x14ac:dyDescent="0.25">
      <c r="A2" s="702" t="s">
        <v>862</v>
      </c>
      <c r="B2" s="703"/>
      <c r="C2" s="703"/>
      <c r="D2" s="703"/>
      <c r="E2" s="703"/>
      <c r="F2" s="703"/>
      <c r="G2" s="703"/>
      <c r="H2" s="704"/>
    </row>
    <row r="3" spans="1:12" s="505" customFormat="1" ht="31.5" customHeight="1" x14ac:dyDescent="0.25">
      <c r="A3" s="705" t="s">
        <v>115</v>
      </c>
      <c r="B3" s="706" t="s">
        <v>192</v>
      </c>
      <c r="C3" s="708">
        <v>2019</v>
      </c>
      <c r="D3" s="708"/>
      <c r="E3" s="708">
        <v>2020</v>
      </c>
      <c r="F3" s="708"/>
      <c r="G3" s="709" t="s">
        <v>776</v>
      </c>
      <c r="H3" s="710"/>
      <c r="I3" s="504"/>
    </row>
    <row r="4" spans="1:12" ht="31.5" customHeight="1" x14ac:dyDescent="0.25">
      <c r="A4" s="705"/>
      <c r="B4" s="707"/>
      <c r="C4" s="506" t="s">
        <v>193</v>
      </c>
      <c r="D4" s="506" t="s">
        <v>194</v>
      </c>
      <c r="E4" s="506" t="s">
        <v>193</v>
      </c>
      <c r="F4" s="506" t="s">
        <v>194</v>
      </c>
      <c r="G4" s="506" t="s">
        <v>193</v>
      </c>
      <c r="H4" s="507" t="s">
        <v>194</v>
      </c>
    </row>
    <row r="5" spans="1:12" x14ac:dyDescent="0.25">
      <c r="A5" s="508"/>
      <c r="B5" s="509"/>
      <c r="C5" s="510" t="s">
        <v>158</v>
      </c>
      <c r="D5" s="510" t="s">
        <v>159</v>
      </c>
      <c r="E5" s="510" t="s">
        <v>160</v>
      </c>
      <c r="F5" s="510" t="s">
        <v>166</v>
      </c>
      <c r="G5" s="510" t="s">
        <v>13</v>
      </c>
      <c r="H5" s="511" t="s">
        <v>14</v>
      </c>
    </row>
    <row r="6" spans="1:12" x14ac:dyDescent="0.25">
      <c r="A6" s="508">
        <v>1</v>
      </c>
      <c r="B6" s="512" t="s">
        <v>693</v>
      </c>
      <c r="C6" s="572">
        <f>SUM(C7:C18)</f>
        <v>3101518.8299999996</v>
      </c>
      <c r="D6" s="572">
        <f>SUM(D7:D18)</f>
        <v>320626.51</v>
      </c>
      <c r="E6" s="572">
        <f>SUM(E7:E18)</f>
        <v>2821441.9400000004</v>
      </c>
      <c r="F6" s="572">
        <f>SUM(F7:F18)</f>
        <v>222836.33999999997</v>
      </c>
      <c r="G6" s="513">
        <f>E6-C6</f>
        <v>-280076.8899999992</v>
      </c>
      <c r="H6" s="514">
        <f>F6-D6</f>
        <v>-97790.170000000042</v>
      </c>
      <c r="I6" s="584"/>
      <c r="J6" s="585"/>
      <c r="K6" s="585"/>
      <c r="L6" s="586"/>
    </row>
    <row r="7" spans="1:12" ht="17.25" customHeight="1" x14ac:dyDescent="0.25">
      <c r="A7" s="508">
        <f>A6+1</f>
        <v>2</v>
      </c>
      <c r="B7" s="515" t="s">
        <v>579</v>
      </c>
      <c r="C7" s="573">
        <v>146053.62</v>
      </c>
      <c r="D7" s="573">
        <v>181.6</v>
      </c>
      <c r="E7" s="574">
        <v>174179.86</v>
      </c>
      <c r="F7" s="574">
        <v>2452.58</v>
      </c>
      <c r="G7" s="516">
        <f>E7-C7</f>
        <v>28126.239999999991</v>
      </c>
      <c r="H7" s="517">
        <f>F7-D7</f>
        <v>2270.98</v>
      </c>
    </row>
    <row r="8" spans="1:12" ht="30.6" customHeight="1" x14ac:dyDescent="0.25">
      <c r="A8" s="508">
        <f t="shared" ref="A8:A71" si="0">A7+1</f>
        <v>3</v>
      </c>
      <c r="B8" s="518" t="s">
        <v>630</v>
      </c>
      <c r="C8" s="573">
        <v>782192.16</v>
      </c>
      <c r="D8" s="573">
        <v>1745.64</v>
      </c>
      <c r="E8" s="574">
        <v>975790.8</v>
      </c>
      <c r="F8" s="574">
        <v>1109.73</v>
      </c>
      <c r="G8" s="516">
        <f t="shared" ref="G8:H71" si="1">E8-C8</f>
        <v>193598.64</v>
      </c>
      <c r="H8" s="517">
        <f t="shared" si="1"/>
        <v>-635.91000000000008</v>
      </c>
    </row>
    <row r="9" spans="1:12" x14ac:dyDescent="0.25">
      <c r="A9" s="508">
        <f t="shared" si="0"/>
        <v>4</v>
      </c>
      <c r="B9" s="515" t="s">
        <v>580</v>
      </c>
      <c r="C9" s="573">
        <v>184350.16</v>
      </c>
      <c r="D9" s="573">
        <v>2324.2600000000002</v>
      </c>
      <c r="E9" s="574">
        <v>169345.21</v>
      </c>
      <c r="F9" s="574">
        <v>589.26</v>
      </c>
      <c r="G9" s="516">
        <f t="shared" si="1"/>
        <v>-15004.950000000012</v>
      </c>
      <c r="H9" s="517">
        <f t="shared" si="1"/>
        <v>-1735.0000000000002</v>
      </c>
    </row>
    <row r="10" spans="1:12" x14ac:dyDescent="0.25">
      <c r="A10" s="508">
        <f t="shared" si="0"/>
        <v>5</v>
      </c>
      <c r="B10" s="515" t="s">
        <v>581</v>
      </c>
      <c r="C10" s="573">
        <v>26224.65</v>
      </c>
      <c r="D10" s="573">
        <v>919.5</v>
      </c>
      <c r="E10" s="574">
        <v>17968.82</v>
      </c>
      <c r="F10" s="574">
        <v>751.75</v>
      </c>
      <c r="G10" s="516">
        <f t="shared" si="1"/>
        <v>-8255.8300000000017</v>
      </c>
      <c r="H10" s="517">
        <f t="shared" si="1"/>
        <v>-167.75</v>
      </c>
    </row>
    <row r="11" spans="1:12" x14ac:dyDescent="0.25">
      <c r="A11" s="508">
        <f t="shared" si="0"/>
        <v>6</v>
      </c>
      <c r="B11" s="515" t="s">
        <v>582</v>
      </c>
      <c r="C11" s="573">
        <v>31486.39</v>
      </c>
      <c r="D11" s="573">
        <v>5302.99</v>
      </c>
      <c r="E11" s="574">
        <v>14655.12</v>
      </c>
      <c r="F11" s="574">
        <v>2168.62</v>
      </c>
      <c r="G11" s="516">
        <f t="shared" si="1"/>
        <v>-16831.269999999997</v>
      </c>
      <c r="H11" s="517">
        <f t="shared" si="1"/>
        <v>-3134.37</v>
      </c>
    </row>
    <row r="12" spans="1:12" x14ac:dyDescent="0.25">
      <c r="A12" s="508">
        <f t="shared" si="0"/>
        <v>7</v>
      </c>
      <c r="B12" s="515" t="s">
        <v>583</v>
      </c>
      <c r="C12" s="573">
        <v>86296.71</v>
      </c>
      <c r="D12" s="573">
        <v>17819</v>
      </c>
      <c r="E12" s="574">
        <v>155297.32999999999</v>
      </c>
      <c r="F12" s="574">
        <v>11852.32</v>
      </c>
      <c r="G12" s="516">
        <f t="shared" si="1"/>
        <v>69000.619999999981</v>
      </c>
      <c r="H12" s="517">
        <f t="shared" si="1"/>
        <v>-5966.68</v>
      </c>
      <c r="I12" s="587"/>
    </row>
    <row r="13" spans="1:12" ht="31.5" x14ac:dyDescent="0.25">
      <c r="A13" s="508">
        <f t="shared" si="0"/>
        <v>8</v>
      </c>
      <c r="B13" s="515" t="s">
        <v>60</v>
      </c>
      <c r="C13" s="573">
        <v>155087.73000000001</v>
      </c>
      <c r="D13" s="573">
        <v>4260.67</v>
      </c>
      <c r="E13" s="574">
        <v>93401.600000000006</v>
      </c>
      <c r="F13" s="574">
        <v>8592.7199999999993</v>
      </c>
      <c r="G13" s="516">
        <f t="shared" si="1"/>
        <v>-61686.130000000005</v>
      </c>
      <c r="H13" s="517">
        <f t="shared" si="1"/>
        <v>4332.0499999999993</v>
      </c>
    </row>
    <row r="14" spans="1:12" x14ac:dyDescent="0.25">
      <c r="A14" s="508">
        <f t="shared" si="0"/>
        <v>9</v>
      </c>
      <c r="B14" s="515" t="s">
        <v>61</v>
      </c>
      <c r="C14" s="573">
        <v>259007.45</v>
      </c>
      <c r="D14" s="573">
        <v>214647.77</v>
      </c>
      <c r="E14" s="574">
        <v>98842.93</v>
      </c>
      <c r="F14" s="574">
        <v>153054.06</v>
      </c>
      <c r="G14" s="516">
        <f t="shared" si="1"/>
        <v>-160164.52000000002</v>
      </c>
      <c r="H14" s="517">
        <f t="shared" si="1"/>
        <v>-61593.709999999992</v>
      </c>
      <c r="I14" s="587"/>
    </row>
    <row r="15" spans="1:12" x14ac:dyDescent="0.25">
      <c r="A15" s="508">
        <f t="shared" si="0"/>
        <v>10</v>
      </c>
      <c r="B15" s="519" t="s">
        <v>62</v>
      </c>
      <c r="C15" s="573">
        <v>572435.07999999996</v>
      </c>
      <c r="D15" s="573">
        <v>10215.200000000001</v>
      </c>
      <c r="E15" s="574">
        <v>419125.58</v>
      </c>
      <c r="F15" s="574">
        <v>20959.89</v>
      </c>
      <c r="G15" s="516">
        <f t="shared" si="1"/>
        <v>-153309.49999999994</v>
      </c>
      <c r="H15" s="517">
        <f t="shared" si="1"/>
        <v>10744.689999999999</v>
      </c>
    </row>
    <row r="16" spans="1:12" ht="16.149999999999999" customHeight="1" x14ac:dyDescent="0.25">
      <c r="A16" s="508">
        <f t="shared" si="0"/>
        <v>11</v>
      </c>
      <c r="B16" s="515" t="s">
        <v>63</v>
      </c>
      <c r="C16" s="573">
        <v>277650.68</v>
      </c>
      <c r="D16" s="573">
        <v>2015.1</v>
      </c>
      <c r="E16" s="574">
        <v>111274.05</v>
      </c>
      <c r="F16" s="574">
        <v>1485</v>
      </c>
      <c r="G16" s="516">
        <f t="shared" si="1"/>
        <v>-166376.63</v>
      </c>
      <c r="H16" s="517">
        <f t="shared" si="1"/>
        <v>-530.09999999999991</v>
      </c>
    </row>
    <row r="17" spans="1:9" ht="31.5" x14ac:dyDescent="0.25">
      <c r="A17" s="508">
        <f t="shared" si="0"/>
        <v>12</v>
      </c>
      <c r="B17" s="519" t="s">
        <v>819</v>
      </c>
      <c r="C17" s="573">
        <v>536246.93999999994</v>
      </c>
      <c r="D17" s="573">
        <v>36917.81</v>
      </c>
      <c r="E17" s="574">
        <v>576128.17000000004</v>
      </c>
      <c r="F17" s="574">
        <v>13761.61</v>
      </c>
      <c r="G17" s="516">
        <f t="shared" si="1"/>
        <v>39881.230000000098</v>
      </c>
      <c r="H17" s="517">
        <f t="shared" si="1"/>
        <v>-23156.199999999997</v>
      </c>
      <c r="I17" s="520"/>
    </row>
    <row r="18" spans="1:9" x14ac:dyDescent="0.25">
      <c r="A18" s="508">
        <f t="shared" si="0"/>
        <v>13</v>
      </c>
      <c r="B18" s="515" t="s">
        <v>820</v>
      </c>
      <c r="C18" s="573">
        <v>44487.26</v>
      </c>
      <c r="D18" s="573">
        <v>24276.97</v>
      </c>
      <c r="E18" s="574">
        <v>15432.47</v>
      </c>
      <c r="F18" s="574">
        <v>6058.8</v>
      </c>
      <c r="G18" s="516">
        <f t="shared" si="1"/>
        <v>-29054.79</v>
      </c>
      <c r="H18" s="517">
        <f t="shared" si="1"/>
        <v>-18218.170000000002</v>
      </c>
      <c r="I18" s="520"/>
    </row>
    <row r="19" spans="1:9" x14ac:dyDescent="0.25">
      <c r="A19" s="508">
        <f t="shared" si="0"/>
        <v>14</v>
      </c>
      <c r="B19" s="512" t="s">
        <v>694</v>
      </c>
      <c r="C19" s="572">
        <f>SUM(C20:C25)</f>
        <v>1904630.1</v>
      </c>
      <c r="D19" s="572">
        <f>SUM(D20:D25)</f>
        <v>59071.530000000006</v>
      </c>
      <c r="E19" s="572">
        <f>SUM(E20:E25)</f>
        <v>1800997.1400000001</v>
      </c>
      <c r="F19" s="572">
        <f>SUM(F20:F25)</f>
        <v>53018.05999999999</v>
      </c>
      <c r="G19" s="513">
        <f t="shared" si="1"/>
        <v>-103632.95999999996</v>
      </c>
      <c r="H19" s="514">
        <f t="shared" si="1"/>
        <v>-6053.4700000000157</v>
      </c>
      <c r="I19" s="584"/>
    </row>
    <row r="20" spans="1:9" x14ac:dyDescent="0.25">
      <c r="A20" s="508">
        <f t="shared" si="0"/>
        <v>15</v>
      </c>
      <c r="B20" s="515" t="s">
        <v>584</v>
      </c>
      <c r="C20" s="573">
        <v>663374.39</v>
      </c>
      <c r="D20" s="573">
        <v>19406.47</v>
      </c>
      <c r="E20" s="574">
        <v>540272.35</v>
      </c>
      <c r="F20" s="574">
        <v>18288.27</v>
      </c>
      <c r="G20" s="516">
        <f t="shared" si="1"/>
        <v>-123102.04000000004</v>
      </c>
      <c r="H20" s="517">
        <f t="shared" si="1"/>
        <v>-1118.2000000000007</v>
      </c>
    </row>
    <row r="21" spans="1:9" x14ac:dyDescent="0.25">
      <c r="A21" s="508">
        <f t="shared" si="0"/>
        <v>16</v>
      </c>
      <c r="B21" s="515" t="s">
        <v>585</v>
      </c>
      <c r="C21" s="573">
        <v>1015799.05</v>
      </c>
      <c r="D21" s="573">
        <v>18828.57</v>
      </c>
      <c r="E21" s="574">
        <v>1041468.77</v>
      </c>
      <c r="F21" s="574">
        <v>17773.55</v>
      </c>
      <c r="G21" s="516">
        <f t="shared" si="1"/>
        <v>25669.719999999972</v>
      </c>
      <c r="H21" s="517">
        <f t="shared" si="1"/>
        <v>-1055.0200000000004</v>
      </c>
    </row>
    <row r="22" spans="1:9" x14ac:dyDescent="0.25">
      <c r="A22" s="508">
        <f t="shared" si="0"/>
        <v>17</v>
      </c>
      <c r="B22" s="515" t="s">
        <v>586</v>
      </c>
      <c r="C22" s="573">
        <v>160015.87</v>
      </c>
      <c r="D22" s="573">
        <v>17054.12</v>
      </c>
      <c r="E22" s="574">
        <v>122592.49</v>
      </c>
      <c r="F22" s="574">
        <v>12725.8</v>
      </c>
      <c r="G22" s="516">
        <f t="shared" si="1"/>
        <v>-37423.37999999999</v>
      </c>
      <c r="H22" s="517">
        <f t="shared" si="1"/>
        <v>-4328.32</v>
      </c>
    </row>
    <row r="23" spans="1:9" x14ac:dyDescent="0.25">
      <c r="A23" s="508">
        <f t="shared" si="0"/>
        <v>18</v>
      </c>
      <c r="B23" s="515" t="s">
        <v>587</v>
      </c>
      <c r="C23" s="573">
        <v>64482.99</v>
      </c>
      <c r="D23" s="573">
        <v>3735.9</v>
      </c>
      <c r="E23" s="574">
        <v>95644.99</v>
      </c>
      <c r="F23" s="574">
        <v>4212.3100000000004</v>
      </c>
      <c r="G23" s="516">
        <f t="shared" si="1"/>
        <v>31162.000000000007</v>
      </c>
      <c r="H23" s="517">
        <f t="shared" si="1"/>
        <v>476.41000000000031</v>
      </c>
    </row>
    <row r="24" spans="1:9" x14ac:dyDescent="0.25">
      <c r="A24" s="508">
        <f t="shared" si="0"/>
        <v>19</v>
      </c>
      <c r="B24" s="515" t="s">
        <v>588</v>
      </c>
      <c r="C24" s="573">
        <v>957.8</v>
      </c>
      <c r="D24" s="573">
        <v>46.47</v>
      </c>
      <c r="E24" s="574">
        <v>1018.54</v>
      </c>
      <c r="F24" s="574">
        <v>18.13</v>
      </c>
      <c r="G24" s="516">
        <f t="shared" si="1"/>
        <v>60.740000000000009</v>
      </c>
      <c r="H24" s="517">
        <f t="shared" si="1"/>
        <v>-28.34</v>
      </c>
    </row>
    <row r="25" spans="1:9" x14ac:dyDescent="0.25">
      <c r="A25" s="508">
        <f t="shared" si="0"/>
        <v>20</v>
      </c>
      <c r="B25" s="515" t="s">
        <v>627</v>
      </c>
      <c r="C25" s="573">
        <v>0</v>
      </c>
      <c r="D25" s="573">
        <v>0</v>
      </c>
      <c r="E25" s="574">
        <v>0</v>
      </c>
      <c r="F25" s="574">
        <v>0</v>
      </c>
      <c r="G25" s="516">
        <f t="shared" si="1"/>
        <v>0</v>
      </c>
      <c r="H25" s="517">
        <f t="shared" si="1"/>
        <v>0</v>
      </c>
    </row>
    <row r="26" spans="1:9" x14ac:dyDescent="0.25">
      <c r="A26" s="508">
        <f t="shared" si="0"/>
        <v>21</v>
      </c>
      <c r="B26" s="512" t="s">
        <v>189</v>
      </c>
      <c r="C26" s="521" t="s">
        <v>179</v>
      </c>
      <c r="D26" s="521" t="s">
        <v>179</v>
      </c>
      <c r="E26" s="521" t="s">
        <v>179</v>
      </c>
      <c r="F26" s="521" t="s">
        <v>179</v>
      </c>
      <c r="G26" s="522" t="s">
        <v>91</v>
      </c>
      <c r="H26" s="523" t="s">
        <v>91</v>
      </c>
    </row>
    <row r="27" spans="1:9" x14ac:dyDescent="0.25">
      <c r="A27" s="508">
        <f t="shared" si="0"/>
        <v>22</v>
      </c>
      <c r="B27" s="512" t="s">
        <v>695</v>
      </c>
      <c r="C27" s="572">
        <f>SUM(C28:C31)</f>
        <v>0</v>
      </c>
      <c r="D27" s="572">
        <f>SUM(D28:D31)</f>
        <v>77523.38</v>
      </c>
      <c r="E27" s="575">
        <f>SUM(E28:E31)</f>
        <v>0</v>
      </c>
      <c r="F27" s="572">
        <f>SUM(F28:F31)</f>
        <v>72479.63</v>
      </c>
      <c r="G27" s="513">
        <f t="shared" si="1"/>
        <v>0</v>
      </c>
      <c r="H27" s="514">
        <f t="shared" si="1"/>
        <v>-5043.75</v>
      </c>
    </row>
    <row r="28" spans="1:9" x14ac:dyDescent="0.25">
      <c r="A28" s="508">
        <f t="shared" si="0"/>
        <v>23</v>
      </c>
      <c r="B28" s="515" t="s">
        <v>151</v>
      </c>
      <c r="C28" s="573"/>
      <c r="D28" s="573"/>
      <c r="E28" s="576"/>
      <c r="F28" s="576"/>
      <c r="G28" s="516">
        <f t="shared" si="1"/>
        <v>0</v>
      </c>
      <c r="H28" s="517">
        <f t="shared" si="1"/>
        <v>0</v>
      </c>
    </row>
    <row r="29" spans="1:9" x14ac:dyDescent="0.25">
      <c r="A29" s="508">
        <f t="shared" si="0"/>
        <v>24</v>
      </c>
      <c r="B29" s="518" t="s">
        <v>171</v>
      </c>
      <c r="C29" s="573"/>
      <c r="D29" s="573"/>
      <c r="E29" s="576"/>
      <c r="F29" s="576"/>
      <c r="G29" s="516">
        <f t="shared" si="1"/>
        <v>0</v>
      </c>
      <c r="H29" s="517">
        <f t="shared" si="1"/>
        <v>0</v>
      </c>
    </row>
    <row r="30" spans="1:9" x14ac:dyDescent="0.25">
      <c r="A30" s="508">
        <f t="shared" si="0"/>
        <v>25</v>
      </c>
      <c r="B30" s="518" t="s">
        <v>24</v>
      </c>
      <c r="C30" s="573"/>
      <c r="D30" s="573"/>
      <c r="E30" s="576"/>
      <c r="F30" s="576"/>
      <c r="G30" s="516">
        <f t="shared" si="1"/>
        <v>0</v>
      </c>
      <c r="H30" s="517">
        <f t="shared" si="1"/>
        <v>0</v>
      </c>
    </row>
    <row r="31" spans="1:9" x14ac:dyDescent="0.25">
      <c r="A31" s="508">
        <f t="shared" si="0"/>
        <v>26</v>
      </c>
      <c r="B31" s="515" t="s">
        <v>25</v>
      </c>
      <c r="C31" s="573">
        <v>0</v>
      </c>
      <c r="D31" s="573">
        <v>77523.38</v>
      </c>
      <c r="E31" s="576"/>
      <c r="F31" s="573">
        <v>72479.63</v>
      </c>
      <c r="G31" s="516">
        <f t="shared" si="1"/>
        <v>0</v>
      </c>
      <c r="H31" s="517">
        <f t="shared" si="1"/>
        <v>-5043.75</v>
      </c>
    </row>
    <row r="32" spans="1:9" x14ac:dyDescent="0.25">
      <c r="A32" s="508">
        <f t="shared" si="0"/>
        <v>27</v>
      </c>
      <c r="B32" s="512" t="s">
        <v>696</v>
      </c>
      <c r="C32" s="572">
        <f>SUM(C33:C39)</f>
        <v>1218473.8499999999</v>
      </c>
      <c r="D32" s="572">
        <f>SUM(D33:D39)</f>
        <v>18783.22</v>
      </c>
      <c r="E32" s="572">
        <f>SUM(E33:E39)</f>
        <v>603441.22</v>
      </c>
      <c r="F32" s="572">
        <f>SUM(F33:F39)</f>
        <v>39687.050000000003</v>
      </c>
      <c r="G32" s="513">
        <f t="shared" si="1"/>
        <v>-615032.62999999989</v>
      </c>
      <c r="H32" s="514">
        <f t="shared" si="1"/>
        <v>20903.830000000002</v>
      </c>
    </row>
    <row r="33" spans="1:9" x14ac:dyDescent="0.25">
      <c r="A33" s="508">
        <f t="shared" si="0"/>
        <v>28</v>
      </c>
      <c r="B33" s="515" t="s">
        <v>64</v>
      </c>
      <c r="C33" s="573">
        <v>588485.19999999995</v>
      </c>
      <c r="D33" s="573">
        <v>6104.73</v>
      </c>
      <c r="E33" s="574">
        <v>332233.52</v>
      </c>
      <c r="F33" s="574">
        <v>21784.76</v>
      </c>
      <c r="G33" s="516">
        <f t="shared" si="1"/>
        <v>-256251.67999999993</v>
      </c>
      <c r="H33" s="517">
        <f t="shared" si="1"/>
        <v>15680.029999999999</v>
      </c>
    </row>
    <row r="34" spans="1:9" ht="31.5" x14ac:dyDescent="0.25">
      <c r="A34" s="508">
        <f t="shared" si="0"/>
        <v>29</v>
      </c>
      <c r="B34" s="515" t="s">
        <v>821</v>
      </c>
      <c r="C34" s="573">
        <v>252373.38</v>
      </c>
      <c r="D34" s="573">
        <v>3217.94</v>
      </c>
      <c r="E34" s="574">
        <v>166399.60999999999</v>
      </c>
      <c r="F34" s="574">
        <v>4014.22</v>
      </c>
      <c r="G34" s="516">
        <f t="shared" si="1"/>
        <v>-85973.770000000019</v>
      </c>
      <c r="H34" s="517">
        <f t="shared" si="1"/>
        <v>796.27999999999975</v>
      </c>
      <c r="I34" s="520"/>
    </row>
    <row r="35" spans="1:9" x14ac:dyDescent="0.25">
      <c r="A35" s="508">
        <f t="shared" si="0"/>
        <v>30</v>
      </c>
      <c r="B35" s="515" t="s">
        <v>65</v>
      </c>
      <c r="C35" s="573">
        <v>9756.94</v>
      </c>
      <c r="D35" s="573">
        <v>3996.22</v>
      </c>
      <c r="E35" s="574">
        <v>14399.09</v>
      </c>
      <c r="F35" s="574">
        <v>1862.4</v>
      </c>
      <c r="G35" s="516">
        <f t="shared" si="1"/>
        <v>4642.1499999999996</v>
      </c>
      <c r="H35" s="517">
        <f t="shared" si="1"/>
        <v>-2133.8199999999997</v>
      </c>
    </row>
    <row r="36" spans="1:9" x14ac:dyDescent="0.25">
      <c r="A36" s="508">
        <f t="shared" si="0"/>
        <v>31</v>
      </c>
      <c r="B36" s="515" t="s">
        <v>66</v>
      </c>
      <c r="C36" s="573">
        <v>39378.71</v>
      </c>
      <c r="D36" s="573">
        <v>4930.2700000000004</v>
      </c>
      <c r="E36" s="574">
        <v>32941.629999999997</v>
      </c>
      <c r="F36" s="574">
        <v>9272.48</v>
      </c>
      <c r="G36" s="516">
        <f t="shared" si="1"/>
        <v>-6437.0800000000017</v>
      </c>
      <c r="H36" s="517">
        <f t="shared" si="1"/>
        <v>4342.2099999999991</v>
      </c>
    </row>
    <row r="37" spans="1:9" ht="31.5" x14ac:dyDescent="0.25">
      <c r="A37" s="508">
        <f t="shared" si="0"/>
        <v>32</v>
      </c>
      <c r="B37" s="519" t="s">
        <v>67</v>
      </c>
      <c r="C37" s="573">
        <v>54258.17</v>
      </c>
      <c r="D37" s="573">
        <v>0</v>
      </c>
      <c r="E37" s="574">
        <v>4997.57</v>
      </c>
      <c r="F37" s="574">
        <v>0</v>
      </c>
      <c r="G37" s="516">
        <f t="shared" si="1"/>
        <v>-49260.6</v>
      </c>
      <c r="H37" s="517">
        <f t="shared" si="1"/>
        <v>0</v>
      </c>
    </row>
    <row r="38" spans="1:9" x14ac:dyDescent="0.25">
      <c r="A38" s="508">
        <f t="shared" si="0"/>
        <v>33</v>
      </c>
      <c r="B38" s="515" t="s">
        <v>599</v>
      </c>
      <c r="C38" s="573">
        <v>169263.45</v>
      </c>
      <c r="D38" s="573">
        <v>340.7</v>
      </c>
      <c r="E38" s="574">
        <v>26130.93</v>
      </c>
      <c r="F38" s="574">
        <v>1111.73</v>
      </c>
      <c r="G38" s="516">
        <f t="shared" si="1"/>
        <v>-143132.52000000002</v>
      </c>
      <c r="H38" s="517">
        <f t="shared" si="1"/>
        <v>771.03</v>
      </c>
    </row>
    <row r="39" spans="1:9" x14ac:dyDescent="0.25">
      <c r="A39" s="508">
        <f t="shared" si="0"/>
        <v>34</v>
      </c>
      <c r="B39" s="515" t="s">
        <v>68</v>
      </c>
      <c r="C39" s="573">
        <v>104958</v>
      </c>
      <c r="D39" s="573">
        <v>193.36</v>
      </c>
      <c r="E39" s="574">
        <v>26338.87</v>
      </c>
      <c r="F39" s="574">
        <v>1641.46</v>
      </c>
      <c r="G39" s="516">
        <f t="shared" si="1"/>
        <v>-78619.13</v>
      </c>
      <c r="H39" s="517">
        <f t="shared" si="1"/>
        <v>1448.1</v>
      </c>
    </row>
    <row r="40" spans="1:9" x14ac:dyDescent="0.25">
      <c r="A40" s="508">
        <f t="shared" si="0"/>
        <v>35</v>
      </c>
      <c r="B40" s="512" t="s">
        <v>697</v>
      </c>
      <c r="C40" s="572">
        <f>C41+C42</f>
        <v>1415753.8399999999</v>
      </c>
      <c r="D40" s="572">
        <f>D41+D42</f>
        <v>4404.42</v>
      </c>
      <c r="E40" s="572">
        <f>E41+E42</f>
        <v>371322.38</v>
      </c>
      <c r="F40" s="572">
        <f>F41+F42</f>
        <v>797.62</v>
      </c>
      <c r="G40" s="513">
        <f t="shared" si="1"/>
        <v>-1044431.4599999998</v>
      </c>
      <c r="H40" s="514">
        <f t="shared" si="1"/>
        <v>-3606.8</v>
      </c>
    </row>
    <row r="41" spans="1:9" x14ac:dyDescent="0.25">
      <c r="A41" s="508">
        <f t="shared" si="0"/>
        <v>36</v>
      </c>
      <c r="B41" s="515" t="s">
        <v>589</v>
      </c>
      <c r="C41" s="573">
        <v>145021.89000000001</v>
      </c>
      <c r="D41" s="573">
        <v>3772.01</v>
      </c>
      <c r="E41" s="573">
        <v>48509.01</v>
      </c>
      <c r="F41" s="573">
        <v>440.3</v>
      </c>
      <c r="G41" s="516">
        <f t="shared" si="1"/>
        <v>-96512.88</v>
      </c>
      <c r="H41" s="517">
        <f t="shared" si="1"/>
        <v>-3331.71</v>
      </c>
    </row>
    <row r="42" spans="1:9" x14ac:dyDescent="0.25">
      <c r="A42" s="508">
        <f t="shared" si="0"/>
        <v>37</v>
      </c>
      <c r="B42" s="515" t="s">
        <v>822</v>
      </c>
      <c r="C42" s="573">
        <v>1270731.95</v>
      </c>
      <c r="D42" s="573">
        <v>632.41</v>
      </c>
      <c r="E42" s="573">
        <v>322813.37</v>
      </c>
      <c r="F42" s="573">
        <v>357.32</v>
      </c>
      <c r="G42" s="516">
        <f t="shared" si="1"/>
        <v>-947918.58</v>
      </c>
      <c r="H42" s="517">
        <f t="shared" si="1"/>
        <v>-275.08999999999997</v>
      </c>
      <c r="I42" s="520"/>
    </row>
    <row r="43" spans="1:9" x14ac:dyDescent="0.25">
      <c r="A43" s="508">
        <f t="shared" si="0"/>
        <v>38</v>
      </c>
      <c r="B43" s="512" t="s">
        <v>190</v>
      </c>
      <c r="C43" s="577">
        <v>81279.820000000007</v>
      </c>
      <c r="D43" s="577">
        <v>60.34</v>
      </c>
      <c r="E43" s="577">
        <v>30674.61</v>
      </c>
      <c r="F43" s="577">
        <v>4281.82</v>
      </c>
      <c r="G43" s="516">
        <f t="shared" si="1"/>
        <v>-50605.210000000006</v>
      </c>
      <c r="H43" s="517">
        <f t="shared" si="1"/>
        <v>4221.4799999999996</v>
      </c>
    </row>
    <row r="44" spans="1:9" x14ac:dyDescent="0.25">
      <c r="A44" s="508">
        <f t="shared" si="0"/>
        <v>39</v>
      </c>
      <c r="B44" s="512" t="s">
        <v>698</v>
      </c>
      <c r="C44" s="572">
        <f>SUM(C45:C59)</f>
        <v>5658163.46</v>
      </c>
      <c r="D44" s="572">
        <f>SUM(D45:D59)</f>
        <v>136040.71000000002</v>
      </c>
      <c r="E44" s="572">
        <f>SUM(E45:E59)</f>
        <v>5345377.05</v>
      </c>
      <c r="F44" s="572">
        <f>SUM(F45:F59)</f>
        <v>18465.48</v>
      </c>
      <c r="G44" s="513">
        <f t="shared" si="1"/>
        <v>-312786.41000000015</v>
      </c>
      <c r="H44" s="514">
        <f t="shared" si="1"/>
        <v>-117575.23000000003</v>
      </c>
    </row>
    <row r="45" spans="1:9" x14ac:dyDescent="0.25">
      <c r="A45" s="508">
        <f t="shared" si="0"/>
        <v>40</v>
      </c>
      <c r="B45" s="515" t="s">
        <v>70</v>
      </c>
      <c r="C45" s="573">
        <v>30066.62</v>
      </c>
      <c r="D45" s="573">
        <v>2988</v>
      </c>
      <c r="E45" s="573">
        <v>17794.849999999999</v>
      </c>
      <c r="F45" s="573">
        <v>0</v>
      </c>
      <c r="G45" s="516">
        <f t="shared" si="1"/>
        <v>-12271.77</v>
      </c>
      <c r="H45" s="517">
        <f t="shared" si="1"/>
        <v>-2988</v>
      </c>
    </row>
    <row r="46" spans="1:9" x14ac:dyDescent="0.25">
      <c r="A46" s="508">
        <f t="shared" si="0"/>
        <v>41</v>
      </c>
      <c r="B46" s="515" t="s">
        <v>69</v>
      </c>
      <c r="C46" s="573">
        <v>16950.439999999999</v>
      </c>
      <c r="D46" s="573">
        <v>555</v>
      </c>
      <c r="E46" s="573">
        <v>15987.93</v>
      </c>
      <c r="F46" s="573">
        <v>521.47</v>
      </c>
      <c r="G46" s="516">
        <f t="shared" si="1"/>
        <v>-962.5099999999984</v>
      </c>
      <c r="H46" s="517">
        <f t="shared" si="1"/>
        <v>-33.529999999999973</v>
      </c>
    </row>
    <row r="47" spans="1:9" x14ac:dyDescent="0.25">
      <c r="A47" s="508">
        <f t="shared" si="0"/>
        <v>42</v>
      </c>
      <c r="B47" s="515" t="s">
        <v>702</v>
      </c>
      <c r="C47" s="573">
        <v>182178.09</v>
      </c>
      <c r="D47" s="573">
        <v>384.08</v>
      </c>
      <c r="E47" s="573">
        <v>38035.54</v>
      </c>
      <c r="F47" s="573">
        <v>33.33</v>
      </c>
      <c r="G47" s="516">
        <f t="shared" si="1"/>
        <v>-144142.54999999999</v>
      </c>
      <c r="H47" s="517">
        <f t="shared" si="1"/>
        <v>-350.75</v>
      </c>
    </row>
    <row r="48" spans="1:9" x14ac:dyDescent="0.25">
      <c r="A48" s="508">
        <f t="shared" si="0"/>
        <v>43</v>
      </c>
      <c r="B48" s="515" t="s">
        <v>71</v>
      </c>
      <c r="C48" s="573">
        <v>21402.6</v>
      </c>
      <c r="D48" s="573">
        <v>61138.92</v>
      </c>
      <c r="E48" s="573">
        <v>12792.4</v>
      </c>
      <c r="F48" s="573">
        <v>250</v>
      </c>
      <c r="G48" s="516">
        <f t="shared" si="1"/>
        <v>-8610.1999999999989</v>
      </c>
      <c r="H48" s="517">
        <f t="shared" si="1"/>
        <v>-60888.92</v>
      </c>
    </row>
    <row r="49" spans="1:12" x14ac:dyDescent="0.25">
      <c r="A49" s="508">
        <f t="shared" si="0"/>
        <v>44</v>
      </c>
      <c r="B49" s="515" t="s">
        <v>590</v>
      </c>
      <c r="C49" s="573">
        <v>32956.76</v>
      </c>
      <c r="D49" s="573">
        <v>2680.47</v>
      </c>
      <c r="E49" s="573">
        <v>37438.35</v>
      </c>
      <c r="F49" s="573">
        <v>2237.7399999999998</v>
      </c>
      <c r="G49" s="516">
        <f t="shared" si="1"/>
        <v>4481.5899999999965</v>
      </c>
      <c r="H49" s="517">
        <f t="shared" si="1"/>
        <v>-442.73</v>
      </c>
    </row>
    <row r="50" spans="1:12" x14ac:dyDescent="0.25">
      <c r="A50" s="508">
        <f t="shared" si="0"/>
        <v>45</v>
      </c>
      <c r="B50" s="515" t="s">
        <v>72</v>
      </c>
      <c r="C50" s="573">
        <v>2962.71</v>
      </c>
      <c r="D50" s="573">
        <v>3</v>
      </c>
      <c r="E50" s="573">
        <v>2351.56</v>
      </c>
      <c r="F50" s="573">
        <v>289.31</v>
      </c>
      <c r="G50" s="516">
        <f t="shared" si="1"/>
        <v>-611.15000000000009</v>
      </c>
      <c r="H50" s="517">
        <f t="shared" si="1"/>
        <v>286.31</v>
      </c>
    </row>
    <row r="51" spans="1:12" x14ac:dyDescent="0.25">
      <c r="A51" s="508">
        <f t="shared" si="0"/>
        <v>46</v>
      </c>
      <c r="B51" s="515" t="s">
        <v>591</v>
      </c>
      <c r="C51" s="573">
        <v>56549.48</v>
      </c>
      <c r="D51" s="573">
        <v>2813.28</v>
      </c>
      <c r="E51" s="573">
        <v>52560.63</v>
      </c>
      <c r="F51" s="573">
        <v>3576.45</v>
      </c>
      <c r="G51" s="516">
        <f t="shared" si="1"/>
        <v>-3988.8500000000058</v>
      </c>
      <c r="H51" s="517">
        <f t="shared" si="1"/>
        <v>763.16999999999962</v>
      </c>
    </row>
    <row r="52" spans="1:12" x14ac:dyDescent="0.25">
      <c r="A52" s="508">
        <f t="shared" si="0"/>
        <v>47</v>
      </c>
      <c r="B52" s="515" t="s">
        <v>592</v>
      </c>
      <c r="C52" s="573">
        <v>149771.28</v>
      </c>
      <c r="D52" s="573">
        <v>598</v>
      </c>
      <c r="E52" s="573">
        <v>78076.69</v>
      </c>
      <c r="F52" s="573">
        <v>1092.2</v>
      </c>
      <c r="G52" s="516">
        <f t="shared" si="1"/>
        <v>-71694.59</v>
      </c>
      <c r="H52" s="517">
        <f t="shared" si="1"/>
        <v>494.20000000000005</v>
      </c>
    </row>
    <row r="53" spans="1:12" x14ac:dyDescent="0.25">
      <c r="A53" s="508">
        <f t="shared" si="0"/>
        <v>48</v>
      </c>
      <c r="B53" s="515" t="s">
        <v>73</v>
      </c>
      <c r="C53" s="573">
        <v>52149.13</v>
      </c>
      <c r="D53" s="573">
        <v>1904.85</v>
      </c>
      <c r="E53" s="573">
        <v>109841.74</v>
      </c>
      <c r="F53" s="573">
        <v>1035.48</v>
      </c>
      <c r="G53" s="516">
        <f t="shared" si="1"/>
        <v>57692.610000000008</v>
      </c>
      <c r="H53" s="517">
        <f t="shared" si="1"/>
        <v>-869.36999999999989</v>
      </c>
    </row>
    <row r="54" spans="1:12" x14ac:dyDescent="0.25">
      <c r="A54" s="508">
        <f t="shared" si="0"/>
        <v>49</v>
      </c>
      <c r="B54" s="515" t="s">
        <v>74</v>
      </c>
      <c r="C54" s="573">
        <v>0</v>
      </c>
      <c r="D54" s="573">
        <v>0</v>
      </c>
      <c r="E54" s="573">
        <v>0</v>
      </c>
      <c r="F54" s="573">
        <v>0</v>
      </c>
      <c r="G54" s="516">
        <f t="shared" si="1"/>
        <v>0</v>
      </c>
      <c r="H54" s="517">
        <f t="shared" si="1"/>
        <v>0</v>
      </c>
    </row>
    <row r="55" spans="1:12" x14ac:dyDescent="0.25">
      <c r="A55" s="508">
        <f t="shared" si="0"/>
        <v>50</v>
      </c>
      <c r="B55" s="515" t="s">
        <v>628</v>
      </c>
      <c r="C55" s="573">
        <v>11870.09</v>
      </c>
      <c r="D55" s="573">
        <v>123.14</v>
      </c>
      <c r="E55" s="573">
        <v>8411.2199999999993</v>
      </c>
      <c r="F55" s="573">
        <v>203.77</v>
      </c>
      <c r="G55" s="516">
        <f t="shared" si="1"/>
        <v>-3458.8700000000008</v>
      </c>
      <c r="H55" s="517">
        <f t="shared" si="1"/>
        <v>80.63000000000001</v>
      </c>
    </row>
    <row r="56" spans="1:12" x14ac:dyDescent="0.25">
      <c r="A56" s="508">
        <f t="shared" si="0"/>
        <v>51</v>
      </c>
      <c r="B56" s="515" t="s">
        <v>49</v>
      </c>
      <c r="C56" s="573">
        <v>202085.1</v>
      </c>
      <c r="D56" s="573">
        <v>131.80000000000001</v>
      </c>
      <c r="E56" s="573">
        <v>125520.46</v>
      </c>
      <c r="F56" s="573">
        <v>10.91</v>
      </c>
      <c r="G56" s="516">
        <f t="shared" si="1"/>
        <v>-76564.639999999999</v>
      </c>
      <c r="H56" s="517">
        <f t="shared" si="1"/>
        <v>-120.89000000000001</v>
      </c>
    </row>
    <row r="57" spans="1:12" x14ac:dyDescent="0.25">
      <c r="A57" s="508">
        <f t="shared" si="0"/>
        <v>52</v>
      </c>
      <c r="B57" s="515" t="s">
        <v>50</v>
      </c>
      <c r="C57" s="573">
        <v>0</v>
      </c>
      <c r="D57" s="573">
        <v>0</v>
      </c>
      <c r="E57" s="573">
        <v>0</v>
      </c>
      <c r="F57" s="573">
        <v>0</v>
      </c>
      <c r="G57" s="516">
        <f t="shared" si="1"/>
        <v>0</v>
      </c>
      <c r="H57" s="517">
        <f t="shared" si="1"/>
        <v>0</v>
      </c>
    </row>
    <row r="58" spans="1:12" ht="47.25" x14ac:dyDescent="0.25">
      <c r="A58" s="508">
        <f t="shared" si="0"/>
        <v>53</v>
      </c>
      <c r="B58" s="515" t="s">
        <v>677</v>
      </c>
      <c r="C58" s="573">
        <v>4899221.16</v>
      </c>
      <c r="D58" s="573">
        <v>62720.17</v>
      </c>
      <c r="E58" s="573">
        <v>4846565.68</v>
      </c>
      <c r="F58" s="573">
        <v>9214.82</v>
      </c>
      <c r="G58" s="516">
        <f t="shared" si="1"/>
        <v>-52655.480000000447</v>
      </c>
      <c r="H58" s="517">
        <f t="shared" si="1"/>
        <v>-53505.35</v>
      </c>
      <c r="J58" s="698"/>
      <c r="K58" s="698"/>
      <c r="L58" s="698"/>
    </row>
    <row r="59" spans="1:12" x14ac:dyDescent="0.25">
      <c r="A59" s="508">
        <f t="shared" si="0"/>
        <v>54</v>
      </c>
      <c r="B59" s="515" t="s">
        <v>672</v>
      </c>
      <c r="C59" s="573">
        <v>0</v>
      </c>
      <c r="D59" s="573">
        <v>0</v>
      </c>
      <c r="E59" s="576">
        <v>0</v>
      </c>
      <c r="F59" s="576">
        <v>0</v>
      </c>
      <c r="G59" s="516">
        <f t="shared" si="1"/>
        <v>0</v>
      </c>
      <c r="H59" s="517">
        <f t="shared" si="1"/>
        <v>0</v>
      </c>
    </row>
    <row r="60" spans="1:12" x14ac:dyDescent="0.25">
      <c r="A60" s="508">
        <f t="shared" si="0"/>
        <v>55</v>
      </c>
      <c r="B60" s="512" t="s">
        <v>699</v>
      </c>
      <c r="C60" s="572">
        <f>C61+C62</f>
        <v>29760481.109999999</v>
      </c>
      <c r="D60" s="572">
        <f>D61+D62</f>
        <v>338009.51999999996</v>
      </c>
      <c r="E60" s="572">
        <f>E61+E62</f>
        <v>31301605.390000001</v>
      </c>
      <c r="F60" s="572">
        <f>F61+F62</f>
        <v>191176.19999999998</v>
      </c>
      <c r="G60" s="513">
        <f t="shared" si="1"/>
        <v>1541124.2800000012</v>
      </c>
      <c r="H60" s="514">
        <f t="shared" si="1"/>
        <v>-146833.31999999998</v>
      </c>
      <c r="I60" s="584"/>
      <c r="J60" s="585"/>
    </row>
    <row r="61" spans="1:12" x14ac:dyDescent="0.25">
      <c r="A61" s="508">
        <f t="shared" si="0"/>
        <v>56</v>
      </c>
      <c r="B61" s="515" t="s">
        <v>823</v>
      </c>
      <c r="C61" s="573">
        <v>29219792.879999999</v>
      </c>
      <c r="D61" s="573">
        <v>321806.90999999997</v>
      </c>
      <c r="E61" s="574">
        <v>30868379.850000001</v>
      </c>
      <c r="F61" s="574">
        <v>171436.46</v>
      </c>
      <c r="G61" s="516">
        <f t="shared" si="1"/>
        <v>1648586.9700000025</v>
      </c>
      <c r="H61" s="517">
        <f t="shared" si="1"/>
        <v>-150370.44999999998</v>
      </c>
      <c r="I61" s="520"/>
    </row>
    <row r="62" spans="1:12" x14ac:dyDescent="0.25">
      <c r="A62" s="508">
        <f t="shared" si="0"/>
        <v>57</v>
      </c>
      <c r="B62" s="512" t="s">
        <v>700</v>
      </c>
      <c r="C62" s="572">
        <f>SUM(C63:C65)</f>
        <v>540688.23</v>
      </c>
      <c r="D62" s="572">
        <f>SUM(D63:D65)</f>
        <v>16202.61</v>
      </c>
      <c r="E62" s="572">
        <f>SUM(E63:E65)</f>
        <v>433225.54</v>
      </c>
      <c r="F62" s="572">
        <f>SUM(F63:F65)</f>
        <v>19739.739999999998</v>
      </c>
      <c r="G62" s="513">
        <f t="shared" si="1"/>
        <v>-107462.69</v>
      </c>
      <c r="H62" s="514">
        <f t="shared" si="1"/>
        <v>3537.1299999999974</v>
      </c>
      <c r="I62" s="584"/>
    </row>
    <row r="63" spans="1:12" s="526" customFormat="1" x14ac:dyDescent="0.2">
      <c r="A63" s="508">
        <f t="shared" si="0"/>
        <v>58</v>
      </c>
      <c r="B63" s="524" t="s">
        <v>2</v>
      </c>
      <c r="C63" s="578">
        <v>21.53</v>
      </c>
      <c r="D63" s="578">
        <v>26.91</v>
      </c>
      <c r="E63" s="579">
        <v>152.55000000000001</v>
      </c>
      <c r="F63" s="579">
        <v>0</v>
      </c>
      <c r="G63" s="516">
        <f t="shared" si="1"/>
        <v>131.02000000000001</v>
      </c>
      <c r="H63" s="517">
        <f t="shared" si="1"/>
        <v>-26.91</v>
      </c>
      <c r="I63" s="525"/>
    </row>
    <row r="64" spans="1:12" ht="31.5" x14ac:dyDescent="0.25">
      <c r="A64" s="508">
        <f t="shared" si="0"/>
        <v>59</v>
      </c>
      <c r="B64" s="524" t="s">
        <v>3</v>
      </c>
      <c r="C64" s="573">
        <v>481444.35</v>
      </c>
      <c r="D64" s="573">
        <v>12235.7</v>
      </c>
      <c r="E64" s="574">
        <v>366599.41</v>
      </c>
      <c r="F64" s="574">
        <v>13104.74</v>
      </c>
      <c r="G64" s="516">
        <f t="shared" si="1"/>
        <v>-114844.94</v>
      </c>
      <c r="H64" s="517">
        <f t="shared" si="1"/>
        <v>869.03999999999905</v>
      </c>
    </row>
    <row r="65" spans="1:9" x14ac:dyDescent="0.25">
      <c r="A65" s="508">
        <f t="shared" si="0"/>
        <v>60</v>
      </c>
      <c r="B65" s="515" t="s">
        <v>133</v>
      </c>
      <c r="C65" s="573">
        <v>59222.35</v>
      </c>
      <c r="D65" s="573">
        <v>3940</v>
      </c>
      <c r="E65" s="574">
        <v>66473.58</v>
      </c>
      <c r="F65" s="574">
        <v>6635</v>
      </c>
      <c r="G65" s="516">
        <f t="shared" si="1"/>
        <v>7251.2300000000032</v>
      </c>
      <c r="H65" s="517">
        <f t="shared" si="1"/>
        <v>2695</v>
      </c>
    </row>
    <row r="66" spans="1:9" x14ac:dyDescent="0.25">
      <c r="A66" s="508">
        <f t="shared" si="0"/>
        <v>61</v>
      </c>
      <c r="B66" s="512" t="s">
        <v>97</v>
      </c>
      <c r="C66" s="573">
        <v>10162054.060000001</v>
      </c>
      <c r="D66" s="573">
        <v>116287.24</v>
      </c>
      <c r="E66" s="574">
        <v>10213024.880000001</v>
      </c>
      <c r="F66" s="574">
        <v>60650.18</v>
      </c>
      <c r="G66" s="516">
        <f t="shared" si="1"/>
        <v>50970.820000000298</v>
      </c>
      <c r="H66" s="517">
        <f t="shared" si="1"/>
        <v>-55637.060000000005</v>
      </c>
    </row>
    <row r="67" spans="1:9" x14ac:dyDescent="0.25">
      <c r="A67" s="508">
        <f t="shared" si="0"/>
        <v>62</v>
      </c>
      <c r="B67" s="512" t="s">
        <v>11</v>
      </c>
      <c r="C67" s="573">
        <v>218487.96</v>
      </c>
      <c r="D67" s="573">
        <v>4474.04</v>
      </c>
      <c r="E67" s="574">
        <v>235615.81</v>
      </c>
      <c r="F67" s="574">
        <v>2242.0700000000002</v>
      </c>
      <c r="G67" s="516">
        <f t="shared" si="1"/>
        <v>17127.850000000006</v>
      </c>
      <c r="H67" s="517">
        <f t="shared" si="1"/>
        <v>-2231.9699999999998</v>
      </c>
    </row>
    <row r="68" spans="1:9" ht="18.75" customHeight="1" x14ac:dyDescent="0.25">
      <c r="A68" s="508">
        <f t="shared" si="0"/>
        <v>63</v>
      </c>
      <c r="B68" s="512" t="s">
        <v>701</v>
      </c>
      <c r="C68" s="572">
        <f>SUM(C69:C74)</f>
        <v>987606.97000000009</v>
      </c>
      <c r="D68" s="572">
        <f>SUM(D69:D74)</f>
        <v>7070.8099999999995</v>
      </c>
      <c r="E68" s="572">
        <f>SUM(E69:E74)</f>
        <v>1083135.9300000002</v>
      </c>
      <c r="F68" s="572">
        <f>SUM(F69:F74)</f>
        <v>3789.76</v>
      </c>
      <c r="G68" s="513">
        <f t="shared" si="1"/>
        <v>95528.960000000079</v>
      </c>
      <c r="H68" s="514">
        <f t="shared" si="1"/>
        <v>-3281.0499999999993</v>
      </c>
    </row>
    <row r="69" spans="1:9" x14ac:dyDescent="0.25">
      <c r="A69" s="508">
        <f t="shared" si="0"/>
        <v>64</v>
      </c>
      <c r="B69" s="515" t="s">
        <v>38</v>
      </c>
      <c r="C69" s="573">
        <v>316327.99</v>
      </c>
      <c r="D69" s="573">
        <v>3804.56</v>
      </c>
      <c r="E69" s="574">
        <v>329625.59000000003</v>
      </c>
      <c r="F69" s="574">
        <v>2022.46</v>
      </c>
      <c r="G69" s="516">
        <f t="shared" si="1"/>
        <v>13297.600000000035</v>
      </c>
      <c r="H69" s="517">
        <f t="shared" si="1"/>
        <v>-1782.1</v>
      </c>
    </row>
    <row r="70" spans="1:9" x14ac:dyDescent="0.25">
      <c r="A70" s="508">
        <f t="shared" si="0"/>
        <v>65</v>
      </c>
      <c r="B70" s="515" t="s">
        <v>648</v>
      </c>
      <c r="C70" s="573">
        <v>439670.04</v>
      </c>
      <c r="D70" s="573">
        <v>0</v>
      </c>
      <c r="E70" s="574">
        <v>396203.66</v>
      </c>
      <c r="F70" s="574">
        <v>-91.19</v>
      </c>
      <c r="G70" s="516">
        <f t="shared" si="1"/>
        <v>-43466.380000000005</v>
      </c>
      <c r="H70" s="517">
        <f t="shared" si="1"/>
        <v>-91.19</v>
      </c>
    </row>
    <row r="71" spans="1:9" x14ac:dyDescent="0.25">
      <c r="A71" s="508">
        <f t="shared" si="0"/>
        <v>66</v>
      </c>
      <c r="B71" s="515" t="s">
        <v>75</v>
      </c>
      <c r="C71" s="573">
        <v>44577.18</v>
      </c>
      <c r="D71" s="573">
        <v>0</v>
      </c>
      <c r="E71" s="574">
        <v>183827.41</v>
      </c>
      <c r="F71" s="574">
        <v>0</v>
      </c>
      <c r="G71" s="516">
        <f t="shared" si="1"/>
        <v>139250.23000000001</v>
      </c>
      <c r="H71" s="517">
        <f t="shared" si="1"/>
        <v>0</v>
      </c>
    </row>
    <row r="72" spans="1:9" x14ac:dyDescent="0.25">
      <c r="A72" s="508">
        <f t="shared" ref="A72:A103" si="2">A71+1</f>
        <v>67</v>
      </c>
      <c r="B72" s="515" t="s">
        <v>76</v>
      </c>
      <c r="C72" s="573">
        <v>100839.55</v>
      </c>
      <c r="D72" s="573">
        <v>3266.25</v>
      </c>
      <c r="E72" s="574">
        <v>83661.399999999994</v>
      </c>
      <c r="F72" s="574">
        <v>1858.49</v>
      </c>
      <c r="G72" s="516">
        <f t="shared" ref="G72:H102" si="3">E72-C72</f>
        <v>-17178.150000000009</v>
      </c>
      <c r="H72" s="517">
        <f t="shared" si="3"/>
        <v>-1407.76</v>
      </c>
    </row>
    <row r="73" spans="1:9" x14ac:dyDescent="0.25">
      <c r="A73" s="508">
        <f t="shared" si="2"/>
        <v>68</v>
      </c>
      <c r="B73" s="515" t="s">
        <v>77</v>
      </c>
      <c r="C73" s="573">
        <v>0</v>
      </c>
      <c r="D73" s="573">
        <v>0</v>
      </c>
      <c r="E73" s="574">
        <v>0</v>
      </c>
      <c r="F73" s="574">
        <v>0</v>
      </c>
      <c r="G73" s="516">
        <f t="shared" si="3"/>
        <v>0</v>
      </c>
      <c r="H73" s="517">
        <f t="shared" si="3"/>
        <v>0</v>
      </c>
    </row>
    <row r="74" spans="1:9" x14ac:dyDescent="0.25">
      <c r="A74" s="508">
        <f t="shared" si="2"/>
        <v>69</v>
      </c>
      <c r="B74" s="515" t="s">
        <v>824</v>
      </c>
      <c r="C74" s="573">
        <v>86192.21</v>
      </c>
      <c r="D74" s="573">
        <v>0</v>
      </c>
      <c r="E74" s="574">
        <v>89817.87</v>
      </c>
      <c r="F74" s="574">
        <v>0</v>
      </c>
      <c r="G74" s="516">
        <f t="shared" si="3"/>
        <v>3625.6599999999889</v>
      </c>
      <c r="H74" s="517">
        <f t="shared" si="3"/>
        <v>0</v>
      </c>
    </row>
    <row r="75" spans="1:9" x14ac:dyDescent="0.25">
      <c r="A75" s="508">
        <f t="shared" si="2"/>
        <v>70</v>
      </c>
      <c r="B75" s="512" t="s">
        <v>18</v>
      </c>
      <c r="C75" s="573">
        <v>0</v>
      </c>
      <c r="D75" s="573">
        <v>0</v>
      </c>
      <c r="E75" s="574">
        <v>0</v>
      </c>
      <c r="F75" s="574">
        <v>0</v>
      </c>
      <c r="G75" s="516">
        <f t="shared" si="3"/>
        <v>0</v>
      </c>
      <c r="H75" s="517">
        <f t="shared" si="3"/>
        <v>0</v>
      </c>
      <c r="I75" s="520"/>
    </row>
    <row r="76" spans="1:9" x14ac:dyDescent="0.25">
      <c r="A76" s="508">
        <f t="shared" si="2"/>
        <v>71</v>
      </c>
      <c r="B76" s="512" t="s">
        <v>230</v>
      </c>
      <c r="C76" s="573">
        <v>0</v>
      </c>
      <c r="D76" s="573">
        <v>1519.06</v>
      </c>
      <c r="E76" s="574">
        <v>0</v>
      </c>
      <c r="F76" s="574">
        <v>754.21</v>
      </c>
      <c r="G76" s="516">
        <f t="shared" si="3"/>
        <v>0</v>
      </c>
      <c r="H76" s="517">
        <f t="shared" si="3"/>
        <v>-764.84999999999991</v>
      </c>
    </row>
    <row r="77" spans="1:9" x14ac:dyDescent="0.25">
      <c r="A77" s="508">
        <f t="shared" si="2"/>
        <v>72</v>
      </c>
      <c r="B77" s="512" t="s">
        <v>98</v>
      </c>
      <c r="C77" s="573">
        <v>23106.6</v>
      </c>
      <c r="D77" s="573">
        <v>2100.38</v>
      </c>
      <c r="E77" s="574">
        <v>36451.94</v>
      </c>
      <c r="F77" s="574">
        <v>3149.36</v>
      </c>
      <c r="G77" s="516">
        <f t="shared" si="3"/>
        <v>13345.340000000004</v>
      </c>
      <c r="H77" s="517">
        <f t="shared" si="3"/>
        <v>1048.98</v>
      </c>
    </row>
    <row r="78" spans="1:9" x14ac:dyDescent="0.25">
      <c r="A78" s="508">
        <f t="shared" si="2"/>
        <v>73</v>
      </c>
      <c r="B78" s="512" t="s">
        <v>168</v>
      </c>
      <c r="C78" s="573">
        <v>154024.15</v>
      </c>
      <c r="D78" s="573">
        <v>4310.28</v>
      </c>
      <c r="E78" s="574">
        <v>154364.15</v>
      </c>
      <c r="F78" s="574">
        <v>5765.62</v>
      </c>
      <c r="G78" s="516">
        <f t="shared" si="3"/>
        <v>340</v>
      </c>
      <c r="H78" s="517">
        <f t="shared" si="3"/>
        <v>1455.3400000000001</v>
      </c>
    </row>
    <row r="79" spans="1:9" x14ac:dyDescent="0.25">
      <c r="A79" s="508">
        <f t="shared" si="2"/>
        <v>74</v>
      </c>
      <c r="B79" s="512" t="s">
        <v>691</v>
      </c>
      <c r="C79" s="580">
        <f>C80+C81</f>
        <v>2832508.1599999997</v>
      </c>
      <c r="D79" s="580">
        <f>D80+D81</f>
        <v>1024.97</v>
      </c>
      <c r="E79" s="572">
        <f>E80+E81</f>
        <v>3463244.8500000006</v>
      </c>
      <c r="F79" s="572">
        <f>F80+F81</f>
        <v>2059.52</v>
      </c>
      <c r="G79" s="513">
        <f t="shared" si="3"/>
        <v>630736.69000000088</v>
      </c>
      <c r="H79" s="514">
        <f t="shared" si="3"/>
        <v>1034.55</v>
      </c>
    </row>
    <row r="80" spans="1:9" ht="16.5" customHeight="1" x14ac:dyDescent="0.25">
      <c r="A80" s="508">
        <f t="shared" si="2"/>
        <v>75</v>
      </c>
      <c r="B80" s="512" t="s">
        <v>825</v>
      </c>
      <c r="C80" s="577">
        <v>8486.5</v>
      </c>
      <c r="D80" s="577">
        <v>28.8</v>
      </c>
      <c r="E80" s="581">
        <v>16766.34</v>
      </c>
      <c r="F80" s="581">
        <v>0</v>
      </c>
      <c r="G80" s="516">
        <f t="shared" si="3"/>
        <v>8279.84</v>
      </c>
      <c r="H80" s="517">
        <f t="shared" si="3"/>
        <v>-28.8</v>
      </c>
      <c r="I80" s="520"/>
    </row>
    <row r="81" spans="1:13" x14ac:dyDescent="0.25">
      <c r="A81" s="508">
        <f t="shared" si="2"/>
        <v>76</v>
      </c>
      <c r="B81" s="512" t="s">
        <v>4</v>
      </c>
      <c r="C81" s="572">
        <f>SUM(C82:C89)</f>
        <v>2824021.6599999997</v>
      </c>
      <c r="D81" s="572">
        <f>SUM(D82:D89)</f>
        <v>996.17</v>
      </c>
      <c r="E81" s="572">
        <f>SUM(E82:E89)</f>
        <v>3446478.5100000007</v>
      </c>
      <c r="F81" s="572">
        <f>SUM(F82:F89)</f>
        <v>2059.52</v>
      </c>
      <c r="G81" s="513">
        <f t="shared" si="3"/>
        <v>622456.85000000102</v>
      </c>
      <c r="H81" s="514">
        <f t="shared" si="3"/>
        <v>1063.3499999999999</v>
      </c>
      <c r="I81" s="520"/>
    </row>
    <row r="82" spans="1:13" ht="16.5" customHeight="1" x14ac:dyDescent="0.25">
      <c r="A82" s="508">
        <f t="shared" si="2"/>
        <v>77</v>
      </c>
      <c r="B82" s="515" t="s">
        <v>561</v>
      </c>
      <c r="C82" s="573">
        <v>2631339.88</v>
      </c>
      <c r="D82" s="573">
        <v>0</v>
      </c>
      <c r="E82" s="574">
        <v>3171242.85</v>
      </c>
      <c r="F82" s="574">
        <v>0</v>
      </c>
      <c r="G82" s="516">
        <f t="shared" si="3"/>
        <v>539902.9700000002</v>
      </c>
      <c r="H82" s="517">
        <f t="shared" si="3"/>
        <v>0</v>
      </c>
    </row>
    <row r="83" spans="1:13" x14ac:dyDescent="0.25">
      <c r="A83" s="508">
        <f t="shared" si="2"/>
        <v>78</v>
      </c>
      <c r="B83" s="515" t="s">
        <v>78</v>
      </c>
      <c r="C83" s="573">
        <v>4324.88</v>
      </c>
      <c r="D83" s="573">
        <v>285.20999999999998</v>
      </c>
      <c r="E83" s="574">
        <v>11424.45</v>
      </c>
      <c r="F83" s="574">
        <v>278.2</v>
      </c>
      <c r="G83" s="516">
        <f t="shared" si="3"/>
        <v>7099.5700000000006</v>
      </c>
      <c r="H83" s="517">
        <f t="shared" si="3"/>
        <v>-7.0099999999999909</v>
      </c>
    </row>
    <row r="84" spans="1:13" x14ac:dyDescent="0.25">
      <c r="A84" s="508">
        <f t="shared" si="2"/>
        <v>79</v>
      </c>
      <c r="B84" s="515" t="s">
        <v>79</v>
      </c>
      <c r="C84" s="573">
        <v>0</v>
      </c>
      <c r="D84" s="573">
        <v>0</v>
      </c>
      <c r="E84" s="574">
        <v>0</v>
      </c>
      <c r="F84" s="574">
        <v>0</v>
      </c>
      <c r="G84" s="516">
        <f t="shared" si="3"/>
        <v>0</v>
      </c>
      <c r="H84" s="517">
        <f t="shared" si="3"/>
        <v>0</v>
      </c>
    </row>
    <row r="85" spans="1:13" ht="31.5" x14ac:dyDescent="0.25">
      <c r="A85" s="508">
        <f t="shared" si="2"/>
        <v>80</v>
      </c>
      <c r="B85" s="515" t="s">
        <v>600</v>
      </c>
      <c r="C85" s="573">
        <v>93324.13</v>
      </c>
      <c r="D85" s="573">
        <v>711.04</v>
      </c>
      <c r="E85" s="574">
        <v>90524.85</v>
      </c>
      <c r="F85" s="574">
        <v>1329.08</v>
      </c>
      <c r="G85" s="516">
        <f t="shared" si="3"/>
        <v>-2799.2799999999988</v>
      </c>
      <c r="H85" s="517">
        <f t="shared" si="3"/>
        <v>618.04</v>
      </c>
      <c r="I85" s="527"/>
      <c r="J85" s="528"/>
      <c r="K85" s="528"/>
      <c r="L85" s="528"/>
      <c r="M85" s="528"/>
    </row>
    <row r="86" spans="1:13" x14ac:dyDescent="0.25">
      <c r="A86" s="508">
        <f t="shared" si="2"/>
        <v>81</v>
      </c>
      <c r="B86" s="515" t="s">
        <v>826</v>
      </c>
      <c r="C86" s="573">
        <v>50211.97</v>
      </c>
      <c r="D86" s="573">
        <v>0</v>
      </c>
      <c r="E86" s="574">
        <v>48160</v>
      </c>
      <c r="F86" s="574">
        <v>0</v>
      </c>
      <c r="G86" s="516">
        <f t="shared" si="3"/>
        <v>-2051.9700000000012</v>
      </c>
      <c r="H86" s="517">
        <f t="shared" si="3"/>
        <v>0</v>
      </c>
      <c r="I86" s="501"/>
      <c r="K86" s="520"/>
    </row>
    <row r="87" spans="1:13" x14ac:dyDescent="0.25">
      <c r="A87" s="508" t="s">
        <v>632</v>
      </c>
      <c r="B87" s="515" t="s">
        <v>631</v>
      </c>
      <c r="C87" s="573">
        <v>0</v>
      </c>
      <c r="D87" s="573">
        <v>0</v>
      </c>
      <c r="E87" s="574">
        <v>0</v>
      </c>
      <c r="F87" s="574">
        <v>0</v>
      </c>
      <c r="G87" s="516">
        <f t="shared" si="3"/>
        <v>0</v>
      </c>
      <c r="H87" s="517">
        <f t="shared" si="3"/>
        <v>0</v>
      </c>
      <c r="I87" s="501"/>
      <c r="J87" s="529"/>
    </row>
    <row r="88" spans="1:13" x14ac:dyDescent="0.25">
      <c r="A88" s="508">
        <f>A86+1</f>
        <v>82</v>
      </c>
      <c r="B88" s="515" t="s">
        <v>634</v>
      </c>
      <c r="C88" s="573">
        <v>3600</v>
      </c>
      <c r="D88" s="573">
        <v>0</v>
      </c>
      <c r="E88" s="574">
        <v>2807.7</v>
      </c>
      <c r="F88" s="574">
        <v>0</v>
      </c>
      <c r="G88" s="516">
        <f t="shared" si="3"/>
        <v>-792.30000000000018</v>
      </c>
      <c r="H88" s="517">
        <f t="shared" si="3"/>
        <v>0</v>
      </c>
      <c r="I88" s="501"/>
    </row>
    <row r="89" spans="1:13" x14ac:dyDescent="0.25">
      <c r="A89" s="508">
        <f t="shared" si="2"/>
        <v>83</v>
      </c>
      <c r="B89" s="515" t="s">
        <v>827</v>
      </c>
      <c r="C89" s="573">
        <f>41220.8</f>
        <v>41220.800000000003</v>
      </c>
      <c r="D89" s="573">
        <f>-0.08</f>
        <v>-0.08</v>
      </c>
      <c r="E89" s="574">
        <v>122318.66</v>
      </c>
      <c r="F89" s="574">
        <v>452.24</v>
      </c>
      <c r="G89" s="516">
        <f t="shared" si="3"/>
        <v>81097.86</v>
      </c>
      <c r="H89" s="517">
        <f t="shared" si="3"/>
        <v>452.32</v>
      </c>
      <c r="I89" s="501"/>
      <c r="K89" s="520"/>
    </row>
    <row r="90" spans="1:13" ht="31.5" x14ac:dyDescent="0.25">
      <c r="A90" s="508">
        <f t="shared" si="2"/>
        <v>84</v>
      </c>
      <c r="B90" s="512" t="s">
        <v>692</v>
      </c>
      <c r="C90" s="572">
        <f>SUM(C91:C99)</f>
        <v>5896973.290000001</v>
      </c>
      <c r="D90" s="572">
        <f>SUM(D91:D99)</f>
        <v>79718.460000000006</v>
      </c>
      <c r="E90" s="572">
        <f>SUM(E91:E99)</f>
        <v>4225095.55</v>
      </c>
      <c r="F90" s="572">
        <v>60919.45</v>
      </c>
      <c r="G90" s="513">
        <f t="shared" si="3"/>
        <v>-1671877.7400000012</v>
      </c>
      <c r="H90" s="514">
        <f t="shared" si="3"/>
        <v>-18799.010000000009</v>
      </c>
      <c r="I90" s="501"/>
    </row>
    <row r="91" spans="1:13" ht="31.5" customHeight="1" x14ac:dyDescent="0.25">
      <c r="A91" s="530">
        <f t="shared" si="2"/>
        <v>85</v>
      </c>
      <c r="B91" s="515" t="s">
        <v>593</v>
      </c>
      <c r="C91" s="573">
        <v>387857.5</v>
      </c>
      <c r="D91" s="573">
        <v>0</v>
      </c>
      <c r="E91" s="573">
        <v>411306.54</v>
      </c>
      <c r="F91" s="573">
        <v>0</v>
      </c>
      <c r="G91" s="516">
        <f t="shared" si="3"/>
        <v>23449.039999999979</v>
      </c>
      <c r="H91" s="517">
        <f t="shared" si="3"/>
        <v>0</v>
      </c>
      <c r="I91" s="520"/>
      <c r="K91" s="529"/>
      <c r="L91" s="529"/>
      <c r="M91" s="529"/>
    </row>
    <row r="92" spans="1:13" ht="175.5" customHeight="1" x14ac:dyDescent="0.25">
      <c r="A92" s="508">
        <f t="shared" si="2"/>
        <v>86</v>
      </c>
      <c r="B92" s="531" t="s">
        <v>828</v>
      </c>
      <c r="C92" s="573">
        <v>1472420.62</v>
      </c>
      <c r="D92" s="573">
        <v>79718.460000000006</v>
      </c>
      <c r="E92" s="573">
        <v>1389304.84</v>
      </c>
      <c r="F92" s="573">
        <v>60505.45</v>
      </c>
      <c r="G92" s="516">
        <f t="shared" si="3"/>
        <v>-83115.780000000028</v>
      </c>
      <c r="H92" s="517">
        <f t="shared" si="3"/>
        <v>-19213.010000000009</v>
      </c>
      <c r="I92" s="652"/>
      <c r="J92" s="651"/>
      <c r="L92" s="529"/>
      <c r="M92" s="529"/>
    </row>
    <row r="93" spans="1:13" ht="31.5" x14ac:dyDescent="0.25">
      <c r="A93" s="530" t="s">
        <v>533</v>
      </c>
      <c r="B93" s="531" t="s">
        <v>829</v>
      </c>
      <c r="C93" s="573">
        <v>3992958.19</v>
      </c>
      <c r="D93" s="573">
        <v>0</v>
      </c>
      <c r="E93" s="573">
        <v>2368398.21</v>
      </c>
      <c r="F93" s="573">
        <v>0</v>
      </c>
      <c r="G93" s="516">
        <f>E93-C93</f>
        <v>-1624559.98</v>
      </c>
      <c r="H93" s="517">
        <f>F93-D93</f>
        <v>0</v>
      </c>
      <c r="I93" s="696"/>
      <c r="J93" s="697"/>
    </row>
    <row r="94" spans="1:13" ht="15.75" customHeight="1" x14ac:dyDescent="0.25">
      <c r="A94" s="508">
        <f>A92+1</f>
        <v>87</v>
      </c>
      <c r="B94" s="515" t="s">
        <v>629</v>
      </c>
      <c r="C94" s="573">
        <v>82.98</v>
      </c>
      <c r="D94" s="573">
        <v>0</v>
      </c>
      <c r="E94" s="573">
        <v>0</v>
      </c>
      <c r="F94" s="573">
        <v>414</v>
      </c>
      <c r="G94" s="516">
        <f t="shared" si="3"/>
        <v>-82.98</v>
      </c>
      <c r="H94" s="517">
        <f t="shared" si="3"/>
        <v>414</v>
      </c>
      <c r="I94" s="520"/>
    </row>
    <row r="95" spans="1:13" ht="16.5" customHeight="1" x14ac:dyDescent="0.25">
      <c r="A95" s="508">
        <f t="shared" si="2"/>
        <v>88</v>
      </c>
      <c r="B95" s="515" t="s">
        <v>93</v>
      </c>
      <c r="C95" s="573">
        <v>0</v>
      </c>
      <c r="D95" s="573">
        <v>0</v>
      </c>
      <c r="E95" s="573">
        <v>0</v>
      </c>
      <c r="F95" s="573">
        <v>0</v>
      </c>
      <c r="G95" s="516">
        <f t="shared" si="3"/>
        <v>0</v>
      </c>
      <c r="H95" s="517">
        <f t="shared" si="3"/>
        <v>0</v>
      </c>
    </row>
    <row r="96" spans="1:13" ht="16.5" customHeight="1" x14ac:dyDescent="0.25">
      <c r="A96" s="508">
        <f t="shared" si="2"/>
        <v>89</v>
      </c>
      <c r="B96" s="515" t="s">
        <v>94</v>
      </c>
      <c r="C96" s="573">
        <v>43654</v>
      </c>
      <c r="D96" s="573">
        <v>0</v>
      </c>
      <c r="E96" s="573">
        <v>56085.96</v>
      </c>
      <c r="F96" s="573">
        <v>0</v>
      </c>
      <c r="G96" s="516">
        <f t="shared" si="3"/>
        <v>12431.96</v>
      </c>
      <c r="H96" s="517">
        <f t="shared" si="3"/>
        <v>0</v>
      </c>
    </row>
    <row r="97" spans="1:10" ht="32.25" customHeight="1" x14ac:dyDescent="0.25">
      <c r="A97" s="508">
        <f t="shared" si="2"/>
        <v>90</v>
      </c>
      <c r="B97" s="532" t="s">
        <v>633</v>
      </c>
      <c r="C97" s="573">
        <v>0</v>
      </c>
      <c r="D97" s="573">
        <v>0</v>
      </c>
      <c r="E97" s="573">
        <v>0</v>
      </c>
      <c r="F97" s="573">
        <v>0</v>
      </c>
      <c r="G97" s="516">
        <f t="shared" si="3"/>
        <v>0</v>
      </c>
      <c r="H97" s="517">
        <f t="shared" si="3"/>
        <v>0</v>
      </c>
      <c r="I97" s="533"/>
    </row>
    <row r="98" spans="1:10" ht="40.5" customHeight="1" x14ac:dyDescent="0.25">
      <c r="A98" s="508">
        <f t="shared" si="2"/>
        <v>91</v>
      </c>
      <c r="B98" s="519" t="s">
        <v>607</v>
      </c>
      <c r="C98" s="573">
        <v>0</v>
      </c>
      <c r="D98" s="573">
        <v>0</v>
      </c>
      <c r="E98" s="573">
        <v>0</v>
      </c>
      <c r="F98" s="573">
        <v>0</v>
      </c>
      <c r="G98" s="516">
        <f t="shared" si="3"/>
        <v>0</v>
      </c>
      <c r="H98" s="517">
        <f t="shared" si="3"/>
        <v>0</v>
      </c>
    </row>
    <row r="99" spans="1:10" ht="16.5" customHeight="1" x14ac:dyDescent="0.25">
      <c r="A99" s="508">
        <f>A98+1</f>
        <v>92</v>
      </c>
      <c r="B99" s="515" t="s">
        <v>605</v>
      </c>
      <c r="C99" s="573">
        <v>0</v>
      </c>
      <c r="D99" s="573">
        <v>0</v>
      </c>
      <c r="E99" s="573">
        <v>0</v>
      </c>
      <c r="F99" s="573">
        <v>0</v>
      </c>
      <c r="G99" s="516">
        <f t="shared" si="3"/>
        <v>0</v>
      </c>
      <c r="H99" s="517">
        <f t="shared" si="3"/>
        <v>0</v>
      </c>
      <c r="J99" s="529"/>
    </row>
    <row r="100" spans="1:10" ht="16.149999999999999" customHeight="1" x14ac:dyDescent="0.25">
      <c r="A100" s="508">
        <f t="shared" si="2"/>
        <v>93</v>
      </c>
      <c r="B100" s="512" t="s">
        <v>649</v>
      </c>
      <c r="C100" s="573">
        <v>435516.34</v>
      </c>
      <c r="D100" s="573">
        <v>0</v>
      </c>
      <c r="E100" s="573">
        <v>444987.97</v>
      </c>
      <c r="F100" s="573">
        <v>0</v>
      </c>
      <c r="G100" s="516">
        <f t="shared" si="3"/>
        <v>9471.6299999999464</v>
      </c>
      <c r="H100" s="517">
        <f t="shared" si="3"/>
        <v>0</v>
      </c>
    </row>
    <row r="101" spans="1:10" ht="16.149999999999999" customHeight="1" x14ac:dyDescent="0.25">
      <c r="A101" s="508">
        <f t="shared" si="2"/>
        <v>94</v>
      </c>
      <c r="B101" s="512" t="s">
        <v>830</v>
      </c>
      <c r="C101" s="573">
        <v>1616390.27</v>
      </c>
      <c r="D101" s="573">
        <v>146864.97</v>
      </c>
      <c r="E101" s="573">
        <v>2330425.0299999998</v>
      </c>
      <c r="F101" s="573">
        <v>103114.65</v>
      </c>
      <c r="G101" s="516">
        <f t="shared" si="3"/>
        <v>714034.75999999978</v>
      </c>
      <c r="H101" s="517">
        <f t="shared" si="3"/>
        <v>-43750.320000000007</v>
      </c>
      <c r="I101" s="520"/>
    </row>
    <row r="102" spans="1:10" x14ac:dyDescent="0.25">
      <c r="A102" s="508">
        <f t="shared" si="2"/>
        <v>95</v>
      </c>
      <c r="B102" s="512" t="s">
        <v>650</v>
      </c>
      <c r="C102" s="573">
        <v>77.94</v>
      </c>
      <c r="D102" s="573">
        <v>31745.74</v>
      </c>
      <c r="E102" s="574">
        <v>15.85</v>
      </c>
      <c r="F102" s="574">
        <v>19050.060000000001</v>
      </c>
      <c r="G102" s="516">
        <f t="shared" si="3"/>
        <v>-62.089999999999996</v>
      </c>
      <c r="H102" s="517">
        <f t="shared" si="3"/>
        <v>-12695.68</v>
      </c>
    </row>
    <row r="103" spans="1:10" ht="34.5" customHeight="1" thickBot="1" x14ac:dyDescent="0.3">
      <c r="A103" s="508">
        <f t="shared" si="2"/>
        <v>96</v>
      </c>
      <c r="B103" s="534" t="s">
        <v>831</v>
      </c>
      <c r="C103" s="582">
        <f>C6+C19+C27+C32+C40+C43+C44+C60+C66+C67+C68+C75+C76+C77+C78+C79+C90+C100+C101+C102</f>
        <v>65467046.75</v>
      </c>
      <c r="D103" s="582">
        <f>D6+D19+D27+D32+D40+D43+D44+D60+D66+D67+D68+D75+D76+D77+D78+D79+D90+D100+D101+D102</f>
        <v>1349635.58</v>
      </c>
      <c r="E103" s="582">
        <f>E6+E19+E27+E32+E40+E43+E44+E60+E66+E67+E68+E75+E76+E77+E78+E79+E90+E100+E101+E102</f>
        <v>64461221.690000005</v>
      </c>
      <c r="F103" s="582">
        <f>F6+F19+F27+F32+F40+F43+F44+F60+F66+F67+F68+F75+F76+F77+F78+F79+F90+F100+F101+F102</f>
        <v>864237.08</v>
      </c>
      <c r="G103" s="535">
        <f>E103-C103</f>
        <v>-1005825.0599999949</v>
      </c>
      <c r="H103" s="536">
        <f>F103-D103</f>
        <v>-485398.50000000012</v>
      </c>
      <c r="I103" s="537"/>
    </row>
    <row r="104" spans="1:10" x14ac:dyDescent="0.25">
      <c r="A104" s="538"/>
      <c r="B104" s="539"/>
      <c r="D104" s="660"/>
      <c r="E104" s="660"/>
      <c r="F104" s="660"/>
      <c r="G104" s="661"/>
      <c r="H104" s="661"/>
      <c r="I104" s="662"/>
    </row>
    <row r="105" spans="1:10" ht="31.5" x14ac:dyDescent="0.25">
      <c r="A105" s="540" t="s">
        <v>594</v>
      </c>
      <c r="B105" s="541" t="s">
        <v>651</v>
      </c>
    </row>
    <row r="973" spans="6:6" x14ac:dyDescent="0.25">
      <c r="F973" s="502" t="s">
        <v>234</v>
      </c>
    </row>
    <row r="992" spans="4:4" x14ac:dyDescent="0.25">
      <c r="D992" s="502" t="s">
        <v>233</v>
      </c>
    </row>
  </sheetData>
  <mergeCells count="9">
    <mergeCell ref="I93:J93"/>
    <mergeCell ref="J58:L58"/>
    <mergeCell ref="A1:H1"/>
    <mergeCell ref="A2:H2"/>
    <mergeCell ref="A3:A4"/>
    <mergeCell ref="B3:B4"/>
    <mergeCell ref="C3:D3"/>
    <mergeCell ref="E3:F3"/>
    <mergeCell ref="G3:H3"/>
  </mergeCells>
  <printOptions horizontalCentered="1" verticalCentered="1" gridLines="1"/>
  <pageMargins left="0.19685039370078741" right="0.19685039370078741" top="0.19685039370078741" bottom="0.19685039370078741" header="0.39370078740157483" footer="0.23622047244094491"/>
  <pageSetup paperSize="9" scale="44" fitToWidth="3" fitToHeight="3" orientation="landscape" r:id="rId1"/>
  <headerFooter alignWithMargins="0">
    <oddFooter xml:space="preserve">&amp;C &amp;P z &amp;N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tabColor indexed="42"/>
    <pageSetUpPr fitToPage="1"/>
  </sheetPr>
  <dimension ref="A1:O38"/>
  <sheetViews>
    <sheetView zoomScale="87" zoomScaleNormal="87" workbookViewId="0">
      <pane xSplit="2" ySplit="6" topLeftCell="C16" activePane="bottomRight" state="frozen"/>
      <selection pane="topRight" activeCell="C1" sqref="C1"/>
      <selection pane="bottomLeft" activeCell="A7" sqref="A7"/>
      <selection pane="bottomRight" activeCell="O21" sqref="O21"/>
    </sheetView>
  </sheetViews>
  <sheetFormatPr defaultRowHeight="15.75" x14ac:dyDescent="0.2"/>
  <cols>
    <col min="1" max="1" width="5.5703125" style="22" customWidth="1"/>
    <col min="2" max="2" width="65.42578125" style="45" customWidth="1"/>
    <col min="3" max="3" width="14.7109375" style="17" customWidth="1"/>
    <col min="4" max="4" width="14" style="17" customWidth="1"/>
    <col min="5" max="5" width="15.85546875" style="17" customWidth="1"/>
    <col min="6" max="6" width="15.7109375" style="17" customWidth="1"/>
    <col min="7" max="7" width="19.140625" style="17" customWidth="1"/>
    <col min="8" max="8" width="18.7109375" style="17" customWidth="1"/>
    <col min="9" max="9" width="16.28515625" style="17" customWidth="1"/>
    <col min="10" max="10" width="17.7109375" style="17" bestFit="1" customWidth="1"/>
    <col min="11" max="11" width="13.28515625" style="17" customWidth="1"/>
    <col min="12" max="13" width="9.85546875" style="17" customWidth="1"/>
    <col min="14" max="14" width="9.140625" style="17" customWidth="1"/>
    <col min="15" max="15" width="38.140625" style="17" customWidth="1"/>
    <col min="16" max="16384" width="9.140625" style="17"/>
  </cols>
  <sheetData>
    <row r="1" spans="1:15" ht="35.1" customHeight="1" thickBot="1" x14ac:dyDescent="0.25">
      <c r="A1" s="720" t="s">
        <v>779</v>
      </c>
      <c r="B1" s="721"/>
      <c r="C1" s="721"/>
      <c r="D1" s="721"/>
      <c r="E1" s="721"/>
      <c r="F1" s="721"/>
      <c r="G1" s="721"/>
      <c r="H1" s="721"/>
      <c r="I1" s="721"/>
      <c r="J1" s="721"/>
      <c r="K1" s="721"/>
    </row>
    <row r="2" spans="1:15" ht="35.450000000000003" customHeight="1" thickBot="1" x14ac:dyDescent="0.25">
      <c r="A2" s="722" t="s">
        <v>862</v>
      </c>
      <c r="B2" s="723"/>
      <c r="C2" s="723"/>
      <c r="D2" s="723"/>
      <c r="E2" s="723"/>
      <c r="F2" s="723"/>
      <c r="G2" s="723"/>
      <c r="H2" s="723"/>
      <c r="I2" s="723"/>
      <c r="J2" s="723"/>
      <c r="K2" s="724"/>
      <c r="L2" s="403"/>
      <c r="M2" s="403"/>
      <c r="N2" s="403"/>
    </row>
    <row r="3" spans="1:15" ht="32.25" customHeight="1" x14ac:dyDescent="0.2">
      <c r="A3" s="740" t="s">
        <v>115</v>
      </c>
      <c r="B3" s="692" t="s">
        <v>125</v>
      </c>
      <c r="C3" s="729" t="s">
        <v>780</v>
      </c>
      <c r="D3" s="729"/>
      <c r="E3" s="729"/>
      <c r="F3" s="729"/>
      <c r="G3" s="729" t="s">
        <v>549</v>
      </c>
      <c r="H3" s="730" t="s">
        <v>172</v>
      </c>
      <c r="I3" s="729" t="s">
        <v>551</v>
      </c>
      <c r="J3" s="725" t="s">
        <v>552</v>
      </c>
      <c r="K3" s="732" t="s">
        <v>601</v>
      </c>
      <c r="L3" s="711" t="s">
        <v>673</v>
      </c>
      <c r="M3" s="714" t="s">
        <v>690</v>
      </c>
      <c r="N3" s="717" t="s">
        <v>674</v>
      </c>
      <c r="O3" s="421"/>
    </row>
    <row r="4" spans="1:15" ht="34.5" customHeight="1" x14ac:dyDescent="0.2">
      <c r="A4" s="741"/>
      <c r="B4" s="739"/>
      <c r="C4" s="735" t="s">
        <v>123</v>
      </c>
      <c r="D4" s="13" t="s">
        <v>172</v>
      </c>
      <c r="E4" s="735" t="s">
        <v>124</v>
      </c>
      <c r="F4" s="735" t="s">
        <v>102</v>
      </c>
      <c r="G4" s="735"/>
      <c r="H4" s="731"/>
      <c r="I4" s="735"/>
      <c r="J4" s="726"/>
      <c r="K4" s="732"/>
      <c r="L4" s="712"/>
      <c r="M4" s="715"/>
      <c r="N4" s="718"/>
      <c r="O4" s="421"/>
    </row>
    <row r="5" spans="1:15" s="71" customFormat="1" ht="63.75" thickBot="1" x14ac:dyDescent="0.25">
      <c r="A5" s="741"/>
      <c r="B5" s="739"/>
      <c r="C5" s="735"/>
      <c r="D5" s="13" t="s">
        <v>530</v>
      </c>
      <c r="E5" s="735"/>
      <c r="F5" s="735"/>
      <c r="G5" s="735"/>
      <c r="H5" s="13" t="s">
        <v>550</v>
      </c>
      <c r="I5" s="735"/>
      <c r="J5" s="726"/>
      <c r="K5" s="733"/>
      <c r="L5" s="713"/>
      <c r="M5" s="716"/>
      <c r="N5" s="719"/>
      <c r="O5" s="423"/>
    </row>
    <row r="6" spans="1:15" s="72" customFormat="1" ht="18" customHeight="1" thickBot="1" x14ac:dyDescent="0.25">
      <c r="A6" s="124"/>
      <c r="B6" s="60"/>
      <c r="C6" s="15" t="s">
        <v>158</v>
      </c>
      <c r="D6" s="15" t="s">
        <v>159</v>
      </c>
      <c r="E6" s="15" t="s">
        <v>160</v>
      </c>
      <c r="F6" s="15" t="s">
        <v>103</v>
      </c>
      <c r="G6" s="15" t="s">
        <v>161</v>
      </c>
      <c r="H6" s="15" t="s">
        <v>162</v>
      </c>
      <c r="I6" s="15" t="s">
        <v>163</v>
      </c>
      <c r="J6" s="309" t="s">
        <v>104</v>
      </c>
      <c r="K6" s="353" t="s">
        <v>602</v>
      </c>
    </row>
    <row r="7" spans="1:15" s="20" customFormat="1" x14ac:dyDescent="0.2">
      <c r="A7" s="28">
        <v>1</v>
      </c>
      <c r="B7" s="41" t="s">
        <v>155</v>
      </c>
      <c r="C7" s="58">
        <f>SUM(C8:C12)</f>
        <v>604.83600000000001</v>
      </c>
      <c r="D7" s="58">
        <f>SUM(D8:D12)</f>
        <v>604.197</v>
      </c>
      <c r="E7" s="58">
        <f>SUM(E8:E12)</f>
        <v>80.838999999999999</v>
      </c>
      <c r="F7" s="58">
        <f t="shared" ref="F7:F13" si="0">C7+E7</f>
        <v>685.67499999999995</v>
      </c>
      <c r="G7" s="58">
        <f>SUM(G8:G12)</f>
        <v>13549167.479999999</v>
      </c>
      <c r="H7" s="58">
        <f>SUM(H8:H12)</f>
        <v>13306424.98</v>
      </c>
      <c r="I7" s="58">
        <f>SUM(I8:I12)</f>
        <v>5004703.7499999991</v>
      </c>
      <c r="J7" s="145">
        <f t="shared" ref="J7:J13" si="1">G7+I7</f>
        <v>18553871.229999997</v>
      </c>
      <c r="K7" s="352">
        <f>IF(F7=0,0,J7/F7/12)</f>
        <v>2254.9399290237111</v>
      </c>
      <c r="L7" s="604">
        <v>1483.279</v>
      </c>
      <c r="M7" s="605">
        <v>1832.098</v>
      </c>
      <c r="N7" s="399">
        <v>2606.953</v>
      </c>
    </row>
    <row r="8" spans="1:15" x14ac:dyDescent="0.2">
      <c r="A8" s="28">
        <v>2</v>
      </c>
      <c r="B8" s="25" t="s">
        <v>603</v>
      </c>
      <c r="C8" s="603">
        <v>84.697000000000003</v>
      </c>
      <c r="D8" s="603">
        <v>84.325999999999993</v>
      </c>
      <c r="E8" s="603">
        <v>18.452999999999999</v>
      </c>
      <c r="F8" s="58">
        <f t="shared" si="0"/>
        <v>103.15</v>
      </c>
      <c r="G8" s="601">
        <v>3155995.9</v>
      </c>
      <c r="H8" s="601">
        <v>3081407.03</v>
      </c>
      <c r="I8" s="601">
        <v>1338807.22</v>
      </c>
      <c r="J8" s="145">
        <f t="shared" si="1"/>
        <v>4494803.12</v>
      </c>
      <c r="K8" s="352">
        <f t="shared" ref="K8:K30" si="2">IF(F8=0,0,J8/F8/12)</f>
        <v>3631.2838261431571</v>
      </c>
      <c r="L8" s="606">
        <v>2478.21</v>
      </c>
      <c r="M8" s="607">
        <v>3111.9580000000001</v>
      </c>
      <c r="N8" s="401">
        <v>4458.6220000000003</v>
      </c>
    </row>
    <row r="9" spans="1:15" x14ac:dyDescent="0.2">
      <c r="A9" s="28">
        <v>3</v>
      </c>
      <c r="B9" s="25" t="s">
        <v>126</v>
      </c>
      <c r="C9" s="603">
        <v>139.751</v>
      </c>
      <c r="D9" s="603">
        <v>139.751</v>
      </c>
      <c r="E9" s="603">
        <v>15.146000000000001</v>
      </c>
      <c r="F9" s="58">
        <f t="shared" si="0"/>
        <v>154.89699999999999</v>
      </c>
      <c r="G9" s="601">
        <v>3819079.06</v>
      </c>
      <c r="H9" s="601">
        <v>3754065.45</v>
      </c>
      <c r="I9" s="601">
        <v>961581.79</v>
      </c>
      <c r="J9" s="145">
        <f t="shared" si="1"/>
        <v>4780660.8499999996</v>
      </c>
      <c r="K9" s="352">
        <f t="shared" si="2"/>
        <v>2571.9568756442454</v>
      </c>
      <c r="L9" s="606">
        <v>1730.0129999999999</v>
      </c>
      <c r="M9" s="607">
        <v>2277.9659999999999</v>
      </c>
      <c r="N9" s="401">
        <v>3207.5279999999998</v>
      </c>
    </row>
    <row r="10" spans="1:15" x14ac:dyDescent="0.2">
      <c r="A10" s="28">
        <v>4</v>
      </c>
      <c r="B10" s="25" t="s">
        <v>127</v>
      </c>
      <c r="C10" s="603">
        <v>298.2</v>
      </c>
      <c r="D10" s="603">
        <v>298.13799999999998</v>
      </c>
      <c r="E10" s="603">
        <v>38.127000000000002</v>
      </c>
      <c r="F10" s="58">
        <f t="shared" si="0"/>
        <v>336.327</v>
      </c>
      <c r="G10" s="601">
        <v>5467596.4699999997</v>
      </c>
      <c r="H10" s="601">
        <v>5368437.62</v>
      </c>
      <c r="I10" s="601">
        <v>2143376.54</v>
      </c>
      <c r="J10" s="145">
        <f t="shared" si="1"/>
        <v>7610973.0099999998</v>
      </c>
      <c r="K10" s="352">
        <f t="shared" si="2"/>
        <v>1885.806821436677</v>
      </c>
      <c r="L10" s="606">
        <v>1434.8420000000001</v>
      </c>
      <c r="M10" s="607">
        <v>1737.01</v>
      </c>
      <c r="N10" s="401">
        <v>2238.7330000000002</v>
      </c>
    </row>
    <row r="11" spans="1:15" x14ac:dyDescent="0.2">
      <c r="A11" s="28">
        <v>5</v>
      </c>
      <c r="B11" s="25" t="s">
        <v>128</v>
      </c>
      <c r="C11" s="603">
        <v>70.584999999999994</v>
      </c>
      <c r="D11" s="603">
        <v>70.584999999999994</v>
      </c>
      <c r="E11" s="603">
        <v>5.7450000000000001</v>
      </c>
      <c r="F11" s="58">
        <f t="shared" si="0"/>
        <v>76.33</v>
      </c>
      <c r="G11" s="601">
        <v>931256.85</v>
      </c>
      <c r="H11" s="601">
        <v>929857.12</v>
      </c>
      <c r="I11" s="601">
        <v>496126.1</v>
      </c>
      <c r="J11" s="145">
        <f t="shared" si="1"/>
        <v>1427382.95</v>
      </c>
      <c r="K11" s="352">
        <f t="shared" si="2"/>
        <v>1558.3463797545744</v>
      </c>
      <c r="L11" s="606">
        <v>1269.1600000000001</v>
      </c>
      <c r="M11" s="607">
        <v>1515.4090000000001</v>
      </c>
      <c r="N11" s="401">
        <v>1746.7650000000001</v>
      </c>
    </row>
    <row r="12" spans="1:15" x14ac:dyDescent="0.2">
      <c r="A12" s="28">
        <v>6</v>
      </c>
      <c r="B12" s="25" t="s">
        <v>129</v>
      </c>
      <c r="C12" s="603">
        <v>11.603</v>
      </c>
      <c r="D12" s="603">
        <v>11.397</v>
      </c>
      <c r="E12" s="603">
        <v>3.3679999999999999</v>
      </c>
      <c r="F12" s="58">
        <f t="shared" si="0"/>
        <v>14.971</v>
      </c>
      <c r="G12" s="601">
        <v>175239.2</v>
      </c>
      <c r="H12" s="601">
        <v>172657.76</v>
      </c>
      <c r="I12" s="601">
        <v>64812.1</v>
      </c>
      <c r="J12" s="145">
        <f t="shared" si="1"/>
        <v>240051.30000000002</v>
      </c>
      <c r="K12" s="352">
        <f t="shared" si="2"/>
        <v>1336.2016565359697</v>
      </c>
      <c r="L12" s="606">
        <v>1107.68</v>
      </c>
      <c r="M12" s="607">
        <v>1258.596</v>
      </c>
      <c r="N12" s="401">
        <v>1387.675</v>
      </c>
    </row>
    <row r="13" spans="1:15" x14ac:dyDescent="0.2">
      <c r="A13" s="28">
        <v>7</v>
      </c>
      <c r="B13" s="41" t="s">
        <v>26</v>
      </c>
      <c r="C13" s="603">
        <v>203.84800000000001</v>
      </c>
      <c r="D13" s="603">
        <v>188.334</v>
      </c>
      <c r="E13" s="603">
        <v>19.140999999999998</v>
      </c>
      <c r="F13" s="58">
        <f t="shared" si="0"/>
        <v>222.989</v>
      </c>
      <c r="G13" s="601">
        <v>2803128.11</v>
      </c>
      <c r="H13" s="601">
        <v>2513295.4700000002</v>
      </c>
      <c r="I13" s="601">
        <v>416656.57</v>
      </c>
      <c r="J13" s="145">
        <f t="shared" si="1"/>
        <v>3219784.6799999997</v>
      </c>
      <c r="K13" s="352">
        <f t="shared" si="2"/>
        <v>1203.2673809021969</v>
      </c>
      <c r="L13" s="400">
        <v>905.50800000000004</v>
      </c>
      <c r="M13" s="607">
        <v>1125.415</v>
      </c>
      <c r="N13" s="401">
        <v>1502.72</v>
      </c>
    </row>
    <row r="14" spans="1:15" x14ac:dyDescent="0.2">
      <c r="A14" s="28"/>
      <c r="B14" s="25" t="s">
        <v>172</v>
      </c>
      <c r="C14" s="602"/>
      <c r="D14" s="602"/>
      <c r="E14" s="602"/>
      <c r="F14" s="139"/>
      <c r="G14" s="602"/>
      <c r="H14" s="602"/>
      <c r="I14" s="602"/>
      <c r="J14" s="313"/>
      <c r="K14" s="352"/>
      <c r="L14" s="400"/>
      <c r="M14" s="398"/>
      <c r="N14" s="401"/>
    </row>
    <row r="15" spans="1:15" x14ac:dyDescent="0.2">
      <c r="A15" s="28">
        <v>8</v>
      </c>
      <c r="B15" s="25" t="s">
        <v>30</v>
      </c>
      <c r="C15" s="603">
        <v>48.87</v>
      </c>
      <c r="D15" s="603">
        <v>48.756999999999998</v>
      </c>
      <c r="E15" s="603">
        <v>4.4470000000000001</v>
      </c>
      <c r="F15" s="58">
        <f t="shared" ref="F15:F21" si="3">C15+E15</f>
        <v>53.317</v>
      </c>
      <c r="G15" s="601">
        <v>856826.47</v>
      </c>
      <c r="H15" s="601">
        <v>846808.02</v>
      </c>
      <c r="I15" s="601">
        <v>133736.28</v>
      </c>
      <c r="J15" s="145">
        <f t="shared" ref="J15:J21" si="4">G15+I15</f>
        <v>990562.75</v>
      </c>
      <c r="K15" s="352">
        <f t="shared" si="2"/>
        <v>1548.228441835312</v>
      </c>
      <c r="L15" s="606">
        <v>1187.5519999999999</v>
      </c>
      <c r="M15" s="607">
        <v>1502.72</v>
      </c>
      <c r="N15" s="401">
        <v>1832.01</v>
      </c>
    </row>
    <row r="16" spans="1:15" x14ac:dyDescent="0.2">
      <c r="A16" s="28">
        <v>9</v>
      </c>
      <c r="B16" s="41" t="s">
        <v>156</v>
      </c>
      <c r="C16" s="58">
        <f>SUM(C17:C19)</f>
        <v>221.10900000000001</v>
      </c>
      <c r="D16" s="58">
        <f>SUM(D17:D19)</f>
        <v>217.32300000000001</v>
      </c>
      <c r="E16" s="58">
        <f>SUM(E17:E19)</f>
        <v>20.929000000000002</v>
      </c>
      <c r="F16" s="58">
        <f t="shared" si="3"/>
        <v>242.03800000000001</v>
      </c>
      <c r="G16" s="58">
        <f>SUM(G17:G19)</f>
        <v>3059283.5</v>
      </c>
      <c r="H16" s="58">
        <f>SUM(H17:H19)</f>
        <v>3005442</v>
      </c>
      <c r="I16" s="58">
        <f>SUM(I17:I19)</f>
        <v>570011.99</v>
      </c>
      <c r="J16" s="145">
        <f t="shared" si="4"/>
        <v>3629295.49</v>
      </c>
      <c r="K16" s="352">
        <f t="shared" si="2"/>
        <v>1249.5611880503614</v>
      </c>
      <c r="L16" s="400">
        <v>962.24900000000002</v>
      </c>
      <c r="M16" s="607">
        <v>1114.373</v>
      </c>
      <c r="N16" s="401">
        <v>1335.644</v>
      </c>
    </row>
    <row r="17" spans="1:15" x14ac:dyDescent="0.2">
      <c r="A17" s="28">
        <v>10</v>
      </c>
      <c r="B17" s="25" t="s">
        <v>130</v>
      </c>
      <c r="C17" s="603">
        <v>81.260999999999996</v>
      </c>
      <c r="D17" s="603">
        <v>78.090999999999994</v>
      </c>
      <c r="E17" s="603">
        <v>1.1659999999999999</v>
      </c>
      <c r="F17" s="58">
        <f t="shared" si="3"/>
        <v>82.426999999999992</v>
      </c>
      <c r="G17" s="601">
        <v>1200462.973</v>
      </c>
      <c r="H17" s="601">
        <v>1156176.943</v>
      </c>
      <c r="I17" s="601">
        <v>54340.646999999997</v>
      </c>
      <c r="J17" s="145">
        <f t="shared" si="4"/>
        <v>1254803.6200000001</v>
      </c>
      <c r="K17" s="352">
        <f t="shared" si="2"/>
        <v>1268.6009236455695</v>
      </c>
      <c r="L17" s="400">
        <v>932.00300000000004</v>
      </c>
      <c r="M17" s="607">
        <v>1120.3230000000001</v>
      </c>
      <c r="N17" s="401">
        <v>1291.837</v>
      </c>
    </row>
    <row r="18" spans="1:15" x14ac:dyDescent="0.2">
      <c r="A18" s="28">
        <v>11</v>
      </c>
      <c r="B18" s="25" t="s">
        <v>105</v>
      </c>
      <c r="C18" s="603">
        <v>82.102000000000004</v>
      </c>
      <c r="D18" s="603">
        <v>81.486000000000004</v>
      </c>
      <c r="E18" s="603">
        <v>10.459</v>
      </c>
      <c r="F18" s="58">
        <f t="shared" si="3"/>
        <v>92.561000000000007</v>
      </c>
      <c r="G18" s="601">
        <v>1185761.253</v>
      </c>
      <c r="H18" s="601">
        <v>1174091.318</v>
      </c>
      <c r="I18" s="601">
        <v>329483.13699999999</v>
      </c>
      <c r="J18" s="145">
        <f t="shared" si="4"/>
        <v>1515244.3900000001</v>
      </c>
      <c r="K18" s="352">
        <f t="shared" si="2"/>
        <v>1364.1854110622544</v>
      </c>
      <c r="L18" s="606">
        <v>1018.027</v>
      </c>
      <c r="M18" s="607">
        <v>1195.393</v>
      </c>
      <c r="N18" s="401">
        <v>1495.5719999999999</v>
      </c>
    </row>
    <row r="19" spans="1:15" x14ac:dyDescent="0.2">
      <c r="A19" s="28">
        <v>12</v>
      </c>
      <c r="B19" s="25" t="s">
        <v>96</v>
      </c>
      <c r="C19" s="603">
        <v>57.746000000000002</v>
      </c>
      <c r="D19" s="603">
        <v>57.746000000000002</v>
      </c>
      <c r="E19" s="603">
        <v>9.3040000000000003</v>
      </c>
      <c r="F19" s="58">
        <f t="shared" si="3"/>
        <v>67.05</v>
      </c>
      <c r="G19" s="601">
        <v>673059.27399999998</v>
      </c>
      <c r="H19" s="601">
        <v>675173.73899999994</v>
      </c>
      <c r="I19" s="601">
        <v>186188.20600000001</v>
      </c>
      <c r="J19" s="145">
        <f t="shared" si="4"/>
        <v>859247.48</v>
      </c>
      <c r="K19" s="352">
        <f t="shared" si="2"/>
        <v>1067.9188168033807</v>
      </c>
      <c r="L19" s="400">
        <v>914.80799999999999</v>
      </c>
      <c r="M19" s="607">
        <v>1020.51</v>
      </c>
      <c r="N19" s="401">
        <v>1125.856</v>
      </c>
    </row>
    <row r="20" spans="1:15" x14ac:dyDescent="0.2">
      <c r="A20" s="28">
        <v>13</v>
      </c>
      <c r="B20" s="41" t="s">
        <v>153</v>
      </c>
      <c r="C20" s="603">
        <v>110.041</v>
      </c>
      <c r="D20" s="603">
        <v>97.978999999999999</v>
      </c>
      <c r="E20" s="603">
        <v>23.859000000000002</v>
      </c>
      <c r="F20" s="58">
        <f t="shared" si="3"/>
        <v>133.9</v>
      </c>
      <c r="G20" s="601">
        <v>2452531.89</v>
      </c>
      <c r="H20" s="601">
        <v>2208219.27</v>
      </c>
      <c r="I20" s="601">
        <v>812015.69</v>
      </c>
      <c r="J20" s="145">
        <f t="shared" si="4"/>
        <v>3264547.58</v>
      </c>
      <c r="K20" s="352">
        <f t="shared" si="2"/>
        <v>2031.7074807069951</v>
      </c>
      <c r="L20" s="606">
        <v>1223.54</v>
      </c>
      <c r="M20" s="607">
        <v>1720.3520000000001</v>
      </c>
      <c r="N20" s="401">
        <v>2359.223</v>
      </c>
    </row>
    <row r="21" spans="1:15" ht="31.5" x14ac:dyDescent="0.2">
      <c r="A21" s="28">
        <v>14</v>
      </c>
      <c r="B21" s="41" t="s">
        <v>27</v>
      </c>
      <c r="C21" s="603">
        <v>144.63200000000001</v>
      </c>
      <c r="D21" s="603">
        <v>144.63200000000001</v>
      </c>
      <c r="E21" s="603">
        <v>11.39</v>
      </c>
      <c r="F21" s="58">
        <f t="shared" si="3"/>
        <v>156.02199999999999</v>
      </c>
      <c r="G21" s="601">
        <v>1401953.67</v>
      </c>
      <c r="H21" s="601">
        <v>1400803.06</v>
      </c>
      <c r="I21" s="601">
        <v>211383.89</v>
      </c>
      <c r="J21" s="145">
        <f t="shared" si="4"/>
        <v>1613337.56</v>
      </c>
      <c r="K21" s="352">
        <f t="shared" si="2"/>
        <v>861.70409728542563</v>
      </c>
      <c r="L21" s="400">
        <v>694.81500000000005</v>
      </c>
      <c r="M21" s="398">
        <v>792.67200000000003</v>
      </c>
      <c r="N21" s="401">
        <v>1006.155</v>
      </c>
    </row>
    <row r="22" spans="1:15" ht="47.25" x14ac:dyDescent="0.2">
      <c r="A22" s="28">
        <v>15</v>
      </c>
      <c r="B22" s="41" t="s">
        <v>186</v>
      </c>
      <c r="C22" s="58">
        <f>SUM(C23:C26)</f>
        <v>35.927999999999997</v>
      </c>
      <c r="D22" s="58">
        <f>SUM(D23:D26)</f>
        <v>35.927999999999997</v>
      </c>
      <c r="E22" s="58">
        <f>SUM(E23:E26)</f>
        <v>6.1950000000000003</v>
      </c>
      <c r="F22" s="58">
        <f>SUM(F27:F27)</f>
        <v>0</v>
      </c>
      <c r="G22" s="58">
        <f>SUM(G23:G26)</f>
        <v>426894.25</v>
      </c>
      <c r="H22" s="58">
        <f>SUM(H23:H26)</f>
        <v>426894.25</v>
      </c>
      <c r="I22" s="58">
        <f>SUM(I23:I26)</f>
        <v>74313.69</v>
      </c>
      <c r="J22" s="145">
        <f>SUM(J23:J26)</f>
        <v>501207.94</v>
      </c>
      <c r="K22" s="352">
        <f t="shared" si="2"/>
        <v>0</v>
      </c>
      <c r="L22" s="459" t="s">
        <v>179</v>
      </c>
      <c r="M22" s="23" t="s">
        <v>179</v>
      </c>
      <c r="N22" s="462" t="s">
        <v>179</v>
      </c>
    </row>
    <row r="23" spans="1:15" x14ac:dyDescent="0.2">
      <c r="A23" s="28" t="s">
        <v>154</v>
      </c>
      <c r="B23" s="610" t="s">
        <v>876</v>
      </c>
      <c r="C23" s="603">
        <v>35.427999999999997</v>
      </c>
      <c r="D23" s="603">
        <v>35.427999999999997</v>
      </c>
      <c r="E23" s="603">
        <v>6.1950000000000003</v>
      </c>
      <c r="F23" s="58">
        <f t="shared" ref="F23:F29" si="5">C23+E23</f>
        <v>41.622999999999998</v>
      </c>
      <c r="G23" s="601">
        <v>420450.22</v>
      </c>
      <c r="H23" s="601">
        <v>420450.22</v>
      </c>
      <c r="I23" s="601">
        <v>74313.69</v>
      </c>
      <c r="J23" s="145">
        <f>G23+I23</f>
        <v>494763.91</v>
      </c>
      <c r="K23" s="352">
        <f t="shared" si="2"/>
        <v>990.56593309788661</v>
      </c>
      <c r="L23" s="459" t="s">
        <v>179</v>
      </c>
      <c r="M23" s="23" t="s">
        <v>179</v>
      </c>
      <c r="N23" s="462" t="s">
        <v>179</v>
      </c>
    </row>
    <row r="24" spans="1:15" x14ac:dyDescent="0.2">
      <c r="A24" s="28" t="s">
        <v>243</v>
      </c>
      <c r="B24" s="610" t="s">
        <v>877</v>
      </c>
      <c r="C24" s="603">
        <v>0.5</v>
      </c>
      <c r="D24" s="603">
        <v>0.5</v>
      </c>
      <c r="E24" s="603"/>
      <c r="F24" s="58">
        <f t="shared" si="5"/>
        <v>0.5</v>
      </c>
      <c r="G24" s="601">
        <v>6444.03</v>
      </c>
      <c r="H24" s="601">
        <v>6444.03</v>
      </c>
      <c r="I24" s="603"/>
      <c r="J24" s="145">
        <f>G24+I24</f>
        <v>6444.03</v>
      </c>
      <c r="K24" s="352">
        <f t="shared" si="2"/>
        <v>1074.0049999999999</v>
      </c>
      <c r="L24" s="459" t="s">
        <v>179</v>
      </c>
      <c r="M24" s="23" t="s">
        <v>179</v>
      </c>
      <c r="N24" s="462" t="s">
        <v>179</v>
      </c>
    </row>
    <row r="25" spans="1:15" x14ac:dyDescent="0.2">
      <c r="A25" s="28" t="s">
        <v>244</v>
      </c>
      <c r="B25" s="42"/>
      <c r="C25" s="603"/>
      <c r="D25" s="603"/>
      <c r="E25" s="603"/>
      <c r="F25" s="58">
        <f t="shared" si="5"/>
        <v>0</v>
      </c>
      <c r="G25" s="603"/>
      <c r="H25" s="603"/>
      <c r="I25" s="603"/>
      <c r="J25" s="145">
        <f>G25+I25</f>
        <v>0</v>
      </c>
      <c r="K25" s="352">
        <f t="shared" si="2"/>
        <v>0</v>
      </c>
      <c r="L25" s="459" t="s">
        <v>179</v>
      </c>
      <c r="M25" s="23" t="s">
        <v>179</v>
      </c>
      <c r="N25" s="462" t="s">
        <v>179</v>
      </c>
    </row>
    <row r="26" spans="1:15" ht="16.5" customHeight="1" x14ac:dyDescent="0.2">
      <c r="A26" s="28" t="s">
        <v>245</v>
      </c>
      <c r="B26" s="42"/>
      <c r="C26" s="603"/>
      <c r="D26" s="603"/>
      <c r="E26" s="603"/>
      <c r="F26" s="58">
        <f t="shared" si="5"/>
        <v>0</v>
      </c>
      <c r="G26" s="603"/>
      <c r="H26" s="603"/>
      <c r="I26" s="603"/>
      <c r="J26" s="145">
        <f>G26+I26</f>
        <v>0</v>
      </c>
      <c r="K26" s="352">
        <f t="shared" si="2"/>
        <v>0</v>
      </c>
      <c r="L26" s="459" t="s">
        <v>179</v>
      </c>
      <c r="M26" s="23" t="s">
        <v>179</v>
      </c>
      <c r="N26" s="462" t="s">
        <v>179</v>
      </c>
    </row>
    <row r="27" spans="1:15" x14ac:dyDescent="0.2">
      <c r="A27" s="28"/>
      <c r="B27" s="25"/>
      <c r="C27" s="602"/>
      <c r="D27" s="602"/>
      <c r="E27" s="602"/>
      <c r="F27" s="139">
        <f t="shared" si="5"/>
        <v>0</v>
      </c>
      <c r="G27" s="602"/>
      <c r="H27" s="602"/>
      <c r="I27" s="602"/>
      <c r="J27" s="313"/>
      <c r="K27" s="352"/>
      <c r="L27" s="460"/>
      <c r="M27" s="398"/>
      <c r="N27" s="461"/>
    </row>
    <row r="28" spans="1:15" x14ac:dyDescent="0.2">
      <c r="A28" s="28">
        <v>16</v>
      </c>
      <c r="B28" s="41" t="s">
        <v>28</v>
      </c>
      <c r="C28" s="603">
        <v>49.875</v>
      </c>
      <c r="D28" s="603">
        <v>49.875</v>
      </c>
      <c r="E28" s="603">
        <v>9.6270000000000007</v>
      </c>
      <c r="F28" s="58">
        <f t="shared" si="5"/>
        <v>59.502000000000002</v>
      </c>
      <c r="G28" s="601">
        <v>528730.62</v>
      </c>
      <c r="H28" s="601">
        <v>528730.62</v>
      </c>
      <c r="I28" s="601">
        <v>104011.89</v>
      </c>
      <c r="J28" s="145">
        <f>G28+I28</f>
        <v>632742.51</v>
      </c>
      <c r="K28" s="352">
        <f t="shared" si="2"/>
        <v>886.16420456455251</v>
      </c>
      <c r="L28" s="400">
        <v>688.98500000000001</v>
      </c>
      <c r="M28" s="398">
        <v>783.72500000000002</v>
      </c>
      <c r="N28" s="401">
        <v>1128.289</v>
      </c>
    </row>
    <row r="29" spans="1:15" x14ac:dyDescent="0.2">
      <c r="A29" s="28">
        <v>17</v>
      </c>
      <c r="B29" s="41" t="s">
        <v>29</v>
      </c>
      <c r="C29" s="603">
        <v>10.183</v>
      </c>
      <c r="D29" s="603">
        <v>10.183</v>
      </c>
      <c r="E29" s="603">
        <v>31.151</v>
      </c>
      <c r="F29" s="58">
        <f t="shared" si="5"/>
        <v>41.334000000000003</v>
      </c>
      <c r="G29" s="601">
        <v>91398.31</v>
      </c>
      <c r="H29" s="601">
        <v>91398.31</v>
      </c>
      <c r="I29" s="601">
        <v>255795.88</v>
      </c>
      <c r="J29" s="145">
        <f>G29+I29</f>
        <v>347194.19</v>
      </c>
      <c r="K29" s="352">
        <f t="shared" si="2"/>
        <v>699.97699633876857</v>
      </c>
      <c r="L29" s="400">
        <v>564.923</v>
      </c>
      <c r="M29" s="398">
        <v>687.80399999999997</v>
      </c>
      <c r="N29" s="401">
        <v>759.89200000000005</v>
      </c>
    </row>
    <row r="30" spans="1:15" ht="16.5" thickBot="1" x14ac:dyDescent="0.3">
      <c r="A30" s="29">
        <v>18</v>
      </c>
      <c r="B30" s="43" t="s">
        <v>187</v>
      </c>
      <c r="C30" s="365">
        <f t="shared" ref="C30:J30" si="6">C7+C13+C16+C20+C21+C28+C29</f>
        <v>1344.5239999999999</v>
      </c>
      <c r="D30" s="365">
        <f t="shared" si="6"/>
        <v>1312.5229999999999</v>
      </c>
      <c r="E30" s="365">
        <f t="shared" si="6"/>
        <v>196.93600000000004</v>
      </c>
      <c r="F30" s="365">
        <f t="shared" si="6"/>
        <v>1541.46</v>
      </c>
      <c r="G30" s="365">
        <f t="shared" si="6"/>
        <v>23886193.579999998</v>
      </c>
      <c r="H30" s="365">
        <f t="shared" si="6"/>
        <v>23054313.710000001</v>
      </c>
      <c r="I30" s="365">
        <f t="shared" si="6"/>
        <v>7374579.6599999992</v>
      </c>
      <c r="J30" s="648">
        <f t="shared" si="6"/>
        <v>31260773.239999998</v>
      </c>
      <c r="K30" s="649">
        <f t="shared" si="2"/>
        <v>1689.9980775801296</v>
      </c>
      <c r="L30" s="608">
        <v>1088.1500000000001</v>
      </c>
      <c r="M30" s="609">
        <v>1533.6369999999999</v>
      </c>
      <c r="N30" s="402">
        <v>2118.7869999999998</v>
      </c>
      <c r="O30" s="659"/>
    </row>
    <row r="31" spans="1:15" ht="16.5" thickBot="1" x14ac:dyDescent="0.25">
      <c r="A31" s="16"/>
      <c r="B31" s="16"/>
      <c r="C31" s="19"/>
      <c r="D31" s="16"/>
      <c r="E31" s="16"/>
      <c r="F31" s="19"/>
      <c r="G31" s="19"/>
      <c r="H31" s="19"/>
      <c r="I31" s="19"/>
      <c r="J31" s="19"/>
    </row>
    <row r="32" spans="1:15" ht="16.5" thickBot="1" x14ac:dyDescent="0.3">
      <c r="A32" s="727" t="s">
        <v>0</v>
      </c>
      <c r="B32" s="728"/>
      <c r="C32" s="728"/>
      <c r="D32" s="728"/>
      <c r="E32" s="728"/>
      <c r="F32" s="728"/>
      <c r="G32" s="728"/>
      <c r="H32" s="728"/>
      <c r="I32" s="728"/>
      <c r="J32" s="728"/>
      <c r="L32" s="463" t="s">
        <v>675</v>
      </c>
      <c r="M32" s="464"/>
      <c r="N32" s="465"/>
    </row>
    <row r="33" spans="1:10" x14ac:dyDescent="0.25">
      <c r="A33" s="736" t="s">
        <v>604</v>
      </c>
      <c r="B33" s="737"/>
      <c r="C33" s="737"/>
      <c r="D33" s="737"/>
      <c r="E33" s="737"/>
      <c r="F33" s="737"/>
      <c r="G33" s="737"/>
      <c r="H33" s="737"/>
      <c r="I33" s="737"/>
      <c r="J33" s="738"/>
    </row>
    <row r="34" spans="1:10" ht="50.25" customHeight="1" x14ac:dyDescent="0.2">
      <c r="B34" s="734" t="s">
        <v>730</v>
      </c>
      <c r="C34" s="734"/>
      <c r="D34" s="734"/>
      <c r="E34" s="734"/>
      <c r="F34" s="734"/>
      <c r="G34" s="734"/>
      <c r="H34" s="734"/>
      <c r="I34" s="734"/>
      <c r="J34" s="734"/>
    </row>
    <row r="35" spans="1:10" x14ac:dyDescent="0.2">
      <c r="B35" s="475" t="s">
        <v>546</v>
      </c>
      <c r="C35" s="476"/>
      <c r="D35" s="476"/>
      <c r="E35" s="476"/>
      <c r="F35" s="476"/>
      <c r="G35" s="476"/>
      <c r="H35" s="476"/>
      <c r="I35" s="476"/>
      <c r="J35" s="476"/>
    </row>
    <row r="36" spans="1:10" x14ac:dyDescent="0.2">
      <c r="B36" s="475" t="s">
        <v>547</v>
      </c>
      <c r="C36" s="476"/>
      <c r="D36" s="476"/>
      <c r="E36" s="476"/>
      <c r="F36" s="476"/>
      <c r="G36" s="476"/>
      <c r="H36" s="476"/>
      <c r="I36" s="476"/>
      <c r="J36" s="476"/>
    </row>
    <row r="37" spans="1:10" x14ac:dyDescent="0.2">
      <c r="B37" s="475" t="s">
        <v>548</v>
      </c>
      <c r="C37" s="476"/>
      <c r="D37" s="476"/>
      <c r="E37" s="476"/>
      <c r="F37" s="476"/>
      <c r="G37" s="476"/>
      <c r="H37" s="476"/>
      <c r="I37" s="476"/>
      <c r="J37" s="476"/>
    </row>
    <row r="38" spans="1:10" x14ac:dyDescent="0.2">
      <c r="B38" s="477"/>
      <c r="C38" s="476"/>
      <c r="D38" s="476"/>
      <c r="E38" s="476"/>
      <c r="F38" s="476"/>
      <c r="G38" s="476"/>
      <c r="H38" s="476"/>
      <c r="I38" s="476"/>
      <c r="J38" s="476"/>
    </row>
  </sheetData>
  <mergeCells count="19">
    <mergeCell ref="A32:J32"/>
    <mergeCell ref="C3:F3"/>
    <mergeCell ref="H3:H4"/>
    <mergeCell ref="K3:K5"/>
    <mergeCell ref="B34:J34"/>
    <mergeCell ref="G3:G5"/>
    <mergeCell ref="I3:I5"/>
    <mergeCell ref="C4:C5"/>
    <mergeCell ref="A33:J33"/>
    <mergeCell ref="E4:E5"/>
    <mergeCell ref="F4:F5"/>
    <mergeCell ref="B3:B5"/>
    <mergeCell ref="A3:A5"/>
    <mergeCell ref="L3:L5"/>
    <mergeCell ref="M3:M5"/>
    <mergeCell ref="N3:N5"/>
    <mergeCell ref="A1:K1"/>
    <mergeCell ref="A2:K2"/>
    <mergeCell ref="J3:J5"/>
  </mergeCells>
  <phoneticPr fontId="0" type="noConversion"/>
  <printOptions gridLines="1"/>
  <pageMargins left="0.47244094488188981" right="0.31496062992125984" top="0.74803149606299213" bottom="0.39370078740157483" header="0.51181102362204722" footer="0.27559055118110237"/>
  <pageSetup paperSize="9" scale="5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86" zoomScaleNormal="86" workbookViewId="0">
      <pane xSplit="2" ySplit="6" topLeftCell="C19" activePane="bottomRight" state="frozen"/>
      <selection pane="topRight" activeCell="C1" sqref="C1"/>
      <selection pane="bottomLeft" activeCell="A7" sqref="A7"/>
      <selection pane="bottomRight" activeCell="C30" sqref="C30:K30"/>
    </sheetView>
  </sheetViews>
  <sheetFormatPr defaultRowHeight="15.75" x14ac:dyDescent="0.2"/>
  <cols>
    <col min="1" max="1" width="5.5703125" style="22" customWidth="1"/>
    <col min="2" max="2" width="60.28515625" style="45" customWidth="1"/>
    <col min="3" max="3" width="14.7109375" style="17" customWidth="1"/>
    <col min="4" max="4" width="14" style="17" customWidth="1"/>
    <col min="5" max="5" width="15.85546875" style="17" customWidth="1"/>
    <col min="6" max="6" width="15.7109375" style="17" customWidth="1"/>
    <col min="7" max="7" width="19.140625" style="17" customWidth="1"/>
    <col min="8" max="8" width="18.7109375" style="17" customWidth="1"/>
    <col min="9" max="9" width="16.28515625" style="17" customWidth="1"/>
    <col min="10" max="10" width="17.7109375" style="17" bestFit="1" customWidth="1"/>
    <col min="11" max="11" width="13.28515625" style="17" customWidth="1"/>
    <col min="12" max="12" width="12.42578125" style="17" customWidth="1"/>
    <col min="13" max="13" width="9.7109375" style="17" customWidth="1"/>
    <col min="14" max="15" width="10" style="17" customWidth="1"/>
    <col min="16" max="16" width="3.5703125" style="17" customWidth="1"/>
    <col min="17" max="18" width="3.85546875" style="17" customWidth="1"/>
    <col min="19" max="16384" width="9.140625" style="17"/>
  </cols>
  <sheetData>
    <row r="1" spans="1:15" ht="35.1" customHeight="1" thickBot="1" x14ac:dyDescent="0.25">
      <c r="A1" s="742" t="s">
        <v>781</v>
      </c>
      <c r="B1" s="743"/>
      <c r="C1" s="743"/>
      <c r="D1" s="743"/>
      <c r="E1" s="743"/>
      <c r="F1" s="743"/>
      <c r="G1" s="743"/>
      <c r="H1" s="743"/>
      <c r="I1" s="743"/>
      <c r="J1" s="743"/>
      <c r="K1" s="743"/>
    </row>
    <row r="2" spans="1:15" ht="35.450000000000003" customHeight="1" thickBot="1" x14ac:dyDescent="0.25">
      <c r="A2" s="722" t="s">
        <v>862</v>
      </c>
      <c r="B2" s="723"/>
      <c r="C2" s="723"/>
      <c r="D2" s="723"/>
      <c r="E2" s="723"/>
      <c r="F2" s="723"/>
      <c r="G2" s="723"/>
      <c r="H2" s="723"/>
      <c r="I2" s="723"/>
      <c r="J2" s="723"/>
      <c r="K2" s="723"/>
      <c r="L2" s="469" t="s">
        <v>614</v>
      </c>
      <c r="M2" s="419"/>
      <c r="N2" s="419"/>
      <c r="O2" s="419"/>
    </row>
    <row r="3" spans="1:15" ht="21" customHeight="1" x14ac:dyDescent="0.2">
      <c r="A3" s="740" t="s">
        <v>115</v>
      </c>
      <c r="B3" s="744" t="s">
        <v>689</v>
      </c>
      <c r="C3" s="729" t="s">
        <v>782</v>
      </c>
      <c r="D3" s="729"/>
      <c r="E3" s="729"/>
      <c r="F3" s="729"/>
      <c r="G3" s="729" t="s">
        <v>549</v>
      </c>
      <c r="H3" s="730" t="s">
        <v>172</v>
      </c>
      <c r="I3" s="729" t="s">
        <v>551</v>
      </c>
      <c r="J3" s="725" t="s">
        <v>552</v>
      </c>
      <c r="K3" s="746" t="s">
        <v>615</v>
      </c>
      <c r="L3" s="749" t="s">
        <v>725</v>
      </c>
      <c r="M3" s="711" t="s">
        <v>673</v>
      </c>
      <c r="N3" s="714" t="s">
        <v>690</v>
      </c>
      <c r="O3" s="717" t="s">
        <v>674</v>
      </c>
    </row>
    <row r="4" spans="1:15" ht="34.5" customHeight="1" x14ac:dyDescent="0.2">
      <c r="A4" s="741"/>
      <c r="B4" s="745"/>
      <c r="C4" s="735" t="s">
        <v>616</v>
      </c>
      <c r="D4" s="13" t="s">
        <v>172</v>
      </c>
      <c r="E4" s="735" t="s">
        <v>618</v>
      </c>
      <c r="F4" s="735" t="s">
        <v>619</v>
      </c>
      <c r="G4" s="735"/>
      <c r="H4" s="731"/>
      <c r="I4" s="735"/>
      <c r="J4" s="726"/>
      <c r="K4" s="746"/>
      <c r="L4" s="749"/>
      <c r="M4" s="712"/>
      <c r="N4" s="715"/>
      <c r="O4" s="718"/>
    </row>
    <row r="5" spans="1:15" s="71" customFormat="1" ht="63.75" thickBot="1" x14ac:dyDescent="0.25">
      <c r="A5" s="741"/>
      <c r="B5" s="745"/>
      <c r="C5" s="735"/>
      <c r="D5" s="93" t="s">
        <v>617</v>
      </c>
      <c r="E5" s="735"/>
      <c r="F5" s="735"/>
      <c r="G5" s="735"/>
      <c r="H5" s="13" t="s">
        <v>550</v>
      </c>
      <c r="I5" s="735"/>
      <c r="J5" s="726"/>
      <c r="K5" s="747"/>
      <c r="L5" s="750"/>
      <c r="M5" s="713"/>
      <c r="N5" s="716"/>
      <c r="O5" s="719"/>
    </row>
    <row r="6" spans="1:15" s="72" customFormat="1" ht="18" customHeight="1" thickBot="1" x14ac:dyDescent="0.25">
      <c r="A6" s="124"/>
      <c r="B6" s="60"/>
      <c r="C6" s="15" t="s">
        <v>158</v>
      </c>
      <c r="D6" s="15" t="s">
        <v>159</v>
      </c>
      <c r="E6" s="15" t="s">
        <v>160</v>
      </c>
      <c r="F6" s="15" t="s">
        <v>103</v>
      </c>
      <c r="G6" s="15" t="s">
        <v>161</v>
      </c>
      <c r="H6" s="15" t="s">
        <v>162</v>
      </c>
      <c r="I6" s="15" t="s">
        <v>163</v>
      </c>
      <c r="J6" s="309" t="s">
        <v>104</v>
      </c>
      <c r="K6" s="354" t="s">
        <v>602</v>
      </c>
      <c r="L6" s="466" t="s">
        <v>538</v>
      </c>
      <c r="M6" s="420"/>
      <c r="N6" s="420"/>
      <c r="O6" s="420"/>
    </row>
    <row r="7" spans="1:15" s="20" customFormat="1" x14ac:dyDescent="0.2">
      <c r="A7" s="28">
        <v>1</v>
      </c>
      <c r="B7" s="41" t="s">
        <v>155</v>
      </c>
      <c r="C7" s="58">
        <f>SUM(C8:C12)</f>
        <v>319.25900000000001</v>
      </c>
      <c r="D7" s="58">
        <f>SUM(D8:D12)</f>
        <v>319.197</v>
      </c>
      <c r="E7" s="58">
        <f>SUM(E8:E12)</f>
        <v>42.140000000000008</v>
      </c>
      <c r="F7" s="58">
        <f t="shared" ref="F7:F13" si="0">C7+E7</f>
        <v>361.399</v>
      </c>
      <c r="G7" s="58">
        <f>SUM(G8:G12)</f>
        <v>6400149.8999999994</v>
      </c>
      <c r="H7" s="58">
        <f>SUM(H8:H12)</f>
        <v>6393402.3399999999</v>
      </c>
      <c r="I7" s="58">
        <f>SUM(I8:I12)</f>
        <v>2501834.69</v>
      </c>
      <c r="J7" s="145">
        <f t="shared" ref="J7:J13" si="1">G7+I7</f>
        <v>8901984.5899999999</v>
      </c>
      <c r="K7" s="352">
        <f>IF(F7=0,0,J7/F7/12)</f>
        <v>2052.6676863153098</v>
      </c>
      <c r="L7" s="467">
        <f>IF('T6-Zamestnanci_a_mzdy'!F7-'T6a-Zamestnanci_a_mzdy (ženy)'!F7=0,0,('T6-Zamestnanci_a_mzdy'!J7-'T6a-Zamestnanci_a_mzdy (ženy)'!J7)/('T6-Zamestnanci_a_mzdy'!F7-'T6a-Zamestnanci_a_mzdy (ženy)'!F7)/12)</f>
        <v>2480.3682254211431</v>
      </c>
      <c r="M7" s="611">
        <v>1405.5139999999999</v>
      </c>
      <c r="N7" s="612">
        <v>1711.819</v>
      </c>
      <c r="O7" s="613">
        <v>2266.5160000000001</v>
      </c>
    </row>
    <row r="8" spans="1:15" ht="31.5" x14ac:dyDescent="0.2">
      <c r="A8" s="28">
        <v>2</v>
      </c>
      <c r="B8" s="25" t="s">
        <v>603</v>
      </c>
      <c r="C8" s="603">
        <v>20.120999999999999</v>
      </c>
      <c r="D8" s="603">
        <v>20.120999999999999</v>
      </c>
      <c r="E8" s="603">
        <v>6.3650000000000002</v>
      </c>
      <c r="F8" s="58">
        <f t="shared" si="0"/>
        <v>26.485999999999997</v>
      </c>
      <c r="G8" s="601">
        <v>764255.52</v>
      </c>
      <c r="H8" s="601">
        <v>764122.52</v>
      </c>
      <c r="I8" s="601">
        <v>461587.09</v>
      </c>
      <c r="J8" s="145">
        <f t="shared" si="1"/>
        <v>1225842.6100000001</v>
      </c>
      <c r="K8" s="352">
        <f t="shared" ref="K8:K30" si="2">IF(F8=0,0,J8/F8/12)</f>
        <v>3856.8885763548046</v>
      </c>
      <c r="L8" s="467">
        <f>IF('T6-Zamestnanci_a_mzdy'!F8-'T6a-Zamestnanci_a_mzdy (ženy)'!F8=0,0,('T6-Zamestnanci_a_mzdy'!J8-'T6a-Zamestnanci_a_mzdy (ženy)'!J8)/('T6-Zamestnanci_a_mzdy'!F8-'T6a-Zamestnanci_a_mzdy (ženy)'!F8)/12)</f>
        <v>3553.3415401405255</v>
      </c>
      <c r="M8" s="614">
        <v>2481.712</v>
      </c>
      <c r="N8" s="615">
        <v>3448.5149999999999</v>
      </c>
      <c r="O8" s="616">
        <v>4892.6589999999997</v>
      </c>
    </row>
    <row r="9" spans="1:15" x14ac:dyDescent="0.2">
      <c r="A9" s="28">
        <v>3</v>
      </c>
      <c r="B9" s="25" t="s">
        <v>126</v>
      </c>
      <c r="C9" s="603">
        <v>69.069999999999993</v>
      </c>
      <c r="D9" s="603">
        <v>69.069999999999993</v>
      </c>
      <c r="E9" s="603">
        <v>7.6790000000000003</v>
      </c>
      <c r="F9" s="58">
        <f t="shared" si="0"/>
        <v>76.748999999999995</v>
      </c>
      <c r="G9" s="601">
        <v>1766945.92</v>
      </c>
      <c r="H9" s="601">
        <v>1766271.27</v>
      </c>
      <c r="I9" s="601">
        <v>453201.96</v>
      </c>
      <c r="J9" s="145">
        <f t="shared" si="1"/>
        <v>2220147.88</v>
      </c>
      <c r="K9" s="352">
        <f t="shared" si="2"/>
        <v>2410.6154260424673</v>
      </c>
      <c r="L9" s="467">
        <f>IF('T6-Zamestnanci_a_mzdy'!F9-'T6a-Zamestnanci_a_mzdy (ženy)'!F9=0,0,('T6-Zamestnanci_a_mzdy'!J9-'T6a-Zamestnanci_a_mzdy (ženy)'!J9)/('T6-Zamestnanci_a_mzdy'!F9-'T6a-Zamestnanci_a_mzdy (ženy)'!F9)/12)</f>
        <v>2730.4100019620887</v>
      </c>
      <c r="M9" s="614">
        <v>1663.4970000000001</v>
      </c>
      <c r="N9" s="615">
        <v>2103.3519999999999</v>
      </c>
      <c r="O9" s="616">
        <v>3103.511</v>
      </c>
    </row>
    <row r="10" spans="1:15" ht="31.5" x14ac:dyDescent="0.2">
      <c r="A10" s="28">
        <v>4</v>
      </c>
      <c r="B10" s="25" t="s">
        <v>127</v>
      </c>
      <c r="C10" s="603">
        <v>174.583</v>
      </c>
      <c r="D10" s="603">
        <v>174.52099999999999</v>
      </c>
      <c r="E10" s="603">
        <v>19.091000000000001</v>
      </c>
      <c r="F10" s="58">
        <f t="shared" si="0"/>
        <v>193.67400000000001</v>
      </c>
      <c r="G10" s="601">
        <v>3128211.75</v>
      </c>
      <c r="H10" s="601">
        <v>3122271.84</v>
      </c>
      <c r="I10" s="601">
        <v>1145851.31</v>
      </c>
      <c r="J10" s="145">
        <f t="shared" si="1"/>
        <v>4274063.0600000005</v>
      </c>
      <c r="K10" s="352">
        <f t="shared" si="2"/>
        <v>1839.0280660629032</v>
      </c>
      <c r="L10" s="467">
        <f>IF('T6-Zamestnanci_a_mzdy'!F10-'T6a-Zamestnanci_a_mzdy (ženy)'!F10=0,0,('T6-Zamestnanci_a_mzdy'!J10-'T6a-Zamestnanci_a_mzdy (ženy)'!J10)/('T6-Zamestnanci_a_mzdy'!F10-'T6a-Zamestnanci_a_mzdy (ženy)'!F10)/12)</f>
        <v>1949.3163772697847</v>
      </c>
      <c r="M10" s="614">
        <v>1381.2660000000001</v>
      </c>
      <c r="N10" s="615">
        <v>1680.51</v>
      </c>
      <c r="O10" s="616">
        <v>2107.1190000000001</v>
      </c>
    </row>
    <row r="11" spans="1:15" x14ac:dyDescent="0.2">
      <c r="A11" s="28">
        <v>5</v>
      </c>
      <c r="B11" s="25" t="s">
        <v>128</v>
      </c>
      <c r="C11" s="603">
        <v>49.759</v>
      </c>
      <c r="D11" s="603">
        <v>49.759</v>
      </c>
      <c r="E11" s="603">
        <v>5.6369999999999996</v>
      </c>
      <c r="F11" s="58">
        <f t="shared" si="0"/>
        <v>55.396000000000001</v>
      </c>
      <c r="G11" s="601">
        <v>651703.39</v>
      </c>
      <c r="H11" s="601">
        <v>651703.39</v>
      </c>
      <c r="I11" s="601">
        <v>379397.35</v>
      </c>
      <c r="J11" s="145">
        <f t="shared" si="1"/>
        <v>1031100.74</v>
      </c>
      <c r="K11" s="352">
        <f t="shared" si="2"/>
        <v>1551.1058861048932</v>
      </c>
      <c r="L11" s="467">
        <f>IF('T6-Zamestnanci_a_mzdy'!F11-'T6a-Zamestnanci_a_mzdy (ženy)'!F11=0,0,('T6-Zamestnanci_a_mzdy'!J11-'T6a-Zamestnanci_a_mzdy (ženy)'!J11)/('T6-Zamestnanci_a_mzdy'!F11-'T6a-Zamestnanci_a_mzdy (ženy)'!F11)/12)</f>
        <v>1577.5063294162608</v>
      </c>
      <c r="M11" s="614">
        <v>1244.4469999999999</v>
      </c>
      <c r="N11" s="615">
        <v>1520.19</v>
      </c>
      <c r="O11" s="616">
        <v>1788.731</v>
      </c>
    </row>
    <row r="12" spans="1:15" x14ac:dyDescent="0.2">
      <c r="A12" s="28">
        <v>6</v>
      </c>
      <c r="B12" s="25" t="s">
        <v>129</v>
      </c>
      <c r="C12" s="603">
        <v>5.726</v>
      </c>
      <c r="D12" s="603">
        <v>5.726</v>
      </c>
      <c r="E12" s="603">
        <v>3.3679999999999999</v>
      </c>
      <c r="F12" s="58">
        <f t="shared" si="0"/>
        <v>9.0939999999999994</v>
      </c>
      <c r="G12" s="601">
        <v>89033.32</v>
      </c>
      <c r="H12" s="601">
        <v>89033.32</v>
      </c>
      <c r="I12" s="601">
        <v>61796.98</v>
      </c>
      <c r="J12" s="145">
        <f t="shared" si="1"/>
        <v>150830.30000000002</v>
      </c>
      <c r="K12" s="352">
        <f t="shared" si="2"/>
        <v>1382.1411553405178</v>
      </c>
      <c r="L12" s="467">
        <f>IF('T6-Zamestnanci_a_mzdy'!F12-'T6a-Zamestnanci_a_mzdy (ženy)'!F12=0,0,('T6-Zamestnanci_a_mzdy'!J12-'T6a-Zamestnanci_a_mzdy (ženy)'!J12)/('T6-Zamestnanci_a_mzdy'!F12-'T6a-Zamestnanci_a_mzdy (ženy)'!F12)/12)</f>
        <v>1265.1154217004139</v>
      </c>
      <c r="M12" s="614">
        <v>1116.8430000000001</v>
      </c>
      <c r="N12" s="615">
        <v>1261.05</v>
      </c>
      <c r="O12" s="616">
        <v>1387.675</v>
      </c>
    </row>
    <row r="13" spans="1:15" x14ac:dyDescent="0.2">
      <c r="A13" s="28">
        <v>7</v>
      </c>
      <c r="B13" s="41" t="s">
        <v>26</v>
      </c>
      <c r="C13" s="603">
        <v>133.708</v>
      </c>
      <c r="D13" s="603">
        <v>122.82899999999999</v>
      </c>
      <c r="E13" s="603">
        <v>11.666</v>
      </c>
      <c r="F13" s="58">
        <f t="shared" si="0"/>
        <v>145.374</v>
      </c>
      <c r="G13" s="601">
        <v>1660207.56</v>
      </c>
      <c r="H13" s="601">
        <v>1476349.24</v>
      </c>
      <c r="I13" s="601">
        <v>224005.62</v>
      </c>
      <c r="J13" s="145">
        <f t="shared" si="1"/>
        <v>1884213.1800000002</v>
      </c>
      <c r="K13" s="352">
        <f t="shared" si="2"/>
        <v>1080.0952371125511</v>
      </c>
      <c r="L13" s="467">
        <f>IF('T6-Zamestnanci_a_mzdy'!F13-'T6a-Zamestnanci_a_mzdy (ženy)'!F13=0,0,('T6-Zamestnanci_a_mzdy'!J13-'T6a-Zamestnanci_a_mzdy (ženy)'!J13)/('T6-Zamestnanci_a_mzdy'!F13-'T6a-Zamestnanci_a_mzdy (ženy)'!F13)/12)</f>
        <v>1433.9705598144683</v>
      </c>
      <c r="M13" s="617">
        <v>853.29399999999998</v>
      </c>
      <c r="N13" s="615">
        <v>1013.961</v>
      </c>
      <c r="O13" s="616">
        <v>1349.75</v>
      </c>
    </row>
    <row r="14" spans="1:15" x14ac:dyDescent="0.2">
      <c r="A14" s="28"/>
      <c r="B14" s="25" t="s">
        <v>172</v>
      </c>
      <c r="C14" s="602"/>
      <c r="D14" s="602"/>
      <c r="E14" s="602"/>
      <c r="F14" s="139"/>
      <c r="G14" s="602"/>
      <c r="H14" s="602"/>
      <c r="I14" s="602"/>
      <c r="J14" s="313"/>
      <c r="K14" s="313"/>
      <c r="L14" s="467"/>
      <c r="M14" s="617"/>
      <c r="N14" s="618"/>
      <c r="O14" s="619"/>
    </row>
    <row r="15" spans="1:15" x14ac:dyDescent="0.2">
      <c r="A15" s="28">
        <v>8</v>
      </c>
      <c r="B15" s="25" t="s">
        <v>30</v>
      </c>
      <c r="C15" s="603">
        <v>13.352</v>
      </c>
      <c r="D15" s="603">
        <v>13.352</v>
      </c>
      <c r="E15" s="603">
        <v>1.5609999999999999</v>
      </c>
      <c r="F15" s="58">
        <f t="shared" ref="F15:F21" si="3">C15+E15</f>
        <v>14.913</v>
      </c>
      <c r="G15" s="601">
        <v>182410.51</v>
      </c>
      <c r="H15" s="601">
        <v>182410.51</v>
      </c>
      <c r="I15" s="601">
        <v>32635.73</v>
      </c>
      <c r="J15" s="145">
        <f t="shared" ref="J15:J21" si="4">G15+I15</f>
        <v>215046.24000000002</v>
      </c>
      <c r="K15" s="352">
        <f t="shared" si="2"/>
        <v>1201.6710252799571</v>
      </c>
      <c r="L15" s="467">
        <f>IF('T6-Zamestnanci_a_mzdy'!F15-'T6a-Zamestnanci_a_mzdy (ženy)'!F15=0,0,('T6-Zamestnanci_a_mzdy'!J15-'T6a-Zamestnanci_a_mzdy (ženy)'!J15)/('T6-Zamestnanci_a_mzdy'!F15-'T6a-Zamestnanci_a_mzdy (ženy)'!F15)/12)</f>
        <v>1682.8032453216681</v>
      </c>
      <c r="M15" s="617">
        <v>896.55</v>
      </c>
      <c r="N15" s="615">
        <v>1206.348</v>
      </c>
      <c r="O15" s="616">
        <v>1452.8219999999999</v>
      </c>
    </row>
    <row r="16" spans="1:15" x14ac:dyDescent="0.2">
      <c r="A16" s="28">
        <v>9</v>
      </c>
      <c r="B16" s="41" t="s">
        <v>156</v>
      </c>
      <c r="C16" s="58">
        <f>SUM(C17:C19)</f>
        <v>207.846</v>
      </c>
      <c r="D16" s="58">
        <f>SUM(D17:D19)</f>
        <v>204.06</v>
      </c>
      <c r="E16" s="58">
        <f>SUM(E17:E19)</f>
        <v>19.585000000000001</v>
      </c>
      <c r="F16" s="58">
        <f t="shared" si="3"/>
        <v>227.43100000000001</v>
      </c>
      <c r="G16" s="58">
        <f>SUM(G17:G19)</f>
        <v>2851659.7199999997</v>
      </c>
      <c r="H16" s="58">
        <f>SUM(H17:H19)</f>
        <v>2788075.58</v>
      </c>
      <c r="I16" s="58">
        <f>SUM(I17:I19)</f>
        <v>513924.54000000004</v>
      </c>
      <c r="J16" s="145">
        <f t="shared" si="4"/>
        <v>3365584.26</v>
      </c>
      <c r="K16" s="352">
        <f t="shared" si="2"/>
        <v>1233.1887693410308</v>
      </c>
      <c r="L16" s="467">
        <f>IF('T6-Zamestnanci_a_mzdy'!F16-'T6a-Zamestnanci_a_mzdy (ženy)'!F16=0,0,('T6-Zamestnanci_a_mzdy'!J16-'T6a-Zamestnanci_a_mzdy (ženy)'!J16)/('T6-Zamestnanci_a_mzdy'!F16-'T6a-Zamestnanci_a_mzdy (ženy)'!F16)/12)</f>
        <v>1504.4797585632487</v>
      </c>
      <c r="M16" s="617">
        <v>963.01900000000001</v>
      </c>
      <c r="N16" s="615">
        <v>1113.8399999999999</v>
      </c>
      <c r="O16" s="616">
        <v>1340.36</v>
      </c>
    </row>
    <row r="17" spans="1:15" x14ac:dyDescent="0.2">
      <c r="A17" s="28">
        <v>10</v>
      </c>
      <c r="B17" s="25" t="s">
        <v>130</v>
      </c>
      <c r="C17" s="603">
        <v>72.558000000000007</v>
      </c>
      <c r="D17" s="603">
        <v>69.388000000000005</v>
      </c>
      <c r="E17" s="603">
        <v>1.1659999999999999</v>
      </c>
      <c r="F17" s="58">
        <f t="shared" si="3"/>
        <v>73.724000000000004</v>
      </c>
      <c r="G17" s="601">
        <v>1067016.75</v>
      </c>
      <c r="H17" s="601">
        <v>1018707.72</v>
      </c>
      <c r="I17" s="601">
        <v>32741.59</v>
      </c>
      <c r="J17" s="145">
        <f t="shared" si="4"/>
        <v>1099758.3400000001</v>
      </c>
      <c r="K17" s="352">
        <f t="shared" si="2"/>
        <v>1243.1030374550126</v>
      </c>
      <c r="L17" s="467">
        <f>IF('T6-Zamestnanci_a_mzdy'!F17-'T6a-Zamestnanci_a_mzdy (ženy)'!F17=0,0,('T6-Zamestnanci_a_mzdy'!J17-'T6a-Zamestnanci_a_mzdy (ženy)'!J17)/('T6-Zamestnanci_a_mzdy'!F17-'T6a-Zamestnanci_a_mzdy (ženy)'!F17)/12)</f>
        <v>1484.5961162817441</v>
      </c>
      <c r="M17" s="617">
        <v>933.95799999999997</v>
      </c>
      <c r="N17" s="615">
        <v>1130.1420000000001</v>
      </c>
      <c r="O17" s="616">
        <v>1301.7629999999999</v>
      </c>
    </row>
    <row r="18" spans="1:15" x14ac:dyDescent="0.2">
      <c r="A18" s="28">
        <v>11</v>
      </c>
      <c r="B18" s="25" t="s">
        <v>105</v>
      </c>
      <c r="C18" s="603">
        <v>78.903000000000006</v>
      </c>
      <c r="D18" s="603">
        <v>78.287000000000006</v>
      </c>
      <c r="E18" s="603">
        <v>9.2420000000000009</v>
      </c>
      <c r="F18" s="58">
        <f t="shared" si="3"/>
        <v>88.14500000000001</v>
      </c>
      <c r="G18" s="601">
        <v>1134858.3799999999</v>
      </c>
      <c r="H18" s="601">
        <v>1119583.27</v>
      </c>
      <c r="I18" s="601">
        <v>308865.99</v>
      </c>
      <c r="J18" s="145">
        <f t="shared" si="4"/>
        <v>1443724.3699999999</v>
      </c>
      <c r="K18" s="352">
        <f t="shared" si="2"/>
        <v>1364.9142227768637</v>
      </c>
      <c r="L18" s="467">
        <f>IF('T6-Zamestnanci_a_mzdy'!F18-'T6a-Zamestnanci_a_mzdy (ženy)'!F18=0,0,('T6-Zamestnanci_a_mzdy'!J18-'T6a-Zamestnanci_a_mzdy (ženy)'!J18)/('T6-Zamestnanci_a_mzdy'!F18-'T6a-Zamestnanci_a_mzdy (ženy)'!F18)/12)</f>
        <v>1349.638058574885</v>
      </c>
      <c r="M18" s="614">
        <v>1033.01</v>
      </c>
      <c r="N18" s="615">
        <v>1195.393</v>
      </c>
      <c r="O18" s="616">
        <v>1495.5719999999999</v>
      </c>
    </row>
    <row r="19" spans="1:15" x14ac:dyDescent="0.2">
      <c r="A19" s="28">
        <v>12</v>
      </c>
      <c r="B19" s="25" t="s">
        <v>96</v>
      </c>
      <c r="C19" s="603">
        <v>56.384999999999998</v>
      </c>
      <c r="D19" s="603">
        <v>56.384999999999998</v>
      </c>
      <c r="E19" s="603">
        <v>9.1769999999999996</v>
      </c>
      <c r="F19" s="58">
        <f t="shared" si="3"/>
        <v>65.561999999999998</v>
      </c>
      <c r="G19" s="601">
        <v>649784.59</v>
      </c>
      <c r="H19" s="601">
        <v>649784.59</v>
      </c>
      <c r="I19" s="601">
        <v>172316.96</v>
      </c>
      <c r="J19" s="145">
        <f t="shared" si="4"/>
        <v>822101.54999999993</v>
      </c>
      <c r="K19" s="352">
        <f t="shared" si="2"/>
        <v>1044.9416201458162</v>
      </c>
      <c r="L19" s="467">
        <f>IF('T6-Zamestnanci_a_mzdy'!F19-'T6a-Zamestnanci_a_mzdy (ženy)'!F19=0,0,('T6-Zamestnanci_a_mzdy'!J19-'T6a-Zamestnanci_a_mzdy (ženy)'!J19)/('T6-Zamestnanci_a_mzdy'!F19-'T6a-Zamestnanci_a_mzdy (ženy)'!F19)/12)</f>
        <v>2080.3052195340538</v>
      </c>
      <c r="M19" s="617">
        <v>914.80799999999999</v>
      </c>
      <c r="N19" s="615">
        <v>1019.678</v>
      </c>
      <c r="O19" s="616">
        <v>1125.6769999999999</v>
      </c>
    </row>
    <row r="20" spans="1:15" x14ac:dyDescent="0.2">
      <c r="A20" s="28">
        <v>13</v>
      </c>
      <c r="B20" s="41" t="s">
        <v>153</v>
      </c>
      <c r="C20" s="603">
        <v>63.082999999999998</v>
      </c>
      <c r="D20" s="603">
        <v>62.164999999999999</v>
      </c>
      <c r="E20" s="603">
        <v>12.698</v>
      </c>
      <c r="F20" s="58">
        <f t="shared" si="3"/>
        <v>75.781000000000006</v>
      </c>
      <c r="G20" s="601">
        <v>1226870.45</v>
      </c>
      <c r="H20" s="601">
        <v>1205933.99</v>
      </c>
      <c r="I20" s="601">
        <v>445691.27</v>
      </c>
      <c r="J20" s="145">
        <f t="shared" si="4"/>
        <v>1672561.72</v>
      </c>
      <c r="K20" s="352">
        <f t="shared" si="2"/>
        <v>1839.2491961485505</v>
      </c>
      <c r="L20" s="467">
        <f>IF('T6-Zamestnanci_a_mzdy'!F20-'T6a-Zamestnanci_a_mzdy (ženy)'!F20=0,0,('T6-Zamestnanci_a_mzdy'!J20-'T6a-Zamestnanci_a_mzdy (ženy)'!J20)/('T6-Zamestnanci_a_mzdy'!F20-'T6a-Zamestnanci_a_mzdy (ženy)'!F20)/12)</f>
        <v>2282.6526322430418</v>
      </c>
      <c r="M20" s="614">
        <v>1198.124</v>
      </c>
      <c r="N20" s="615">
        <v>1474.682</v>
      </c>
      <c r="O20" s="616">
        <v>2121.8530000000001</v>
      </c>
    </row>
    <row r="21" spans="1:15" ht="31.5" x14ac:dyDescent="0.2">
      <c r="A21" s="28">
        <v>14</v>
      </c>
      <c r="B21" s="41" t="s">
        <v>27</v>
      </c>
      <c r="C21" s="603">
        <v>80.268000000000001</v>
      </c>
      <c r="D21" s="603">
        <v>80.268000000000001</v>
      </c>
      <c r="E21" s="603">
        <v>7.6319999999999997</v>
      </c>
      <c r="F21" s="58">
        <f t="shared" si="3"/>
        <v>87.9</v>
      </c>
      <c r="G21" s="601">
        <v>667594.34</v>
      </c>
      <c r="H21" s="601">
        <v>667594.34</v>
      </c>
      <c r="I21" s="601">
        <v>139737.82999999999</v>
      </c>
      <c r="J21" s="145">
        <f t="shared" si="4"/>
        <v>807332.16999999993</v>
      </c>
      <c r="K21" s="352">
        <f t="shared" si="2"/>
        <v>765.38886044747812</v>
      </c>
      <c r="L21" s="467">
        <f>IF('T6-Zamestnanci_a_mzdy'!F21-'T6a-Zamestnanci_a_mzdy (ženy)'!F21=0,0,('T6-Zamestnanci_a_mzdy'!J21-'T6a-Zamestnanci_a_mzdy (ženy)'!J21)/('T6-Zamestnanci_a_mzdy'!F21-'T6a-Zamestnanci_a_mzdy (ženy)'!F21)/12)</f>
        <v>985.98273440787636</v>
      </c>
      <c r="M21" s="617">
        <v>677.22199999999998</v>
      </c>
      <c r="N21" s="618">
        <v>735.45500000000004</v>
      </c>
      <c r="O21" s="619">
        <v>831.10799999999995</v>
      </c>
    </row>
    <row r="22" spans="1:15" ht="47.25" x14ac:dyDescent="0.2">
      <c r="A22" s="28">
        <v>15</v>
      </c>
      <c r="B22" s="41" t="s">
        <v>186</v>
      </c>
      <c r="C22" s="58">
        <f>SUM(C23:C26)</f>
        <v>17.343</v>
      </c>
      <c r="D22" s="58">
        <f>SUM(D23:D26)</f>
        <v>17.343</v>
      </c>
      <c r="E22" s="58">
        <f>SUM(E23:E26)</f>
        <v>3.1949999999999998</v>
      </c>
      <c r="F22" s="58">
        <f>SUM(F27:F27)</f>
        <v>0</v>
      </c>
      <c r="G22" s="58">
        <f>SUM(G23:G26)</f>
        <v>181704.61</v>
      </c>
      <c r="H22" s="58">
        <f>SUM(H23:H26)</f>
        <v>181704.61</v>
      </c>
      <c r="I22" s="58">
        <f>SUM(I23:I26)</f>
        <v>35045.440000000002</v>
      </c>
      <c r="J22" s="145">
        <f>SUM(J23:J26)</f>
        <v>216750.05</v>
      </c>
      <c r="K22" s="352">
        <f t="shared" si="2"/>
        <v>0</v>
      </c>
      <c r="L22" s="467">
        <f>IF('T6-Zamestnanci_a_mzdy'!F22-'T6a-Zamestnanci_a_mzdy (ženy)'!F22=0,0,('T6-Zamestnanci_a_mzdy'!J22-'T6a-Zamestnanci_a_mzdy (ženy)'!J22)/('T6-Zamestnanci_a_mzdy'!F22-'T6a-Zamestnanci_a_mzdy (ženy)'!F22)/12)</f>
        <v>0</v>
      </c>
      <c r="M22" s="620" t="s">
        <v>179</v>
      </c>
      <c r="N22" s="621" t="s">
        <v>179</v>
      </c>
      <c r="O22" s="622" t="s">
        <v>179</v>
      </c>
    </row>
    <row r="23" spans="1:15" x14ac:dyDescent="0.2">
      <c r="A23" s="28" t="s">
        <v>154</v>
      </c>
      <c r="B23" s="610" t="s">
        <v>876</v>
      </c>
      <c r="C23" s="603">
        <v>16.843</v>
      </c>
      <c r="D23" s="603">
        <v>16.843</v>
      </c>
      <c r="E23" s="603">
        <v>3.1949999999999998</v>
      </c>
      <c r="F23" s="58">
        <f t="shared" ref="F23:F29" si="5">C23+E23</f>
        <v>20.038</v>
      </c>
      <c r="G23" s="601">
        <v>175260.58</v>
      </c>
      <c r="H23" s="601">
        <v>175260.58</v>
      </c>
      <c r="I23" s="601">
        <v>35045.440000000002</v>
      </c>
      <c r="J23" s="145">
        <f>G23+I23</f>
        <v>210306.02</v>
      </c>
      <c r="K23" s="352">
        <f t="shared" si="2"/>
        <v>874.61331802907807</v>
      </c>
      <c r="L23" s="467">
        <f>IF('T6-Zamestnanci_a_mzdy'!F23-'T6a-Zamestnanci_a_mzdy (ženy)'!F23=0,0,('T6-Zamestnanci_a_mzdy'!J23-'T6a-Zamestnanci_a_mzdy (ženy)'!J23)/('T6-Zamestnanci_a_mzdy'!F23-'T6a-Zamestnanci_a_mzdy (ženy)'!F23)/12)</f>
        <v>1098.2082078603971</v>
      </c>
      <c r="M23" s="620" t="s">
        <v>179</v>
      </c>
      <c r="N23" s="621" t="s">
        <v>179</v>
      </c>
      <c r="O23" s="622" t="s">
        <v>179</v>
      </c>
    </row>
    <row r="24" spans="1:15" x14ac:dyDescent="0.2">
      <c r="A24" s="28" t="s">
        <v>243</v>
      </c>
      <c r="B24" s="610" t="s">
        <v>877</v>
      </c>
      <c r="C24" s="603">
        <v>0.5</v>
      </c>
      <c r="D24" s="603">
        <v>0.5</v>
      </c>
      <c r="E24" s="603"/>
      <c r="F24" s="58">
        <f t="shared" si="5"/>
        <v>0.5</v>
      </c>
      <c r="G24" s="601">
        <v>6444.03</v>
      </c>
      <c r="H24" s="601">
        <v>6444.03</v>
      </c>
      <c r="I24" s="603"/>
      <c r="J24" s="145">
        <f>G24+I24</f>
        <v>6444.03</v>
      </c>
      <c r="K24" s="352">
        <f t="shared" si="2"/>
        <v>1074.0049999999999</v>
      </c>
      <c r="L24" s="467">
        <f>IF('T6-Zamestnanci_a_mzdy'!F24-'T6a-Zamestnanci_a_mzdy (ženy)'!F24=0,0,('T6-Zamestnanci_a_mzdy'!J24-'T6a-Zamestnanci_a_mzdy (ženy)'!J24)/('T6-Zamestnanci_a_mzdy'!F24-'T6a-Zamestnanci_a_mzdy (ženy)'!F24)/12)</f>
        <v>0</v>
      </c>
      <c r="M24" s="620" t="s">
        <v>179</v>
      </c>
      <c r="N24" s="621" t="s">
        <v>179</v>
      </c>
      <c r="O24" s="622" t="s">
        <v>179</v>
      </c>
    </row>
    <row r="25" spans="1:15" x14ac:dyDescent="0.2">
      <c r="A25" s="28" t="s">
        <v>244</v>
      </c>
      <c r="B25" s="42"/>
      <c r="C25" s="603"/>
      <c r="D25" s="603"/>
      <c r="E25" s="603"/>
      <c r="F25" s="58">
        <f t="shared" si="5"/>
        <v>0</v>
      </c>
      <c r="G25" s="603"/>
      <c r="H25" s="603"/>
      <c r="I25" s="603"/>
      <c r="J25" s="145">
        <f>G25+I25</f>
        <v>0</v>
      </c>
      <c r="K25" s="352">
        <f t="shared" si="2"/>
        <v>0</v>
      </c>
      <c r="L25" s="467">
        <f>IF('T6-Zamestnanci_a_mzdy'!F25-'T6a-Zamestnanci_a_mzdy (ženy)'!F25=0,0,('T6-Zamestnanci_a_mzdy'!J25-'T6a-Zamestnanci_a_mzdy (ženy)'!J25)/('T6-Zamestnanci_a_mzdy'!F25-'T6a-Zamestnanci_a_mzdy (ženy)'!F25)/12)</f>
        <v>0</v>
      </c>
      <c r="M25" s="620" t="s">
        <v>179</v>
      </c>
      <c r="N25" s="621" t="s">
        <v>179</v>
      </c>
      <c r="O25" s="622" t="s">
        <v>179</v>
      </c>
    </row>
    <row r="26" spans="1:15" ht="16.5" customHeight="1" x14ac:dyDescent="0.2">
      <c r="A26" s="28" t="s">
        <v>245</v>
      </c>
      <c r="B26" s="42"/>
      <c r="C26" s="603"/>
      <c r="D26" s="603"/>
      <c r="E26" s="603"/>
      <c r="F26" s="58">
        <f t="shared" si="5"/>
        <v>0</v>
      </c>
      <c r="G26" s="603"/>
      <c r="H26" s="603"/>
      <c r="I26" s="603"/>
      <c r="J26" s="145">
        <f>G26+I26</f>
        <v>0</v>
      </c>
      <c r="K26" s="352">
        <f t="shared" si="2"/>
        <v>0</v>
      </c>
      <c r="L26" s="467">
        <f>IF('T6-Zamestnanci_a_mzdy'!F26-'T6a-Zamestnanci_a_mzdy (ženy)'!F26=0,0,('T6-Zamestnanci_a_mzdy'!J26-'T6a-Zamestnanci_a_mzdy (ženy)'!J26)/('T6-Zamestnanci_a_mzdy'!F26-'T6a-Zamestnanci_a_mzdy (ženy)'!F26)/12)</f>
        <v>0</v>
      </c>
      <c r="M26" s="620" t="s">
        <v>179</v>
      </c>
      <c r="N26" s="621" t="s">
        <v>179</v>
      </c>
      <c r="O26" s="622" t="s">
        <v>179</v>
      </c>
    </row>
    <row r="27" spans="1:15" x14ac:dyDescent="0.2">
      <c r="A27" s="28"/>
      <c r="B27" s="25"/>
      <c r="C27" s="602"/>
      <c r="D27" s="602"/>
      <c r="E27" s="602"/>
      <c r="F27" s="139">
        <f t="shared" si="5"/>
        <v>0</v>
      </c>
      <c r="G27" s="602"/>
      <c r="H27" s="602"/>
      <c r="I27" s="602"/>
      <c r="J27" s="313"/>
      <c r="K27" s="313"/>
      <c r="L27" s="467"/>
      <c r="M27" s="623"/>
      <c r="N27" s="618"/>
      <c r="O27" s="624"/>
    </row>
    <row r="28" spans="1:15" x14ac:dyDescent="0.2">
      <c r="A28" s="28">
        <v>16</v>
      </c>
      <c r="B28" s="41" t="s">
        <v>28</v>
      </c>
      <c r="C28" s="603">
        <v>31.68</v>
      </c>
      <c r="D28" s="603">
        <v>31.68</v>
      </c>
      <c r="E28" s="603">
        <v>6.48</v>
      </c>
      <c r="F28" s="58">
        <f t="shared" si="5"/>
        <v>38.159999999999997</v>
      </c>
      <c r="G28" s="601">
        <v>320431.46000000002</v>
      </c>
      <c r="H28" s="601">
        <v>320431.46000000002</v>
      </c>
      <c r="I28" s="601">
        <v>64854.67</v>
      </c>
      <c r="J28" s="145">
        <f>G28+I28</f>
        <v>385286.13</v>
      </c>
      <c r="K28" s="352">
        <f t="shared" si="2"/>
        <v>841.38305817610069</v>
      </c>
      <c r="L28" s="467">
        <f>IF('T6-Zamestnanci_a_mzdy'!F28-'T6a-Zamestnanci_a_mzdy (ženy)'!F28=0,0,('T6-Zamestnanci_a_mzdy'!J28-'T6a-Zamestnanci_a_mzdy (ženy)'!J28)/('T6-Zamestnanci_a_mzdy'!F28-'T6a-Zamestnanci_a_mzdy (ženy)'!F28)/12)</f>
        <v>966.23395183206787</v>
      </c>
      <c r="M28" s="617">
        <v>682.89</v>
      </c>
      <c r="N28" s="618">
        <v>773.75800000000004</v>
      </c>
      <c r="O28" s="619">
        <v>974.29100000000005</v>
      </c>
    </row>
    <row r="29" spans="1:15" x14ac:dyDescent="0.2">
      <c r="A29" s="28">
        <v>17</v>
      </c>
      <c r="B29" s="41" t="s">
        <v>29</v>
      </c>
      <c r="C29" s="603">
        <v>9.0939999999999994</v>
      </c>
      <c r="D29" s="603">
        <v>9.0939999999999994</v>
      </c>
      <c r="E29" s="603">
        <v>28.725000000000001</v>
      </c>
      <c r="F29" s="58">
        <f t="shared" si="5"/>
        <v>37.819000000000003</v>
      </c>
      <c r="G29" s="601">
        <v>81913.789999999994</v>
      </c>
      <c r="H29" s="601">
        <v>81913.789999999994</v>
      </c>
      <c r="I29" s="601">
        <v>234641.11</v>
      </c>
      <c r="J29" s="145">
        <f>G29+I29</f>
        <v>316554.89999999997</v>
      </c>
      <c r="K29" s="352">
        <f t="shared" si="2"/>
        <v>697.52174832756009</v>
      </c>
      <c r="L29" s="467">
        <f>IF('T6-Zamestnanci_a_mzdy'!F29-'T6a-Zamestnanci_a_mzdy (ženy)'!F29=0,0,('T6-Zamestnanci_a_mzdy'!J29-'T6a-Zamestnanci_a_mzdy (ženy)'!J29)/('T6-Zamestnanci_a_mzdy'!F29-'T6a-Zamestnanci_a_mzdy (ženy)'!F29)/12)</f>
        <v>726.39378852536822</v>
      </c>
      <c r="M29" s="617">
        <v>546.83900000000006</v>
      </c>
      <c r="N29" s="618">
        <v>681.74900000000002</v>
      </c>
      <c r="O29" s="619">
        <v>757.87099999999998</v>
      </c>
    </row>
    <row r="30" spans="1:15" ht="16.5" thickBot="1" x14ac:dyDescent="0.25">
      <c r="A30" s="29">
        <v>18</v>
      </c>
      <c r="B30" s="43" t="s">
        <v>187</v>
      </c>
      <c r="C30" s="365">
        <f t="shared" ref="C30:J30" si="6">C7+C13+C16+C20+C21+C28+C29</f>
        <v>844.93799999999999</v>
      </c>
      <c r="D30" s="365">
        <f t="shared" si="6"/>
        <v>829.29300000000001</v>
      </c>
      <c r="E30" s="365">
        <f t="shared" si="6"/>
        <v>128.92600000000004</v>
      </c>
      <c r="F30" s="365">
        <f t="shared" si="6"/>
        <v>973.86400000000003</v>
      </c>
      <c r="G30" s="365">
        <f t="shared" si="6"/>
        <v>13208827.219999999</v>
      </c>
      <c r="H30" s="365">
        <f t="shared" si="6"/>
        <v>12933700.74</v>
      </c>
      <c r="I30" s="365">
        <f t="shared" si="6"/>
        <v>4124689.73</v>
      </c>
      <c r="J30" s="648">
        <f t="shared" si="6"/>
        <v>17333516.949999999</v>
      </c>
      <c r="K30" s="649">
        <f t="shared" si="2"/>
        <v>1483.2253228719137</v>
      </c>
      <c r="L30" s="468">
        <f>IF('T6-Zamestnanci_a_mzdy'!F30-'T6a-Zamestnanci_a_mzdy (ženy)'!F30=0,0,('T6-Zamestnanci_a_mzdy'!J30-'T6a-Zamestnanci_a_mzdy (ženy)'!J30)/('T6-Zamestnanci_a_mzdy'!F30-'T6a-Zamestnanci_a_mzdy (ženy)'!F30)/12)</f>
        <v>2044.7724981031108</v>
      </c>
      <c r="M30" s="625">
        <v>926.49199999999996</v>
      </c>
      <c r="N30" s="626">
        <v>1373.2629999999999</v>
      </c>
      <c r="O30" s="627">
        <v>1852.883</v>
      </c>
    </row>
    <row r="31" spans="1:15" x14ac:dyDescent="0.2">
      <c r="A31" s="16"/>
      <c r="B31" s="16"/>
      <c r="C31" s="19"/>
      <c r="D31" s="16"/>
      <c r="E31" s="16"/>
      <c r="F31" s="19"/>
      <c r="G31" s="19"/>
      <c r="H31" s="19"/>
      <c r="I31" s="19"/>
      <c r="J31" s="19"/>
      <c r="L31" s="421"/>
      <c r="M31" s="421"/>
      <c r="N31" s="421"/>
      <c r="O31" s="421"/>
    </row>
    <row r="32" spans="1:15" x14ac:dyDescent="0.25">
      <c r="A32" s="727" t="s">
        <v>0</v>
      </c>
      <c r="B32" s="728"/>
      <c r="C32" s="728"/>
      <c r="D32" s="728"/>
      <c r="E32" s="728"/>
      <c r="F32" s="728"/>
      <c r="G32" s="728"/>
      <c r="H32" s="728"/>
      <c r="I32" s="728"/>
      <c r="J32" s="748"/>
      <c r="L32" s="421"/>
      <c r="M32" s="421"/>
      <c r="N32" s="421"/>
      <c r="O32" s="421"/>
    </row>
    <row r="33" spans="1:15" x14ac:dyDescent="0.25">
      <c r="A33" s="736" t="s">
        <v>604</v>
      </c>
      <c r="B33" s="737"/>
      <c r="C33" s="737"/>
      <c r="D33" s="737"/>
      <c r="E33" s="737"/>
      <c r="F33" s="737"/>
      <c r="G33" s="737"/>
      <c r="H33" s="737"/>
      <c r="I33" s="737"/>
      <c r="J33" s="738"/>
      <c r="L33" s="421"/>
      <c r="M33" s="422" t="s">
        <v>675</v>
      </c>
      <c r="N33" s="421"/>
      <c r="O33" s="421"/>
    </row>
    <row r="34" spans="1:15" ht="50.25" customHeight="1" x14ac:dyDescent="0.2">
      <c r="B34" s="734" t="s">
        <v>730</v>
      </c>
      <c r="C34" s="734"/>
      <c r="D34" s="734"/>
      <c r="E34" s="734"/>
      <c r="F34" s="734"/>
      <c r="G34" s="734"/>
      <c r="H34" s="734"/>
      <c r="I34" s="734"/>
      <c r="J34" s="734"/>
      <c r="L34" s="421"/>
      <c r="M34" s="421"/>
      <c r="N34" s="421"/>
      <c r="O34" s="421"/>
    </row>
    <row r="35" spans="1:15" x14ac:dyDescent="0.2">
      <c r="B35" s="475" t="s">
        <v>546</v>
      </c>
      <c r="C35" s="476"/>
      <c r="D35" s="476"/>
      <c r="E35" s="476"/>
      <c r="F35" s="476"/>
      <c r="G35" s="476"/>
      <c r="H35" s="476"/>
      <c r="I35" s="476"/>
      <c r="J35" s="476"/>
      <c r="L35" s="421"/>
      <c r="M35" s="421"/>
      <c r="N35" s="421"/>
      <c r="O35" s="421"/>
    </row>
    <row r="36" spans="1:15" x14ac:dyDescent="0.2">
      <c r="B36" s="475" t="s">
        <v>547</v>
      </c>
      <c r="C36" s="476"/>
      <c r="D36" s="476"/>
      <c r="E36" s="476"/>
      <c r="F36" s="476"/>
      <c r="G36" s="476"/>
      <c r="H36" s="476"/>
      <c r="I36" s="476"/>
      <c r="J36" s="476"/>
    </row>
    <row r="37" spans="1:15" x14ac:dyDescent="0.2">
      <c r="B37" s="475" t="s">
        <v>548</v>
      </c>
      <c r="C37" s="476"/>
      <c r="D37" s="476"/>
      <c r="E37" s="476"/>
      <c r="F37" s="476"/>
      <c r="G37" s="476"/>
      <c r="H37" s="476"/>
      <c r="I37" s="476"/>
      <c r="J37" s="476"/>
    </row>
  </sheetData>
  <mergeCells count="20">
    <mergeCell ref="N3:N5"/>
    <mergeCell ref="O3:O5"/>
    <mergeCell ref="A32:J32"/>
    <mergeCell ref="A33:J33"/>
    <mergeCell ref="L3:L5"/>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s>
  <printOptions gridLines="1"/>
  <pageMargins left="0.2" right="0.19" top="0.8" bottom="0.39370078740157483" header="0.51181102362204722" footer="0.27559055118110237"/>
  <pageSetup paperSize="9" scale="5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2"/>
  <sheetViews>
    <sheetView zoomScale="90" zoomScaleNormal="90" workbookViewId="0">
      <pane xSplit="2" ySplit="4" topLeftCell="C5" activePane="bottomRight" state="frozen"/>
      <selection pane="topRight" activeCell="C1" sqref="C1"/>
      <selection pane="bottomLeft" activeCell="A7" sqref="A7"/>
      <selection pane="bottomRight" activeCell="F5" sqref="F5"/>
    </sheetView>
  </sheetViews>
  <sheetFormatPr defaultRowHeight="15.75" x14ac:dyDescent="0.25"/>
  <cols>
    <col min="1" max="1" width="9.140625" style="160"/>
    <col min="2" max="2" width="69.7109375" style="160" customWidth="1"/>
    <col min="3" max="3" width="18" style="160" bestFit="1" customWidth="1"/>
    <col min="4" max="4" width="20.28515625" style="160" bestFit="1" customWidth="1"/>
    <col min="5" max="5" width="26.42578125" style="160" customWidth="1"/>
    <col min="6" max="6" width="15.42578125" style="160" customWidth="1"/>
    <col min="7" max="7" width="12" style="160" customWidth="1"/>
    <col min="8" max="16384" width="9.140625" style="160"/>
  </cols>
  <sheetData>
    <row r="1" spans="1:7" ht="39.75" customHeight="1" thickBot="1" x14ac:dyDescent="0.3">
      <c r="A1" s="751" t="s">
        <v>783</v>
      </c>
      <c r="B1" s="752"/>
      <c r="C1" s="752"/>
      <c r="D1" s="752"/>
      <c r="E1" s="753"/>
    </row>
    <row r="2" spans="1:7" ht="44.25" customHeight="1" thickBot="1" x14ac:dyDescent="0.3">
      <c r="A2" s="754" t="s">
        <v>863</v>
      </c>
      <c r="B2" s="755"/>
      <c r="C2" s="755"/>
      <c r="D2" s="755"/>
      <c r="E2" s="756"/>
    </row>
    <row r="3" spans="1:7" ht="65.25" customHeight="1" x14ac:dyDescent="0.25">
      <c r="A3" s="380" t="s">
        <v>115</v>
      </c>
      <c r="B3" s="381" t="s">
        <v>192</v>
      </c>
      <c r="C3" s="382" t="s">
        <v>653</v>
      </c>
      <c r="D3" s="382" t="s">
        <v>688</v>
      </c>
      <c r="E3" s="383" t="s">
        <v>575</v>
      </c>
    </row>
    <row r="4" spans="1:7" ht="26.25" customHeight="1" x14ac:dyDescent="0.25">
      <c r="A4" s="384"/>
      <c r="B4" s="379"/>
      <c r="C4" s="378" t="s">
        <v>158</v>
      </c>
      <c r="D4" s="378" t="s">
        <v>159</v>
      </c>
      <c r="E4" s="385" t="s">
        <v>652</v>
      </c>
    </row>
    <row r="5" spans="1:7" ht="35.25" customHeight="1" thickBot="1" x14ac:dyDescent="0.3">
      <c r="A5" s="389">
        <v>1</v>
      </c>
      <c r="B5" s="390" t="s">
        <v>772</v>
      </c>
      <c r="C5" s="633">
        <v>3162613.35</v>
      </c>
      <c r="D5" s="633">
        <v>8629.5</v>
      </c>
      <c r="E5" s="634">
        <f>C5+D5</f>
        <v>3171242.85</v>
      </c>
      <c r="F5" s="408"/>
      <c r="G5" s="397"/>
    </row>
    <row r="6" spans="1:7" ht="30.75" customHeight="1" thickTop="1" x14ac:dyDescent="0.25">
      <c r="A6" s="387">
        <v>2</v>
      </c>
      <c r="B6" s="388" t="s">
        <v>807</v>
      </c>
      <c r="C6" s="393">
        <v>4129</v>
      </c>
      <c r="D6" s="393">
        <v>10</v>
      </c>
      <c r="E6" s="394">
        <f>C6+D6</f>
        <v>4139</v>
      </c>
      <c r="F6" s="391"/>
    </row>
    <row r="7" spans="1:7" ht="31.5" customHeight="1" thickBot="1" x14ac:dyDescent="0.3">
      <c r="A7" s="275">
        <v>3</v>
      </c>
      <c r="B7" s="386" t="s">
        <v>247</v>
      </c>
      <c r="C7" s="392">
        <f>IF(C6=0,0,+C5/C6)</f>
        <v>765.95140469847422</v>
      </c>
      <c r="D7" s="392">
        <f t="shared" ref="D7:E7" si="0">IF(D6=0,0,+D5/D6)</f>
        <v>862.95</v>
      </c>
      <c r="E7" s="395">
        <f t="shared" si="0"/>
        <v>766.18575742933081</v>
      </c>
    </row>
    <row r="9" spans="1:7" x14ac:dyDescent="0.25">
      <c r="A9" s="396" t="s">
        <v>670</v>
      </c>
    </row>
    <row r="10" spans="1:7" x14ac:dyDescent="0.25">
      <c r="A10" s="160" t="s">
        <v>671</v>
      </c>
    </row>
    <row r="12" spans="1:7" x14ac:dyDescent="0.25">
      <c r="A12" s="757" t="s">
        <v>683</v>
      </c>
      <c r="B12" s="757"/>
    </row>
  </sheetData>
  <mergeCells count="3">
    <mergeCell ref="A1:E1"/>
    <mergeCell ref="A2:E2"/>
    <mergeCell ref="A12:B12"/>
  </mergeCells>
  <pageMargins left="0.45" right="0.33" top="0.74803149606299213" bottom="0.74803149606299213"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H15"/>
  <sheetViews>
    <sheetView zoomScale="90" zoomScaleNormal="90" workbookViewId="0">
      <pane xSplit="2" ySplit="5" topLeftCell="C6" activePane="bottomRight" state="frozen"/>
      <selection pane="topRight" activeCell="C1" sqref="C1"/>
      <selection pane="bottomLeft" activeCell="A6" sqref="A6"/>
      <selection pane="bottomRight" activeCell="E6" sqref="E6"/>
    </sheetView>
  </sheetViews>
  <sheetFormatPr defaultRowHeight="15.75" x14ac:dyDescent="0.2"/>
  <cols>
    <col min="1" max="1" width="8.140625" style="17" customWidth="1"/>
    <col min="2" max="2" width="93.140625" style="67" customWidth="1"/>
    <col min="3" max="3" width="17.28515625" style="17" customWidth="1"/>
    <col min="4" max="4" width="17.140625" style="17" customWidth="1"/>
    <col min="5" max="5" width="15.7109375" style="17" customWidth="1"/>
    <col min="6" max="6" width="18" style="17" customWidth="1"/>
    <col min="7" max="7" width="7.5703125" style="17" customWidth="1"/>
    <col min="8" max="16384" width="9.140625" style="17"/>
  </cols>
  <sheetData>
    <row r="1" spans="1:8" ht="50.1" customHeight="1" thickBot="1" x14ac:dyDescent="0.25">
      <c r="A1" s="764" t="s">
        <v>784</v>
      </c>
      <c r="B1" s="765"/>
      <c r="C1" s="765"/>
      <c r="D1" s="765"/>
      <c r="E1" s="765"/>
      <c r="F1" s="766"/>
      <c r="G1" s="162"/>
      <c r="H1" s="22"/>
    </row>
    <row r="2" spans="1:8" ht="36.75" customHeight="1" x14ac:dyDescent="0.2">
      <c r="A2" s="722" t="s">
        <v>862</v>
      </c>
      <c r="B2" s="775"/>
      <c r="C2" s="776" t="s">
        <v>598</v>
      </c>
      <c r="D2" s="776"/>
      <c r="E2" s="776"/>
      <c r="F2" s="777"/>
      <c r="G2" s="163"/>
    </row>
    <row r="3" spans="1:8" x14ac:dyDescent="0.2">
      <c r="A3" s="773" t="s">
        <v>115</v>
      </c>
      <c r="B3" s="771" t="s">
        <v>192</v>
      </c>
      <c r="C3" s="767">
        <v>2019</v>
      </c>
      <c r="D3" s="768"/>
      <c r="E3" s="769">
        <v>2020</v>
      </c>
      <c r="F3" s="770"/>
      <c r="G3" s="163"/>
    </row>
    <row r="4" spans="1:8" ht="69" customHeight="1" x14ac:dyDescent="0.2">
      <c r="A4" s="774"/>
      <c r="B4" s="772"/>
      <c r="C4" s="108" t="s">
        <v>553</v>
      </c>
      <c r="D4" s="108" t="s">
        <v>106</v>
      </c>
      <c r="E4" s="108" t="s">
        <v>553</v>
      </c>
      <c r="F4" s="27" t="s">
        <v>150</v>
      </c>
      <c r="G4" s="163"/>
    </row>
    <row r="5" spans="1:8" x14ac:dyDescent="0.2">
      <c r="A5" s="111"/>
      <c r="B5" s="87"/>
      <c r="C5" s="33" t="s">
        <v>158</v>
      </c>
      <c r="D5" s="33" t="s">
        <v>159</v>
      </c>
      <c r="E5" s="84" t="s">
        <v>160</v>
      </c>
      <c r="F5" s="94" t="s">
        <v>166</v>
      </c>
      <c r="G5" s="163"/>
    </row>
    <row r="6" spans="1:8" ht="38.25" customHeight="1" x14ac:dyDescent="0.2">
      <c r="A6" s="28">
        <v>1</v>
      </c>
      <c r="B6" s="88" t="s">
        <v>31</v>
      </c>
      <c r="C6" s="140">
        <v>596770</v>
      </c>
      <c r="D6" s="141" t="s">
        <v>179</v>
      </c>
      <c r="E6" s="140">
        <v>467120</v>
      </c>
      <c r="F6" s="142" t="s">
        <v>179</v>
      </c>
      <c r="G6" s="163"/>
    </row>
    <row r="7" spans="1:8" ht="38.25" customHeight="1" x14ac:dyDescent="0.2">
      <c r="A7" s="28">
        <f>A6+1</f>
        <v>2</v>
      </c>
      <c r="B7" s="88" t="s">
        <v>202</v>
      </c>
      <c r="C7" s="141" t="s">
        <v>179</v>
      </c>
      <c r="D7" s="74">
        <v>2740</v>
      </c>
      <c r="E7" s="141" t="s">
        <v>179</v>
      </c>
      <c r="F7" s="78">
        <v>2512</v>
      </c>
      <c r="G7" s="163"/>
    </row>
    <row r="8" spans="1:8" ht="38.25" customHeight="1" x14ac:dyDescent="0.2">
      <c r="A8" s="28">
        <f>A7+1</f>
        <v>3</v>
      </c>
      <c r="B8" s="88" t="s">
        <v>567</v>
      </c>
      <c r="C8" s="141" t="s">
        <v>179</v>
      </c>
      <c r="D8" s="74">
        <v>395</v>
      </c>
      <c r="E8" s="141" t="s">
        <v>179</v>
      </c>
      <c r="F8" s="78">
        <v>352</v>
      </c>
      <c r="G8" s="163"/>
    </row>
    <row r="9" spans="1:8" ht="35.25" customHeight="1" x14ac:dyDescent="0.2">
      <c r="A9" s="28">
        <f>A8+1</f>
        <v>4</v>
      </c>
      <c r="B9" s="64" t="s">
        <v>532</v>
      </c>
      <c r="C9" s="140">
        <v>167531.81</v>
      </c>
      <c r="D9" s="141" t="s">
        <v>179</v>
      </c>
      <c r="E9" s="143">
        <f>+C11</f>
        <v>218001.81000000006</v>
      </c>
      <c r="F9" s="142" t="s">
        <v>179</v>
      </c>
      <c r="G9" s="163"/>
    </row>
    <row r="10" spans="1:8" ht="37.5" customHeight="1" x14ac:dyDescent="0.2">
      <c r="A10" s="28">
        <f>A9+1</f>
        <v>5</v>
      </c>
      <c r="B10" s="64" t="s">
        <v>564</v>
      </c>
      <c r="C10" s="140">
        <v>647240</v>
      </c>
      <c r="D10" s="141" t="s">
        <v>179</v>
      </c>
      <c r="E10" s="144">
        <v>645019</v>
      </c>
      <c r="F10" s="142" t="s">
        <v>179</v>
      </c>
      <c r="G10" s="163"/>
    </row>
    <row r="11" spans="1:8" ht="33" customHeight="1" x14ac:dyDescent="0.2">
      <c r="A11" s="28">
        <v>6</v>
      </c>
      <c r="B11" s="64" t="s">
        <v>136</v>
      </c>
      <c r="C11" s="145">
        <f>+C9+C10-C6</f>
        <v>218001.81000000006</v>
      </c>
      <c r="D11" s="141" t="s">
        <v>179</v>
      </c>
      <c r="E11" s="143">
        <f>+E9+E10-E6</f>
        <v>395900.81000000006</v>
      </c>
      <c r="F11" s="142" t="s">
        <v>179</v>
      </c>
      <c r="G11" s="163"/>
    </row>
    <row r="12" spans="1:8" ht="36" customHeight="1" thickBot="1" x14ac:dyDescent="0.25">
      <c r="A12" s="29">
        <v>7</v>
      </c>
      <c r="B12" s="76" t="s">
        <v>137</v>
      </c>
      <c r="C12" s="146">
        <f>IF(C6=0,0,C6/D7)</f>
        <v>217.7992700729927</v>
      </c>
      <c r="D12" s="147" t="s">
        <v>179</v>
      </c>
      <c r="E12" s="146">
        <f>IF(E6=0,0,E6/F7)</f>
        <v>185.95541401273886</v>
      </c>
      <c r="F12" s="148" t="s">
        <v>179</v>
      </c>
      <c r="G12" s="163"/>
    </row>
    <row r="13" spans="1:8" x14ac:dyDescent="0.2">
      <c r="B13" s="19"/>
      <c r="G13" s="163"/>
    </row>
    <row r="14" spans="1:8" x14ac:dyDescent="0.2">
      <c r="A14" s="758" t="s">
        <v>36</v>
      </c>
      <c r="B14" s="759"/>
      <c r="C14" s="759"/>
      <c r="D14" s="759"/>
      <c r="E14" s="759"/>
      <c r="F14" s="760"/>
      <c r="G14" s="163"/>
    </row>
    <row r="15" spans="1:8" x14ac:dyDescent="0.2">
      <c r="A15" s="761" t="s">
        <v>232</v>
      </c>
      <c r="B15" s="762"/>
      <c r="C15" s="762"/>
      <c r="D15" s="762"/>
      <c r="E15" s="762"/>
      <c r="F15" s="763"/>
      <c r="G15" s="163"/>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2.xml><?xml version="1.0" encoding="utf-8"?>
<ds:datastoreItem xmlns:ds="http://schemas.openxmlformats.org/officeDocument/2006/customXml" ds:itemID="{478802F3-CAF1-414B-986B-3ACC0176C017}">
  <ds:schemaRefs>
    <ds:schemaRef ds:uri="http://purl.org/dc/elements/1.1/"/>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23</vt:i4>
      </vt:variant>
      <vt:variant>
        <vt:lpstr>Pomenované rozsahy</vt:lpstr>
      </vt:variant>
      <vt:variant>
        <vt:i4>21</vt:i4>
      </vt:variant>
    </vt:vector>
  </HeadingPairs>
  <TitlesOfParts>
    <vt:vector size="44" baseType="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EU-nová</vt:lpstr>
      <vt:lpstr>T18-Ostatné dotácie z kap MŠ SR</vt:lpstr>
      <vt:lpstr>T19-Štip_ z vlastných </vt:lpstr>
      <vt:lpstr>T20_motivačné štipendiá_nová</vt:lpstr>
      <vt:lpstr>T21-štruktúra_384</vt:lpstr>
      <vt:lpstr>T22_Výnosy_soc_oblasť</vt:lpstr>
      <vt:lpstr>T23_Náklady_soc_oblasť</vt:lpstr>
      <vt:lpstr>T24__Aktíva</vt:lpstr>
      <vt:lpstr>'T10-ŠJ '!Oblasť_tlače</vt:lpstr>
      <vt:lpstr>'T11-Zdroje KV'!Oblasť_tlače</vt:lpstr>
      <vt:lpstr>'T12-KV'!Oblasť_tlače</vt:lpstr>
      <vt:lpstr>'T13-Fondy'!Oblasť_tlače</vt:lpstr>
      <vt:lpstr>'T16 - Štruktúra hotovosti'!Oblasť_tlače</vt:lpstr>
      <vt:lpstr>'T17-Dotácie zo ŠF EU-nová'!Oblasť_tlače</vt:lpstr>
      <vt:lpstr>'T18-Ostatné dotácie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'T8-Soc_štipendiá'!Oblasť_tlače</vt:lpstr>
      <vt:lpstr>'T9_ŠD '!Oblasť_tlače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PC</cp:lastModifiedBy>
  <cp:lastPrinted>2021-05-21T13:39:01Z</cp:lastPrinted>
  <dcterms:created xsi:type="dcterms:W3CDTF">2002-06-05T18:53:25Z</dcterms:created>
  <dcterms:modified xsi:type="dcterms:W3CDTF">2021-05-21T13:39:09Z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