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pavol.sovak\Documents\"/>
    </mc:Choice>
  </mc:AlternateContent>
  <xr:revisionPtr revIDLastSave="3" documentId="11_B47B72BE13CBA4C551C5D96663D8833E06B7D585" xr6:coauthVersionLast="47" xr6:coauthVersionMax="47" xr10:uidLastSave="{2BC79B39-494C-4AB1-8F93-934CA9901826}"/>
  <bookViews>
    <workbookView xWindow="480" yWindow="96" windowWidth="27792" windowHeight="13740" firstSheet="6" activeTab="13" xr2:uid="{00000000-000D-0000-FFFF-FFFF00000000}"/>
  </bookViews>
  <sheets>
    <sheet name="Uvod" sheetId="15" r:id="rId1"/>
    <sheet name="ToDo" sheetId="17" state="hidden" r:id="rId2"/>
    <sheet name="VstupySR" sheetId="2" r:id="rId3"/>
    <sheet name="VstupyUPJS" sheetId="4" r:id="rId4"/>
    <sheet name="Sumare" sheetId="3" r:id="rId5"/>
    <sheet name="07711-mzdy" sheetId="5" r:id="rId6"/>
    <sheet name="07711-TaS" sheetId="11" r:id="rId7"/>
    <sheet name="07712-mzdy" sheetId="6" r:id="rId8"/>
    <sheet name="07712-TaS" sheetId="12" r:id="rId9"/>
    <sheet name="07712-DoktStip" sheetId="14" r:id="rId10"/>
    <sheet name="07715-Stip" sheetId="13" r:id="rId11"/>
    <sheet name="KA" sheetId="7" r:id="rId12"/>
    <sheet name="Granty" sheetId="8" r:id="rId13"/>
    <sheet name="Vykony" sheetId="10" r:id="rId14"/>
    <sheet name="Hárok1" sheetId="18" r:id="rId15"/>
    <sheet name="Hárok2" sheetId="19" r:id="rId16"/>
    <sheet name="Hárok3" sheetId="20" r:id="rId17"/>
  </sheets>
  <externalReferences>
    <externalReference r:id="rId18"/>
    <externalReference r:id="rId19"/>
    <externalReference r:id="rId20"/>
  </externalReferences>
  <definedNames>
    <definedName name="_xlnm._FilterDatabase" localSheetId="10" hidden="1">'07715-Stip'!$H$3:$M$43</definedName>
    <definedName name="_xlnm._FilterDatabase" localSheetId="1" hidden="1">ToDo!$A$1:$D$29</definedName>
    <definedName name="aaa" hidden="1">3</definedName>
    <definedName name="Datum">VstupySR!$B$2</definedName>
    <definedName name="DatumASUPJS">VstupySR!#REF!</definedName>
    <definedName name="Fakulta">'[1]T5b-studenti'!$E:$E</definedName>
    <definedName name="K_KAP">'[2]T3-vstupy'!$C$133</definedName>
    <definedName name="K_ŠpP">'[2]T3-vstupy'!$C$57</definedName>
    <definedName name="K_TaS">'[2]T3-vstupy'!$C$82</definedName>
    <definedName name="K_VŠO">'[2]T3-vstupy'!$C$55</definedName>
    <definedName name="KKS_doc">'[2]T3-vstupy'!$C$44</definedName>
    <definedName name="KKS_ost">'[2]T3-vstupy'!$C$46</definedName>
    <definedName name="KKS_phd">'[2]T3-vstupy'!$C$45</definedName>
    <definedName name="KKS_prof">'[2]T3-vstupy'!$C$43</definedName>
    <definedName name="koef_kp">'[2]T2-KO'!$B$5:$K$26</definedName>
    <definedName name="koef_PV">'[2]T3-vstupy'!$C$78</definedName>
    <definedName name="koef_VV">'[2]T3-vstupy'!$C$79</definedName>
    <definedName name="kpn_ca_do">'[2]T2-KO'!$J$29</definedName>
    <definedName name="kpn_ca_nad">'[2]T2-KO'!$J$30</definedName>
    <definedName name="Kš_TaS">'[2]T3-vstupy'!$C$132</definedName>
    <definedName name="Kval">'[2]T3-vstupy'!$C$129</definedName>
    <definedName name="mot_odb">'[1]T5b-studenti'!$AO:$AO</definedName>
    <definedName name="motštip">'[2]T3-vstupy'!$C$135</definedName>
    <definedName name="motštip_ŠO">'[2]T3-vstupy'!$C$136</definedName>
    <definedName name="nefinanc">1</definedName>
    <definedName name="neuči_val">'[2]T3-vstupy'!$C$139</definedName>
    <definedName name="_xlnm.Print_Area" localSheetId="9">'07712-DoktStip'!$A$1:$I$39</definedName>
    <definedName name="_xlnm.Print_Area" localSheetId="4">Sumare!$A$1:$L$84</definedName>
    <definedName name="_xlnm.Print_Area" localSheetId="2">VstupySR!$A$5:$F$55</definedName>
    <definedName name="_xlnm.Print_Area" localSheetId="3">VstupyUPJS!$A$1:$E$37</definedName>
    <definedName name="_xlnm.Print_Area" localSheetId="13">Vykony!$A$1:$N$74</definedName>
    <definedName name="poistné">'[2]T3-vstupy'!$C$12</definedName>
    <definedName name="Pp_DrŠ_neúč">'[2]T3-vstupy'!$C$76</definedName>
    <definedName name="Pp_klinické_TaS">'[2]T3-vstupy'!$C$66</definedName>
    <definedName name="Pp_klinické_TaS_rozpísaný">'[2]T3-vstupy'!$C$67</definedName>
    <definedName name="Pp_Rozvoj_BD">'[2]T3-vstupy'!$C$20</definedName>
    <definedName name="Pp_Soc_BD">'[2]T3-vstupy'!$C$21</definedName>
    <definedName name="Pp_VaT_BD">'[2]T3-vstupy'!$C$16</definedName>
    <definedName name="Pp_VaV_Drš_úč">'[2]T3-vstupy'!$C$75</definedName>
    <definedName name="Pp_VaV_rozp">'[2]T3-vstupy'!$C$73</definedName>
    <definedName name="Pp_VaV_VVŠ">'[2]T3-vstupy'!$C$70</definedName>
    <definedName name="Pp_Vzdel_BD">'[2]T3-vstupy'!$C$15</definedName>
    <definedName name="Pp_Vzdel_mzdy">'[2]T3-vstupy'!$C$27</definedName>
    <definedName name="Pp_Vzdel_mzdy_spec">'[2]T3-vstupy'!$C$30</definedName>
    <definedName name="Pp_Vzdel_mzdy_specN">'[2]T3-vstupy'!$C$31</definedName>
    <definedName name="Pp_Vzdel_mzdy_výkon">'[2]T3-vstupy'!$C$36</definedName>
    <definedName name="Pp_Vzdel_mzdy_výkon_PV">'[2]T3-vstupy'!$C$37</definedName>
    <definedName name="Pp_Vzdel_mzdy_výkon_VV">'[2]T3-vstupy'!$C$39</definedName>
    <definedName name="Pp_Vzdel_spec_prax">'[2]T3-vstupy'!$C$53</definedName>
    <definedName name="Pp_Vzdel_TaS">'[2]T3-vstupy'!$C$47</definedName>
    <definedName name="Pp_Vzdel_TaS_ped">'[2]T3-vstupy'!$C$58</definedName>
    <definedName name="Pp_Vzdel_TaS_pedN">'[2]T3-vstupy'!$C$59</definedName>
    <definedName name="Pp_Vzdel_TaS_spec">'[2]T3-vstupy'!$C$60</definedName>
    <definedName name="Pp_Vzdel_TaS_specN">'[2]T3-vstupy'!$C$61</definedName>
    <definedName name="Pp_Vzdel_TaS_stav">'[2]T3-vstupy'!$C$48</definedName>
    <definedName name="Pp_Vzdel_TaS_výkon">'[2]T3-vstupy'!$C$62</definedName>
    <definedName name="Pp_Vzdel_TaS_výkon_PPŠ">'[2]T3-vstupy'!$C$65</definedName>
    <definedName name="Pp_Vzdel_TaS_výkon_PPŠ_a_zákl">'[2]T3-vstupy'!$C$64</definedName>
    <definedName name="Pp_Vzdel_TaS_výkon_PPŠ_KEN">'[2]T3-vstupy'!$C$63</definedName>
    <definedName name="Pp_Vzdel_TaS_zahr_granty">'[2]T3-vstupy'!$C$51</definedName>
    <definedName name="Pp_Vzdel_TaS_zákl">'[2]T3-vstupy'!$C$50</definedName>
    <definedName name="Pr_IV_BD">'[2]T3-vstupy'!$C$17</definedName>
    <definedName name="Pr_KD">'[2]T3-vstupy'!$C$8</definedName>
    <definedName name="Pr_KD_Rozvoj">'[2]T3-vstupy'!$C$10</definedName>
    <definedName name="Pr_KD_Stavby">'[2]T3-vstupy'!$C$11</definedName>
    <definedName name="Pr_KD_VaT">'[2]T3-vstupy'!$C$9</definedName>
    <definedName name="Pr_KEGA_BD">'[2]T3-vstupy'!$C$19</definedName>
    <definedName name="Pr_klinické">'[2]T3-vstupy'!$C$25</definedName>
    <definedName name="Pr_KŠ">'[2]T3-vstupy'!$C$105</definedName>
    <definedName name="Pr_KŠ_rozp">'[2]T3-vstupy'!$C$106</definedName>
    <definedName name="Pr_motštip_BD">'[2]T3-vstupy'!$C$23</definedName>
    <definedName name="Pr_socštip_BD">'[2]T3-vstupy'!$C$22</definedName>
    <definedName name="Pr_ŠD">'[2]T3-vstupy'!$C$103</definedName>
    <definedName name="Pr_ŠDaJKŠPC_BD">'[2]T3-vstupy'!$C$24</definedName>
    <definedName name="Pr_VaV_rezerva">'[2]T3-vstupy'!$C$77</definedName>
    <definedName name="Pr_VEGA_BD">'[2]T3-vstupy'!$C$18</definedName>
    <definedName name="Presun">'[2]T3-vstupy'!$C$155</definedName>
    <definedName name="prisp_na_ubyt_stud_SD">'[2]T3-vstupy'!$C$123</definedName>
    <definedName name="prisp_na_ubyt_stud_ZZ">'[2]T3-vstupy'!$C$124</definedName>
    <definedName name="prísp_zákl_prev">'[2]T3-vstupy'!$C$49</definedName>
    <definedName name="R_vvs_BD">'[2]T3-vstupy'!$C$6</definedName>
    <definedName name="R_vvs_VaT_BD">'[2]T3-vstupy'!$C$7</definedName>
    <definedName name="Rok">VstupySR!$B$1</definedName>
    <definedName name="rok_RD">'[2]T3-vstupy'!$C$150</definedName>
    <definedName name="rok_rozpis">'[2]T3-vstupy'!$C$151</definedName>
    <definedName name="rok_VV1">'[2]T3-vstupy'!$C$152</definedName>
    <definedName name="rok_VV2">'[2]T3-vstupy'!$C$153</definedName>
    <definedName name="rok_VV3">'[2]T3-vstupy'!$C$154</definedName>
    <definedName name="roky">'[2]T3-vstupy'!$C$134</definedName>
    <definedName name="SAPBEXrevision" hidden="1">7</definedName>
    <definedName name="SAPBEXsysID" hidden="1">"BS1"</definedName>
    <definedName name="SAPBEXwbID" hidden="1">"3TG3S316PX9BHXMQEBSXSYZZO"</definedName>
    <definedName name="ŠD_val">'[2]T3-vstupy'!$C$142</definedName>
    <definedName name="Tab_odbory">'[2]T2-odbory_predmety'!$A$4:$H$683</definedName>
    <definedName name="TaS_odb">'[3]T5b-studenti'!$AP:$AP</definedName>
    <definedName name="uči_val">'[2]T3-vstupy'!$C$138</definedName>
    <definedName name="university">'[3]T5b-studenti'!$D:$D</definedName>
    <definedName name="váha_Pub">'[2]T3-vstupy'!$C$80</definedName>
    <definedName name="váha_um">'[2]T3-vstupy'!$C$81</definedName>
    <definedName name="valorizacia">Sumare!#REF!</definedName>
    <definedName name="valorizcacia">Sumare!#REF!</definedName>
    <definedName name="VaV_uči_val">'[2]T3-vstupy'!$C$141</definedName>
    <definedName name="VaV_val">'[2]T3-vstupy'!$C$140</definedName>
    <definedName name="verzia">VstupySR!$B$3</definedName>
    <definedName name="VVŠ_naša">'[1]T5b-studenti'!$BA:$BA</definedName>
    <definedName name="výk_DG">'[2]T3-vstupy'!$C$85</definedName>
    <definedName name="výk_DP">KA!$C$67</definedName>
    <definedName name="výk_Dršpo">'[2]T3-vstupy'!$C$87</definedName>
    <definedName name="výk_exc">KA!$C$70</definedName>
    <definedName name="výk_interval">KA!$C$69</definedName>
    <definedName name="výk_KA">'[2]T3-vstupy'!$C$83</definedName>
    <definedName name="výk_PC">'[2]T3-vstupy'!$C$84</definedName>
    <definedName name="výk_Pub">'[2]T3-vstupy'!$C$88</definedName>
    <definedName name="výk_um">'[2]T3-vstupy'!$C$89</definedName>
    <definedName name="výk_ZG">'[2]T3-vstupy'!$C$86</definedName>
    <definedName name="xxx" hidden="1">"3TGMUFSSIAIMK2KTNC9DELQD0"</definedName>
    <definedName name="zdroj">VstupySR!$F$5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0" i="5" l="1"/>
  <c r="D80" i="5"/>
  <c r="C80" i="5"/>
  <c r="B80" i="5"/>
  <c r="D5" i="4"/>
  <c r="D6" i="4"/>
  <c r="D7" i="4"/>
  <c r="D8" i="4"/>
  <c r="D9" i="4"/>
  <c r="G79" i="5" l="1"/>
  <c r="E18" i="3" s="1"/>
  <c r="B18" i="3" l="1"/>
  <c r="G6" i="3" l="1"/>
  <c r="F73" i="5"/>
  <c r="D25" i="3" s="1"/>
  <c r="F74" i="5"/>
  <c r="D26" i="3" s="1"/>
  <c r="F75" i="5"/>
  <c r="D27" i="3" s="1"/>
  <c r="F76" i="5"/>
  <c r="D28" i="3" s="1"/>
  <c r="F77" i="5"/>
  <c r="D29" i="3" s="1"/>
  <c r="F78" i="5"/>
  <c r="D30" i="3" s="1"/>
  <c r="F72" i="5"/>
  <c r="D24" i="3" s="1"/>
  <c r="C79" i="5"/>
  <c r="D79" i="5"/>
  <c r="E79" i="5"/>
  <c r="B79" i="5"/>
  <c r="B43" i="7" l="1"/>
  <c r="C43" i="7"/>
  <c r="D43" i="7"/>
  <c r="E43" i="7"/>
  <c r="F43" i="7"/>
  <c r="G43" i="7"/>
  <c r="H43" i="7"/>
  <c r="B44" i="7"/>
  <c r="C44" i="7"/>
  <c r="D44" i="7"/>
  <c r="E44" i="7"/>
  <c r="F44" i="7"/>
  <c r="G44" i="7"/>
  <c r="H44" i="7"/>
  <c r="B45" i="7"/>
  <c r="C45" i="7"/>
  <c r="D45" i="7"/>
  <c r="E45" i="7"/>
  <c r="F45" i="7"/>
  <c r="G45" i="7"/>
  <c r="H45" i="7"/>
  <c r="B46" i="7"/>
  <c r="C46" i="7"/>
  <c r="D46" i="7"/>
  <c r="E46" i="7"/>
  <c r="F46" i="7"/>
  <c r="G46" i="7"/>
  <c r="H46" i="7"/>
  <c r="B47" i="7"/>
  <c r="C47" i="7"/>
  <c r="D47" i="7"/>
  <c r="E47" i="7"/>
  <c r="F47" i="7"/>
  <c r="G47" i="7"/>
  <c r="H47" i="7"/>
  <c r="B48" i="7"/>
  <c r="C48" i="7"/>
  <c r="D48" i="7"/>
  <c r="E48" i="7"/>
  <c r="F48" i="7"/>
  <c r="G48" i="7"/>
  <c r="H48" i="7"/>
  <c r="C42" i="7"/>
  <c r="D42" i="7"/>
  <c r="E42" i="7"/>
  <c r="F42" i="7"/>
  <c r="G42" i="7"/>
  <c r="H42" i="7"/>
  <c r="B42" i="7"/>
  <c r="K1" i="3" l="1"/>
  <c r="L1" i="3"/>
  <c r="A31" i="4"/>
  <c r="E3" i="6"/>
  <c r="A3" i="6"/>
  <c r="E30" i="4" l="1"/>
  <c r="D30" i="4"/>
  <c r="H17" i="2" l="1"/>
  <c r="L14" i="3"/>
  <c r="L63" i="3"/>
  <c r="K63" i="3"/>
  <c r="H28" i="14"/>
  <c r="G28" i="14"/>
  <c r="C39" i="14"/>
  <c r="C38" i="14"/>
  <c r="B39" i="14"/>
  <c r="B38" i="14"/>
  <c r="C33" i="14" l="1"/>
  <c r="C34" i="14"/>
  <c r="C35" i="14"/>
  <c r="C36" i="14"/>
  <c r="C32" i="14"/>
  <c r="B32" i="14"/>
  <c r="B33" i="14"/>
  <c r="B34" i="14"/>
  <c r="B35" i="14"/>
  <c r="B36" i="14"/>
  <c r="D39" i="14"/>
  <c r="D38" i="14"/>
  <c r="B37" i="14" l="1"/>
  <c r="C37" i="14"/>
  <c r="M25" i="10" l="1"/>
  <c r="N23" i="10" s="1"/>
  <c r="N21" i="10"/>
  <c r="N20" i="10"/>
  <c r="N19" i="10"/>
  <c r="N18" i="10"/>
  <c r="N17" i="10"/>
  <c r="N22" i="10" l="1"/>
  <c r="N25" i="10" s="1"/>
  <c r="A25" i="4" l="1"/>
  <c r="G33" i="7" l="1"/>
  <c r="B2" i="10" l="1"/>
  <c r="C2" i="10"/>
  <c r="D2" i="10"/>
  <c r="H2" i="10" l="1"/>
  <c r="E2" i="10"/>
  <c r="P7" i="10" l="1"/>
  <c r="P6" i="10"/>
  <c r="P5" i="10"/>
  <c r="P4" i="10"/>
  <c r="P3" i="10"/>
  <c r="E11" i="10" l="1"/>
  <c r="Q3" i="10"/>
  <c r="Q4" i="10"/>
  <c r="Q5" i="10"/>
  <c r="Q6" i="10"/>
  <c r="F6" i="10" s="1"/>
  <c r="Q7" i="10"/>
  <c r="R2" i="10"/>
  <c r="Q2" i="10"/>
  <c r="P2" i="10"/>
  <c r="F3" i="10"/>
  <c r="F4" i="10"/>
  <c r="F5" i="10"/>
  <c r="F7" i="10"/>
  <c r="F8" i="10"/>
  <c r="F9" i="10"/>
  <c r="I3" i="10"/>
  <c r="I4" i="10"/>
  <c r="I5" i="10"/>
  <c r="I6" i="10"/>
  <c r="I7" i="10"/>
  <c r="I8" i="10"/>
  <c r="I9" i="10"/>
  <c r="G8" i="10" l="1"/>
  <c r="G7" i="10"/>
  <c r="G5" i="10"/>
  <c r="G6" i="10"/>
  <c r="G3" i="10"/>
  <c r="G4" i="10"/>
  <c r="G9" i="10"/>
  <c r="K2" i="10" l="1"/>
  <c r="J2" i="10"/>
  <c r="I2" i="10"/>
  <c r="G2" i="10"/>
  <c r="F2" i="10"/>
  <c r="D1" i="10"/>
  <c r="L45" i="3" l="1"/>
  <c r="L59" i="3"/>
  <c r="G46" i="11" l="1"/>
  <c r="B42" i="5"/>
  <c r="D41" i="5"/>
  <c r="C41" i="5"/>
  <c r="B41" i="5"/>
  <c r="F23" i="5"/>
  <c r="F24" i="5"/>
  <c r="F25" i="5"/>
  <c r="F26" i="5"/>
  <c r="F27" i="5"/>
  <c r="F28" i="5"/>
  <c r="F22" i="5"/>
  <c r="B30" i="5"/>
  <c r="D29" i="5"/>
  <c r="C29" i="5"/>
  <c r="B29" i="5"/>
  <c r="B54" i="5"/>
  <c r="F29" i="5" l="1"/>
  <c r="G22" i="5" s="1"/>
  <c r="G23" i="5"/>
  <c r="E31" i="4"/>
  <c r="E25" i="4"/>
  <c r="G24" i="5" l="1"/>
  <c r="G25" i="5"/>
  <c r="G28" i="5"/>
  <c r="G27" i="5"/>
  <c r="G26" i="5"/>
  <c r="G29" i="5" l="1"/>
  <c r="I27" i="8"/>
  <c r="K27" i="8"/>
  <c r="B26" i="8"/>
  <c r="B40" i="8"/>
  <c r="I26" i="8"/>
  <c r="H8" i="2" l="1"/>
  <c r="J33" i="2"/>
  <c r="I33" i="2"/>
  <c r="H33" i="2"/>
  <c r="J13" i="2"/>
  <c r="J7" i="2" l="1"/>
  <c r="H36" i="2"/>
  <c r="J36" i="2"/>
  <c r="I36" i="2" l="1"/>
  <c r="B50" i="10" l="1"/>
  <c r="B49" i="10"/>
  <c r="B48" i="10"/>
  <c r="C40" i="3" l="1"/>
  <c r="C39" i="3"/>
  <c r="C38" i="3"/>
  <c r="C37" i="3"/>
  <c r="C36" i="3"/>
  <c r="B37" i="3"/>
  <c r="B38" i="3"/>
  <c r="B39" i="3"/>
  <c r="B40" i="3"/>
  <c r="B36" i="3"/>
  <c r="I41" i="3"/>
  <c r="H41" i="3" l="1"/>
  <c r="E37" i="3" l="1"/>
  <c r="E40" i="3"/>
  <c r="E36" i="3"/>
  <c r="D37" i="3"/>
  <c r="D38" i="3"/>
  <c r="D39" i="3"/>
  <c r="D40" i="3"/>
  <c r="D36" i="3"/>
  <c r="C35" i="3"/>
  <c r="B35" i="3"/>
  <c r="C41" i="3"/>
  <c r="B41" i="3"/>
  <c r="E41" i="3" l="1"/>
  <c r="D41" i="3" l="1"/>
  <c r="N1" i="10" l="1"/>
  <c r="M1" i="10"/>
  <c r="D11" i="4"/>
  <c r="E11" i="4"/>
  <c r="A11" i="6" l="1"/>
  <c r="D4" i="12"/>
  <c r="D6" i="12"/>
  <c r="B32" i="4"/>
  <c r="E17" i="3" s="1"/>
  <c r="D31" i="4"/>
  <c r="E32" i="4" l="1"/>
  <c r="B33" i="4"/>
  <c r="D32" i="4"/>
  <c r="D25" i="4"/>
  <c r="E33" i="4" l="1"/>
  <c r="D33" i="4"/>
  <c r="B26" i="7" l="1"/>
  <c r="C26" i="7"/>
  <c r="H11" i="10" l="1"/>
  <c r="B11" i="10"/>
  <c r="H10" i="10"/>
  <c r="E10" i="10"/>
  <c r="J6" i="10" l="1"/>
  <c r="J3" i="10"/>
  <c r="J9" i="10"/>
  <c r="J8" i="10"/>
  <c r="J5" i="10"/>
  <c r="J7" i="10"/>
  <c r="J4" i="10"/>
  <c r="B49" i="7"/>
  <c r="C49" i="7"/>
  <c r="I43" i="7"/>
  <c r="I44" i="7"/>
  <c r="I45" i="7"/>
  <c r="I46" i="7"/>
  <c r="I47" i="7"/>
  <c r="I48" i="7"/>
  <c r="I42" i="7"/>
  <c r="I49" i="7" l="1"/>
  <c r="J42" i="7" s="1"/>
  <c r="F49" i="7"/>
  <c r="E49" i="7"/>
  <c r="D49" i="7"/>
  <c r="E10" i="4"/>
  <c r="D10" i="4"/>
  <c r="J46" i="7" l="1"/>
  <c r="J47" i="7"/>
  <c r="J45" i="7"/>
  <c r="J48" i="7"/>
  <c r="I15" i="2"/>
  <c r="I47" i="2"/>
  <c r="J43" i="7"/>
  <c r="J44" i="7"/>
  <c r="H49" i="7"/>
  <c r="G49" i="7"/>
  <c r="I13" i="2" l="1"/>
  <c r="H15" i="2"/>
  <c r="H47" i="2"/>
  <c r="D27" i="6"/>
  <c r="D31" i="6"/>
  <c r="D30" i="6"/>
  <c r="D33" i="6"/>
  <c r="D29" i="6"/>
  <c r="D32" i="6"/>
  <c r="D28" i="6"/>
  <c r="I7" i="2" l="1"/>
  <c r="H13" i="2"/>
  <c r="H7" i="2" s="1"/>
  <c r="D34" i="6"/>
  <c r="F15" i="2" l="1"/>
  <c r="F16" i="2"/>
  <c r="F5" i="2"/>
  <c r="F30" i="2" s="1"/>
  <c r="F24" i="2" l="1"/>
  <c r="F23" i="2"/>
  <c r="F27" i="2"/>
  <c r="F28" i="2"/>
  <c r="F25" i="2"/>
  <c r="F29" i="2"/>
  <c r="F22" i="2"/>
  <c r="F26" i="2"/>
  <c r="C4" i="10" l="1"/>
  <c r="C5" i="10"/>
  <c r="C6" i="10"/>
  <c r="C7" i="10"/>
  <c r="C8" i="10"/>
  <c r="C9" i="10"/>
  <c r="C3" i="10"/>
  <c r="O10" i="10"/>
  <c r="F10" i="10" l="1"/>
  <c r="G10" i="10" s="1"/>
  <c r="I10" i="10"/>
  <c r="J10" i="10" s="1"/>
  <c r="C10" i="10"/>
  <c r="R10" i="10"/>
  <c r="Q10" i="10"/>
  <c r="P10" i="10"/>
  <c r="K11" i="8" l="1"/>
  <c r="K10" i="8"/>
  <c r="K9" i="8"/>
  <c r="K8" i="8"/>
  <c r="K7" i="8"/>
  <c r="K6" i="8"/>
  <c r="K5" i="8"/>
  <c r="K4" i="8"/>
  <c r="C25" i="7" l="1"/>
  <c r="C24" i="7"/>
  <c r="C23" i="7"/>
  <c r="C22" i="7"/>
  <c r="C21" i="7"/>
  <c r="C20" i="7"/>
  <c r="C27" i="7" s="1"/>
  <c r="D24" i="4" l="1"/>
  <c r="A24" i="4"/>
  <c r="E3" i="11"/>
  <c r="A12" i="4"/>
  <c r="L6" i="2" l="1"/>
  <c r="L7" i="2" s="1"/>
  <c r="K7" i="2" s="1"/>
  <c r="L8" i="2" l="1"/>
  <c r="K8" i="2" s="1"/>
  <c r="B8" i="2"/>
  <c r="C1" i="3"/>
  <c r="B2" i="3" s="1"/>
  <c r="E19" i="3" s="1"/>
  <c r="L9" i="2" l="1"/>
  <c r="K9" i="2" s="1"/>
  <c r="L10" i="2" l="1"/>
  <c r="K10" i="2" s="1"/>
  <c r="B9" i="2"/>
  <c r="A4" i="12"/>
  <c r="D9" i="2" l="1"/>
  <c r="B10" i="2"/>
  <c r="L11" i="2"/>
  <c r="K11" i="2" s="1"/>
  <c r="L12" i="2" l="1"/>
  <c r="K12" i="2" s="1"/>
  <c r="B11" i="2"/>
  <c r="B12" i="2" l="1"/>
  <c r="L13" i="2"/>
  <c r="K13" i="2" s="1"/>
  <c r="K25" i="10"/>
  <c r="L14" i="2" l="1"/>
  <c r="K14" i="2" l="1"/>
  <c r="B14" i="2"/>
  <c r="L15" i="2"/>
  <c r="K15" i="2" s="1"/>
  <c r="B25" i="10"/>
  <c r="E14" i="2" l="1"/>
  <c r="D14" i="2"/>
  <c r="L16" i="2"/>
  <c r="L17" i="2" s="1"/>
  <c r="B15" i="2"/>
  <c r="G13" i="11"/>
  <c r="L18" i="2" l="1"/>
  <c r="B18" i="2" s="1"/>
  <c r="B28" i="4" s="1"/>
  <c r="D28" i="4" s="1"/>
  <c r="B17" i="2"/>
  <c r="L15" i="3" s="1"/>
  <c r="K18" i="2"/>
  <c r="K16" i="2"/>
  <c r="D15" i="2"/>
  <c r="E15" i="2"/>
  <c r="D18" i="2"/>
  <c r="L19" i="2"/>
  <c r="K19" i="2" s="1"/>
  <c r="B16" i="2"/>
  <c r="B13" i="2" s="1"/>
  <c r="B7" i="2" s="1"/>
  <c r="K26" i="8"/>
  <c r="C26" i="8"/>
  <c r="C40" i="8"/>
  <c r="D17" i="2" l="1"/>
  <c r="B42" i="3"/>
  <c r="E16" i="2"/>
  <c r="D16" i="2"/>
  <c r="E2" i="6"/>
  <c r="H2" i="6" s="1"/>
  <c r="L20" i="2"/>
  <c r="L21" i="2" s="1"/>
  <c r="L22" i="2" s="1"/>
  <c r="K22" i="2" s="1"/>
  <c r="B19" i="2"/>
  <c r="K9" i="3" l="1"/>
  <c r="K5" i="3"/>
  <c r="K8" i="3"/>
  <c r="K11" i="3"/>
  <c r="K7" i="3"/>
  <c r="K10" i="3"/>
  <c r="K4" i="3"/>
  <c r="B22" i="2"/>
  <c r="L23" i="2"/>
  <c r="K23" i="2" s="1"/>
  <c r="B23" i="2" l="1"/>
  <c r="L24" i="2"/>
  <c r="K24" i="2" s="1"/>
  <c r="B24" i="2" l="1"/>
  <c r="L25" i="2"/>
  <c r="K25" i="2" s="1"/>
  <c r="D53" i="5"/>
  <c r="C53" i="5"/>
  <c r="B53" i="5"/>
  <c r="L26" i="2" l="1"/>
  <c r="K26" i="2" s="1"/>
  <c r="B25" i="2"/>
  <c r="B26" i="2" l="1"/>
  <c r="L27" i="2"/>
  <c r="K27" i="2" s="1"/>
  <c r="D9" i="10"/>
  <c r="K9" i="10" s="1"/>
  <c r="N11" i="10"/>
  <c r="M11" i="10"/>
  <c r="B10" i="10"/>
  <c r="D8" i="10"/>
  <c r="K8" i="10" s="1"/>
  <c r="D7" i="10"/>
  <c r="K7" i="10" s="1"/>
  <c r="D6" i="10"/>
  <c r="K6" i="10" s="1"/>
  <c r="D5" i="10"/>
  <c r="K5" i="10" s="1"/>
  <c r="D4" i="10"/>
  <c r="K4" i="10" s="1"/>
  <c r="D3" i="10"/>
  <c r="K3" i="10" s="1"/>
  <c r="B27" i="2" l="1"/>
  <c r="L28" i="2"/>
  <c r="K28" i="2" s="1"/>
  <c r="D10" i="10"/>
  <c r="K10" i="10" s="1"/>
  <c r="B28" i="2" l="1"/>
  <c r="E28" i="2" s="1"/>
  <c r="L29" i="2"/>
  <c r="K29" i="2" s="1"/>
  <c r="N9" i="10"/>
  <c r="E52" i="5" s="1"/>
  <c r="F52" i="5" s="1"/>
  <c r="M9" i="10"/>
  <c r="E40" i="5" s="1"/>
  <c r="F40" i="5" s="1"/>
  <c r="N3" i="10"/>
  <c r="M3" i="10"/>
  <c r="E34" i="5" s="1"/>
  <c r="F34" i="5" s="1"/>
  <c r="M5" i="10"/>
  <c r="E36" i="5" s="1"/>
  <c r="F36" i="5" s="1"/>
  <c r="N5" i="10"/>
  <c r="E48" i="5" s="1"/>
  <c r="F48" i="5" s="1"/>
  <c r="N7" i="10"/>
  <c r="E50" i="5" s="1"/>
  <c r="F50" i="5" s="1"/>
  <c r="M7" i="10"/>
  <c r="E38" i="5" s="1"/>
  <c r="F38" i="5" s="1"/>
  <c r="M6" i="10"/>
  <c r="E37" i="5" s="1"/>
  <c r="F37" i="5" s="1"/>
  <c r="N6" i="10"/>
  <c r="E49" i="5" s="1"/>
  <c r="F49" i="5" s="1"/>
  <c r="M8" i="10"/>
  <c r="E39" i="5" s="1"/>
  <c r="F39" i="5" s="1"/>
  <c r="N8" i="10"/>
  <c r="E51" i="5" s="1"/>
  <c r="F51" i="5" s="1"/>
  <c r="M4" i="10"/>
  <c r="E35" i="5" s="1"/>
  <c r="F35" i="5" s="1"/>
  <c r="N4" i="10"/>
  <c r="F41" i="5" l="1"/>
  <c r="G39" i="5" s="1"/>
  <c r="L30" i="2"/>
  <c r="K30" i="2" s="1"/>
  <c r="B29" i="2"/>
  <c r="E47" i="5"/>
  <c r="F47" i="5" s="1"/>
  <c r="E46" i="5"/>
  <c r="F46" i="5" s="1"/>
  <c r="M10" i="10"/>
  <c r="E41" i="5" s="1"/>
  <c r="N10" i="10"/>
  <c r="E53" i="5" s="1"/>
  <c r="G34" i="5" l="1"/>
  <c r="G36" i="5"/>
  <c r="G40" i="5"/>
  <c r="G35" i="5"/>
  <c r="G37" i="5"/>
  <c r="G38" i="5"/>
  <c r="L31" i="2"/>
  <c r="L32" i="2" s="1"/>
  <c r="L33" i="2" s="1"/>
  <c r="K33" i="2" s="1"/>
  <c r="B30" i="2"/>
  <c r="F53" i="5"/>
  <c r="G51" i="5" s="1"/>
  <c r="G31" i="7"/>
  <c r="F31" i="7"/>
  <c r="E31" i="7"/>
  <c r="D31" i="7"/>
  <c r="H38" i="7"/>
  <c r="C33" i="6" s="1"/>
  <c r="G41" i="5" l="1"/>
  <c r="L34" i="2"/>
  <c r="K34" i="2" s="1"/>
  <c r="G47" i="5"/>
  <c r="G50" i="5"/>
  <c r="G48" i="5"/>
  <c r="G49" i="5"/>
  <c r="G46" i="5"/>
  <c r="G39" i="7"/>
  <c r="F39" i="7"/>
  <c r="E39" i="7"/>
  <c r="D39" i="7"/>
  <c r="C39" i="7"/>
  <c r="C31" i="7"/>
  <c r="B31" i="7"/>
  <c r="B39" i="7"/>
  <c r="B34" i="2" l="1"/>
  <c r="L35" i="2"/>
  <c r="K35" i="2" s="1"/>
  <c r="G53" i="5"/>
  <c r="H37" i="7"/>
  <c r="C32" i="6" s="1"/>
  <c r="H36" i="7"/>
  <c r="C31" i="6" s="1"/>
  <c r="H35" i="7"/>
  <c r="C30" i="6" s="1"/>
  <c r="H34" i="7"/>
  <c r="C29" i="6" s="1"/>
  <c r="H33" i="7"/>
  <c r="C28" i="6" s="1"/>
  <c r="H32" i="7"/>
  <c r="C27" i="6" s="1"/>
  <c r="B35" i="2" l="1"/>
  <c r="B33" i="2" s="1"/>
  <c r="L36" i="2"/>
  <c r="C34" i="6"/>
  <c r="H39" i="7"/>
  <c r="L37" i="2" l="1"/>
  <c r="K37" i="2" s="1"/>
  <c r="K36" i="2"/>
  <c r="E33" i="2"/>
  <c r="D33" i="2"/>
  <c r="L38" i="2"/>
  <c r="K38" i="2" s="1"/>
  <c r="B37" i="2"/>
  <c r="E63" i="3"/>
  <c r="F13" i="3"/>
  <c r="F12" i="3"/>
  <c r="F11" i="3"/>
  <c r="F10" i="3"/>
  <c r="F9" i="3"/>
  <c r="F8" i="3"/>
  <c r="F7" i="3"/>
  <c r="F5" i="3"/>
  <c r="F4" i="3"/>
  <c r="E5" i="3"/>
  <c r="E7" i="3"/>
  <c r="E8" i="3"/>
  <c r="E9" i="3"/>
  <c r="E10" i="3"/>
  <c r="E11" i="3"/>
  <c r="E12" i="3"/>
  <c r="E13" i="3"/>
  <c r="E4" i="3"/>
  <c r="F58" i="3"/>
  <c r="F51" i="3"/>
  <c r="F50" i="3"/>
  <c r="F49" i="3"/>
  <c r="F47" i="3"/>
  <c r="E48" i="3"/>
  <c r="E49" i="3"/>
  <c r="E50" i="3"/>
  <c r="E51" i="3"/>
  <c r="E52" i="3"/>
  <c r="E53" i="3"/>
  <c r="E54" i="3"/>
  <c r="E55" i="3"/>
  <c r="E56" i="3"/>
  <c r="E57" i="3"/>
  <c r="E58" i="3"/>
  <c r="E47" i="3"/>
  <c r="K45" i="3"/>
  <c r="O45" i="3"/>
  <c r="R45" i="3"/>
  <c r="Q45" i="3"/>
  <c r="N45" i="3"/>
  <c r="F57" i="3"/>
  <c r="F56" i="3"/>
  <c r="F55" i="3"/>
  <c r="F54" i="3"/>
  <c r="F53" i="3"/>
  <c r="R59" i="3"/>
  <c r="Q59" i="3"/>
  <c r="R14" i="3"/>
  <c r="Q14" i="3"/>
  <c r="O14" i="3"/>
  <c r="N14" i="3"/>
  <c r="R2" i="3"/>
  <c r="Q2" i="3"/>
  <c r="L39" i="2" l="1"/>
  <c r="K39" i="2" s="1"/>
  <c r="F52" i="3"/>
  <c r="E35" i="2"/>
  <c r="B39" i="2" l="1"/>
  <c r="L40" i="2"/>
  <c r="K40" i="2" s="1"/>
  <c r="O59" i="3"/>
  <c r="F48" i="3"/>
  <c r="L41" i="2" l="1"/>
  <c r="L42" i="2" s="1"/>
  <c r="L43" i="2" s="1"/>
  <c r="L44" i="2" s="1"/>
  <c r="B40" i="2"/>
  <c r="K44" i="2" l="1"/>
  <c r="B44" i="2"/>
  <c r="L45" i="2"/>
  <c r="K45" i="2" s="1"/>
  <c r="L21" i="10"/>
  <c r="L20" i="10"/>
  <c r="L19" i="10"/>
  <c r="L18" i="10"/>
  <c r="L17" i="10"/>
  <c r="L46" i="2" l="1"/>
  <c r="B45" i="2"/>
  <c r="L22" i="10"/>
  <c r="L23" i="10"/>
  <c r="K46" i="2" l="1"/>
  <c r="L47" i="2"/>
  <c r="B46" i="2"/>
  <c r="E5" i="5" s="1"/>
  <c r="L25" i="10"/>
  <c r="L48" i="2" l="1"/>
  <c r="K47" i="2"/>
  <c r="G8" i="2"/>
  <c r="B48" i="2"/>
  <c r="L49" i="2" l="1"/>
  <c r="K49" i="2" s="1"/>
  <c r="K48" i="2"/>
  <c r="G14" i="6"/>
  <c r="B47" i="2"/>
  <c r="O2" i="3"/>
  <c r="N2" i="3"/>
  <c r="E47" i="2" l="1"/>
  <c r="D47" i="2"/>
  <c r="G16" i="6"/>
  <c r="L50" i="2"/>
  <c r="K50" i="2" s="1"/>
  <c r="B49" i="2"/>
  <c r="E48" i="2" l="1"/>
  <c r="D48" i="2"/>
  <c r="B50" i="2"/>
  <c r="L51" i="2"/>
  <c r="K51" i="2" s="1"/>
  <c r="G15" i="6"/>
  <c r="D46" i="2"/>
  <c r="B51" i="2" l="1"/>
  <c r="L52" i="2"/>
  <c r="K52" i="2" s="1"/>
  <c r="E50" i="2"/>
  <c r="D50" i="2"/>
  <c r="G17" i="6"/>
  <c r="E2" i="3"/>
  <c r="E13" i="14"/>
  <c r="A3" i="11"/>
  <c r="L53" i="2" l="1"/>
  <c r="K53" i="2" s="1"/>
  <c r="B52" i="2"/>
  <c r="G19" i="6" s="1"/>
  <c r="G18" i="6"/>
  <c r="D51" i="2"/>
  <c r="F8" i="2"/>
  <c r="L54" i="2" l="1"/>
  <c r="K54" i="2" s="1"/>
  <c r="B53" i="2"/>
  <c r="G20" i="6" s="1"/>
  <c r="H26" i="8"/>
  <c r="J26" i="8"/>
  <c r="C12" i="8"/>
  <c r="E12" i="8"/>
  <c r="G12" i="8"/>
  <c r="H12" i="8"/>
  <c r="F12" i="8"/>
  <c r="D12" i="8"/>
  <c r="B12" i="8"/>
  <c r="B3" i="8"/>
  <c r="B54" i="2" l="1"/>
  <c r="G21" i="6" s="1"/>
  <c r="L55" i="2"/>
  <c r="K55" i="2" s="1"/>
  <c r="L27" i="8"/>
  <c r="E39" i="2"/>
  <c r="B55" i="2" l="1"/>
  <c r="D16" i="14"/>
  <c r="G22" i="6" l="1"/>
  <c r="G14" i="2"/>
  <c r="D23" i="14"/>
  <c r="B66" i="3" s="1"/>
  <c r="D24" i="14"/>
  <c r="B67" i="3" s="1"/>
  <c r="D25" i="14"/>
  <c r="B68" i="3" s="1"/>
  <c r="D26" i="14"/>
  <c r="B69" i="3" s="1"/>
  <c r="D22" i="14"/>
  <c r="B65" i="3" s="1"/>
  <c r="E5" i="14" l="1"/>
  <c r="B73" i="10" l="1"/>
  <c r="C72" i="10" s="1"/>
  <c r="H25" i="10" l="1"/>
  <c r="I23" i="10" l="1"/>
  <c r="I33" i="6" s="1"/>
  <c r="I19" i="10"/>
  <c r="I22" i="10"/>
  <c r="I17" i="10"/>
  <c r="I21" i="10"/>
  <c r="I18" i="10"/>
  <c r="I20" i="10"/>
  <c r="F53" i="10" l="1"/>
  <c r="D53" i="10"/>
  <c r="C48" i="3" l="1"/>
  <c r="C47" i="3"/>
  <c r="D2" i="12"/>
  <c r="E7" i="6"/>
  <c r="D16" i="4"/>
  <c r="B23" i="4"/>
  <c r="D23" i="4" s="1"/>
  <c r="E23" i="4" l="1"/>
  <c r="D12" i="4" l="1"/>
  <c r="E12" i="4"/>
  <c r="B19" i="13" l="1"/>
  <c r="D35" i="2" l="1"/>
  <c r="D45" i="2" l="1"/>
  <c r="F19" i="2" l="1"/>
  <c r="F14" i="2"/>
  <c r="F13" i="2"/>
  <c r="F12" i="2"/>
  <c r="F11" i="2"/>
  <c r="F10" i="2"/>
  <c r="E3" i="5" l="1"/>
  <c r="E40" i="2" l="1"/>
  <c r="D40" i="2"/>
  <c r="E13" i="11" l="1"/>
  <c r="F25" i="10" l="1"/>
  <c r="G19" i="10" l="1"/>
  <c r="G17" i="10"/>
  <c r="G18" i="10"/>
  <c r="G20" i="10"/>
  <c r="G23" i="10"/>
  <c r="B67" i="5" s="1"/>
  <c r="G21" i="10"/>
  <c r="G22" i="10"/>
  <c r="C24" i="10"/>
  <c r="C67" i="5" s="1"/>
  <c r="C23" i="10"/>
  <c r="J33" i="6" l="1"/>
  <c r="B28" i="14"/>
  <c r="C28" i="14"/>
  <c r="D38" i="8" l="1"/>
  <c r="G58" i="3" l="1"/>
  <c r="F59" i="3"/>
  <c r="E59" i="3"/>
  <c r="D24" i="8" l="1"/>
  <c r="J10" i="8"/>
  <c r="L10" i="8" l="1"/>
  <c r="I25" i="10" l="1"/>
  <c r="G25" i="10"/>
  <c r="F16" i="5"/>
  <c r="B35" i="4" l="1"/>
  <c r="B34" i="4"/>
  <c r="E34" i="4" s="1"/>
  <c r="D19" i="2" l="1"/>
  <c r="B18" i="4"/>
  <c r="D39" i="2"/>
  <c r="E22" i="2"/>
  <c r="A30" i="15" l="1"/>
  <c r="A18" i="15"/>
  <c r="B53" i="10" l="1"/>
  <c r="B20" i="4" l="1"/>
  <c r="D15" i="4"/>
  <c r="E20" i="4" l="1"/>
  <c r="D18" i="4"/>
  <c r="D20" i="4"/>
  <c r="E18" i="4"/>
  <c r="F7" i="5" l="1"/>
  <c r="F82" i="3" l="1"/>
  <c r="E82" i="3"/>
  <c r="G75" i="3"/>
  <c r="G81" i="3"/>
  <c r="G80" i="3"/>
  <c r="G79" i="3"/>
  <c r="G78" i="3"/>
  <c r="G77" i="3"/>
  <c r="G76" i="3"/>
  <c r="E73" i="3"/>
  <c r="B73" i="3"/>
  <c r="G82" i="3" l="1"/>
  <c r="F70" i="3"/>
  <c r="E70" i="3"/>
  <c r="G69" i="3"/>
  <c r="G68" i="3"/>
  <c r="G67" i="3"/>
  <c r="G66" i="3"/>
  <c r="G65" i="3"/>
  <c r="B63" i="3"/>
  <c r="G70" i="3" l="1"/>
  <c r="D56" i="5"/>
  <c r="D28" i="14" l="1"/>
  <c r="E10" i="14" l="1"/>
  <c r="E11" i="14"/>
  <c r="E12" i="14"/>
  <c r="E9" i="14"/>
  <c r="B27" i="4"/>
  <c r="C69" i="10"/>
  <c r="H30" i="6" s="1"/>
  <c r="E16" i="14" l="1"/>
  <c r="C68" i="10"/>
  <c r="H29" i="6" s="1"/>
  <c r="C70" i="10"/>
  <c r="H31" i="6" s="1"/>
  <c r="C66" i="10"/>
  <c r="C67" i="10"/>
  <c r="H28" i="6" s="1"/>
  <c r="C71" i="10"/>
  <c r="B70" i="3" l="1"/>
  <c r="H27" i="6"/>
  <c r="H34" i="6" s="1"/>
  <c r="C73" i="10"/>
  <c r="D19" i="13"/>
  <c r="D27" i="7" l="1"/>
  <c r="D19" i="7"/>
  <c r="E6" i="13" l="1"/>
  <c r="F4" i="13"/>
  <c r="D37" i="4"/>
  <c r="E37" i="4"/>
  <c r="E3" i="13"/>
  <c r="E17" i="13" l="1"/>
  <c r="C80" i="3" s="1"/>
  <c r="E13" i="13"/>
  <c r="E14" i="13"/>
  <c r="C77" i="3" s="1"/>
  <c r="E15" i="13"/>
  <c r="C78" i="3" s="1"/>
  <c r="E16" i="13"/>
  <c r="C79" i="3" s="1"/>
  <c r="E18" i="13"/>
  <c r="C81" i="3" s="1"/>
  <c r="E4" i="13"/>
  <c r="E5" i="13" l="1"/>
  <c r="B75" i="3"/>
  <c r="C76" i="3"/>
  <c r="C82" i="3" s="1"/>
  <c r="C83" i="3" s="1"/>
  <c r="E19" i="13"/>
  <c r="D75" i="3" l="1"/>
  <c r="C16" i="13"/>
  <c r="B79" i="3" s="1"/>
  <c r="D79" i="3" s="1"/>
  <c r="C17" i="13"/>
  <c r="B80" i="3" s="1"/>
  <c r="D80" i="3" s="1"/>
  <c r="C18" i="13"/>
  <c r="B81" i="3" s="1"/>
  <c r="D81" i="3" s="1"/>
  <c r="C13" i="13"/>
  <c r="B76" i="3" s="1"/>
  <c r="D76" i="3" s="1"/>
  <c r="C14" i="13"/>
  <c r="C15" i="13"/>
  <c r="B78" i="3" s="1"/>
  <c r="D78" i="3" s="1"/>
  <c r="H78" i="3" l="1"/>
  <c r="I78" i="3"/>
  <c r="C19" i="13"/>
  <c r="B77" i="3"/>
  <c r="D77" i="3" s="1"/>
  <c r="I79" i="3"/>
  <c r="H79" i="3"/>
  <c r="I76" i="3"/>
  <c r="H76" i="3"/>
  <c r="I80" i="3"/>
  <c r="H80" i="3"/>
  <c r="H81" i="3"/>
  <c r="I81" i="3"/>
  <c r="I75" i="3"/>
  <c r="H75" i="3"/>
  <c r="I77" i="3" l="1"/>
  <c r="H77" i="3"/>
  <c r="H82" i="3" s="1"/>
  <c r="D82" i="3"/>
  <c r="I82" i="3" s="1"/>
  <c r="B82" i="3"/>
  <c r="B83" i="3" s="1"/>
  <c r="F60" i="10" l="1"/>
  <c r="G57" i="10" s="1"/>
  <c r="D60" i="10"/>
  <c r="E57" i="10" s="1"/>
  <c r="B60" i="10"/>
  <c r="C58" i="10" s="1"/>
  <c r="B58" i="11"/>
  <c r="F38" i="10"/>
  <c r="G35" i="10" s="1"/>
  <c r="E55" i="11" s="1"/>
  <c r="D38" i="10"/>
  <c r="E37" i="10" s="1"/>
  <c r="G57" i="11" s="1"/>
  <c r="B38" i="10"/>
  <c r="C35" i="10" s="1"/>
  <c r="F55" i="11" s="1"/>
  <c r="B66" i="11"/>
  <c r="L19" i="8"/>
  <c r="L20" i="8"/>
  <c r="L21" i="8"/>
  <c r="L22" i="8"/>
  <c r="L23" i="8"/>
  <c r="L25" i="8"/>
  <c r="L18" i="8"/>
  <c r="K17" i="8"/>
  <c r="I17" i="8"/>
  <c r="J17" i="8"/>
  <c r="H17" i="8"/>
  <c r="M23" i="8" l="1"/>
  <c r="C57" i="11" s="1"/>
  <c r="E59" i="10"/>
  <c r="C37" i="10"/>
  <c r="F57" i="11" s="1"/>
  <c r="C36" i="10"/>
  <c r="F56" i="11" s="1"/>
  <c r="E55" i="10"/>
  <c r="C34" i="10"/>
  <c r="F54" i="11" s="1"/>
  <c r="C32" i="10"/>
  <c r="F52" i="11" s="1"/>
  <c r="C33" i="10"/>
  <c r="F53" i="11" s="1"/>
  <c r="E54" i="10"/>
  <c r="G54" i="10"/>
  <c r="C57" i="10"/>
  <c r="C54" i="10"/>
  <c r="C56" i="10"/>
  <c r="G55" i="10"/>
  <c r="C59" i="10"/>
  <c r="C55" i="10"/>
  <c r="G58" i="10"/>
  <c r="G59" i="10"/>
  <c r="G56" i="10"/>
  <c r="E56" i="10"/>
  <c r="E58" i="10"/>
  <c r="H58" i="10" s="1"/>
  <c r="G33" i="10"/>
  <c r="E53" i="11" s="1"/>
  <c r="G34" i="10"/>
  <c r="E54" i="11" s="1"/>
  <c r="G36" i="10"/>
  <c r="E56" i="11" s="1"/>
  <c r="G32" i="10"/>
  <c r="E52" i="11" s="1"/>
  <c r="G37" i="10"/>
  <c r="E57" i="11" s="1"/>
  <c r="E34" i="10"/>
  <c r="G54" i="11" s="1"/>
  <c r="E35" i="10"/>
  <c r="G55" i="11" s="1"/>
  <c r="E32" i="10"/>
  <c r="G52" i="11" s="1"/>
  <c r="E36" i="10"/>
  <c r="G56" i="11" s="1"/>
  <c r="E33" i="10"/>
  <c r="G53" i="11" s="1"/>
  <c r="M18" i="8"/>
  <c r="C52" i="11" s="1"/>
  <c r="M19" i="8"/>
  <c r="C53" i="11" s="1"/>
  <c r="L26" i="8"/>
  <c r="M21" i="8"/>
  <c r="C55" i="11" s="1"/>
  <c r="M22" i="8"/>
  <c r="C56" i="11" s="1"/>
  <c r="M20" i="8"/>
  <c r="C54" i="11" s="1"/>
  <c r="H59" i="10" l="1"/>
  <c r="H56" i="10"/>
  <c r="H55" i="10"/>
  <c r="H54" i="10"/>
  <c r="H57" i="10"/>
  <c r="C58" i="11"/>
  <c r="F58" i="11"/>
  <c r="C38" i="10"/>
  <c r="E60" i="10"/>
  <c r="C60" i="10"/>
  <c r="G60" i="10"/>
  <c r="E58" i="11"/>
  <c r="G58" i="11"/>
  <c r="G38" i="10"/>
  <c r="E38" i="10"/>
  <c r="M26" i="8"/>
  <c r="H60" i="10" l="1"/>
  <c r="I58" i="10" l="1"/>
  <c r="D56" i="11" s="1"/>
  <c r="I54" i="10"/>
  <c r="I59" i="10"/>
  <c r="D57" i="11" s="1"/>
  <c r="I55" i="10"/>
  <c r="D53" i="11" s="1"/>
  <c r="I56" i="10"/>
  <c r="D54" i="11" s="1"/>
  <c r="I57" i="10"/>
  <c r="D55" i="11" s="1"/>
  <c r="E8" i="11"/>
  <c r="B49" i="3" s="1"/>
  <c r="F10" i="11"/>
  <c r="E15" i="4"/>
  <c r="D52" i="11" l="1"/>
  <c r="D58" i="11" s="1"/>
  <c r="I60" i="10"/>
  <c r="B48" i="3"/>
  <c r="F6" i="11" l="1"/>
  <c r="D13" i="4"/>
  <c r="E13" i="4"/>
  <c r="E2" i="11"/>
  <c r="D48" i="3"/>
  <c r="G48" i="3"/>
  <c r="I48" i="3" l="1"/>
  <c r="H48" i="3"/>
  <c r="G49" i="3" l="1"/>
  <c r="D49" i="3"/>
  <c r="G50" i="3"/>
  <c r="G57" i="3"/>
  <c r="G56" i="3"/>
  <c r="G55" i="3"/>
  <c r="G54" i="3"/>
  <c r="G53" i="3"/>
  <c r="G52" i="3"/>
  <c r="G51" i="3"/>
  <c r="G47" i="3"/>
  <c r="E45" i="3"/>
  <c r="B45" i="3"/>
  <c r="D7" i="12"/>
  <c r="C50" i="3" s="1"/>
  <c r="C51" i="3"/>
  <c r="D51" i="3" s="1"/>
  <c r="D3" i="12"/>
  <c r="D9" i="12" l="1"/>
  <c r="G59" i="3"/>
  <c r="I49" i="3"/>
  <c r="I51" i="3"/>
  <c r="H49" i="3"/>
  <c r="H51" i="3"/>
  <c r="C17" i="10" l="1"/>
  <c r="C20" i="10"/>
  <c r="C22" i="10"/>
  <c r="C19" i="10"/>
  <c r="C18" i="10"/>
  <c r="J28" i="6" s="1"/>
  <c r="C21" i="10"/>
  <c r="C61" i="5" l="1"/>
  <c r="C25" i="10"/>
  <c r="J27" i="6"/>
  <c r="C65" i="5"/>
  <c r="J31" i="6"/>
  <c r="C63" i="5"/>
  <c r="J29" i="6"/>
  <c r="C64" i="5"/>
  <c r="J30" i="6"/>
  <c r="C66" i="5"/>
  <c r="J32" i="6"/>
  <c r="C62" i="5"/>
  <c r="C68" i="5" l="1"/>
  <c r="J34" i="6"/>
  <c r="D39" i="8"/>
  <c r="D37" i="8"/>
  <c r="D36" i="8"/>
  <c r="D35" i="8"/>
  <c r="D34" i="8"/>
  <c r="D33" i="8"/>
  <c r="D32" i="8"/>
  <c r="C31" i="8"/>
  <c r="B31" i="8"/>
  <c r="D19" i="8"/>
  <c r="D20" i="8"/>
  <c r="D21" i="8"/>
  <c r="D22" i="8"/>
  <c r="D23" i="8"/>
  <c r="D25" i="8"/>
  <c r="D18" i="8"/>
  <c r="C17" i="8"/>
  <c r="B17" i="8"/>
  <c r="I12" i="8"/>
  <c r="E33" i="8" l="1"/>
  <c r="E37" i="8"/>
  <c r="E35" i="8"/>
  <c r="E34" i="8"/>
  <c r="E32" i="8"/>
  <c r="F27" i="6" s="1"/>
  <c r="E38" i="8"/>
  <c r="F33" i="6" s="1"/>
  <c r="E36" i="8"/>
  <c r="E23" i="8"/>
  <c r="G32" i="6" s="1"/>
  <c r="E20" i="8"/>
  <c r="E22" i="8"/>
  <c r="G31" i="6" s="1"/>
  <c r="E19" i="8"/>
  <c r="G28" i="6" s="1"/>
  <c r="E21" i="8"/>
  <c r="G30" i="6" s="1"/>
  <c r="E18" i="8"/>
  <c r="G27" i="6" s="1"/>
  <c r="E24" i="8"/>
  <c r="G33" i="6" s="1"/>
  <c r="F28" i="6"/>
  <c r="F32" i="6"/>
  <c r="D26" i="8"/>
  <c r="G29" i="6"/>
  <c r="D40" i="8"/>
  <c r="F31" i="6"/>
  <c r="F29" i="6"/>
  <c r="F30" i="6"/>
  <c r="G34" i="6" l="1"/>
  <c r="F34" i="6"/>
  <c r="E26" i="8"/>
  <c r="E40" i="8"/>
  <c r="J5" i="8" l="1"/>
  <c r="J6" i="8"/>
  <c r="J7" i="8"/>
  <c r="J8" i="8"/>
  <c r="J9" i="8"/>
  <c r="J11" i="8"/>
  <c r="J4" i="8"/>
  <c r="K3" i="8"/>
  <c r="J3" i="8"/>
  <c r="I3" i="8"/>
  <c r="H3" i="8"/>
  <c r="G3" i="8"/>
  <c r="F3" i="8"/>
  <c r="E3" i="8"/>
  <c r="D3" i="8"/>
  <c r="C3" i="8"/>
  <c r="K12" i="8" l="1"/>
  <c r="L4" i="8"/>
  <c r="J12" i="8"/>
  <c r="L9" i="8"/>
  <c r="L7" i="8"/>
  <c r="L5" i="8"/>
  <c r="L11" i="8"/>
  <c r="L8" i="8"/>
  <c r="L6" i="8"/>
  <c r="M8" i="8" l="1"/>
  <c r="E31" i="6" s="1"/>
  <c r="M7" i="8"/>
  <c r="E30" i="6" s="1"/>
  <c r="M5" i="8"/>
  <c r="E28" i="6" s="1"/>
  <c r="M4" i="8"/>
  <c r="M10" i="8"/>
  <c r="E33" i="6" s="1"/>
  <c r="M9" i="8"/>
  <c r="E32" i="6" s="1"/>
  <c r="M6" i="8"/>
  <c r="E29" i="6" s="1"/>
  <c r="L12" i="8"/>
  <c r="E27" i="6" l="1"/>
  <c r="M12" i="8"/>
  <c r="E34" i="6" l="1"/>
  <c r="G17" i="7"/>
  <c r="G16" i="7"/>
  <c r="G15" i="7"/>
  <c r="G14" i="7"/>
  <c r="G13" i="7"/>
  <c r="B23" i="7" s="1"/>
  <c r="E23" i="7" s="1"/>
  <c r="G12" i="7"/>
  <c r="G11" i="7"/>
  <c r="B22" i="7" s="1"/>
  <c r="E22" i="7" s="1"/>
  <c r="G10" i="7"/>
  <c r="G9" i="7"/>
  <c r="G8" i="7"/>
  <c r="G7" i="7"/>
  <c r="G6" i="7"/>
  <c r="G5" i="7"/>
  <c r="G4" i="7"/>
  <c r="B20" i="7" s="1"/>
  <c r="G3" i="7"/>
  <c r="B25" i="7" s="1"/>
  <c r="E25" i="7" s="1"/>
  <c r="G2" i="7"/>
  <c r="B21" i="7" s="1"/>
  <c r="E21" i="7" s="1"/>
  <c r="F12" i="6"/>
  <c r="F10" i="6"/>
  <c r="E6" i="6"/>
  <c r="H7" i="6"/>
  <c r="E17" i="5"/>
  <c r="F17" i="5" s="1"/>
  <c r="F8" i="5"/>
  <c r="E4" i="5"/>
  <c r="G7" i="3"/>
  <c r="B24" i="3" s="1"/>
  <c r="G5" i="3"/>
  <c r="G4" i="3"/>
  <c r="G8" i="3" s="1"/>
  <c r="B25" i="3" s="1"/>
  <c r="E35" i="4"/>
  <c r="D35" i="4"/>
  <c r="D34" i="4"/>
  <c r="E27" i="4"/>
  <c r="D27" i="4"/>
  <c r="E22" i="4"/>
  <c r="D22" i="4"/>
  <c r="E19" i="4"/>
  <c r="D19" i="4"/>
  <c r="E17" i="4"/>
  <c r="D17" i="4"/>
  <c r="E14" i="4"/>
  <c r="D14" i="4"/>
  <c r="E4" i="4"/>
  <c r="D4" i="4"/>
  <c r="E3" i="4"/>
  <c r="D3" i="4"/>
  <c r="C2" i="4"/>
  <c r="B2" i="4"/>
  <c r="D55" i="2"/>
  <c r="E54" i="2"/>
  <c r="D54" i="2"/>
  <c r="E53" i="2"/>
  <c r="D53" i="2"/>
  <c r="E52" i="2"/>
  <c r="D52" i="2"/>
  <c r="E51" i="2"/>
  <c r="E45" i="2"/>
  <c r="E44" i="2"/>
  <c r="D44" i="2"/>
  <c r="E37" i="2"/>
  <c r="D37" i="2"/>
  <c r="E34" i="2"/>
  <c r="D34" i="2"/>
  <c r="E30" i="2"/>
  <c r="D30" i="2"/>
  <c r="E29" i="2"/>
  <c r="D29" i="2"/>
  <c r="D28" i="2"/>
  <c r="E27" i="2"/>
  <c r="D27" i="2"/>
  <c r="E26" i="2"/>
  <c r="D26" i="2"/>
  <c r="E25" i="2"/>
  <c r="D25" i="2"/>
  <c r="E24" i="2"/>
  <c r="D24" i="2"/>
  <c r="E23" i="2"/>
  <c r="D23" i="2"/>
  <c r="D22" i="2"/>
  <c r="E13" i="2"/>
  <c r="D13" i="2"/>
  <c r="E12" i="2"/>
  <c r="D12" i="2"/>
  <c r="E11" i="2"/>
  <c r="D11" i="2"/>
  <c r="E10" i="2"/>
  <c r="D10" i="2"/>
  <c r="E8" i="2"/>
  <c r="D8" i="2"/>
  <c r="C6" i="2"/>
  <c r="B6" i="2"/>
  <c r="B24" i="7" l="1"/>
  <c r="E20" i="7"/>
  <c r="B27" i="7"/>
  <c r="E24" i="7"/>
  <c r="G10" i="3"/>
  <c r="G9" i="3"/>
  <c r="H6" i="6"/>
  <c r="E6" i="5"/>
  <c r="E7" i="2"/>
  <c r="G13" i="6"/>
  <c r="D7" i="2"/>
  <c r="H15" i="6" l="1"/>
  <c r="H14" i="6"/>
  <c r="G12" i="3"/>
  <c r="B29" i="3" s="1"/>
  <c r="B26" i="3"/>
  <c r="G13" i="3"/>
  <c r="B30" i="3" s="1"/>
  <c r="B27" i="3"/>
  <c r="F22" i="6"/>
  <c r="F19" i="6"/>
  <c r="G25" i="6" s="1"/>
  <c r="F20" i="6"/>
  <c r="H25" i="6" s="1"/>
  <c r="F17" i="6"/>
  <c r="E25" i="6" s="1"/>
  <c r="F21" i="6"/>
  <c r="I25" i="6" s="1"/>
  <c r="F18" i="6"/>
  <c r="F25" i="6" s="1"/>
  <c r="F16" i="6"/>
  <c r="D25" i="6" s="1"/>
  <c r="E27" i="7"/>
  <c r="F14" i="3"/>
  <c r="E14" i="3"/>
  <c r="G11" i="3"/>
  <c r="E8" i="5"/>
  <c r="E7" i="5"/>
  <c r="B5" i="3" s="1"/>
  <c r="F14" i="6" l="1"/>
  <c r="F15" i="6" s="1"/>
  <c r="G14" i="3"/>
  <c r="B28" i="3"/>
  <c r="F24" i="7"/>
  <c r="B31" i="6" s="1"/>
  <c r="F26" i="7"/>
  <c r="B33" i="6" s="1"/>
  <c r="F22" i="7"/>
  <c r="B29" i="6" s="1"/>
  <c r="F25" i="7"/>
  <c r="B32" i="6" s="1"/>
  <c r="F20" i="7"/>
  <c r="B27" i="6" s="1"/>
  <c r="F21" i="7"/>
  <c r="B28" i="6" s="1"/>
  <c r="F23" i="7"/>
  <c r="B30" i="6" s="1"/>
  <c r="F27" i="7" l="1"/>
  <c r="B62" i="5" l="1"/>
  <c r="B61" i="5"/>
  <c r="B64" i="5"/>
  <c r="I27" i="6"/>
  <c r="B63" i="5"/>
  <c r="I32" i="6"/>
  <c r="I28" i="6"/>
  <c r="B65" i="5"/>
  <c r="I30" i="6"/>
  <c r="I29" i="6"/>
  <c r="I31" i="6"/>
  <c r="B66" i="5"/>
  <c r="B68" i="5" l="1"/>
  <c r="I34" i="6"/>
  <c r="J49" i="7" l="1"/>
  <c r="B34" i="6" l="1"/>
  <c r="F43" i="11"/>
  <c r="F42" i="11" l="1"/>
  <c r="F46" i="11"/>
  <c r="F45" i="11"/>
  <c r="F44" i="11"/>
  <c r="K59" i="3" l="1"/>
  <c r="N59" i="3"/>
  <c r="B38" i="2" l="1"/>
  <c r="E38" i="2" l="1"/>
  <c r="B36" i="2"/>
  <c r="E4" i="11" s="1"/>
  <c r="E5" i="11" s="1"/>
  <c r="E6" i="11" s="1"/>
  <c r="B50" i="3" s="1"/>
  <c r="D50" i="3" s="1"/>
  <c r="D38" i="2"/>
  <c r="E36" i="2" l="1"/>
  <c r="D36" i="2"/>
  <c r="E9" i="11"/>
  <c r="E10" i="11" s="1"/>
  <c r="B47" i="3" s="1"/>
  <c r="I50" i="3"/>
  <c r="H50" i="3"/>
  <c r="D47" i="3" l="1"/>
  <c r="E11" i="11"/>
  <c r="E41" i="11" s="1"/>
  <c r="E44" i="11" l="1"/>
  <c r="E45" i="11"/>
  <c r="E46" i="11"/>
  <c r="E48" i="11" s="1"/>
  <c r="E43" i="11"/>
  <c r="E42" i="11"/>
  <c r="H47" i="3"/>
  <c r="I47" i="3"/>
  <c r="D64" i="11" l="1"/>
  <c r="D61" i="11"/>
  <c r="D60" i="11"/>
  <c r="D65" i="11"/>
  <c r="D63" i="11"/>
  <c r="D62" i="11"/>
  <c r="G63" i="11"/>
  <c r="G62" i="11"/>
  <c r="G64" i="11"/>
  <c r="G65" i="11"/>
  <c r="G61" i="11"/>
  <c r="G60" i="11"/>
  <c r="F65" i="11"/>
  <c r="F61" i="11"/>
  <c r="F64" i="11"/>
  <c r="F62" i="11"/>
  <c r="F63" i="11"/>
  <c r="F60" i="11"/>
  <c r="C65" i="11"/>
  <c r="C61" i="11"/>
  <c r="C63" i="11"/>
  <c r="C60" i="11"/>
  <c r="C64" i="11"/>
  <c r="C62" i="11"/>
  <c r="E64" i="11"/>
  <c r="E63" i="11"/>
  <c r="E61" i="11"/>
  <c r="E60" i="11"/>
  <c r="E62" i="11"/>
  <c r="E65" i="11"/>
  <c r="E66" i="11" l="1"/>
  <c r="H62" i="11"/>
  <c r="B54" i="3" s="1"/>
  <c r="H64" i="11"/>
  <c r="B56" i="3" s="1"/>
  <c r="F66" i="11"/>
  <c r="D66" i="11"/>
  <c r="H65" i="11"/>
  <c r="B57" i="3" s="1"/>
  <c r="G66" i="11"/>
  <c r="C66" i="11"/>
  <c r="H60" i="11"/>
  <c r="H63" i="11"/>
  <c r="B55" i="3" s="1"/>
  <c r="H61" i="11"/>
  <c r="B53" i="3" s="1"/>
  <c r="H66" i="11" l="1"/>
  <c r="B52" i="3"/>
  <c r="B59" i="3" l="1"/>
  <c r="B60" i="3" s="1"/>
  <c r="C25" i="6" l="1"/>
  <c r="B25" i="6"/>
  <c r="K31" i="6" l="1"/>
  <c r="B17" i="12" s="1"/>
  <c r="C17" i="12" s="1"/>
  <c r="C56" i="3" s="1"/>
  <c r="D56" i="3" s="1"/>
  <c r="K29" i="6"/>
  <c r="B15" i="12" s="1"/>
  <c r="K27" i="6"/>
  <c r="K33" i="6"/>
  <c r="B19" i="12" s="1"/>
  <c r="K28" i="6"/>
  <c r="B14" i="12" s="1"/>
  <c r="K32" i="6"/>
  <c r="B18" i="12" s="1"/>
  <c r="K30" i="6"/>
  <c r="B16" i="12" s="1"/>
  <c r="B13" i="14" l="1"/>
  <c r="B14" i="14"/>
  <c r="C18" i="12"/>
  <c r="C57" i="3" s="1"/>
  <c r="D57" i="3" s="1"/>
  <c r="C16" i="12"/>
  <c r="C55" i="3" s="1"/>
  <c r="D55" i="3" s="1"/>
  <c r="B12" i="14"/>
  <c r="B10" i="14"/>
  <c r="C14" i="12"/>
  <c r="C53" i="3" s="1"/>
  <c r="D53" i="3" s="1"/>
  <c r="K34" i="6"/>
  <c r="B13" i="12"/>
  <c r="C19" i="12"/>
  <c r="C58" i="3" s="1"/>
  <c r="D58" i="3" s="1"/>
  <c r="B15" i="14"/>
  <c r="B11" i="14"/>
  <c r="C15" i="12"/>
  <c r="C54" i="3" s="1"/>
  <c r="D54" i="3" s="1"/>
  <c r="I56" i="3"/>
  <c r="H56" i="3"/>
  <c r="H58" i="3" l="1"/>
  <c r="I58" i="3"/>
  <c r="I54" i="3"/>
  <c r="H54" i="3"/>
  <c r="B20" i="12"/>
  <c r="B9" i="14"/>
  <c r="C13" i="12"/>
  <c r="I55" i="3"/>
  <c r="H55" i="3"/>
  <c r="H57" i="3"/>
  <c r="I57" i="3"/>
  <c r="H53" i="3"/>
  <c r="I53" i="3"/>
  <c r="C20" i="12" l="1"/>
  <c r="C52" i="3"/>
  <c r="B16" i="14"/>
  <c r="C13" i="14" l="1"/>
  <c r="F13" i="14" s="1"/>
  <c r="C10" i="14"/>
  <c r="F10" i="14" s="1"/>
  <c r="C12" i="14"/>
  <c r="F12" i="14" s="1"/>
  <c r="C11" i="14"/>
  <c r="F11" i="14" s="1"/>
  <c r="C59" i="3"/>
  <c r="C60" i="3" s="1"/>
  <c r="D60" i="3" s="1"/>
  <c r="D52" i="3"/>
  <c r="C9" i="14"/>
  <c r="C16" i="14" l="1"/>
  <c r="F9" i="14"/>
  <c r="I52" i="3"/>
  <c r="D59" i="3"/>
  <c r="I59" i="3" s="1"/>
  <c r="H52" i="3"/>
  <c r="H59" i="3" s="1"/>
  <c r="F16" i="14" l="1"/>
  <c r="G9" i="14" s="1"/>
  <c r="H9" i="14" l="1"/>
  <c r="D32" i="14" s="1"/>
  <c r="E32" i="14" s="1"/>
  <c r="K65" i="3" s="1"/>
  <c r="G10" i="14"/>
  <c r="H10" i="14" s="1"/>
  <c r="G13" i="14"/>
  <c r="H13" i="14" s="1"/>
  <c r="G12" i="14"/>
  <c r="H12" i="14" s="1"/>
  <c r="G11" i="14"/>
  <c r="H11" i="14" s="1"/>
  <c r="I13" i="14" l="1"/>
  <c r="C69" i="3" s="1"/>
  <c r="D69" i="3" s="1"/>
  <c r="D36" i="14"/>
  <c r="E36" i="14" s="1"/>
  <c r="K69" i="3" s="1"/>
  <c r="I10" i="14"/>
  <c r="C66" i="3" s="1"/>
  <c r="D66" i="3" s="1"/>
  <c r="D33" i="14"/>
  <c r="I11" i="14"/>
  <c r="C67" i="3" s="1"/>
  <c r="D67" i="3" s="1"/>
  <c r="D34" i="14"/>
  <c r="E34" i="14" s="1"/>
  <c r="K67" i="3" s="1"/>
  <c r="I12" i="14"/>
  <c r="C68" i="3" s="1"/>
  <c r="D68" i="3" s="1"/>
  <c r="D35" i="14"/>
  <c r="E35" i="14" s="1"/>
  <c r="K68" i="3" s="1"/>
  <c r="H16" i="14"/>
  <c r="I9" i="14"/>
  <c r="G16" i="14"/>
  <c r="H68" i="3" l="1"/>
  <c r="L68" i="3"/>
  <c r="H66" i="3"/>
  <c r="I67" i="3"/>
  <c r="L67" i="3"/>
  <c r="H69" i="3"/>
  <c r="L69" i="3"/>
  <c r="I69" i="3"/>
  <c r="H67" i="3"/>
  <c r="E33" i="14"/>
  <c r="D37" i="14"/>
  <c r="I66" i="3"/>
  <c r="I68" i="3"/>
  <c r="C65" i="3"/>
  <c r="I16" i="14"/>
  <c r="E37" i="14" l="1"/>
  <c r="B29" i="4" s="1"/>
  <c r="D29" i="4" s="1"/>
  <c r="K66" i="3"/>
  <c r="D65" i="3"/>
  <c r="L65" i="3" s="1"/>
  <c r="C70" i="3"/>
  <c r="C71" i="3" s="1"/>
  <c r="B26" i="4" l="1"/>
  <c r="D26" i="4" s="1"/>
  <c r="K70" i="3"/>
  <c r="K71" i="3" s="1"/>
  <c r="A62" i="3" s="1"/>
  <c r="L66" i="3"/>
  <c r="L70" i="3" s="1"/>
  <c r="I65" i="3"/>
  <c r="D70" i="3"/>
  <c r="I70" i="3" s="1"/>
  <c r="H65" i="3"/>
  <c r="H70" i="3" s="1"/>
  <c r="E26" i="4" l="1"/>
  <c r="B71" i="3"/>
  <c r="E5" i="6"/>
  <c r="E8" i="6" s="1"/>
  <c r="E9" i="6" l="1"/>
  <c r="H5" i="6"/>
  <c r="E10" i="6" l="1"/>
  <c r="C5" i="3" s="1"/>
  <c r="E12" i="6"/>
  <c r="H12" i="6" l="1"/>
  <c r="C4" i="3"/>
  <c r="F21" i="3" s="1"/>
  <c r="H10" i="6"/>
  <c r="E13" i="6"/>
  <c r="E19" i="6" s="1"/>
  <c r="D5" i="3"/>
  <c r="E16" i="6" l="1"/>
  <c r="D39" i="6" s="1"/>
  <c r="E22" i="6"/>
  <c r="J41" i="6" s="1"/>
  <c r="E21" i="6"/>
  <c r="I44" i="6" s="1"/>
  <c r="E18" i="6"/>
  <c r="F38" i="6" s="1"/>
  <c r="E15" i="6"/>
  <c r="C43" i="6" s="1"/>
  <c r="E17" i="6"/>
  <c r="E44" i="6" s="1"/>
  <c r="H13" i="6"/>
  <c r="E14" i="6"/>
  <c r="B41" i="6" s="1"/>
  <c r="E20" i="6"/>
  <c r="H43" i="6" s="1"/>
  <c r="G38" i="6"/>
  <c r="G39" i="6"/>
  <c r="G42" i="6"/>
  <c r="G44" i="6"/>
  <c r="G40" i="6"/>
  <c r="G41" i="6"/>
  <c r="G43" i="6"/>
  <c r="D38" i="6"/>
  <c r="J39" i="6"/>
  <c r="H5" i="3"/>
  <c r="E39" i="6" l="1"/>
  <c r="J38" i="6"/>
  <c r="D41" i="6"/>
  <c r="D44" i="6"/>
  <c r="B40" i="6"/>
  <c r="I43" i="6"/>
  <c r="I38" i="6"/>
  <c r="F43" i="6"/>
  <c r="F44" i="6"/>
  <c r="I42" i="6"/>
  <c r="B44" i="6"/>
  <c r="I40" i="6"/>
  <c r="I41" i="6"/>
  <c r="J42" i="6"/>
  <c r="J44" i="6"/>
  <c r="J40" i="6"/>
  <c r="J43" i="6"/>
  <c r="D40" i="6"/>
  <c r="D42" i="6"/>
  <c r="C38" i="6"/>
  <c r="F40" i="6"/>
  <c r="D43" i="6"/>
  <c r="B43" i="6"/>
  <c r="C40" i="6"/>
  <c r="H40" i="6"/>
  <c r="C42" i="6"/>
  <c r="C44" i="6"/>
  <c r="H41" i="6"/>
  <c r="F39" i="6"/>
  <c r="F42" i="6"/>
  <c r="B39" i="6"/>
  <c r="B38" i="6"/>
  <c r="C39" i="6"/>
  <c r="C41" i="6"/>
  <c r="H39" i="6"/>
  <c r="H44" i="6"/>
  <c r="F41" i="6"/>
  <c r="B42" i="6"/>
  <c r="I39" i="6"/>
  <c r="H42" i="6"/>
  <c r="E38" i="6"/>
  <c r="E40" i="6"/>
  <c r="E41" i="6"/>
  <c r="E42" i="6"/>
  <c r="H38" i="6"/>
  <c r="E43" i="6"/>
  <c r="G45" i="6"/>
  <c r="K44" i="6" l="1"/>
  <c r="C13" i="3" s="1"/>
  <c r="I45" i="6"/>
  <c r="F45" i="6"/>
  <c r="K39" i="6"/>
  <c r="C8" i="3" s="1"/>
  <c r="K40" i="6"/>
  <c r="C9" i="3" s="1"/>
  <c r="K43" i="6"/>
  <c r="C12" i="3" s="1"/>
  <c r="D45" i="6"/>
  <c r="K41" i="6"/>
  <c r="C10" i="3" s="1"/>
  <c r="K42" i="6"/>
  <c r="C11" i="3" s="1"/>
  <c r="J45" i="6"/>
  <c r="C45" i="6"/>
  <c r="H45" i="6"/>
  <c r="K38" i="6"/>
  <c r="E45" i="6"/>
  <c r="B45" i="6"/>
  <c r="K45" i="6" l="1"/>
  <c r="C7" i="3"/>
  <c r="C14" i="3" s="1"/>
  <c r="C15" i="3" s="1"/>
  <c r="K14" i="3" l="1"/>
  <c r="K15" i="3" s="1"/>
  <c r="B4" i="3"/>
  <c r="D4" i="3" s="1"/>
  <c r="H4" i="3" l="1"/>
  <c r="I4" i="3"/>
  <c r="E21" i="3"/>
  <c r="G21" i="3" l="1"/>
  <c r="H21" i="3" l="1"/>
  <c r="I21" i="3"/>
  <c r="F79" i="5"/>
  <c r="E9" i="5"/>
  <c r="B6" i="3"/>
  <c r="D6" i="3"/>
  <c r="D23" i="3"/>
  <c r="D31" i="3"/>
  <c r="H6" i="3"/>
  <c r="F9" i="5"/>
  <c r="E11" i="5"/>
  <c r="E12" i="5" s="1"/>
  <c r="E13" i="5" l="1"/>
  <c r="G17" i="5" s="1"/>
  <c r="H12" i="5"/>
  <c r="J12" i="5"/>
  <c r="I12" i="5"/>
  <c r="G16" i="5"/>
  <c r="D67" i="5" l="1"/>
  <c r="D61" i="5"/>
  <c r="D62" i="5"/>
  <c r="D64" i="5"/>
  <c r="D63" i="5"/>
  <c r="D66" i="5"/>
  <c r="D65" i="5"/>
  <c r="H36" i="5"/>
  <c r="H34" i="5"/>
  <c r="H39" i="5"/>
  <c r="H35" i="5"/>
  <c r="H37" i="5"/>
  <c r="H38" i="5"/>
  <c r="H40" i="5"/>
  <c r="H47" i="5"/>
  <c r="H50" i="5"/>
  <c r="H51" i="5"/>
  <c r="H49" i="5"/>
  <c r="H48" i="5"/>
  <c r="H46" i="5"/>
  <c r="H52" i="5"/>
  <c r="H28" i="5"/>
  <c r="I52" i="5" s="1"/>
  <c r="B13" i="3" s="1"/>
  <c r="H24" i="5"/>
  <c r="H23" i="5"/>
  <c r="I47" i="5" s="1"/>
  <c r="B8" i="3" s="1"/>
  <c r="H27" i="5"/>
  <c r="H25" i="5"/>
  <c r="H22" i="5"/>
  <c r="H26" i="5"/>
  <c r="I50" i="5" s="1"/>
  <c r="I48" i="5" l="1"/>
  <c r="B9" i="3" s="1"/>
  <c r="D9" i="3" s="1"/>
  <c r="D8" i="3"/>
  <c r="H53" i="5"/>
  <c r="D13" i="3"/>
  <c r="B11" i="3"/>
  <c r="D68" i="5"/>
  <c r="H41" i="5"/>
  <c r="I46" i="5"/>
  <c r="H29" i="5"/>
  <c r="I49" i="5"/>
  <c r="B10" i="3" s="1"/>
  <c r="I51" i="5"/>
  <c r="B12" i="3" s="1"/>
  <c r="B7" i="3" l="1"/>
  <c r="I53" i="5"/>
  <c r="D12" i="3"/>
  <c r="H8" i="3"/>
  <c r="I8" i="3"/>
  <c r="C25" i="3"/>
  <c r="D11" i="3"/>
  <c r="H13" i="3"/>
  <c r="C30" i="3"/>
  <c r="I13" i="3"/>
  <c r="H9" i="3"/>
  <c r="I9" i="3"/>
  <c r="C26" i="3"/>
  <c r="D10" i="3"/>
  <c r="F25" i="3" l="1"/>
  <c r="E25" i="3"/>
  <c r="G25" i="3" s="1"/>
  <c r="C27" i="3"/>
  <c r="I10" i="3"/>
  <c r="H10" i="3"/>
  <c r="F30" i="3"/>
  <c r="E30" i="3"/>
  <c r="H11" i="3"/>
  <c r="C28" i="3"/>
  <c r="I11" i="3"/>
  <c r="H12" i="3"/>
  <c r="C29" i="3"/>
  <c r="I12" i="3"/>
  <c r="F26" i="3"/>
  <c r="E26" i="3"/>
  <c r="G26" i="3" s="1"/>
  <c r="D7" i="3"/>
  <c r="B14" i="3"/>
  <c r="B15" i="3" s="1"/>
  <c r="D15" i="3" s="1"/>
  <c r="F27" i="3" l="1"/>
  <c r="E27" i="3"/>
  <c r="G27" i="3" s="1"/>
  <c r="F29" i="3"/>
  <c r="E29" i="3"/>
  <c r="G29" i="3" s="1"/>
  <c r="G30" i="3"/>
  <c r="H25" i="3"/>
  <c r="I25" i="3"/>
  <c r="F28" i="3"/>
  <c r="E28" i="3"/>
  <c r="C24" i="3"/>
  <c r="D14" i="3"/>
  <c r="I14" i="3" s="1"/>
  <c r="I7" i="3"/>
  <c r="H7" i="3"/>
  <c r="H14" i="3" s="1"/>
  <c r="I26" i="3"/>
  <c r="H26" i="3"/>
  <c r="G28" i="3" l="1"/>
  <c r="I30" i="3"/>
  <c r="H30" i="3"/>
  <c r="H27" i="3"/>
  <c r="I27" i="3"/>
  <c r="F24" i="3"/>
  <c r="C22" i="3"/>
  <c r="E24" i="3"/>
  <c r="G24" i="3" s="1"/>
  <c r="H29" i="3"/>
  <c r="I29" i="3"/>
  <c r="H24" i="3" l="1"/>
  <c r="I24" i="3"/>
  <c r="F22" i="3"/>
  <c r="F31" i="3" s="1"/>
  <c r="F32" i="3" s="1"/>
  <c r="E22" i="3"/>
  <c r="I28" i="3"/>
  <c r="H28" i="3"/>
  <c r="G22" i="3" l="1"/>
  <c r="E31" i="3"/>
  <c r="E32" i="3" s="1"/>
  <c r="G32" i="3" s="1"/>
  <c r="G31" i="3" l="1"/>
  <c r="I31" i="3" s="1"/>
  <c r="H22" i="3"/>
  <c r="H31" i="3" s="1"/>
</calcChain>
</file>

<file path=xl/sharedStrings.xml><?xml version="1.0" encoding="utf-8"?>
<sst xmlns="http://schemas.openxmlformats.org/spreadsheetml/2006/main" count="1144" uniqueCount="583">
  <si>
    <t>Predkladá:</t>
  </si>
  <si>
    <t>prof. RNDr. Pavol Sovák, CSc., rektor</t>
  </si>
  <si>
    <t>Vypracoval:</t>
  </si>
  <si>
    <t>Ing. RNDr. Michal Tkáč, PhD., kvestor</t>
  </si>
  <si>
    <t>Úpravy oproti minulému roku</t>
  </si>
  <si>
    <t>Sumare</t>
  </si>
  <si>
    <t>dopracovaná valorizácia (vrátane projektových miest)</t>
  </si>
  <si>
    <t>stabilizačný fond</t>
  </si>
  <si>
    <t>07711-mzdy</t>
  </si>
  <si>
    <t>oddelené sumy podľa stupňa štúdia</t>
  </si>
  <si>
    <t>07712-mzdy</t>
  </si>
  <si>
    <t>doplnené o sumu z decembrovej úpravy dotácie</t>
  </si>
  <si>
    <t>07712-DoktStip</t>
  </si>
  <si>
    <t>zapracovaná valorizácia podľa potreby</t>
  </si>
  <si>
    <t>KA</t>
  </si>
  <si>
    <t>aj excelentné pracoviská (zatiaľ na úrovni z novembra)</t>
  </si>
  <si>
    <t>Stav</t>
  </si>
  <si>
    <t>Zalozka</t>
  </si>
  <si>
    <t>Poradie</t>
  </si>
  <si>
    <t>ToDo</t>
  </si>
  <si>
    <t>ok</t>
  </si>
  <si>
    <t>VstupySR</t>
  </si>
  <si>
    <t>preniest hodnoty z minuleho roku do prislusneho stlpca</t>
  </si>
  <si>
    <t>vlozit nove hodnoty z aktualneho roku</t>
  </si>
  <si>
    <t>VstupyUPJS</t>
  </si>
  <si>
    <t>premysliet valorizaciu</t>
  </si>
  <si>
    <t>vykony podla studentov</t>
  </si>
  <si>
    <t>prenosy podla AiS2 (pozor na zmeny koeficientov)  nezabudnut na GM a ZM (pre FF neprenasat vykon)</t>
  </si>
  <si>
    <t>Zapracovat KIVC, na jednotlive stupne reyervovat sumu podla SR</t>
  </si>
  <si>
    <t>07711-TaS</t>
  </si>
  <si>
    <t>Celouniverzitne specifika</t>
  </si>
  <si>
    <t>Z ministerskej tabulky preniest sumy podla jednotlivych kriterii</t>
  </si>
  <si>
    <t>07712-TaS</t>
  </si>
  <si>
    <t>nic</t>
  </si>
  <si>
    <t>skontrolovat pocet SP na 3. stupni</t>
  </si>
  <si>
    <t>nastavit vysku stipendia, premysliet valorizaciu</t>
  </si>
  <si>
    <t>existujuci doktorandi (vratane vracajucich sa po preruseni) - samostatny vypocet</t>
  </si>
  <si>
    <t>07715-Stip</t>
  </si>
  <si>
    <t>aktulizovat z ministerskej tabulky</t>
  </si>
  <si>
    <t>odborove stipko - prehlad aj pre studijne oddelenia PF, FF, LF</t>
  </si>
  <si>
    <t>dopracovat 6-rocne obdobie</t>
  </si>
  <si>
    <t>dopracovat excelentne pracoviska</t>
  </si>
  <si>
    <t>udaje o pocte AZ - SOFIA</t>
  </si>
  <si>
    <t>Granty</t>
  </si>
  <si>
    <t>Aktualizovat podla ministerskych zdrojov</t>
  </si>
  <si>
    <t>Pozor na projekty TIPu</t>
  </si>
  <si>
    <t>Vykony</t>
  </si>
  <si>
    <t>dopracovat KIVC</t>
  </si>
  <si>
    <t>umelecka cinnost</t>
  </si>
  <si>
    <t>publikacna cinnost - univerzitne prejst podla crepc</t>
  </si>
  <si>
    <t>publikacna cinnost - skontrolovat TIP</t>
  </si>
  <si>
    <t>vykony</t>
  </si>
  <si>
    <t>preniest hodnoty z ministerskej tabulky</t>
  </si>
  <si>
    <t>cudzinci, mobility</t>
  </si>
  <si>
    <t>doktorandi po dizertacnej skuske</t>
  </si>
  <si>
    <t>Rok</t>
  </si>
  <si>
    <t>Dátum</t>
  </si>
  <si>
    <t xml:space="preserve">Verzia final (2) november (0) december bez excelentnych (1) </t>
  </si>
  <si>
    <t>pomriadok</t>
  </si>
  <si>
    <t>Údaje z rozpisu dotácie pre UPJŠ</t>
  </si>
  <si>
    <t>Kontrola</t>
  </si>
  <si>
    <t>november</t>
  </si>
  <si>
    <t>december</t>
  </si>
  <si>
    <t>final</t>
  </si>
  <si>
    <t>Rozdiel</t>
  </si>
  <si>
    <t>Popis</t>
  </si>
  <si>
    <t>Podiel</t>
  </si>
  <si>
    <t>Zdroj</t>
  </si>
  <si>
    <t>Mzdy, odvody, TaS spolu 07711 a 0771201</t>
  </si>
  <si>
    <r>
      <t xml:space="preserve">   07711 mzdy (výkon, špecifiká) </t>
    </r>
    <r>
      <rPr>
        <sz val="12"/>
        <color rgb="FFFF0000"/>
        <rFont val="Calibri"/>
        <family val="2"/>
        <charset val="238"/>
        <scheme val="minor"/>
      </rPr>
      <t>bez valorizácie</t>
    </r>
  </si>
  <si>
    <t xml:space="preserve">   07711 valorizácia</t>
  </si>
  <si>
    <r>
      <t xml:space="preserve">   07711 odvody z miezd 35,2% </t>
    </r>
    <r>
      <rPr>
        <sz val="12"/>
        <color rgb="FFFF0000"/>
        <rFont val="Calibri"/>
        <family val="2"/>
        <charset val="238"/>
        <scheme val="minor"/>
      </rPr>
      <t>(vrátane valorizácie)</t>
    </r>
  </si>
  <si>
    <t xml:space="preserve">   07711 TaS </t>
  </si>
  <si>
    <t xml:space="preserve">   07711 záloha na klinické pracoviská</t>
  </si>
  <si>
    <t xml:space="preserve">   07712 - bežné dotácie</t>
  </si>
  <si>
    <r>
      <t xml:space="preserve">      07712 - bežné dotácie - výkonová časť </t>
    </r>
    <r>
      <rPr>
        <sz val="12"/>
        <color rgb="FFFF0000"/>
        <rFont val="Calibri"/>
        <family val="2"/>
        <charset val="238"/>
        <scheme val="minor"/>
      </rPr>
      <t>bez excelentných tímov</t>
    </r>
  </si>
  <si>
    <t xml:space="preserve">      07712 - excelentné tímy</t>
  </si>
  <si>
    <t xml:space="preserve">      07712 - špičkové tímy</t>
  </si>
  <si>
    <t xml:space="preserve">     00712 - valorizácia bez doktorandov (aj odvody)</t>
  </si>
  <si>
    <t xml:space="preserve">     00712 - valorizácia doktorandi</t>
  </si>
  <si>
    <t xml:space="preserve">   07713 - bežná dotácia na rozvoj</t>
  </si>
  <si>
    <t>ŠDaJ</t>
  </si>
  <si>
    <t>0771501 -preddavok na soc. štipendiá</t>
  </si>
  <si>
    <t>0771502 - motivačné štipendiá pre vybrané ŠO</t>
  </si>
  <si>
    <t>0771502 - motivačné štipendiá zakladné</t>
  </si>
  <si>
    <t>0771503 mzdy-ŠDaJ</t>
  </si>
  <si>
    <t>0771503 odvody 35,2%</t>
  </si>
  <si>
    <t>0771503 TaS pre ŠD</t>
  </si>
  <si>
    <t xml:space="preserve">0771503 preddavok na príspevky na jedlá </t>
  </si>
  <si>
    <t>0771503 kult.,šport, UPC, špec.</t>
  </si>
  <si>
    <t>0771503 TJ-šport</t>
  </si>
  <si>
    <t>Špecifiká</t>
  </si>
  <si>
    <t>07711 mzdy (špecifiká)</t>
  </si>
  <si>
    <t>suma nasledujucich riadkov</t>
  </si>
  <si>
    <t xml:space="preserve">    BZ</t>
  </si>
  <si>
    <t>T12-špecifiká - J14</t>
  </si>
  <si>
    <t xml:space="preserve">    Zahraniční lektori </t>
  </si>
  <si>
    <t>T13-sumár-špec - H6</t>
  </si>
  <si>
    <t>07711 TaS (špecifiká)</t>
  </si>
  <si>
    <t xml:space="preserve">     BZ</t>
  </si>
  <si>
    <t>T13-sumár-špec - F6</t>
  </si>
  <si>
    <t xml:space="preserve">     Pg praxe</t>
  </si>
  <si>
    <t>T13-sumár-špec - J6</t>
  </si>
  <si>
    <t xml:space="preserve">     Rozbory v odbore sociálna práca</t>
  </si>
  <si>
    <t>T13-sumár-špec - K6</t>
  </si>
  <si>
    <t xml:space="preserve">     Výdavky na podporu študentov so špecifickými potrebami</t>
  </si>
  <si>
    <t>T13-sumár-špec - L6</t>
  </si>
  <si>
    <t>Podiely vo výkonových zložkách</t>
  </si>
  <si>
    <t>07711 mzdy - na základe pg výkonu</t>
  </si>
  <si>
    <t>T7-mzdy - F5</t>
  </si>
  <si>
    <t>07711 mzdy - na základe PC</t>
  </si>
  <si>
    <t>T7-mzdy - H5</t>
  </si>
  <si>
    <t>07711 mzdy - na základe UC</t>
  </si>
  <si>
    <t>T7-mzdy - I5</t>
  </si>
  <si>
    <t>07712 - excelentné pracoviská 11,88 %</t>
  </si>
  <si>
    <t>T14-VVZ - AD6</t>
  </si>
  <si>
    <r>
      <t xml:space="preserve">07712 - KA </t>
    </r>
    <r>
      <rPr>
        <sz val="12"/>
        <color rgb="FFFF0000"/>
        <rFont val="Calibri"/>
        <family val="2"/>
        <charset val="238"/>
        <scheme val="minor"/>
      </rPr>
      <t xml:space="preserve">0 % </t>
    </r>
    <r>
      <rPr>
        <sz val="12"/>
        <rFont val="Calibri"/>
        <family val="2"/>
        <charset val="238"/>
        <scheme val="minor"/>
      </rPr>
      <t>(vlani 5,26 %)</t>
    </r>
    <r>
      <rPr>
        <sz val="12"/>
        <color theme="1"/>
        <rFont val="Calibri"/>
        <family val="2"/>
        <charset val="238"/>
        <scheme val="minor"/>
      </rPr>
      <t xml:space="preserve"> </t>
    </r>
  </si>
  <si>
    <t>T14-VVZ - F6</t>
  </si>
  <si>
    <r>
      <t xml:space="preserve">07712 - 6r priemer </t>
    </r>
    <r>
      <rPr>
        <sz val="12"/>
        <color rgb="FFFF0000"/>
        <rFont val="Calibri"/>
        <family val="2"/>
        <charset val="238"/>
        <scheme val="minor"/>
      </rPr>
      <t>31,12 %</t>
    </r>
    <r>
      <rPr>
        <sz val="12"/>
        <rFont val="Calibri"/>
        <family val="2"/>
        <charset val="238"/>
        <scheme val="minor"/>
      </rPr>
      <t xml:space="preserve"> (vlani 25,8%)</t>
    </r>
  </si>
  <si>
    <t>T14-VVZ - J6</t>
  </si>
  <si>
    <t>07712 - DG 9%</t>
  </si>
  <si>
    <t>T14-VVZ - M6</t>
  </si>
  <si>
    <t>07712 - VČiS 3%</t>
  </si>
  <si>
    <t>T14-VVZ - P6</t>
  </si>
  <si>
    <t xml:space="preserve">07712 - ZG 10% </t>
  </si>
  <si>
    <t>T14-VVZ - S6</t>
  </si>
  <si>
    <t>07712 - Dokt po DS 10%</t>
  </si>
  <si>
    <t>T14-VVZ - V6</t>
  </si>
  <si>
    <t>07712 - PC 22,5%</t>
  </si>
  <si>
    <t>T14-VVZ - Y6</t>
  </si>
  <si>
    <t>07712 - UC 2,5%</t>
  </si>
  <si>
    <t>T14-VVZ - Z6</t>
  </si>
  <si>
    <t>Údaje podľa pravidiel na UPJŠ</t>
  </si>
  <si>
    <t>07711 - mzdy - rektorát - percento</t>
  </si>
  <si>
    <t>07711 - mzdy - rozvojový fond - percento</t>
  </si>
  <si>
    <t>07711 - mzdy - stabilizačný fond SFa - suma na doc. bez DrSc.</t>
  </si>
  <si>
    <t>07711 - mzdy - stabilizačný fond SFa - suma na doc. s DrSc.</t>
  </si>
  <si>
    <t>07711 - mzdy - stabilizačný fond SFa - suma na prof. bez DrSc.</t>
  </si>
  <si>
    <t>07711 - mzdy - stabilizačný fond SFa - suma na prof. s DrSc.</t>
  </si>
  <si>
    <t>07711 - mzdy - stabilizačný fond SFc</t>
  </si>
  <si>
    <t>Mzdy 07711+07712 - GM</t>
  </si>
  <si>
    <t>Úprva koeficientu intenzity tvorivej činnosti (KIVČ)</t>
  </si>
  <si>
    <t>07711 - TaS - havarijný fond - percento</t>
  </si>
  <si>
    <t>07711 - TaS - rektorát - percento</t>
  </si>
  <si>
    <t>07711 - TaS - energie</t>
  </si>
  <si>
    <t>07712 - TaS - energie</t>
  </si>
  <si>
    <t>07712 - TaS</t>
  </si>
  <si>
    <t xml:space="preserve">    zodpovedá % z 07712</t>
  </si>
  <si>
    <t>07712 - TaS - Rozvojový fond</t>
  </si>
  <si>
    <t xml:space="preserve">    zodpovedá % z 07712 - TaS</t>
  </si>
  <si>
    <t>07712 - TaS - havarijný fond</t>
  </si>
  <si>
    <t xml:space="preserve">07712 - štipendiá doktorandi 2+ </t>
  </si>
  <si>
    <t>07712 - štipendiá noví doktorandi</t>
  </si>
  <si>
    <t>07712 - valorizácia doktorandi</t>
  </si>
  <si>
    <t>07712 - valorizácia doktorandi potreba</t>
  </si>
  <si>
    <t>07712 - podiel KA na výkone KA+6r  (0 % podla metodiky)</t>
  </si>
  <si>
    <t xml:space="preserve">             mzdy</t>
  </si>
  <si>
    <t xml:space="preserve">             odvody</t>
  </si>
  <si>
    <t>07712 - mzdy - rektorát - percento</t>
  </si>
  <si>
    <t>07712 - mzdy - fond rektora - percento</t>
  </si>
  <si>
    <t>07712 - verzia excelentné pracoviska (0 = bez, 1 = november, 2 = odhad)</t>
  </si>
  <si>
    <t>0771502 - štipendiá motivačné základné - cena rektora - percento</t>
  </si>
  <si>
    <t>valorizácia</t>
  </si>
  <si>
    <t>MZDY</t>
  </si>
  <si>
    <t>Nárast/pokles</t>
  </si>
  <si>
    <t>07711 mzdy</t>
  </si>
  <si>
    <t>07712 mzdy</t>
  </si>
  <si>
    <t>mzdy SPOLU</t>
  </si>
  <si>
    <t>Absolútny</t>
  </si>
  <si>
    <t>Percentuálny</t>
  </si>
  <si>
    <t>Rektorát</t>
  </si>
  <si>
    <r>
      <t>RF</t>
    </r>
    <r>
      <rPr>
        <b/>
        <sz val="12"/>
        <color rgb="FFFF0000"/>
        <rFont val="Calibri"/>
        <family val="2"/>
        <charset val="238"/>
        <scheme val="minor"/>
      </rPr>
      <t>+SFc</t>
    </r>
  </si>
  <si>
    <t>SFa</t>
  </si>
  <si>
    <t>LF</t>
  </si>
  <si>
    <t>PF</t>
  </si>
  <si>
    <t>PrávF</t>
  </si>
  <si>
    <t>FVS</t>
  </si>
  <si>
    <t>FF</t>
  </si>
  <si>
    <t>ÚTVaŠ</t>
  </si>
  <si>
    <t>TIP</t>
  </si>
  <si>
    <t>Celkom</t>
  </si>
  <si>
    <t>Zaokruhlovanie</t>
  </si>
  <si>
    <t>Suma na SFc:</t>
  </si>
  <si>
    <t>po uprave na GM!!!</t>
  </si>
  <si>
    <t>V Rektorate aj BZ, SDaJ, UTVaS, TIP</t>
  </si>
  <si>
    <t>GM UPJŠ</t>
  </si>
  <si>
    <t>GM</t>
  </si>
  <si>
    <t>úprava RF</t>
  </si>
  <si>
    <t xml:space="preserve">SFa + SFb </t>
  </si>
  <si>
    <t>mzdy final</t>
  </si>
  <si>
    <t>Percent. final</t>
  </si>
  <si>
    <t xml:space="preserve">SFa </t>
  </si>
  <si>
    <t>Špičkové tímy</t>
  </si>
  <si>
    <t>Skratka</t>
  </si>
  <si>
    <t>Fakulta</t>
  </si>
  <si>
    <t>Príspevok 23</t>
  </si>
  <si>
    <t>Príspevok 22</t>
  </si>
  <si>
    <t>BioAktiv</t>
  </si>
  <si>
    <t>EXTASY</t>
  </si>
  <si>
    <t>QMAGNA</t>
  </si>
  <si>
    <t>KOSDIM</t>
  </si>
  <si>
    <t>OST</t>
  </si>
  <si>
    <t>TRIANGEL</t>
  </si>
  <si>
    <t>SPOLU</t>
  </si>
  <si>
    <t>úprava</t>
  </si>
  <si>
    <t>TaS</t>
  </si>
  <si>
    <t>07711 TaS</t>
  </si>
  <si>
    <t>07712 TaS</t>
  </si>
  <si>
    <t>TaS SPOLU</t>
  </si>
  <si>
    <t>Energie</t>
  </si>
  <si>
    <t>Špecifiká UPJŠ</t>
  </si>
  <si>
    <t>HF</t>
  </si>
  <si>
    <t>RF</t>
  </si>
  <si>
    <t>Štipendiá doktorandské</t>
  </si>
  <si>
    <t>existujúci</t>
  </si>
  <si>
    <t>noví</t>
  </si>
  <si>
    <t>spolu</t>
  </si>
  <si>
    <t>Štipendiá motivačné</t>
  </si>
  <si>
    <t>základné</t>
  </si>
  <si>
    <t>vybrané ŠO</t>
  </si>
  <si>
    <t>Cena rektora</t>
  </si>
  <si>
    <t>Navrhujeme spojit vybrané ŠO za PF a FF do jednej sumy</t>
  </si>
  <si>
    <t>Rozpis dotácie na mzdy podprogramu 07711</t>
  </si>
  <si>
    <t>Špecifiká 07711 mzdy</t>
  </si>
  <si>
    <t>Na základe pg výkonu</t>
  </si>
  <si>
    <t>Na základe PC a UC</t>
  </si>
  <si>
    <t>Na základe výkonov spolu</t>
  </si>
  <si>
    <t>Rozvojový fond</t>
  </si>
  <si>
    <t>Stabilizačný fond (SFa)</t>
  </si>
  <si>
    <t>Level 1</t>
  </si>
  <si>
    <t>Level 2</t>
  </si>
  <si>
    <t>Level 3</t>
  </si>
  <si>
    <t>Zostatok na fakulty a ÚTVaŠ spolu</t>
  </si>
  <si>
    <t>v tom pg výkon (podľa KIVČ)</t>
  </si>
  <si>
    <t>v tom výkon za PC a UC</t>
  </si>
  <si>
    <t>Výkon za PC a UC - rozdelenie</t>
  </si>
  <si>
    <t>Váha</t>
  </si>
  <si>
    <t>Podiel UPJŠ (%)</t>
  </si>
  <si>
    <t>Delená suma</t>
  </si>
  <si>
    <t>v rozpise SR</t>
  </si>
  <si>
    <t>Podiel na publikačnej činnosti</t>
  </si>
  <si>
    <t>T14-VVZ - AJ6</t>
  </si>
  <si>
    <t>Podiel na umeleckej činnosti</t>
  </si>
  <si>
    <t>T14-VVZ - AK6</t>
  </si>
  <si>
    <t>T14-VVZ - AH26, AI26</t>
  </si>
  <si>
    <t>Rozpis na základe pg výkonov</t>
  </si>
  <si>
    <t>Výkon 
podľa 
študentov a 
absolventov 
I. stupeň</t>
  </si>
  <si>
    <t>Odpočítať 
výkon 
I. stupeň</t>
  </si>
  <si>
    <t>Pripočítať 
výkon
I. stupeň</t>
  </si>
  <si>
    <t>KITČ
I. stupeň</t>
  </si>
  <si>
    <t>Výkon 
po KITČ 
I. stupeň</t>
  </si>
  <si>
    <t>Podiel na výkone 
I. stupeň</t>
  </si>
  <si>
    <t>Podľa 
výkonu
I. stupeň</t>
  </si>
  <si>
    <t>MŠVVaŠ SR</t>
  </si>
  <si>
    <t>stud</t>
  </si>
  <si>
    <t>abs</t>
  </si>
  <si>
    <t>T6c-výkon-fak - stud H7; abs Q7</t>
  </si>
  <si>
    <t>Výkon 
podľa 
študentov a 
absolventov 
II. stupeň</t>
  </si>
  <si>
    <t>Odpočítať 
výkon 
II. stupeň</t>
  </si>
  <si>
    <t>Pripočítať 
výkon
II. stupeň</t>
  </si>
  <si>
    <t>KITČ
II. stupeň</t>
  </si>
  <si>
    <t>Výkon 
po KITČ 
II. stupeň</t>
  </si>
  <si>
    <t>Podiel na výkone 
II. stupeň</t>
  </si>
  <si>
    <t>Podľa 
výkonu
II. stupeň</t>
  </si>
  <si>
    <t>T6c-výkon-fak - stud I7; abs R7</t>
  </si>
  <si>
    <t>Výkon 
podľa 
študentov a 
absolventov 
III. stupeň</t>
  </si>
  <si>
    <t>Odpočítať 
výkon 
III. stupeň</t>
  </si>
  <si>
    <t>Pripočítať 
výkon
III. stupeň</t>
  </si>
  <si>
    <t>KITČ
III. stupeň</t>
  </si>
  <si>
    <t>Výkon 
po KITČ 
III. stupeň</t>
  </si>
  <si>
    <t>Podiel na výkone 
III. stupeň</t>
  </si>
  <si>
    <t>Podľa 
výkonu
III. stupeň</t>
  </si>
  <si>
    <t>Podľa 
výkonu
spolu</t>
  </si>
  <si>
    <t>T6c-výkon-fak - stud J7; abs S7</t>
  </si>
  <si>
    <t>Odpočítať/Pripočítať výkon</t>
  </si>
  <si>
    <t>Rozpis na základe výkonov v PC a UC</t>
  </si>
  <si>
    <t>Výkon PČ</t>
  </si>
  <si>
    <t>Výkon UČ</t>
  </si>
  <si>
    <t>Pridelená 
suma</t>
  </si>
  <si>
    <t>Stabilizačný fond (a) - použitie (podľa funkčných miest, 100% úväzok)</t>
  </si>
  <si>
    <t>SFb</t>
  </si>
  <si>
    <t>prof., DrSc.</t>
  </si>
  <si>
    <t>prof.</t>
  </si>
  <si>
    <t>doc. DrSc.</t>
  </si>
  <si>
    <t>doc.</t>
  </si>
  <si>
    <t>SF - suma</t>
  </si>
  <si>
    <t>Rozpis dotácie na TaS 07711</t>
  </si>
  <si>
    <t>Pridelená suma</t>
  </si>
  <si>
    <t>Špecifiká 07711 TaS (BZ, pg praxe, rozbory SP, ...)</t>
  </si>
  <si>
    <t>Zostatok</t>
  </si>
  <si>
    <t>Havarijný fond</t>
  </si>
  <si>
    <t>Celouniverzitné špecifiká</t>
  </si>
  <si>
    <t>Zostatok pre prerozdelenie pre všetky OJ</t>
  </si>
  <si>
    <t>Rektorát a univerzitné pracoviská</t>
  </si>
  <si>
    <t>Zostatok na fakulty a ÚTVaŠ</t>
  </si>
  <si>
    <t>Vlani</t>
  </si>
  <si>
    <t>Univerzitná knižnica - obnova knižničného fondu</t>
  </si>
  <si>
    <t>Daň z nehnuteľnosti</t>
  </si>
  <si>
    <t>Poistenie majetku a motorových vozidiel</t>
  </si>
  <si>
    <t>Licenčné poplatky IS (CardPay, ASPI, ALEPH, ORACLE, 
                             X-server, FORBIS, GPS, dochádzkový systém,  
                             antiplagiatorský SW, ...)</t>
  </si>
  <si>
    <t>Licencie antivirus - refundácia</t>
  </si>
  <si>
    <t>Poplatok za komunálny a separovany odpad</t>
  </si>
  <si>
    <r>
      <t xml:space="preserve">Členské poplatky univerzity v externých organizáciách </t>
    </r>
    <r>
      <rPr>
        <sz val="11"/>
        <color rgb="FFFF0000"/>
        <rFont val="Calibri"/>
        <family val="2"/>
        <charset val="238"/>
        <scheme val="minor"/>
      </rPr>
      <t>(CVVT, INNOCHANGE, SPARTAKUS…)</t>
    </r>
  </si>
  <si>
    <t>Poplatky (notárske, ...)</t>
  </si>
  <si>
    <t>Poistenie ZPC</t>
  </si>
  <si>
    <t>Správa centrálnych posluchární</t>
  </si>
  <si>
    <t>AIS</t>
  </si>
  <si>
    <t>Portál projektov</t>
  </si>
  <si>
    <t>Certifikácia RDSS</t>
  </si>
  <si>
    <t>Podpora manažovania zahraničných projektov (CCVaPP)</t>
  </si>
  <si>
    <t>IKT - upgrade SW, HW centrálnej infraštruktúry</t>
  </si>
  <si>
    <t>Univerzitné záujmové združenia (CHUŠ, Šturko, UNI-TV, Hornád, študentské spolky)</t>
  </si>
  <si>
    <t>Podpora jazykovej prípravy (zahraniční študenti)</t>
  </si>
  <si>
    <t>Prezentácia osobnosti P. J. Šafárika (Kobeliarovo)</t>
  </si>
  <si>
    <t>Správa dátového centra Medipark</t>
  </si>
  <si>
    <t>Podpora mediálnej prezentácie univerzity</t>
  </si>
  <si>
    <t>Nájom PF - SENZOR</t>
  </si>
  <si>
    <t>Korekcie EŠIF projektov, splátka pôžičky (požiar M11)</t>
  </si>
  <si>
    <t>Dopady COVID</t>
  </si>
  <si>
    <t>Poplatok za akreditáciu a registráciu VSK</t>
  </si>
  <si>
    <t>Virtuálna študovňa UK  - ročná licencia</t>
  </si>
  <si>
    <t>Výkon fakúlt a ÚTVaŠ</t>
  </si>
  <si>
    <t>podiel</t>
  </si>
  <si>
    <t>Rozpis podľa zahraničných grantov</t>
  </si>
  <si>
    <t>T8-TaS - E6</t>
  </si>
  <si>
    <t>Rozpis podľa osobitných kritérií na mobility</t>
  </si>
  <si>
    <t>T8-TaS - F6</t>
  </si>
  <si>
    <t>Rozpis podľa osobitných kritérií pre VŠO</t>
  </si>
  <si>
    <t>T8-TaS - G6</t>
  </si>
  <si>
    <t xml:space="preserve">Rozpis podľa TaS na vzdelávaciu činnosť (PPŠ*KO)    
</t>
  </si>
  <si>
    <t>T8-TaS - L6</t>
  </si>
  <si>
    <t>Rozpis podľa TaS na prevádzku (PPŠ)</t>
  </si>
  <si>
    <t>T8-TaS - M6+I6</t>
  </si>
  <si>
    <t xml:space="preserve">      V tom základný príspevok </t>
  </si>
  <si>
    <t>T8-TaS - I6</t>
  </si>
  <si>
    <t xml:space="preserve">      Zostatok na (PPŠ)</t>
  </si>
  <si>
    <t>T8-TaS - M6</t>
  </si>
  <si>
    <t>Podiely na základe výkonov</t>
  </si>
  <si>
    <t>Základný príspevok</t>
  </si>
  <si>
    <t>Podľa zahraničných granotv</t>
  </si>
  <si>
    <t>Podľa osobitných kritérií na mobility</t>
  </si>
  <si>
    <t>Podľa osobitných kritérií pre VŠO</t>
  </si>
  <si>
    <t>Podľa TaS na vzdelávaciu činnosť (PPŠ*KO)</t>
  </si>
  <si>
    <t>Podľa TaS na prevádzku (PPŠ)</t>
  </si>
  <si>
    <t>Rozpis na základe výkonov</t>
  </si>
  <si>
    <t>Rozpis dotácie na mzdy podprogramu 07712</t>
  </si>
  <si>
    <t>Pridelené prostriedky bez valorizácie a špičkových tímov</t>
  </si>
  <si>
    <t>Z toho na</t>
  </si>
  <si>
    <t xml:space="preserve">    štipendiá doktorandov</t>
  </si>
  <si>
    <t xml:space="preserve">    TaS</t>
  </si>
  <si>
    <t xml:space="preserve">    Energie</t>
  </si>
  <si>
    <t>Zostatok na mzdy a odvody</t>
  </si>
  <si>
    <t>V tom mzdy</t>
  </si>
  <si>
    <t>V rozpočte SR</t>
  </si>
  <si>
    <r>
      <t xml:space="preserve">   KA (SR </t>
    </r>
    <r>
      <rPr>
        <sz val="12"/>
        <color rgb="FFFF0000"/>
        <rFont val="Calibri"/>
        <family val="2"/>
        <charset val="238"/>
        <scheme val="minor"/>
      </rPr>
      <t>0 %</t>
    </r>
    <r>
      <rPr>
        <sz val="12"/>
        <rFont val="Calibri"/>
        <family val="2"/>
        <charset val="238"/>
        <scheme val="minor"/>
      </rPr>
      <t>)</t>
    </r>
  </si>
  <si>
    <r>
      <t xml:space="preserve">   6 ročný priemer bez KA (SR </t>
    </r>
    <r>
      <rPr>
        <sz val="12"/>
        <color rgb="FFFF0000"/>
        <rFont val="Calibri"/>
        <family val="2"/>
        <charset val="238"/>
        <scheme val="minor"/>
      </rPr>
      <t>31,12 %</t>
    </r>
    <r>
      <rPr>
        <sz val="12"/>
        <rFont val="Calibri"/>
        <family val="2"/>
        <charset val="238"/>
        <scheme val="minor"/>
      </rPr>
      <t>)</t>
    </r>
  </si>
  <si>
    <r>
      <t xml:space="preserve">   excelentné pracoviská (SR </t>
    </r>
    <r>
      <rPr>
        <sz val="12"/>
        <color rgb="FFFF0000"/>
        <rFont val="Calibri"/>
        <family val="2"/>
        <charset val="238"/>
        <scheme val="minor"/>
      </rPr>
      <t>11,88 %</t>
    </r>
    <r>
      <rPr>
        <sz val="12"/>
        <rFont val="Calibri"/>
        <family val="2"/>
        <charset val="238"/>
        <scheme val="minor"/>
      </rPr>
      <t>)</t>
    </r>
  </si>
  <si>
    <t xml:space="preserve">   DG (SR 9 %)</t>
  </si>
  <si>
    <t xml:space="preserve">   VČiS (SR 3 %)</t>
  </si>
  <si>
    <r>
      <t xml:space="preserve">   ZG (SR </t>
    </r>
    <r>
      <rPr>
        <sz val="12"/>
        <rFont val="Calibri"/>
        <family val="2"/>
        <charset val="238"/>
        <scheme val="minor"/>
      </rPr>
      <t>10 %</t>
    </r>
    <r>
      <rPr>
        <sz val="12"/>
        <color theme="1"/>
        <rFont val="Calibri"/>
        <family val="2"/>
        <charset val="238"/>
        <scheme val="minor"/>
      </rPr>
      <t>)</t>
    </r>
  </si>
  <si>
    <t xml:space="preserve">   Dokt. po dizert. skúške (SR 10 %)</t>
  </si>
  <si>
    <t xml:space="preserve">   PČ (SR 22,5 %)</t>
  </si>
  <si>
    <t xml:space="preserve">   UČ (SR 2,5 %)</t>
  </si>
  <si>
    <t>Podiely vo výkonoch</t>
  </si>
  <si>
    <t>Podiel 
KA</t>
  </si>
  <si>
    <t>Podiel 6r</t>
  </si>
  <si>
    <t>Podiel Excelenté</t>
  </si>
  <si>
    <t>Podiel 
DG</t>
  </si>
  <si>
    <t>Podiel 
VČiS</t>
  </si>
  <si>
    <t>Podiel 
ZG</t>
  </si>
  <si>
    <t>Podiel 
Dokt</t>
  </si>
  <si>
    <t>Podiel 
PČ</t>
  </si>
  <si>
    <t>Podiel 
UČ</t>
  </si>
  <si>
    <t>Pridelená suma podľa výkonov</t>
  </si>
  <si>
    <t>Podiel Excelentné</t>
  </si>
  <si>
    <t>Rozpis dotácie na TaS 07712</t>
  </si>
  <si>
    <t>Vyčlenená suma na energie</t>
  </si>
  <si>
    <t>Vyčlenená suma v rozpočte UPJŠ</t>
  </si>
  <si>
    <t xml:space="preserve">V tom </t>
  </si>
  <si>
    <t xml:space="preserve">   Rozvojový fond</t>
  </si>
  <si>
    <t xml:space="preserve">   Havarijný fond</t>
  </si>
  <si>
    <t xml:space="preserve">   Rektorát</t>
  </si>
  <si>
    <t>Pridelené</t>
  </si>
  <si>
    <t>Rozpis dotácie na doktorandské štipendium 07712</t>
  </si>
  <si>
    <t>do 30.6.2022</t>
  </si>
  <si>
    <t>od 1.7.2022</t>
  </si>
  <si>
    <t>od 1.1.2023</t>
  </si>
  <si>
    <t>od 1.9.2023</t>
  </si>
  <si>
    <t>Výška štipendia pred dizertačnou skúškou (6. tr.)</t>
  </si>
  <si>
    <t>Výška štipendia po dizertačnej skúške (7. tr.)</t>
  </si>
  <si>
    <t>počet</t>
  </si>
  <si>
    <t>mesiace</t>
  </si>
  <si>
    <t>Neúčelová dotácia na nových doktorandov</t>
  </si>
  <si>
    <t>Noví doktorandi</t>
  </si>
  <si>
    <t>Výkon vo vede</t>
  </si>
  <si>
    <t>Iba fakulty</t>
  </si>
  <si>
    <t>Počet programov denná forma</t>
  </si>
  <si>
    <t>Podľa počtu programov
písm a, b</t>
  </si>
  <si>
    <t>Výkon fakúlt podľa písm. c</t>
  </si>
  <si>
    <t>Miesta podľa pravidiel písm. c</t>
  </si>
  <si>
    <t>Pridelené miesta spolu</t>
  </si>
  <si>
    <t>Suma na nové štipendiá</t>
  </si>
  <si>
    <t>https://www.upjs.sk/vyskum/vedeckovyskumna-cinnost/doktorandsky-portal/doktorandske-studium/</t>
  </si>
  <si>
    <r>
      <t xml:space="preserve">Existujúci doktorandi financovaní z dotácie </t>
    </r>
    <r>
      <rPr>
        <sz val="12"/>
        <color theme="1"/>
        <rFont val="Calibri"/>
        <family val="2"/>
        <charset val="238"/>
        <scheme val="minor"/>
      </rPr>
      <t>(pozri samostatný súbor)</t>
    </r>
  </si>
  <si>
    <t>Študento mesiacov
6.tr.</t>
  </si>
  <si>
    <t>Študento mesiacov
7.tr.</t>
  </si>
  <si>
    <t>Suma na 2+ štipendiá</t>
  </si>
  <si>
    <t>Sep-Dec 6PT</t>
  </si>
  <si>
    <t>Sep-Dec 7PT</t>
  </si>
  <si>
    <t>Valorizácia 23</t>
  </si>
  <si>
    <t>K 1.1.2023 
(aj 1.7.2022)</t>
  </si>
  <si>
    <t>K 1.9.2023</t>
  </si>
  <si>
    <t>Noví</t>
  </si>
  <si>
    <t>Suma na valorizáciu</t>
  </si>
  <si>
    <t>LF UPJŠ</t>
  </si>
  <si>
    <t>PF UPJŠ</t>
  </si>
  <si>
    <t>PrF UPJŠ</t>
  </si>
  <si>
    <t>FVS UPJŠ</t>
  </si>
  <si>
    <t>FF UPJŠ</t>
  </si>
  <si>
    <t>Zvýšenie 6PT</t>
  </si>
  <si>
    <t>Zvýšenie 7PT</t>
  </si>
  <si>
    <t>Rozpis dotácie na motivačné štipendium 0771502</t>
  </si>
  <si>
    <t>Motivačné štipendium základné</t>
  </si>
  <si>
    <t>Zoznam programov s motivačným odborovým štipendiom (T5b-studenti - stĺpec AP)</t>
  </si>
  <si>
    <t xml:space="preserve">    Pridelená dotácia</t>
  </si>
  <si>
    <t>fakulta</t>
  </si>
  <si>
    <t>program</t>
  </si>
  <si>
    <t>stupeň</t>
  </si>
  <si>
    <t>študentov</t>
  </si>
  <si>
    <t xml:space="preserve">    Na cenu rektora</t>
  </si>
  <si>
    <t>geografia a geoinformatika</t>
  </si>
  <si>
    <t xml:space="preserve">    Zostatok na fakulty a ÚTVaŠ</t>
  </si>
  <si>
    <t>biológia</t>
  </si>
  <si>
    <t>Motivačné štipendium pre vybrané ŠO</t>
  </si>
  <si>
    <t>fyzika</t>
  </si>
  <si>
    <t>chémia</t>
  </si>
  <si>
    <t>T6c-výkon-fak - stĺpce E a F</t>
  </si>
  <si>
    <t>aplikovaná informatika</t>
  </si>
  <si>
    <t xml:space="preserve"> Počet študentov pre motivačné štipendiá základné</t>
  </si>
  <si>
    <t>Počet študentov pre motivačné odborové štipendiá</t>
  </si>
  <si>
    <t>informatika</t>
  </si>
  <si>
    <t>ekonomická a finančná matematika</t>
  </si>
  <si>
    <t>biofyzika</t>
  </si>
  <si>
    <t>všeobecná ekológia a ekológia jedinca a populácií</t>
  </si>
  <si>
    <t>matematika</t>
  </si>
  <si>
    <t>matematika - geografia</t>
  </si>
  <si>
    <t>biológia - chémia</t>
  </si>
  <si>
    <t>matematika - fyzika</t>
  </si>
  <si>
    <t>spojit s PF</t>
  </si>
  <si>
    <t>biológia - geografia</t>
  </si>
  <si>
    <t>chémia - geografia</t>
  </si>
  <si>
    <t>matematika - chémia</t>
  </si>
  <si>
    <t>matematika - biológia</t>
  </si>
  <si>
    <t>T18-Mot_štip C4</t>
  </si>
  <si>
    <t>T18-Mot_štip E4</t>
  </si>
  <si>
    <t>chémia - informatika</t>
  </si>
  <si>
    <t>biológia - psychológia</t>
  </si>
  <si>
    <t>fyzika - biológia</t>
  </si>
  <si>
    <t>geografia - informatika</t>
  </si>
  <si>
    <t>ošetrovateľstvo</t>
  </si>
  <si>
    <t>matematika - psychológia</t>
  </si>
  <si>
    <t>slovenský jazyk a literatúra - geografia</t>
  </si>
  <si>
    <t>geografia - psychológia</t>
  </si>
  <si>
    <t>nemecký jazyk a literatúra - geografia</t>
  </si>
  <si>
    <t>matematika - informatika</t>
  </si>
  <si>
    <t>slovenský jazyk a literatúra - biológia</t>
  </si>
  <si>
    <t>fyzika - informatika</t>
  </si>
  <si>
    <t>história - geografia</t>
  </si>
  <si>
    <t>fyzika - chémia</t>
  </si>
  <si>
    <t>britské a americké štúdiá - geografia</t>
  </si>
  <si>
    <t>analýza dát a umelá inteligencia</t>
  </si>
  <si>
    <t>britské a americké štúdiá - biológia</t>
  </si>
  <si>
    <t>biológia - informatika</t>
  </si>
  <si>
    <t>britské a americké štúdiá - matematika</t>
  </si>
  <si>
    <t>informatická matematika</t>
  </si>
  <si>
    <t>britské a americké štúdiá - informatika</t>
  </si>
  <si>
    <t>jadrová a subjadrová fyzika</t>
  </si>
  <si>
    <t>fyzika kondenzovaných látok</t>
  </si>
  <si>
    <t>fyzikálna chémia</t>
  </si>
  <si>
    <t>Programy s nízkou hodnotou KAP</t>
  </si>
  <si>
    <t>analytická chémia</t>
  </si>
  <si>
    <t>KAP</t>
  </si>
  <si>
    <t>anorganická chémia</t>
  </si>
  <si>
    <t>učiteľstvo biológie (v kombinácii)</t>
  </si>
  <si>
    <t>učiteľstvo geografie (v kombinácii)</t>
  </si>
  <si>
    <t>manažérska matematika</t>
  </si>
  <si>
    <t>genetika a molekulárna cytológia</t>
  </si>
  <si>
    <t>učiteľstvo chémie (v kombinácii)</t>
  </si>
  <si>
    <t>zoológia a fyziológia živočíchov</t>
  </si>
  <si>
    <t>učiteľstvo matematiky (v kombinácii)</t>
  </si>
  <si>
    <t>biochémia</t>
  </si>
  <si>
    <t>učiteľstvo fyziky (v kombinácii)</t>
  </si>
  <si>
    <t>botanika a fyziológia rastlín</t>
  </si>
  <si>
    <t>učiteľstvo informatiky (v kombinácii)</t>
  </si>
  <si>
    <t>VVš</t>
  </si>
  <si>
    <t>Oblasť výskumu</t>
  </si>
  <si>
    <t>Znakové hodnotenie</t>
  </si>
  <si>
    <t>Číselné hodnotenie 
KZV1</t>
  </si>
  <si>
    <r>
      <t xml:space="preserve">Počet </t>
    </r>
    <r>
      <rPr>
        <sz val="12"/>
        <color rgb="FF0000FF"/>
        <rFont val="Calibri"/>
        <family val="2"/>
        <charset val="238"/>
        <scheme val="minor"/>
      </rPr>
      <t>AZ</t>
    </r>
    <r>
      <rPr>
        <sz val="12"/>
        <rFont val="Calibri"/>
        <family val="2"/>
        <charset val="238"/>
        <scheme val="minor"/>
      </rPr>
      <t xml:space="preserve"> za hodnotené obdobie</t>
    </r>
  </si>
  <si>
    <t>K1=
(KZV1-1)
^2*AZ</t>
  </si>
  <si>
    <t>02 UPJS</t>
  </si>
  <si>
    <t>A</t>
  </si>
  <si>
    <t>C-</t>
  </si>
  <si>
    <t>A-</t>
  </si>
  <si>
    <t>B</t>
  </si>
  <si>
    <t>PraF</t>
  </si>
  <si>
    <t>B-</t>
  </si>
  <si>
    <t>B+</t>
  </si>
  <si>
    <t>Sumár za KA</t>
  </si>
  <si>
    <t>Súčet z K1=
(KZV1-1)
^2*AZ</t>
  </si>
  <si>
    <t>Súčet z Počet AZ za hodnotené obdobie</t>
  </si>
  <si>
    <t>Prepočítaný výkon</t>
  </si>
  <si>
    <t>Podiel upravený</t>
  </si>
  <si>
    <t>Celkový súčet</t>
  </si>
  <si>
    <t>zdroj: SOFIA /VVS/HR_HSKCEVI0_NEW (variant KVESTOR, okruh 10-6C, TVORIVI)</t>
  </si>
  <si>
    <t>Podiel na dotácií na prevádzku a rozvoj infraštruktúry, výkonová, okrem KA a excelentných pracovísk</t>
  </si>
  <si>
    <t>Priemer 
za 6 rokov</t>
  </si>
  <si>
    <t>UTVaŠ</t>
  </si>
  <si>
    <t>Excelentné</t>
  </si>
  <si>
    <t>prir</t>
  </si>
  <si>
    <t>tech</t>
  </si>
  <si>
    <t>lek</t>
  </si>
  <si>
    <t>pol</t>
  </si>
  <si>
    <t>spol</t>
  </si>
  <si>
    <t>hum</t>
  </si>
  <si>
    <t>umen</t>
  </si>
  <si>
    <t>Výkon</t>
  </si>
  <si>
    <t>November</t>
  </si>
  <si>
    <t>Január</t>
  </si>
  <si>
    <t>Objem finančných prostriedkov získaných za 2 kalendárne roky na výskumné granty od subjektov verejnej správy</t>
  </si>
  <si>
    <t>VEGA</t>
  </si>
  <si>
    <t>KEGA</t>
  </si>
  <si>
    <t>APVV</t>
  </si>
  <si>
    <t>Ostatné</t>
  </si>
  <si>
    <t>Spolu</t>
  </si>
  <si>
    <t>Podiel
iba fakulty</t>
  </si>
  <si>
    <t>oba roky</t>
  </si>
  <si>
    <t>https://www.minedu.sk/uspesnost-domacich-a-zahranicnych-projektov-k-rozpisu-dotacii-na-rok-2020/</t>
  </si>
  <si>
    <t>pozri T14c-vstup_DG-ZG bunky C6, D6, E6</t>
  </si>
  <si>
    <t>https://www.vedatechnika.sk/SK/Hodnotenie-projektov-verejnych-vysokych-skol/Stranky/Uspesnost-domacich-a-zahranicnych-projektov-k-rozpisu-dotacii-na-rok-2023.aspx</t>
  </si>
  <si>
    <t>Objem finančných prostriedkov získaných 
za 2 kalendárne roky na výskumné granty zo zahraničia</t>
  </si>
  <si>
    <t>Objem finančných prostriedkov získaných 
za 2 kalendárne roky na nevýskumné granty zo zahraničia</t>
  </si>
  <si>
    <t>pozri T14c-vstup_DG-ZG bunky M6, N6, O6</t>
  </si>
  <si>
    <t>pozri T14c-vstup_DG-ZG bunky R6, S6, T6</t>
  </si>
  <si>
    <t>Objem finančných prostriedkov získaných za 2 kalendárne roky VČiS</t>
  </si>
  <si>
    <t>pozri T14c-vstup_DG-ZG bunky H6, I6, J6</t>
  </si>
  <si>
    <t>Koeficient intenzity výskumnej činnosti</t>
  </si>
  <si>
    <t>KIVC (2)</t>
  </si>
  <si>
    <t>KIVC (3)</t>
  </si>
  <si>
    <t>lektori 
CJ a TV</t>
  </si>
  <si>
    <t>SPOLU (s lektormi)</t>
  </si>
  <si>
    <t>Podiel UPJŠ</t>
  </si>
  <si>
    <t>Median SR -&gt;</t>
  </si>
  <si>
    <r>
      <t xml:space="preserve">Publikačná činnosť </t>
    </r>
    <r>
      <rPr>
        <sz val="12"/>
        <color theme="1"/>
        <rFont val="Calibri"/>
        <family val="2"/>
        <charset val="238"/>
        <scheme val="minor"/>
      </rPr>
      <t>(pozri samostatný súbor)</t>
    </r>
  </si>
  <si>
    <t>077 11 podľa Metodiky</t>
  </si>
  <si>
    <t>077 11 upravené</t>
  </si>
  <si>
    <t>Umelecká činnosť</t>
  </si>
  <si>
    <t>077 11</t>
  </si>
  <si>
    <t>077 12</t>
  </si>
  <si>
    <t>Ostatní</t>
  </si>
  <si>
    <t>CREUC</t>
  </si>
  <si>
    <t xml:space="preserve">Výkon podľa TaS na vzdelávaciu činnosť a prevádzku </t>
  </si>
  <si>
    <t>(T6c-výkon-fak - stĺpce I, G, J)</t>
  </si>
  <si>
    <t>(PPŠ*KO)</t>
  </si>
  <si>
    <t>(PPŠ)</t>
  </si>
  <si>
    <t>VŠO</t>
  </si>
  <si>
    <t>Výkon podľa mobilít</t>
  </si>
  <si>
    <t>pridelená suma</t>
  </si>
  <si>
    <t>Cudzinci</t>
  </si>
  <si>
    <t>T21-Mobility - stĺpec C5</t>
  </si>
  <si>
    <t>Vyslaní</t>
  </si>
  <si>
    <t>T21-Mobility - stĺpec D5</t>
  </si>
  <si>
    <t>Prijatí</t>
  </si>
  <si>
    <t>T21-Mobility - stĺpec E5</t>
  </si>
  <si>
    <t>Mobilita vyslaní</t>
  </si>
  <si>
    <t>mobilita prijatí</t>
  </si>
  <si>
    <t>Suma v dotácii</t>
  </si>
  <si>
    <t>T21b-cudzinci</t>
  </si>
  <si>
    <t>T21a-mobility</t>
  </si>
  <si>
    <t>T8-TaS F6</t>
  </si>
  <si>
    <r>
      <t xml:space="preserve">Doktorandi po dizertačnej skúške </t>
    </r>
    <r>
      <rPr>
        <sz val="12"/>
        <color theme="1"/>
        <rFont val="Calibri"/>
        <family val="2"/>
        <charset val="238"/>
        <scheme val="minor"/>
      </rPr>
      <t>(pozri samostatný súbor, podľa CRŠ)</t>
    </r>
  </si>
  <si>
    <t>Študento mesiace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</si>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</sst>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-F800]dddd\,\ mmmm\ dd\,\ yyyy"/>
    <numFmt numFmtId="165" formatCode="_-* #,##0\ [$€-1]_-;\-* #,##0\ [$€-1]_-;_-* &quot;-&quot;??\ [$€-1]_-;_-@_-"/>
    <numFmt numFmtId="166" formatCode="_-* #,##0\ &quot;€&quot;_-;\-* #,##0\ &quot;€&quot;_-;_-* &quot;-&quot;??\ &quot;€&quot;_-;_-@_-"/>
    <numFmt numFmtId="167" formatCode="0.0000"/>
    <numFmt numFmtId="168" formatCode="_-* #,##0.00\ [$€-1]_-;\-* #,##0.00\ [$€-1]_-;_-* &quot;-&quot;??\ [$€-1]_-;_-@_-"/>
    <numFmt numFmtId="169" formatCode="#,##0.0000"/>
    <numFmt numFmtId="170" formatCode="0.0"/>
    <numFmt numFmtId="171" formatCode="_-* #,##0.00\ _S_k_-;\-* #,##0.00\ _S_k_-;_-* &quot;-&quot;??\ _S_k_-;_-@_-"/>
    <numFmt numFmtId="172" formatCode="#,##0_ ;[Red]\-#,##0\ "/>
    <numFmt numFmtId="173" formatCode="_-* #,##0.00\ &quot;Sk&quot;_-;\-* #,##0.00\ &quot;Sk&quot;_-;_-* &quot;-&quot;??\ &quot;Sk&quot;_-;_-@_-"/>
    <numFmt numFmtId="174" formatCode="_-* #,##0.00\ [$€-1]_-;\-* #,##0.00\ [$€-1]_-;_-* &quot;-&quot;??\ [$€-1]_-"/>
    <numFmt numFmtId="175" formatCode="[$-41B]General"/>
    <numFmt numFmtId="176" formatCode="0.000"/>
    <numFmt numFmtId="177" formatCode="0.000000"/>
    <numFmt numFmtId="178" formatCode="_-* #,##0.00000\ _€_-;\-* #,##0.00000\ _€_-;_-* &quot;-&quot;??\ _€_-;_-@_-"/>
  </numFmts>
  <fonts count="8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Times New Roman"/>
      <family val="1"/>
    </font>
    <font>
      <sz val="12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i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1"/>
    </font>
    <font>
      <sz val="12"/>
      <color theme="1"/>
      <name val="Times New Roman"/>
      <family val="2"/>
      <charset val="238"/>
    </font>
    <font>
      <sz val="11"/>
      <name val="Times New Roman"/>
      <family val="1"/>
      <charset val="238"/>
    </font>
    <font>
      <sz val="10"/>
      <name val="Arial CE"/>
    </font>
    <font>
      <b/>
      <sz val="11"/>
      <color indexed="63"/>
      <name val="Calibri"/>
      <family val="2"/>
      <charset val="238"/>
    </font>
    <font>
      <sz val="10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6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10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 CE"/>
      <charset val="238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11"/>
      <color theme="1"/>
      <name val="Times New Roman"/>
      <family val="2"/>
      <charset val="238"/>
    </font>
    <font>
      <b/>
      <sz val="8.5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0"/>
      <charset val="238"/>
    </font>
    <font>
      <b/>
      <sz val="18"/>
      <color indexed="62"/>
      <name val="Cambria"/>
      <family val="2"/>
    </font>
    <font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0" tint="-0.1499984740745262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theme="0" tint="-0.1499984740745262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9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99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29F76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2"/>
      </patternFill>
    </fill>
    <fill>
      <patternFill patternType="solid">
        <fgColor indexed="9"/>
        <bgColor indexed="64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44"/>
        <bgColor indexed="58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5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5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930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7" borderId="0" applyNumberFormat="0" applyBorder="0" applyAlignment="0" applyProtection="0"/>
    <xf numFmtId="0" fontId="18" fillId="24" borderId="10" applyNumberFormat="0" applyAlignment="0" applyProtection="0"/>
    <xf numFmtId="0" fontId="18" fillId="24" borderId="10" applyNumberFormat="0" applyAlignment="0" applyProtection="0"/>
    <xf numFmtId="0" fontId="18" fillId="24" borderId="10" applyNumberFormat="0" applyAlignment="0" applyProtection="0"/>
    <xf numFmtId="0" fontId="18" fillId="24" borderId="10" applyNumberFormat="0" applyAlignment="0" applyProtection="0"/>
    <xf numFmtId="0" fontId="18" fillId="24" borderId="10" applyNumberFormat="0" applyAlignment="0" applyProtection="0"/>
    <xf numFmtId="0" fontId="18" fillId="24" borderId="10" applyNumberFormat="0" applyAlignment="0" applyProtection="0"/>
    <xf numFmtId="0" fontId="18" fillId="24" borderId="10" applyNumberFormat="0" applyAlignment="0" applyProtection="0"/>
    <xf numFmtId="171" fontId="19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1" fillId="0" borderId="11">
      <alignment horizontal="right" indent="1"/>
    </xf>
    <xf numFmtId="172" fontId="21" fillId="0" borderId="11">
      <alignment horizontal="right" indent="1"/>
    </xf>
    <xf numFmtId="172" fontId="21" fillId="0" borderId="11">
      <alignment horizontal="right" indent="1"/>
    </xf>
    <xf numFmtId="172" fontId="21" fillId="0" borderId="11">
      <alignment horizontal="right" indent="1"/>
    </xf>
    <xf numFmtId="172" fontId="21" fillId="0" borderId="11">
      <alignment horizontal="right" indent="1"/>
    </xf>
    <xf numFmtId="172" fontId="21" fillId="0" borderId="11">
      <alignment horizontal="right" indent="1"/>
    </xf>
    <xf numFmtId="172" fontId="21" fillId="0" borderId="11">
      <alignment horizontal="right" indent="1"/>
    </xf>
    <xf numFmtId="172" fontId="21" fillId="0" borderId="11">
      <alignment horizontal="right" indent="1"/>
    </xf>
    <xf numFmtId="172" fontId="21" fillId="0" borderId="11">
      <alignment horizontal="right" indent="1"/>
    </xf>
    <xf numFmtId="172" fontId="21" fillId="0" borderId="11">
      <alignment horizontal="right" indent="1"/>
    </xf>
    <xf numFmtId="0" fontId="23" fillId="0" borderId="0" applyNumberFormat="0" applyFill="0" applyBorder="0" applyAlignment="0" applyProtection="0"/>
    <xf numFmtId="0" fontId="24" fillId="8" borderId="0" applyNumberFormat="0" applyBorder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20" fillId="0" borderId="15">
      <alignment horizontal="center" vertical="center"/>
    </xf>
    <xf numFmtId="0" fontId="20" fillId="0" borderId="15">
      <alignment horizontal="center" vertical="center"/>
    </xf>
    <xf numFmtId="0" fontId="28" fillId="25" borderId="16" applyNumberFormat="0" applyAlignment="0" applyProtection="0"/>
    <xf numFmtId="0" fontId="29" fillId="11" borderId="10" applyNumberFormat="0" applyAlignment="0" applyProtection="0"/>
    <xf numFmtId="0" fontId="29" fillId="11" borderId="10" applyNumberFormat="0" applyAlignment="0" applyProtection="0"/>
    <xf numFmtId="0" fontId="29" fillId="11" borderId="10" applyNumberFormat="0" applyAlignment="0" applyProtection="0"/>
    <xf numFmtId="0" fontId="29" fillId="11" borderId="10" applyNumberFormat="0" applyAlignment="0" applyProtection="0"/>
    <xf numFmtId="0" fontId="29" fillId="11" borderId="10" applyNumberFormat="0" applyAlignment="0" applyProtection="0"/>
    <xf numFmtId="0" fontId="29" fillId="11" borderId="10" applyNumberFormat="0" applyAlignment="0" applyProtection="0"/>
    <xf numFmtId="0" fontId="29" fillId="11" borderId="10" applyNumberFormat="0" applyAlignment="0" applyProtection="0"/>
    <xf numFmtId="0" fontId="20" fillId="26" borderId="1"/>
    <xf numFmtId="0" fontId="20" fillId="26" borderId="1"/>
    <xf numFmtId="0" fontId="20" fillId="26" borderId="1"/>
    <xf numFmtId="0" fontId="20" fillId="26" borderId="1"/>
    <xf numFmtId="0" fontId="20" fillId="26" borderId="1"/>
    <xf numFmtId="0" fontId="20" fillId="26" borderId="1"/>
    <xf numFmtId="0" fontId="20" fillId="27" borderId="4"/>
    <xf numFmtId="0" fontId="20" fillId="27" borderId="4"/>
    <xf numFmtId="0" fontId="30" fillId="0" borderId="17" applyNumberFormat="0" applyFill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0" fontId="31" fillId="28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21" fillId="0" borderId="0"/>
    <xf numFmtId="0" fontId="20" fillId="0" borderId="0"/>
    <xf numFmtId="0" fontId="3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9" fillId="0" borderId="0"/>
    <xf numFmtId="0" fontId="33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22" fillId="0" borderId="0"/>
    <xf numFmtId="0" fontId="22" fillId="0" borderId="0"/>
    <xf numFmtId="0" fontId="15" fillId="0" borderId="0"/>
    <xf numFmtId="0" fontId="1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9" fillId="0" borderId="0"/>
    <xf numFmtId="0" fontId="19" fillId="0" borderId="0"/>
    <xf numFmtId="0" fontId="15" fillId="29" borderId="18" applyNumberFormat="0" applyFont="0" applyAlignment="0" applyProtection="0"/>
    <xf numFmtId="0" fontId="19" fillId="29" borderId="18" applyNumberFormat="0" applyFont="0" applyAlignment="0" applyProtection="0"/>
    <xf numFmtId="0" fontId="19" fillId="29" borderId="18" applyNumberFormat="0" applyFont="0" applyAlignment="0" applyProtection="0"/>
    <xf numFmtId="0" fontId="19" fillId="29" borderId="18" applyNumberFormat="0" applyFont="0" applyAlignment="0" applyProtection="0"/>
    <xf numFmtId="0" fontId="15" fillId="29" borderId="18" applyNumberFormat="0" applyFont="0" applyAlignment="0" applyProtection="0"/>
    <xf numFmtId="0" fontId="15" fillId="29" borderId="18" applyNumberFormat="0" applyFont="0" applyAlignment="0" applyProtection="0"/>
    <xf numFmtId="0" fontId="15" fillId="29" borderId="18" applyNumberFormat="0" applyFont="0" applyAlignment="0" applyProtection="0"/>
    <xf numFmtId="0" fontId="36" fillId="24" borderId="19" applyNumberFormat="0" applyAlignment="0" applyProtection="0"/>
    <xf numFmtId="0" fontId="36" fillId="24" borderId="19" applyNumberFormat="0" applyAlignment="0" applyProtection="0"/>
    <xf numFmtId="0" fontId="36" fillId="24" borderId="19" applyNumberFormat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38" fillId="28" borderId="20" applyNumberFormat="0" applyProtection="0">
      <alignment vertical="center"/>
    </xf>
    <xf numFmtId="4" fontId="38" fillId="28" borderId="20" applyNumberFormat="0" applyProtection="0">
      <alignment vertical="center"/>
    </xf>
    <xf numFmtId="4" fontId="38" fillId="28" borderId="20" applyNumberFormat="0" applyProtection="0">
      <alignment vertical="center"/>
    </xf>
    <xf numFmtId="4" fontId="38" fillId="28" borderId="20" applyNumberFormat="0" applyProtection="0">
      <alignment vertical="center"/>
    </xf>
    <xf numFmtId="4" fontId="38" fillId="28" borderId="20" applyNumberFormat="0" applyProtection="0">
      <alignment vertical="center"/>
    </xf>
    <xf numFmtId="4" fontId="39" fillId="31" borderId="20" applyNumberFormat="0" applyProtection="0">
      <alignment vertical="center"/>
    </xf>
    <xf numFmtId="4" fontId="39" fillId="31" borderId="20" applyNumberFormat="0" applyProtection="0">
      <alignment vertical="center"/>
    </xf>
    <xf numFmtId="4" fontId="39" fillId="31" borderId="20" applyNumberFormat="0" applyProtection="0">
      <alignment vertical="center"/>
    </xf>
    <xf numFmtId="4" fontId="39" fillId="31" borderId="20" applyNumberFormat="0" applyProtection="0">
      <alignment vertical="center"/>
    </xf>
    <xf numFmtId="4" fontId="39" fillId="31" borderId="20" applyNumberFormat="0" applyProtection="0">
      <alignment vertical="center"/>
    </xf>
    <xf numFmtId="4" fontId="38" fillId="31" borderId="20" applyNumberFormat="0" applyProtection="0">
      <alignment horizontal="left" vertical="center" indent="1"/>
    </xf>
    <xf numFmtId="4" fontId="38" fillId="31" borderId="20" applyNumberFormat="0" applyProtection="0">
      <alignment horizontal="left" vertical="center" indent="1"/>
    </xf>
    <xf numFmtId="4" fontId="38" fillId="31" borderId="20" applyNumberFormat="0" applyProtection="0">
      <alignment horizontal="left" vertical="center" indent="1"/>
    </xf>
    <xf numFmtId="4" fontId="38" fillId="31" borderId="20" applyNumberFormat="0" applyProtection="0">
      <alignment horizontal="left" vertical="center" indent="1"/>
    </xf>
    <xf numFmtId="4" fontId="38" fillId="31" borderId="20" applyNumberFormat="0" applyProtection="0">
      <alignment horizontal="left" vertical="center" indent="1"/>
    </xf>
    <xf numFmtId="0" fontId="38" fillId="31" borderId="20" applyNumberFormat="0" applyProtection="0">
      <alignment horizontal="left" vertical="top" indent="1"/>
    </xf>
    <xf numFmtId="0" fontId="38" fillId="31" borderId="20" applyNumberFormat="0" applyProtection="0">
      <alignment horizontal="left" vertical="top" indent="1"/>
    </xf>
    <xf numFmtId="0" fontId="38" fillId="31" borderId="20" applyNumberFormat="0" applyProtection="0">
      <alignment horizontal="left" vertical="top" indent="1"/>
    </xf>
    <xf numFmtId="0" fontId="38" fillId="31" borderId="20" applyNumberFormat="0" applyProtection="0">
      <alignment horizontal="left" vertical="top" indent="1"/>
    </xf>
    <xf numFmtId="0" fontId="38" fillId="31" borderId="20" applyNumberFormat="0" applyProtection="0">
      <alignment horizontal="left" vertical="top" indent="1"/>
    </xf>
    <xf numFmtId="4" fontId="40" fillId="7" borderId="20" applyNumberFormat="0" applyProtection="0">
      <alignment horizontal="right" vertical="center"/>
    </xf>
    <xf numFmtId="4" fontId="40" fillId="7" borderId="20" applyNumberFormat="0" applyProtection="0">
      <alignment horizontal="right" vertical="center"/>
    </xf>
    <xf numFmtId="4" fontId="40" fillId="7" borderId="20" applyNumberFormat="0" applyProtection="0">
      <alignment horizontal="right" vertical="center"/>
    </xf>
    <xf numFmtId="4" fontId="40" fillId="7" borderId="20" applyNumberFormat="0" applyProtection="0">
      <alignment horizontal="right" vertical="center"/>
    </xf>
    <xf numFmtId="4" fontId="40" fillId="7" borderId="20" applyNumberFormat="0" applyProtection="0">
      <alignment horizontal="right" vertical="center"/>
    </xf>
    <xf numFmtId="4" fontId="40" fillId="13" borderId="20" applyNumberFormat="0" applyProtection="0">
      <alignment horizontal="right" vertical="center"/>
    </xf>
    <xf numFmtId="4" fontId="40" fillId="13" borderId="20" applyNumberFormat="0" applyProtection="0">
      <alignment horizontal="right" vertical="center"/>
    </xf>
    <xf numFmtId="4" fontId="40" fillId="13" borderId="20" applyNumberFormat="0" applyProtection="0">
      <alignment horizontal="right" vertical="center"/>
    </xf>
    <xf numFmtId="4" fontId="40" fillId="13" borderId="20" applyNumberFormat="0" applyProtection="0">
      <alignment horizontal="right" vertical="center"/>
    </xf>
    <xf numFmtId="4" fontId="40" fillId="13" borderId="20" applyNumberFormat="0" applyProtection="0">
      <alignment horizontal="right" vertical="center"/>
    </xf>
    <xf numFmtId="4" fontId="40" fillId="21" borderId="20" applyNumberFormat="0" applyProtection="0">
      <alignment horizontal="right" vertical="center"/>
    </xf>
    <xf numFmtId="4" fontId="40" fillId="21" borderId="20" applyNumberFormat="0" applyProtection="0">
      <alignment horizontal="right" vertical="center"/>
    </xf>
    <xf numFmtId="4" fontId="40" fillId="21" borderId="20" applyNumberFormat="0" applyProtection="0">
      <alignment horizontal="right" vertical="center"/>
    </xf>
    <xf numFmtId="4" fontId="40" fillId="21" borderId="20" applyNumberFormat="0" applyProtection="0">
      <alignment horizontal="right" vertical="center"/>
    </xf>
    <xf numFmtId="4" fontId="40" fillId="21" borderId="20" applyNumberFormat="0" applyProtection="0">
      <alignment horizontal="right" vertical="center"/>
    </xf>
    <xf numFmtId="4" fontId="40" fillId="15" borderId="20" applyNumberFormat="0" applyProtection="0">
      <alignment horizontal="right" vertical="center"/>
    </xf>
    <xf numFmtId="4" fontId="40" fillId="15" borderId="20" applyNumberFormat="0" applyProtection="0">
      <alignment horizontal="right" vertical="center"/>
    </xf>
    <xf numFmtId="4" fontId="40" fillId="15" borderId="20" applyNumberFormat="0" applyProtection="0">
      <alignment horizontal="right" vertical="center"/>
    </xf>
    <xf numFmtId="4" fontId="40" fillId="15" borderId="20" applyNumberFormat="0" applyProtection="0">
      <alignment horizontal="right" vertical="center"/>
    </xf>
    <xf numFmtId="4" fontId="40" fillId="15" borderId="20" applyNumberFormat="0" applyProtection="0">
      <alignment horizontal="right" vertical="center"/>
    </xf>
    <xf numFmtId="4" fontId="40" fillId="19" borderId="20" applyNumberFormat="0" applyProtection="0">
      <alignment horizontal="right" vertical="center"/>
    </xf>
    <xf numFmtId="4" fontId="40" fillId="19" borderId="20" applyNumberFormat="0" applyProtection="0">
      <alignment horizontal="right" vertical="center"/>
    </xf>
    <xf numFmtId="4" fontId="40" fillId="19" borderId="20" applyNumberFormat="0" applyProtection="0">
      <alignment horizontal="right" vertical="center"/>
    </xf>
    <xf numFmtId="4" fontId="40" fillId="19" borderId="20" applyNumberFormat="0" applyProtection="0">
      <alignment horizontal="right" vertical="center"/>
    </xf>
    <xf numFmtId="4" fontId="40" fillId="19" borderId="20" applyNumberFormat="0" applyProtection="0">
      <alignment horizontal="right" vertical="center"/>
    </xf>
    <xf numFmtId="4" fontId="40" fillId="23" borderId="20" applyNumberFormat="0" applyProtection="0">
      <alignment horizontal="right" vertical="center"/>
    </xf>
    <xf numFmtId="4" fontId="40" fillId="23" borderId="20" applyNumberFormat="0" applyProtection="0">
      <alignment horizontal="right" vertical="center"/>
    </xf>
    <xf numFmtId="4" fontId="40" fillId="23" borderId="20" applyNumberFormat="0" applyProtection="0">
      <alignment horizontal="right" vertical="center"/>
    </xf>
    <xf numFmtId="4" fontId="40" fillId="23" borderId="20" applyNumberFormat="0" applyProtection="0">
      <alignment horizontal="right" vertical="center"/>
    </xf>
    <xf numFmtId="4" fontId="40" fillId="23" borderId="20" applyNumberFormat="0" applyProtection="0">
      <alignment horizontal="right" vertical="center"/>
    </xf>
    <xf numFmtId="4" fontId="40" fillId="22" borderId="20" applyNumberFormat="0" applyProtection="0">
      <alignment horizontal="right" vertical="center"/>
    </xf>
    <xf numFmtId="4" fontId="40" fillId="22" borderId="20" applyNumberFormat="0" applyProtection="0">
      <alignment horizontal="right" vertical="center"/>
    </xf>
    <xf numFmtId="4" fontId="40" fillId="22" borderId="20" applyNumberFormat="0" applyProtection="0">
      <alignment horizontal="right" vertical="center"/>
    </xf>
    <xf numFmtId="4" fontId="40" fillId="22" borderId="20" applyNumberFormat="0" applyProtection="0">
      <alignment horizontal="right" vertical="center"/>
    </xf>
    <xf numFmtId="4" fontId="40" fillId="22" borderId="20" applyNumberFormat="0" applyProtection="0">
      <alignment horizontal="right" vertical="center"/>
    </xf>
    <xf numFmtId="4" fontId="40" fillId="32" borderId="20" applyNumberFormat="0" applyProtection="0">
      <alignment horizontal="right" vertical="center"/>
    </xf>
    <xf numFmtId="4" fontId="40" fillId="32" borderId="20" applyNumberFormat="0" applyProtection="0">
      <alignment horizontal="right" vertical="center"/>
    </xf>
    <xf numFmtId="4" fontId="40" fillId="32" borderId="20" applyNumberFormat="0" applyProtection="0">
      <alignment horizontal="right" vertical="center"/>
    </xf>
    <xf numFmtId="4" fontId="40" fillId="32" borderId="20" applyNumberFormat="0" applyProtection="0">
      <alignment horizontal="right" vertical="center"/>
    </xf>
    <xf numFmtId="4" fontId="40" fillId="32" borderId="20" applyNumberFormat="0" applyProtection="0">
      <alignment horizontal="right" vertical="center"/>
    </xf>
    <xf numFmtId="4" fontId="40" fillId="14" borderId="20" applyNumberFormat="0" applyProtection="0">
      <alignment horizontal="right" vertical="center"/>
    </xf>
    <xf numFmtId="4" fontId="40" fillId="14" borderId="20" applyNumberFormat="0" applyProtection="0">
      <alignment horizontal="right" vertical="center"/>
    </xf>
    <xf numFmtId="4" fontId="40" fillId="14" borderId="20" applyNumberFormat="0" applyProtection="0">
      <alignment horizontal="right" vertical="center"/>
    </xf>
    <xf numFmtId="4" fontId="40" fillId="14" borderId="20" applyNumberFormat="0" applyProtection="0">
      <alignment horizontal="right" vertical="center"/>
    </xf>
    <xf numFmtId="4" fontId="40" fillId="14" borderId="20" applyNumberFormat="0" applyProtection="0">
      <alignment horizontal="right" vertical="center"/>
    </xf>
    <xf numFmtId="4" fontId="38" fillId="33" borderId="21" applyNumberFormat="0" applyProtection="0">
      <alignment horizontal="left" vertical="center" indent="1"/>
    </xf>
    <xf numFmtId="4" fontId="40" fillId="34" borderId="0" applyNumberFormat="0" applyProtection="0">
      <alignment horizontal="left" vertical="center" indent="1"/>
    </xf>
    <xf numFmtId="4" fontId="41" fillId="35" borderId="0" applyNumberFormat="0" applyProtection="0">
      <alignment horizontal="left" vertical="center" indent="1"/>
    </xf>
    <xf numFmtId="4" fontId="40" fillId="36" borderId="20" applyNumberFormat="0" applyProtection="0">
      <alignment horizontal="right" vertical="center"/>
    </xf>
    <xf numFmtId="4" fontId="40" fillId="36" borderId="20" applyNumberFormat="0" applyProtection="0">
      <alignment horizontal="right" vertical="center"/>
    </xf>
    <xf numFmtId="4" fontId="40" fillId="36" borderId="20" applyNumberFormat="0" applyProtection="0">
      <alignment horizontal="right" vertical="center"/>
    </xf>
    <xf numFmtId="4" fontId="40" fillId="36" borderId="20" applyNumberFormat="0" applyProtection="0">
      <alignment horizontal="right" vertical="center"/>
    </xf>
    <xf numFmtId="4" fontId="40" fillId="36" borderId="20" applyNumberFormat="0" applyProtection="0">
      <alignment horizontal="right" vertical="center"/>
    </xf>
    <xf numFmtId="4" fontId="42" fillId="34" borderId="0" applyNumberFormat="0" applyProtection="0">
      <alignment horizontal="left" vertical="center" indent="1"/>
    </xf>
    <xf numFmtId="4" fontId="42" fillId="37" borderId="0" applyNumberFormat="0" applyProtection="0">
      <alignment horizontal="left" vertical="center" indent="1"/>
    </xf>
    <xf numFmtId="0" fontId="22" fillId="35" borderId="20" applyNumberFormat="0" applyProtection="0">
      <alignment horizontal="left" vertical="center" indent="1"/>
    </xf>
    <xf numFmtId="0" fontId="22" fillId="35" borderId="20" applyNumberFormat="0" applyProtection="0">
      <alignment horizontal="left" vertical="center" indent="1"/>
    </xf>
    <xf numFmtId="0" fontId="22" fillId="35" borderId="20" applyNumberFormat="0" applyProtection="0">
      <alignment horizontal="left" vertical="center" indent="1"/>
    </xf>
    <xf numFmtId="0" fontId="22" fillId="35" borderId="20" applyNumberFormat="0" applyProtection="0">
      <alignment horizontal="left" vertical="center" indent="1"/>
    </xf>
    <xf numFmtId="0" fontId="22" fillId="35" borderId="20" applyNumberFormat="0" applyProtection="0">
      <alignment horizontal="left" vertical="center" indent="1"/>
    </xf>
    <xf numFmtId="0" fontId="22" fillId="35" borderId="20" applyNumberFormat="0" applyProtection="0">
      <alignment horizontal="left" vertical="top" indent="1"/>
    </xf>
    <xf numFmtId="0" fontId="22" fillId="35" borderId="20" applyNumberFormat="0" applyProtection="0">
      <alignment horizontal="left" vertical="top" indent="1"/>
    </xf>
    <xf numFmtId="0" fontId="22" fillId="35" borderId="20" applyNumberFormat="0" applyProtection="0">
      <alignment horizontal="left" vertical="top" indent="1"/>
    </xf>
    <xf numFmtId="0" fontId="22" fillId="35" borderId="20" applyNumberFormat="0" applyProtection="0">
      <alignment horizontal="left" vertical="top" indent="1"/>
    </xf>
    <xf numFmtId="0" fontId="22" fillId="35" borderId="20" applyNumberFormat="0" applyProtection="0">
      <alignment horizontal="left" vertical="top" indent="1"/>
    </xf>
    <xf numFmtId="0" fontId="22" fillId="37" borderId="20" applyNumberFormat="0" applyProtection="0">
      <alignment horizontal="left" vertical="center" indent="1"/>
    </xf>
    <xf numFmtId="0" fontId="22" fillId="37" borderId="20" applyNumberFormat="0" applyProtection="0">
      <alignment horizontal="left" vertical="center" indent="1"/>
    </xf>
    <xf numFmtId="0" fontId="22" fillId="37" borderId="20" applyNumberFormat="0" applyProtection="0">
      <alignment horizontal="left" vertical="center" indent="1"/>
    </xf>
    <xf numFmtId="0" fontId="22" fillId="37" borderId="20" applyNumberFormat="0" applyProtection="0">
      <alignment horizontal="left" vertical="center" indent="1"/>
    </xf>
    <xf numFmtId="0" fontId="22" fillId="37" borderId="20" applyNumberFormat="0" applyProtection="0">
      <alignment horizontal="left" vertical="center" indent="1"/>
    </xf>
    <xf numFmtId="0" fontId="22" fillId="37" borderId="20" applyNumberFormat="0" applyProtection="0">
      <alignment horizontal="left" vertical="top" indent="1"/>
    </xf>
    <xf numFmtId="0" fontId="22" fillId="37" borderId="20" applyNumberFormat="0" applyProtection="0">
      <alignment horizontal="left" vertical="top" indent="1"/>
    </xf>
    <xf numFmtId="0" fontId="22" fillId="37" borderId="20" applyNumberFormat="0" applyProtection="0">
      <alignment horizontal="left" vertical="top" indent="1"/>
    </xf>
    <xf numFmtId="0" fontId="22" fillId="37" borderId="20" applyNumberFormat="0" applyProtection="0">
      <alignment horizontal="left" vertical="top" indent="1"/>
    </xf>
    <xf numFmtId="0" fontId="22" fillId="37" borderId="20" applyNumberFormat="0" applyProtection="0">
      <alignment horizontal="left" vertical="top" indent="1"/>
    </xf>
    <xf numFmtId="0" fontId="22" fillId="38" borderId="20" applyNumberFormat="0" applyProtection="0">
      <alignment horizontal="left" vertical="center" indent="1"/>
    </xf>
    <xf numFmtId="0" fontId="22" fillId="38" borderId="20" applyNumberFormat="0" applyProtection="0">
      <alignment horizontal="left" vertical="center" indent="1"/>
    </xf>
    <xf numFmtId="0" fontId="22" fillId="38" borderId="20" applyNumberFormat="0" applyProtection="0">
      <alignment horizontal="left" vertical="center" indent="1"/>
    </xf>
    <xf numFmtId="0" fontId="22" fillId="38" borderId="20" applyNumberFormat="0" applyProtection="0">
      <alignment horizontal="left" vertical="center" indent="1"/>
    </xf>
    <xf numFmtId="0" fontId="22" fillId="38" borderId="20" applyNumberFormat="0" applyProtection="0">
      <alignment horizontal="left" vertical="center" indent="1"/>
    </xf>
    <xf numFmtId="0" fontId="22" fillId="38" borderId="20" applyNumberFormat="0" applyProtection="0">
      <alignment horizontal="left" vertical="top" indent="1"/>
    </xf>
    <xf numFmtId="0" fontId="22" fillId="38" borderId="20" applyNumberFormat="0" applyProtection="0">
      <alignment horizontal="left" vertical="top" indent="1"/>
    </xf>
    <xf numFmtId="0" fontId="22" fillId="38" borderId="20" applyNumberFormat="0" applyProtection="0">
      <alignment horizontal="left" vertical="top" indent="1"/>
    </xf>
    <xf numFmtId="0" fontId="22" fillId="38" borderId="20" applyNumberFormat="0" applyProtection="0">
      <alignment horizontal="left" vertical="top" indent="1"/>
    </xf>
    <xf numFmtId="0" fontId="22" fillId="38" borderId="20" applyNumberFormat="0" applyProtection="0">
      <alignment horizontal="left" vertical="top" indent="1"/>
    </xf>
    <xf numFmtId="0" fontId="22" fillId="39" borderId="20" applyNumberFormat="0" applyProtection="0">
      <alignment horizontal="left" vertical="center" indent="1"/>
    </xf>
    <xf numFmtId="0" fontId="22" fillId="39" borderId="20" applyNumberFormat="0" applyProtection="0">
      <alignment horizontal="left" vertical="center" indent="1"/>
    </xf>
    <xf numFmtId="0" fontId="22" fillId="39" borderId="20" applyNumberFormat="0" applyProtection="0">
      <alignment horizontal="left" vertical="center" indent="1"/>
    </xf>
    <xf numFmtId="0" fontId="22" fillId="39" borderId="20" applyNumberFormat="0" applyProtection="0">
      <alignment horizontal="left" vertical="center" indent="1"/>
    </xf>
    <xf numFmtId="0" fontId="22" fillId="39" borderId="20" applyNumberFormat="0" applyProtection="0">
      <alignment horizontal="left" vertical="center" indent="1"/>
    </xf>
    <xf numFmtId="0" fontId="22" fillId="39" borderId="20" applyNumberFormat="0" applyProtection="0">
      <alignment horizontal="left" vertical="top" indent="1"/>
    </xf>
    <xf numFmtId="0" fontId="22" fillId="39" borderId="20" applyNumberFormat="0" applyProtection="0">
      <alignment horizontal="left" vertical="top" indent="1"/>
    </xf>
    <xf numFmtId="0" fontId="22" fillId="39" borderId="20" applyNumberFormat="0" applyProtection="0">
      <alignment horizontal="left" vertical="top" indent="1"/>
    </xf>
    <xf numFmtId="0" fontId="22" fillId="39" borderId="20" applyNumberFormat="0" applyProtection="0">
      <alignment horizontal="left" vertical="top" indent="1"/>
    </xf>
    <xf numFmtId="0" fontId="22" fillId="39" borderId="20" applyNumberFormat="0" applyProtection="0">
      <alignment horizontal="left" vertical="top" indent="1"/>
    </xf>
    <xf numFmtId="4" fontId="38" fillId="37" borderId="0" applyNumberFormat="0" applyProtection="0">
      <alignment horizontal="left" vertical="center" indent="1"/>
    </xf>
    <xf numFmtId="4" fontId="40" fillId="40" borderId="20" applyNumberFormat="0" applyProtection="0">
      <alignment vertical="center"/>
    </xf>
    <xf numFmtId="4" fontId="40" fillId="40" borderId="20" applyNumberFormat="0" applyProtection="0">
      <alignment vertical="center"/>
    </xf>
    <xf numFmtId="4" fontId="40" fillId="40" borderId="20" applyNumberFormat="0" applyProtection="0">
      <alignment vertical="center"/>
    </xf>
    <xf numFmtId="4" fontId="40" fillId="40" borderId="20" applyNumberFormat="0" applyProtection="0">
      <alignment vertical="center"/>
    </xf>
    <xf numFmtId="4" fontId="40" fillId="40" borderId="20" applyNumberFormat="0" applyProtection="0">
      <alignment vertical="center"/>
    </xf>
    <xf numFmtId="4" fontId="43" fillId="40" borderId="20" applyNumberFormat="0" applyProtection="0">
      <alignment vertical="center"/>
    </xf>
    <xf numFmtId="4" fontId="43" fillId="40" borderId="20" applyNumberFormat="0" applyProtection="0">
      <alignment vertical="center"/>
    </xf>
    <xf numFmtId="4" fontId="43" fillId="40" borderId="20" applyNumberFormat="0" applyProtection="0">
      <alignment vertical="center"/>
    </xf>
    <xf numFmtId="4" fontId="43" fillId="40" borderId="20" applyNumberFormat="0" applyProtection="0">
      <alignment vertical="center"/>
    </xf>
    <xf numFmtId="4" fontId="43" fillId="40" borderId="20" applyNumberFormat="0" applyProtection="0">
      <alignment vertical="center"/>
    </xf>
    <xf numFmtId="4" fontId="40" fillId="40" borderId="20" applyNumberFormat="0" applyProtection="0">
      <alignment horizontal="left" vertical="center" indent="1"/>
    </xf>
    <xf numFmtId="4" fontId="40" fillId="40" borderId="20" applyNumberFormat="0" applyProtection="0">
      <alignment horizontal="left" vertical="center" indent="1"/>
    </xf>
    <xf numFmtId="4" fontId="40" fillId="40" borderId="20" applyNumberFormat="0" applyProtection="0">
      <alignment horizontal="left" vertical="center" indent="1"/>
    </xf>
    <xf numFmtId="4" fontId="40" fillId="40" borderId="20" applyNumberFormat="0" applyProtection="0">
      <alignment horizontal="left" vertical="center" indent="1"/>
    </xf>
    <xf numFmtId="4" fontId="40" fillId="40" borderId="20" applyNumberFormat="0" applyProtection="0">
      <alignment horizontal="left" vertical="center" indent="1"/>
    </xf>
    <xf numFmtId="0" fontId="40" fillId="40" borderId="20" applyNumberFormat="0" applyProtection="0">
      <alignment horizontal="left" vertical="top" indent="1"/>
    </xf>
    <xf numFmtId="0" fontId="40" fillId="40" borderId="20" applyNumberFormat="0" applyProtection="0">
      <alignment horizontal="left" vertical="top" indent="1"/>
    </xf>
    <xf numFmtId="0" fontId="40" fillId="40" borderId="20" applyNumberFormat="0" applyProtection="0">
      <alignment horizontal="left" vertical="top" indent="1"/>
    </xf>
    <xf numFmtId="0" fontId="40" fillId="40" borderId="20" applyNumberFormat="0" applyProtection="0">
      <alignment horizontal="left" vertical="top" indent="1"/>
    </xf>
    <xf numFmtId="0" fontId="40" fillId="40" borderId="20" applyNumberFormat="0" applyProtection="0">
      <alignment horizontal="left" vertical="top" indent="1"/>
    </xf>
    <xf numFmtId="4" fontId="40" fillId="34" borderId="20" applyNumberFormat="0" applyProtection="0">
      <alignment horizontal="right" vertical="center"/>
    </xf>
    <xf numFmtId="4" fontId="40" fillId="34" borderId="20" applyNumberFormat="0" applyProtection="0">
      <alignment horizontal="right" vertical="center"/>
    </xf>
    <xf numFmtId="4" fontId="40" fillId="34" borderId="20" applyNumberFormat="0" applyProtection="0">
      <alignment horizontal="right" vertical="center"/>
    </xf>
    <xf numFmtId="4" fontId="40" fillId="34" borderId="20" applyNumberFormat="0" applyProtection="0">
      <alignment horizontal="right" vertical="center"/>
    </xf>
    <xf numFmtId="4" fontId="40" fillId="34" borderId="20" applyNumberFormat="0" applyProtection="0">
      <alignment horizontal="right" vertical="center"/>
    </xf>
    <xf numFmtId="4" fontId="43" fillId="34" borderId="20" applyNumberFormat="0" applyProtection="0">
      <alignment horizontal="right" vertical="center"/>
    </xf>
    <xf numFmtId="4" fontId="43" fillId="34" borderId="20" applyNumberFormat="0" applyProtection="0">
      <alignment horizontal="right" vertical="center"/>
    </xf>
    <xf numFmtId="4" fontId="43" fillId="34" borderId="20" applyNumberFormat="0" applyProtection="0">
      <alignment horizontal="right" vertical="center"/>
    </xf>
    <xf numFmtId="4" fontId="43" fillId="34" borderId="20" applyNumberFormat="0" applyProtection="0">
      <alignment horizontal="right" vertical="center"/>
    </xf>
    <xf numFmtId="4" fontId="43" fillId="34" borderId="20" applyNumberFormat="0" applyProtection="0">
      <alignment horizontal="right" vertical="center"/>
    </xf>
    <xf numFmtId="4" fontId="40" fillId="36" borderId="20" applyNumberFormat="0" applyProtection="0">
      <alignment horizontal="left" vertical="center" indent="1"/>
    </xf>
    <xf numFmtId="4" fontId="40" fillId="36" borderId="20" applyNumberFormat="0" applyProtection="0">
      <alignment horizontal="left" vertical="center" indent="1"/>
    </xf>
    <xf numFmtId="4" fontId="40" fillId="36" borderId="20" applyNumberFormat="0" applyProtection="0">
      <alignment horizontal="left" vertical="center" indent="1"/>
    </xf>
    <xf numFmtId="4" fontId="40" fillId="36" borderId="20" applyNumberFormat="0" applyProtection="0">
      <alignment horizontal="left" vertical="center" indent="1"/>
    </xf>
    <xf numFmtId="4" fontId="40" fillId="36" borderId="20" applyNumberFormat="0" applyProtection="0">
      <alignment horizontal="left" vertical="center" indent="1"/>
    </xf>
    <xf numFmtId="0" fontId="40" fillId="37" borderId="20" applyNumberFormat="0" applyProtection="0">
      <alignment horizontal="left" vertical="top" indent="1"/>
    </xf>
    <xf numFmtId="0" fontId="40" fillId="37" borderId="20" applyNumberFormat="0" applyProtection="0">
      <alignment horizontal="left" vertical="top" indent="1"/>
    </xf>
    <xf numFmtId="0" fontId="40" fillId="37" borderId="20" applyNumberFormat="0" applyProtection="0">
      <alignment horizontal="left" vertical="top" indent="1"/>
    </xf>
    <xf numFmtId="0" fontId="40" fillId="37" borderId="20" applyNumberFormat="0" applyProtection="0">
      <alignment horizontal="left" vertical="top" indent="1"/>
    </xf>
    <xf numFmtId="0" fontId="40" fillId="37" borderId="20" applyNumberFormat="0" applyProtection="0">
      <alignment horizontal="left" vertical="top" indent="1"/>
    </xf>
    <xf numFmtId="4" fontId="44" fillId="41" borderId="0" applyNumberFormat="0" applyProtection="0">
      <alignment horizontal="left" vertical="center" indent="1"/>
    </xf>
    <xf numFmtId="4" fontId="45" fillId="34" borderId="20" applyNumberFormat="0" applyProtection="0">
      <alignment horizontal="right" vertical="center"/>
    </xf>
    <xf numFmtId="4" fontId="45" fillId="34" borderId="20" applyNumberFormat="0" applyProtection="0">
      <alignment horizontal="right" vertical="center"/>
    </xf>
    <xf numFmtId="4" fontId="45" fillId="34" borderId="20" applyNumberFormat="0" applyProtection="0">
      <alignment horizontal="right" vertical="center"/>
    </xf>
    <xf numFmtId="4" fontId="45" fillId="34" borderId="20" applyNumberFormat="0" applyProtection="0">
      <alignment horizontal="right" vertical="center"/>
    </xf>
    <xf numFmtId="4" fontId="45" fillId="34" borderId="20" applyNumberFormat="0" applyProtection="0">
      <alignment horizontal="right" vertical="center"/>
    </xf>
    <xf numFmtId="0" fontId="46" fillId="0" borderId="22" applyFont="0" applyFill="0" applyBorder="0" applyAlignment="0" applyProtection="0">
      <alignment horizontal="center" vertical="center" wrapText="1"/>
    </xf>
    <xf numFmtId="0" fontId="46" fillId="0" borderId="22" applyFont="0" applyFill="0" applyBorder="0" applyAlignment="0" applyProtection="0">
      <alignment horizontal="center" vertical="center" wrapText="1"/>
    </xf>
    <xf numFmtId="0" fontId="46" fillId="0" borderId="22" applyFont="0" applyBorder="0" applyAlignment="0">
      <alignment horizontal="center" vertical="center" wrapText="1"/>
    </xf>
    <xf numFmtId="0" fontId="46" fillId="0" borderId="22" applyFont="0" applyBorder="0" applyAlignment="0">
      <alignment horizontal="center" vertical="center" wrapText="1"/>
    </xf>
    <xf numFmtId="0" fontId="47" fillId="0" borderId="0" applyNumberFormat="0" applyFill="0" applyBorder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172" fontId="21" fillId="0" borderId="0"/>
    <xf numFmtId="0" fontId="21" fillId="0" borderId="24">
      <alignment horizontal="left" indent="1"/>
    </xf>
    <xf numFmtId="0" fontId="49" fillId="42" borderId="24">
      <alignment horizontal="left" indent="1"/>
    </xf>
    <xf numFmtId="172" fontId="50" fillId="43" borderId="9"/>
    <xf numFmtId="172" fontId="50" fillId="43" borderId="9"/>
    <xf numFmtId="0" fontId="51" fillId="0" borderId="0" applyNumberFormat="0" applyFill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53" fillId="14" borderId="0" applyNumberFormat="0" applyBorder="0" applyAlignment="0" applyProtection="0"/>
    <xf numFmtId="0" fontId="53" fillId="51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7" borderId="0" applyNumberFormat="0" applyBorder="0" applyAlignment="0" applyProtection="0"/>
    <xf numFmtId="0" fontId="53" fillId="54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9" borderId="0" applyNumberFormat="0" applyBorder="0" applyAlignment="0" applyProtection="0"/>
    <xf numFmtId="0" fontId="53" fillId="5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4" fillId="60" borderId="0" applyNumberFormat="0" applyBorder="0" applyAlignment="0" applyProtection="0"/>
    <xf numFmtId="0" fontId="54" fillId="61" borderId="0" applyNumberFormat="0" applyBorder="0" applyAlignment="0" applyProtection="0"/>
    <xf numFmtId="0" fontId="55" fillId="62" borderId="0" applyNumberFormat="0" applyBorder="0" applyAlignment="0" applyProtection="0"/>
    <xf numFmtId="0" fontId="54" fillId="63" borderId="0" applyNumberFormat="0" applyBorder="0" applyAlignment="0" applyProtection="0"/>
    <xf numFmtId="0" fontId="54" fillId="64" borderId="0" applyNumberFormat="0" applyBorder="0" applyAlignment="0" applyProtection="0"/>
    <xf numFmtId="0" fontId="55" fillId="65" borderId="0" applyNumberFormat="0" applyBorder="0" applyAlignment="0" applyProtection="0"/>
    <xf numFmtId="0" fontId="54" fillId="66" borderId="0" applyNumberFormat="0" applyBorder="0" applyAlignment="0" applyProtection="0"/>
    <xf numFmtId="0" fontId="54" fillId="67" borderId="0" applyNumberFormat="0" applyBorder="0" applyAlignment="0" applyProtection="0"/>
    <xf numFmtId="0" fontId="55" fillId="68" borderId="0" applyNumberFormat="0" applyBorder="0" applyAlignment="0" applyProtection="0"/>
    <xf numFmtId="0" fontId="54" fillId="63" borderId="0" applyNumberFormat="0" applyBorder="0" applyAlignment="0" applyProtection="0"/>
    <xf numFmtId="0" fontId="54" fillId="69" borderId="0" applyNumberFormat="0" applyBorder="0" applyAlignment="0" applyProtection="0"/>
    <xf numFmtId="0" fontId="55" fillId="64" borderId="0" applyNumberFormat="0" applyBorder="0" applyAlignment="0" applyProtection="0"/>
    <xf numFmtId="0" fontId="54" fillId="70" borderId="0" applyNumberFormat="0" applyBorder="0" applyAlignment="0" applyProtection="0"/>
    <xf numFmtId="0" fontId="54" fillId="71" borderId="0" applyNumberFormat="0" applyBorder="0" applyAlignment="0" applyProtection="0"/>
    <xf numFmtId="0" fontId="55" fillId="62" borderId="0" applyNumberFormat="0" applyBorder="0" applyAlignment="0" applyProtection="0"/>
    <xf numFmtId="0" fontId="54" fillId="72" borderId="0" applyNumberFormat="0" applyBorder="0" applyAlignment="0" applyProtection="0"/>
    <xf numFmtId="0" fontId="54" fillId="73" borderId="0" applyNumberFormat="0" applyBorder="0" applyAlignment="0" applyProtection="0"/>
    <xf numFmtId="0" fontId="55" fillId="74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21" fillId="0" borderId="11">
      <alignment horizontal="right" indent="1"/>
    </xf>
    <xf numFmtId="172" fontId="21" fillId="0" borderId="11">
      <alignment horizontal="right" indent="1"/>
    </xf>
    <xf numFmtId="172" fontId="21" fillId="0" borderId="11">
      <alignment horizontal="right" indent="1"/>
    </xf>
    <xf numFmtId="172" fontId="21" fillId="0" borderId="11">
      <alignment horizontal="right" indent="1"/>
    </xf>
    <xf numFmtId="172" fontId="21" fillId="0" borderId="11">
      <alignment horizontal="right" indent="1"/>
    </xf>
    <xf numFmtId="172" fontId="21" fillId="0" borderId="11">
      <alignment horizontal="right" indent="1"/>
    </xf>
    <xf numFmtId="172" fontId="21" fillId="0" borderId="11">
      <alignment horizontal="right" indent="1"/>
    </xf>
    <xf numFmtId="172" fontId="21" fillId="0" borderId="11">
      <alignment horizontal="right" indent="1"/>
    </xf>
    <xf numFmtId="172" fontId="21" fillId="0" borderId="11">
      <alignment horizontal="right" indent="1"/>
    </xf>
    <xf numFmtId="172" fontId="21" fillId="0" borderId="11">
      <alignment horizontal="right" indent="1"/>
    </xf>
    <xf numFmtId="172" fontId="21" fillId="0" borderId="11">
      <alignment horizontal="right" indent="1"/>
    </xf>
    <xf numFmtId="172" fontId="21" fillId="0" borderId="11">
      <alignment horizontal="right" indent="1"/>
    </xf>
    <xf numFmtId="0" fontId="56" fillId="75" borderId="0" applyNumberFormat="0" applyBorder="0" applyAlignment="0" applyProtection="0"/>
    <xf numFmtId="0" fontId="56" fillId="76" borderId="0" applyNumberFormat="0" applyBorder="0" applyAlignment="0" applyProtection="0"/>
    <xf numFmtId="0" fontId="56" fillId="77" borderId="0" applyNumberFormat="0" applyBorder="0" applyAlignment="0" applyProtection="0"/>
    <xf numFmtId="174" fontId="22" fillId="0" borderId="0" applyFont="0" applyFill="0" applyBorder="0" applyAlignment="0" applyProtection="0"/>
    <xf numFmtId="175" fontId="57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20" fillId="26" borderId="11"/>
    <xf numFmtId="0" fontId="20" fillId="26" borderId="11"/>
    <xf numFmtId="0" fontId="20" fillId="26" borderId="11"/>
    <xf numFmtId="0" fontId="20" fillId="26" borderId="11"/>
    <xf numFmtId="0" fontId="20" fillId="26" borderId="11"/>
    <xf numFmtId="0" fontId="20" fillId="26" borderId="11"/>
    <xf numFmtId="0" fontId="20" fillId="26" borderId="11"/>
    <xf numFmtId="0" fontId="20" fillId="26" borderId="11"/>
    <xf numFmtId="0" fontId="1" fillId="0" borderId="0"/>
    <xf numFmtId="0" fontId="1" fillId="0" borderId="0"/>
    <xf numFmtId="0" fontId="2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61" fillId="0" borderId="0"/>
    <xf numFmtId="0" fontId="62" fillId="0" borderId="0"/>
    <xf numFmtId="0" fontId="62" fillId="0" borderId="0"/>
    <xf numFmtId="0" fontId="6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15" fillId="0" borderId="0"/>
    <xf numFmtId="0" fontId="20" fillId="0" borderId="0"/>
    <xf numFmtId="0" fontId="22" fillId="0" borderId="0"/>
    <xf numFmtId="0" fontId="15" fillId="0" borderId="0"/>
    <xf numFmtId="0" fontId="22" fillId="0" borderId="0"/>
    <xf numFmtId="0" fontId="63" fillId="0" borderId="0"/>
    <xf numFmtId="0" fontId="35" fillId="0" borderId="0"/>
    <xf numFmtId="0" fontId="1" fillId="0" borderId="0"/>
    <xf numFmtId="0" fontId="35" fillId="0" borderId="0"/>
    <xf numFmtId="0" fontId="22" fillId="0" borderId="0"/>
    <xf numFmtId="9" fontId="1" fillId="0" borderId="0" applyFont="0" applyFill="0" applyBorder="0" applyAlignment="0" applyProtection="0"/>
    <xf numFmtId="0" fontId="1" fillId="45" borderId="25" applyNumberFormat="0" applyFont="0" applyAlignment="0" applyProtection="0"/>
    <xf numFmtId="0" fontId="1" fillId="45" borderId="25" applyNumberFormat="0" applyFont="0" applyAlignment="0" applyProtection="0"/>
    <xf numFmtId="0" fontId="1" fillId="45" borderId="25" applyNumberFormat="0" applyFont="0" applyAlignment="0" applyProtection="0"/>
    <xf numFmtId="0" fontId="1" fillId="45" borderId="25" applyNumberFormat="0" applyFont="0" applyAlignment="0" applyProtection="0"/>
    <xf numFmtId="0" fontId="15" fillId="45" borderId="25" applyNumberFormat="0" applyFont="0" applyAlignment="0" applyProtection="0"/>
    <xf numFmtId="0" fontId="1" fillId="45" borderId="25" applyNumberFormat="0" applyFont="0" applyAlignment="0" applyProtection="0"/>
    <xf numFmtId="0" fontId="1" fillId="45" borderId="25" applyNumberFormat="0" applyFont="0" applyAlignment="0" applyProtection="0"/>
    <xf numFmtId="0" fontId="15" fillId="45" borderId="25" applyNumberFormat="0" applyFont="0" applyAlignment="0" applyProtection="0"/>
    <xf numFmtId="0" fontId="1" fillId="45" borderId="25" applyNumberFormat="0" applyFont="0" applyAlignment="0" applyProtection="0"/>
    <xf numFmtId="0" fontId="1" fillId="45" borderId="25" applyNumberFormat="0" applyFont="0" applyAlignment="0" applyProtection="0"/>
    <xf numFmtId="0" fontId="15" fillId="45" borderId="25" applyNumberFormat="0" applyFont="0" applyAlignment="0" applyProtection="0"/>
    <xf numFmtId="4" fontId="64" fillId="31" borderId="26" applyNumberFormat="0" applyProtection="0">
      <alignment vertical="center"/>
    </xf>
    <xf numFmtId="4" fontId="64" fillId="31" borderId="26" applyNumberFormat="0" applyProtection="0">
      <alignment vertical="center"/>
    </xf>
    <xf numFmtId="4" fontId="65" fillId="31" borderId="26" applyNumberFormat="0" applyProtection="0">
      <alignment vertical="center"/>
    </xf>
    <xf numFmtId="4" fontId="65" fillId="31" borderId="26" applyNumberFormat="0" applyProtection="0">
      <alignment vertical="center"/>
    </xf>
    <xf numFmtId="4" fontId="66" fillId="40" borderId="26" applyNumberFormat="0" applyProtection="0">
      <alignment horizontal="left" vertical="center" indent="1"/>
    </xf>
    <xf numFmtId="4" fontId="66" fillId="40" borderId="26" applyNumberFormat="0" applyProtection="0">
      <alignment horizontal="left" vertical="center" indent="1"/>
    </xf>
    <xf numFmtId="4" fontId="67" fillId="7" borderId="26" applyNumberFormat="0" applyProtection="0">
      <alignment horizontal="right" vertical="center"/>
    </xf>
    <xf numFmtId="4" fontId="67" fillId="7" borderId="26" applyNumberFormat="0" applyProtection="0">
      <alignment horizontal="right" vertical="center"/>
    </xf>
    <xf numFmtId="4" fontId="67" fillId="78" borderId="26" applyNumberFormat="0" applyProtection="0">
      <alignment horizontal="right" vertical="center"/>
    </xf>
    <xf numFmtId="4" fontId="67" fillId="78" borderId="26" applyNumberFormat="0" applyProtection="0">
      <alignment horizontal="right" vertical="center"/>
    </xf>
    <xf numFmtId="4" fontId="67" fillId="15" borderId="26" applyNumberFormat="0" applyProtection="0">
      <alignment horizontal="right" vertical="center"/>
    </xf>
    <xf numFmtId="4" fontId="67" fillId="15" borderId="26" applyNumberFormat="0" applyProtection="0">
      <alignment horizontal="right" vertical="center"/>
    </xf>
    <xf numFmtId="4" fontId="67" fillId="19" borderId="26" applyNumberFormat="0" applyProtection="0">
      <alignment horizontal="right" vertical="center"/>
    </xf>
    <xf numFmtId="4" fontId="67" fillId="19" borderId="26" applyNumberFormat="0" applyProtection="0">
      <alignment horizontal="right" vertical="center"/>
    </xf>
    <xf numFmtId="4" fontId="67" fillId="23" borderId="26" applyNumberFormat="0" applyProtection="0">
      <alignment horizontal="right" vertical="center"/>
    </xf>
    <xf numFmtId="4" fontId="67" fillId="23" borderId="26" applyNumberFormat="0" applyProtection="0">
      <alignment horizontal="right" vertical="center"/>
    </xf>
    <xf numFmtId="4" fontId="67" fillId="22" borderId="26" applyNumberFormat="0" applyProtection="0">
      <alignment horizontal="right" vertical="center"/>
    </xf>
    <xf numFmtId="4" fontId="67" fillId="22" borderId="26" applyNumberFormat="0" applyProtection="0">
      <alignment horizontal="right" vertical="center"/>
    </xf>
    <xf numFmtId="4" fontId="67" fillId="32" borderId="26" applyNumberFormat="0" applyProtection="0">
      <alignment horizontal="right" vertical="center"/>
    </xf>
    <xf numFmtId="4" fontId="67" fillId="32" borderId="26" applyNumberFormat="0" applyProtection="0">
      <alignment horizontal="right" vertical="center"/>
    </xf>
    <xf numFmtId="4" fontId="67" fillId="14" borderId="26" applyNumberFormat="0" applyProtection="0">
      <alignment horizontal="right" vertical="center"/>
    </xf>
    <xf numFmtId="4" fontId="67" fillId="14" borderId="26" applyNumberFormat="0" applyProtection="0">
      <alignment horizontal="right" vertical="center"/>
    </xf>
    <xf numFmtId="4" fontId="67" fillId="33" borderId="27" applyNumberFormat="0" applyProtection="0">
      <alignment horizontal="left" vertical="center" indent="1"/>
    </xf>
    <xf numFmtId="4" fontId="67" fillId="79" borderId="26" applyNumberFormat="0" applyProtection="0">
      <alignment horizontal="left" vertical="center" indent="1"/>
    </xf>
    <xf numFmtId="4" fontId="67" fillId="79" borderId="26" applyNumberFormat="0" applyProtection="0">
      <alignment horizontal="left" vertical="center" indent="1"/>
    </xf>
    <xf numFmtId="4" fontId="67" fillId="79" borderId="26" applyNumberFormat="0" applyProtection="0">
      <alignment horizontal="left" vertical="center" indent="1"/>
    </xf>
    <xf numFmtId="4" fontId="67" fillId="79" borderId="26" applyNumberFormat="0" applyProtection="0">
      <alignment horizontal="left" vertical="center" indent="1"/>
    </xf>
    <xf numFmtId="4" fontId="68" fillId="80" borderId="27" applyNumberFormat="0" applyProtection="0">
      <alignment horizontal="left" vertical="center" indent="1"/>
    </xf>
    <xf numFmtId="4" fontId="67" fillId="36" borderId="26" applyNumberFormat="0" applyProtection="0">
      <alignment horizontal="right" vertical="center"/>
    </xf>
    <xf numFmtId="4" fontId="67" fillId="36" borderId="26" applyNumberFormat="0" applyProtection="0">
      <alignment horizontal="right" vertical="center"/>
    </xf>
    <xf numFmtId="4" fontId="42" fillId="34" borderId="0" applyNumberFormat="0" applyProtection="0">
      <alignment horizontal="left" vertical="center" indent="1"/>
    </xf>
    <xf numFmtId="4" fontId="42" fillId="34" borderId="0" applyNumberFormat="0" applyProtection="0">
      <alignment horizontal="left" vertical="center" indent="1"/>
    </xf>
    <xf numFmtId="4" fontId="42" fillId="34" borderId="0" applyNumberFormat="0" applyProtection="0">
      <alignment horizontal="left" vertical="center" indent="1"/>
    </xf>
    <xf numFmtId="4" fontId="42" fillId="34" borderId="0" applyNumberFormat="0" applyProtection="0">
      <alignment horizontal="left" vertical="center" indent="1"/>
    </xf>
    <xf numFmtId="4" fontId="42" fillId="34" borderId="0" applyNumberFormat="0" applyProtection="0">
      <alignment horizontal="left" vertical="center" indent="1"/>
    </xf>
    <xf numFmtId="4" fontId="42" fillId="34" borderId="0" applyNumberFormat="0" applyProtection="0">
      <alignment horizontal="left" vertical="center" indent="1"/>
    </xf>
    <xf numFmtId="4" fontId="42" fillId="34" borderId="0" applyNumberFormat="0" applyProtection="0">
      <alignment horizontal="left" vertical="center" indent="1"/>
    </xf>
    <xf numFmtId="4" fontId="42" fillId="34" borderId="0" applyNumberFormat="0" applyProtection="0">
      <alignment horizontal="left" vertical="center" indent="1"/>
    </xf>
    <xf numFmtId="4" fontId="42" fillId="34" borderId="0" applyNumberFormat="0" applyProtection="0">
      <alignment horizontal="left" vertical="center" indent="1"/>
    </xf>
    <xf numFmtId="4" fontId="42" fillId="34" borderId="0" applyNumberFormat="0" applyProtection="0">
      <alignment horizontal="left" vertical="center" indent="1"/>
    </xf>
    <xf numFmtId="4" fontId="42" fillId="34" borderId="0" applyNumberFormat="0" applyProtection="0">
      <alignment horizontal="left" vertical="center" indent="1"/>
    </xf>
    <xf numFmtId="4" fontId="42" fillId="34" borderId="0" applyNumberFormat="0" applyProtection="0">
      <alignment horizontal="left" vertical="center" indent="1"/>
    </xf>
    <xf numFmtId="4" fontId="42" fillId="34" borderId="0" applyNumberFormat="0" applyProtection="0">
      <alignment horizontal="left" vertical="center" indent="1"/>
    </xf>
    <xf numFmtId="4" fontId="42" fillId="37" borderId="0" applyNumberFormat="0" applyProtection="0">
      <alignment horizontal="left" vertical="center" indent="1"/>
    </xf>
    <xf numFmtId="4" fontId="42" fillId="37" borderId="0" applyNumberFormat="0" applyProtection="0">
      <alignment horizontal="left" vertical="center" indent="1"/>
    </xf>
    <xf numFmtId="4" fontId="42" fillId="37" borderId="0" applyNumberFormat="0" applyProtection="0">
      <alignment horizontal="left" vertical="center" indent="1"/>
    </xf>
    <xf numFmtId="4" fontId="42" fillId="37" borderId="0" applyNumberFormat="0" applyProtection="0">
      <alignment horizontal="left" vertical="center" indent="1"/>
    </xf>
    <xf numFmtId="4" fontId="42" fillId="37" borderId="0" applyNumberFormat="0" applyProtection="0">
      <alignment horizontal="left" vertical="center" indent="1"/>
    </xf>
    <xf numFmtId="4" fontId="42" fillId="37" borderId="0" applyNumberFormat="0" applyProtection="0">
      <alignment horizontal="left" vertical="center" indent="1"/>
    </xf>
    <xf numFmtId="4" fontId="42" fillId="37" borderId="0" applyNumberFormat="0" applyProtection="0">
      <alignment horizontal="left" vertical="center" indent="1"/>
    </xf>
    <xf numFmtId="4" fontId="42" fillId="37" borderId="0" applyNumberFormat="0" applyProtection="0">
      <alignment horizontal="left" vertical="center" indent="1"/>
    </xf>
    <xf numFmtId="4" fontId="42" fillId="37" borderId="0" applyNumberFormat="0" applyProtection="0">
      <alignment horizontal="left" vertical="center" indent="1"/>
    </xf>
    <xf numFmtId="4" fontId="42" fillId="37" borderId="0" applyNumberFormat="0" applyProtection="0">
      <alignment horizontal="left" vertical="center" indent="1"/>
    </xf>
    <xf numFmtId="4" fontId="42" fillId="37" borderId="0" applyNumberFormat="0" applyProtection="0">
      <alignment horizontal="left" vertical="center" indent="1"/>
    </xf>
    <xf numFmtId="4" fontId="42" fillId="37" borderId="0" applyNumberFormat="0" applyProtection="0">
      <alignment horizontal="left" vertical="center" indent="1"/>
    </xf>
    <xf numFmtId="4" fontId="42" fillId="37" borderId="0" applyNumberFormat="0" applyProtection="0">
      <alignment horizontal="left" vertical="center" indent="1"/>
    </xf>
    <xf numFmtId="0" fontId="67" fillId="24" borderId="26" applyNumberFormat="0" applyProtection="0">
      <alignment horizontal="left" vertical="center" indent="1"/>
    </xf>
    <xf numFmtId="0" fontId="67" fillId="24" borderId="26" applyNumberFormat="0" applyProtection="0">
      <alignment horizontal="left" vertical="center" indent="1"/>
    </xf>
    <xf numFmtId="0" fontId="62" fillId="80" borderId="20" applyNumberFormat="0" applyProtection="0">
      <alignment horizontal="left" vertical="top" indent="1"/>
    </xf>
    <xf numFmtId="0" fontId="62" fillId="80" borderId="20" applyNumberFormat="0" applyProtection="0">
      <alignment horizontal="left" vertical="top" indent="1"/>
    </xf>
    <xf numFmtId="0" fontId="67" fillId="81" borderId="26" applyNumberFormat="0" applyProtection="0">
      <alignment horizontal="left" vertical="center" indent="1"/>
    </xf>
    <xf numFmtId="0" fontId="67" fillId="81" borderId="26" applyNumberFormat="0" applyProtection="0">
      <alignment horizontal="left" vertical="center" indent="1"/>
    </xf>
    <xf numFmtId="0" fontId="62" fillId="36" borderId="20" applyNumberFormat="0" applyProtection="0">
      <alignment horizontal="left" vertical="top" indent="1"/>
    </xf>
    <xf numFmtId="0" fontId="62" fillId="36" borderId="20" applyNumberFormat="0" applyProtection="0">
      <alignment horizontal="left" vertical="top" indent="1"/>
    </xf>
    <xf numFmtId="0" fontId="67" fillId="12" borderId="26" applyNumberFormat="0" applyProtection="0">
      <alignment horizontal="left" vertical="center" indent="1"/>
    </xf>
    <xf numFmtId="0" fontId="67" fillId="12" borderId="26" applyNumberFormat="0" applyProtection="0">
      <alignment horizontal="left" vertical="center" indent="1"/>
    </xf>
    <xf numFmtId="0" fontId="62" fillId="12" borderId="20" applyNumberFormat="0" applyProtection="0">
      <alignment horizontal="left" vertical="top" indent="1"/>
    </xf>
    <xf numFmtId="0" fontId="62" fillId="12" borderId="20" applyNumberFormat="0" applyProtection="0">
      <alignment horizontal="left" vertical="top" indent="1"/>
    </xf>
    <xf numFmtId="0" fontId="67" fillId="34" borderId="26" applyNumberFormat="0" applyProtection="0">
      <alignment horizontal="left" vertical="center" indent="1"/>
    </xf>
    <xf numFmtId="0" fontId="67" fillId="34" borderId="26" applyNumberFormat="0" applyProtection="0">
      <alignment horizontal="left" vertical="center" indent="1"/>
    </xf>
    <xf numFmtId="0" fontId="62" fillId="34" borderId="20" applyNumberFormat="0" applyProtection="0">
      <alignment horizontal="left" vertical="top" indent="1"/>
    </xf>
    <xf numFmtId="0" fontId="62" fillId="34" borderId="20" applyNumberFormat="0" applyProtection="0">
      <alignment horizontal="left" vertical="top" indent="1"/>
    </xf>
    <xf numFmtId="4" fontId="66" fillId="82" borderId="26" applyNumberFormat="0" applyProtection="0">
      <alignment horizontal="left" vertical="center" indent="1"/>
    </xf>
    <xf numFmtId="4" fontId="66" fillId="82" borderId="26" applyNumberFormat="0" applyProtection="0">
      <alignment horizontal="left" vertical="center" indent="1"/>
    </xf>
    <xf numFmtId="4" fontId="66" fillId="82" borderId="26" applyNumberFormat="0" applyProtection="0">
      <alignment horizontal="left" vertical="center" indent="1"/>
    </xf>
    <xf numFmtId="4" fontId="66" fillId="82" borderId="26" applyNumberFormat="0" applyProtection="0">
      <alignment horizontal="left" vertical="center" indent="1"/>
    </xf>
    <xf numFmtId="0" fontId="62" fillId="83" borderId="28" applyNumberFormat="0">
      <protection locked="0"/>
    </xf>
    <xf numFmtId="0" fontId="62" fillId="83" borderId="28" applyNumberFormat="0">
      <protection locked="0"/>
    </xf>
    <xf numFmtId="0" fontId="62" fillId="83" borderId="28" applyNumberFormat="0">
      <protection locked="0"/>
    </xf>
    <xf numFmtId="0" fontId="62" fillId="83" borderId="28" applyNumberFormat="0">
      <protection locked="0"/>
    </xf>
    <xf numFmtId="0" fontId="62" fillId="83" borderId="28" applyNumberFormat="0">
      <protection locked="0"/>
    </xf>
    <xf numFmtId="0" fontId="66" fillId="84" borderId="29"/>
    <xf numFmtId="4" fontId="67" fillId="0" borderId="26" applyNumberFormat="0" applyProtection="0">
      <alignment horizontal="right" vertical="center"/>
    </xf>
    <xf numFmtId="4" fontId="67" fillId="0" borderId="26" applyNumberFormat="0" applyProtection="0">
      <alignment horizontal="right" vertical="center"/>
    </xf>
    <xf numFmtId="4" fontId="65" fillId="79" borderId="26" applyNumberFormat="0" applyProtection="0">
      <alignment horizontal="right" vertical="center"/>
    </xf>
    <xf numFmtId="4" fontId="65" fillId="79" borderId="26" applyNumberFormat="0" applyProtection="0">
      <alignment horizontal="right" vertical="center"/>
    </xf>
    <xf numFmtId="4" fontId="67" fillId="85" borderId="26" applyNumberFormat="0" applyProtection="0">
      <alignment horizontal="left" vertical="center" indent="1"/>
    </xf>
    <xf numFmtId="4" fontId="67" fillId="85" borderId="26" applyNumberFormat="0" applyProtection="0">
      <alignment horizontal="left" vertical="center" indent="1"/>
    </xf>
    <xf numFmtId="4" fontId="44" fillId="41" borderId="0" applyNumberFormat="0" applyProtection="0">
      <alignment horizontal="left" vertical="center" indent="1"/>
    </xf>
    <xf numFmtId="4" fontId="44" fillId="41" borderId="0" applyNumberFormat="0" applyProtection="0">
      <alignment horizontal="left" vertical="center" indent="1"/>
    </xf>
    <xf numFmtId="4" fontId="44" fillId="41" borderId="0" applyNumberFormat="0" applyProtection="0">
      <alignment horizontal="left" vertical="center" indent="1"/>
    </xf>
    <xf numFmtId="4" fontId="44" fillId="41" borderId="0" applyNumberFormat="0" applyProtection="0">
      <alignment horizontal="left" vertical="center" indent="1"/>
    </xf>
    <xf numFmtId="4" fontId="44" fillId="41" borderId="0" applyNumberFormat="0" applyProtection="0">
      <alignment horizontal="left" vertical="center" indent="1"/>
    </xf>
    <xf numFmtId="4" fontId="44" fillId="41" borderId="0" applyNumberFormat="0" applyProtection="0">
      <alignment horizontal="left" vertical="center" indent="1"/>
    </xf>
    <xf numFmtId="4" fontId="44" fillId="41" borderId="0" applyNumberFormat="0" applyProtection="0">
      <alignment horizontal="left" vertical="center" indent="1"/>
    </xf>
    <xf numFmtId="4" fontId="44" fillId="41" borderId="0" applyNumberFormat="0" applyProtection="0">
      <alignment horizontal="left" vertical="center" indent="1"/>
    </xf>
    <xf numFmtId="4" fontId="44" fillId="41" borderId="0" applyNumberFormat="0" applyProtection="0">
      <alignment horizontal="left" vertical="center" indent="1"/>
    </xf>
    <xf numFmtId="4" fontId="44" fillId="41" borderId="0" applyNumberFormat="0" applyProtection="0">
      <alignment horizontal="left" vertical="center" indent="1"/>
    </xf>
    <xf numFmtId="4" fontId="44" fillId="41" borderId="0" applyNumberFormat="0" applyProtection="0">
      <alignment horizontal="left" vertical="center" indent="1"/>
    </xf>
    <xf numFmtId="4" fontId="44" fillId="41" borderId="0" applyNumberFormat="0" applyProtection="0">
      <alignment horizontal="left" vertical="center" indent="1"/>
    </xf>
    <xf numFmtId="4" fontId="44" fillId="41" borderId="0" applyNumberFormat="0" applyProtection="0">
      <alignment horizontal="left" vertical="center" indent="1"/>
    </xf>
    <xf numFmtId="0" fontId="69" fillId="0" borderId="11"/>
    <xf numFmtId="0" fontId="69" fillId="0" borderId="11"/>
    <xf numFmtId="0" fontId="70" fillId="0" borderId="0" applyNumberFormat="0" applyFill="0" applyBorder="0" applyAlignment="0" applyProtection="0"/>
    <xf numFmtId="0" fontId="18" fillId="24" borderId="31" applyNumberFormat="0" applyAlignment="0" applyProtection="0"/>
    <xf numFmtId="0" fontId="29" fillId="11" borderId="31" applyNumberFormat="0" applyAlignment="0" applyProtection="0"/>
    <xf numFmtId="172" fontId="21" fillId="0" borderId="1">
      <alignment horizontal="right" indent="1"/>
    </xf>
    <xf numFmtId="0" fontId="15" fillId="29" borderId="32" applyNumberFormat="0" applyFont="0" applyAlignment="0" applyProtection="0"/>
    <xf numFmtId="0" fontId="48" fillId="0" borderId="34" applyNumberFormat="0" applyFill="0" applyAlignment="0" applyProtection="0"/>
    <xf numFmtId="0" fontId="72" fillId="86" borderId="0" applyNumberFormat="0" applyBorder="0" applyAlignment="0" applyProtection="0"/>
    <xf numFmtId="0" fontId="22" fillId="37" borderId="36" applyNumberFormat="0" applyProtection="0">
      <alignment horizontal="left" vertical="center" indent="1"/>
    </xf>
    <xf numFmtId="0" fontId="22" fillId="35" borderId="36" applyNumberFormat="0" applyProtection="0">
      <alignment horizontal="left" vertical="top" indent="1"/>
    </xf>
    <xf numFmtId="0" fontId="18" fillId="24" borderId="31" applyNumberFormat="0" applyAlignment="0" applyProtection="0"/>
    <xf numFmtId="172" fontId="21" fillId="0" borderId="35">
      <alignment horizontal="right" indent="1"/>
    </xf>
    <xf numFmtId="0" fontId="29" fillId="11" borderId="31" applyNumberFormat="0" applyAlignment="0" applyProtection="0"/>
    <xf numFmtId="0" fontId="15" fillId="29" borderId="32" applyNumberFormat="0" applyFont="0" applyAlignment="0" applyProtection="0"/>
    <xf numFmtId="0" fontId="48" fillId="0" borderId="34" applyNumberFormat="0" applyFill="0" applyAlignment="0" applyProtection="0"/>
    <xf numFmtId="172" fontId="21" fillId="0" borderId="35">
      <alignment horizontal="right" indent="1"/>
    </xf>
    <xf numFmtId="0" fontId="18" fillId="24" borderId="31" applyNumberFormat="0" applyAlignment="0" applyProtection="0"/>
    <xf numFmtId="0" fontId="29" fillId="11" borderId="31" applyNumberFormat="0" applyAlignment="0" applyProtection="0"/>
    <xf numFmtId="0" fontId="19" fillId="29" borderId="32" applyNumberFormat="0" applyFont="0" applyAlignment="0" applyProtection="0"/>
    <xf numFmtId="0" fontId="36" fillId="24" borderId="33" applyNumberFormat="0" applyAlignment="0" applyProtection="0"/>
    <xf numFmtId="4" fontId="38" fillId="28" borderId="36" applyNumberFormat="0" applyProtection="0">
      <alignment vertical="center"/>
    </xf>
    <xf numFmtId="4" fontId="39" fillId="31" borderId="36" applyNumberFormat="0" applyProtection="0">
      <alignment vertical="center"/>
    </xf>
    <xf numFmtId="4" fontId="38" fillId="31" borderId="36" applyNumberFormat="0" applyProtection="0">
      <alignment horizontal="left" vertical="center" indent="1"/>
    </xf>
    <xf numFmtId="0" fontId="38" fillId="31" borderId="36" applyNumberFormat="0" applyProtection="0">
      <alignment horizontal="left" vertical="top" indent="1"/>
    </xf>
    <xf numFmtId="4" fontId="40" fillId="7" borderId="36" applyNumberFormat="0" applyProtection="0">
      <alignment horizontal="right" vertical="center"/>
    </xf>
    <xf numFmtId="4" fontId="40" fillId="13" borderId="36" applyNumberFormat="0" applyProtection="0">
      <alignment horizontal="right" vertical="center"/>
    </xf>
    <xf numFmtId="4" fontId="40" fillId="21" borderId="36" applyNumberFormat="0" applyProtection="0">
      <alignment horizontal="right" vertical="center"/>
    </xf>
    <xf numFmtId="4" fontId="40" fillId="15" borderId="36" applyNumberFormat="0" applyProtection="0">
      <alignment horizontal="right" vertical="center"/>
    </xf>
    <xf numFmtId="4" fontId="40" fillId="19" borderId="36" applyNumberFormat="0" applyProtection="0">
      <alignment horizontal="right" vertical="center"/>
    </xf>
    <xf numFmtId="4" fontId="40" fillId="23" borderId="36" applyNumberFormat="0" applyProtection="0">
      <alignment horizontal="right" vertical="center"/>
    </xf>
    <xf numFmtId="4" fontId="40" fillId="22" borderId="36" applyNumberFormat="0" applyProtection="0">
      <alignment horizontal="right" vertical="center"/>
    </xf>
    <xf numFmtId="4" fontId="40" fillId="32" borderId="36" applyNumberFormat="0" applyProtection="0">
      <alignment horizontal="right" vertical="center"/>
    </xf>
    <xf numFmtId="4" fontId="40" fillId="14" borderId="36" applyNumberFormat="0" applyProtection="0">
      <alignment horizontal="right" vertical="center"/>
    </xf>
    <xf numFmtId="4" fontId="40" fillId="36" borderId="36" applyNumberFormat="0" applyProtection="0">
      <alignment horizontal="right" vertical="center"/>
    </xf>
    <xf numFmtId="172" fontId="37" fillId="30" borderId="41" applyAlignment="0" applyProtection="0"/>
    <xf numFmtId="0" fontId="22" fillId="35" borderId="36" applyNumberFormat="0" applyProtection="0">
      <alignment horizontal="left" vertical="center" indent="1"/>
    </xf>
    <xf numFmtId="0" fontId="22" fillId="35" borderId="36" applyNumberFormat="0" applyProtection="0">
      <alignment horizontal="left" vertical="top" indent="1"/>
    </xf>
    <xf numFmtId="0" fontId="22" fillId="37" borderId="36" applyNumberFormat="0" applyProtection="0">
      <alignment horizontal="left" vertical="center" indent="1"/>
    </xf>
    <xf numFmtId="0" fontId="22" fillId="37" borderId="36" applyNumberFormat="0" applyProtection="0">
      <alignment horizontal="left" vertical="top" indent="1"/>
    </xf>
    <xf numFmtId="0" fontId="22" fillId="38" borderId="36" applyNumberFormat="0" applyProtection="0">
      <alignment horizontal="left" vertical="center" indent="1"/>
    </xf>
    <xf numFmtId="0" fontId="22" fillId="38" borderId="36" applyNumberFormat="0" applyProtection="0">
      <alignment horizontal="left" vertical="top" indent="1"/>
    </xf>
    <xf numFmtId="0" fontId="22" fillId="39" borderId="36" applyNumberFormat="0" applyProtection="0">
      <alignment horizontal="left" vertical="center" indent="1"/>
    </xf>
    <xf numFmtId="0" fontId="22" fillId="39" borderId="36" applyNumberFormat="0" applyProtection="0">
      <alignment horizontal="left" vertical="top" indent="1"/>
    </xf>
    <xf numFmtId="4" fontId="40" fillId="40" borderId="36" applyNumberFormat="0" applyProtection="0">
      <alignment vertical="center"/>
    </xf>
    <xf numFmtId="4" fontId="43" fillId="40" borderId="36" applyNumberFormat="0" applyProtection="0">
      <alignment vertical="center"/>
    </xf>
    <xf numFmtId="4" fontId="40" fillId="40" borderId="36" applyNumberFormat="0" applyProtection="0">
      <alignment horizontal="left" vertical="center" indent="1"/>
    </xf>
    <xf numFmtId="0" fontId="40" fillId="40" borderId="36" applyNumberFormat="0" applyProtection="0">
      <alignment horizontal="left" vertical="top" indent="1"/>
    </xf>
    <xf numFmtId="4" fontId="40" fillId="34" borderId="36" applyNumberFormat="0" applyProtection="0">
      <alignment horizontal="right" vertical="center"/>
    </xf>
    <xf numFmtId="4" fontId="43" fillId="34" borderId="36" applyNumberFormat="0" applyProtection="0">
      <alignment horizontal="right" vertical="center"/>
    </xf>
    <xf numFmtId="4" fontId="40" fillId="36" borderId="36" applyNumberFormat="0" applyProtection="0">
      <alignment horizontal="left" vertical="center" indent="1"/>
    </xf>
    <xf numFmtId="0" fontId="40" fillId="37" borderId="36" applyNumberFormat="0" applyProtection="0">
      <alignment horizontal="left" vertical="top" indent="1"/>
    </xf>
    <xf numFmtId="4" fontId="45" fillId="34" borderId="36" applyNumberFormat="0" applyProtection="0">
      <alignment horizontal="right" vertical="center"/>
    </xf>
    <xf numFmtId="0" fontId="48" fillId="0" borderId="34" applyNumberFormat="0" applyFill="0" applyAlignment="0" applyProtection="0"/>
    <xf numFmtId="0" fontId="48" fillId="0" borderId="34" applyNumberFormat="0" applyFill="0" applyAlignment="0" applyProtection="0"/>
    <xf numFmtId="4" fontId="40" fillId="13" borderId="36" applyNumberFormat="0" applyProtection="0">
      <alignment horizontal="right" vertical="center"/>
    </xf>
    <xf numFmtId="0" fontId="48" fillId="0" borderId="34" applyNumberFormat="0" applyFill="0" applyAlignment="0" applyProtection="0"/>
    <xf numFmtId="4" fontId="40" fillId="15" borderId="36" applyNumberFormat="0" applyProtection="0">
      <alignment horizontal="right" vertical="center"/>
    </xf>
    <xf numFmtId="0" fontId="20" fillId="26" borderId="35"/>
    <xf numFmtId="4" fontId="40" fillId="13" borderId="36" applyNumberFormat="0" applyProtection="0">
      <alignment horizontal="right" vertical="center"/>
    </xf>
    <xf numFmtId="0" fontId="20" fillId="26" borderId="35"/>
    <xf numFmtId="4" fontId="38" fillId="28" borderId="36" applyNumberFormat="0" applyProtection="0">
      <alignment vertical="center"/>
    </xf>
    <xf numFmtId="172" fontId="21" fillId="0" borderId="35">
      <alignment horizontal="right" indent="1"/>
    </xf>
    <xf numFmtId="4" fontId="40" fillId="34" borderId="36" applyNumberFormat="0" applyProtection="0">
      <alignment horizontal="right" vertical="center"/>
    </xf>
    <xf numFmtId="0" fontId="48" fillId="0" borderId="34" applyNumberFormat="0" applyFill="0" applyAlignment="0" applyProtection="0"/>
    <xf numFmtId="0" fontId="19" fillId="29" borderId="32" applyNumberFormat="0" applyFont="0" applyAlignment="0" applyProtection="0"/>
    <xf numFmtId="0" fontId="20" fillId="26" borderId="35"/>
    <xf numFmtId="4" fontId="40" fillId="19" borderId="36" applyNumberFormat="0" applyProtection="0">
      <alignment horizontal="right" vertical="center"/>
    </xf>
    <xf numFmtId="4" fontId="40" fillId="13" borderId="36" applyNumberFormat="0" applyProtection="0">
      <alignment horizontal="right" vertical="center"/>
    </xf>
    <xf numFmtId="4" fontId="40" fillId="21" borderId="36" applyNumberFormat="0" applyProtection="0">
      <alignment horizontal="right" vertical="center"/>
    </xf>
    <xf numFmtId="4" fontId="40" fillId="19" borderId="36" applyNumberFormat="0" applyProtection="0">
      <alignment horizontal="right" vertical="center"/>
    </xf>
    <xf numFmtId="4" fontId="40" fillId="23" borderId="36" applyNumberFormat="0" applyProtection="0">
      <alignment horizontal="right" vertical="center"/>
    </xf>
    <xf numFmtId="4" fontId="40" fillId="32" borderId="36" applyNumberFormat="0" applyProtection="0">
      <alignment horizontal="right" vertical="center"/>
    </xf>
    <xf numFmtId="0" fontId="20" fillId="26" borderId="35"/>
    <xf numFmtId="0" fontId="22" fillId="38" borderId="36" applyNumberFormat="0" applyProtection="0">
      <alignment horizontal="left" vertical="center" indent="1"/>
    </xf>
    <xf numFmtId="0" fontId="22" fillId="38" borderId="36" applyNumberFormat="0" applyProtection="0">
      <alignment horizontal="left" vertical="top" indent="1"/>
    </xf>
    <xf numFmtId="0" fontId="22" fillId="39" borderId="36" applyNumberFormat="0" applyProtection="0">
      <alignment horizontal="left" vertical="top" indent="1"/>
    </xf>
    <xf numFmtId="4" fontId="40" fillId="34" borderId="36" applyNumberFormat="0" applyProtection="0">
      <alignment horizontal="right" vertical="center"/>
    </xf>
    <xf numFmtId="0" fontId="40" fillId="37" borderId="36" applyNumberFormat="0" applyProtection="0">
      <alignment horizontal="left" vertical="top" indent="1"/>
    </xf>
    <xf numFmtId="0" fontId="29" fillId="11" borderId="31" applyNumberFormat="0" applyAlignment="0" applyProtection="0"/>
    <xf numFmtId="4" fontId="43" fillId="34" borderId="36" applyNumberFormat="0" applyProtection="0">
      <alignment horizontal="right" vertical="center"/>
    </xf>
    <xf numFmtId="0" fontId="15" fillId="29" borderId="32" applyNumberFormat="0" applyFont="0" applyAlignment="0" applyProtection="0"/>
    <xf numFmtId="0" fontId="22" fillId="39" borderId="36" applyNumberFormat="0" applyProtection="0">
      <alignment horizontal="left" vertical="top" indent="1"/>
    </xf>
    <xf numFmtId="0" fontId="22" fillId="38" borderId="36" applyNumberFormat="0" applyProtection="0">
      <alignment horizontal="left" vertical="top" indent="1"/>
    </xf>
    <xf numFmtId="4" fontId="38" fillId="28" borderId="36" applyNumberFormat="0" applyProtection="0">
      <alignment vertical="center"/>
    </xf>
    <xf numFmtId="4" fontId="40" fillId="7" borderId="36" applyNumberFormat="0" applyProtection="0">
      <alignment horizontal="right" vertical="center"/>
    </xf>
    <xf numFmtId="4" fontId="40" fillId="15" borderId="36" applyNumberFormat="0" applyProtection="0">
      <alignment horizontal="right" vertical="center"/>
    </xf>
    <xf numFmtId="0" fontId="29" fillId="11" borderId="31" applyNumberFormat="0" applyAlignment="0" applyProtection="0"/>
    <xf numFmtId="4" fontId="40" fillId="40" borderId="36" applyNumberFormat="0" applyProtection="0">
      <alignment vertical="center"/>
    </xf>
    <xf numFmtId="0" fontId="40" fillId="40" borderId="36" applyNumberFormat="0" applyProtection="0">
      <alignment horizontal="left" vertical="top" indent="1"/>
    </xf>
    <xf numFmtId="0" fontId="48" fillId="0" borderId="34" applyNumberFormat="0" applyFill="0" applyAlignment="0" applyProtection="0"/>
    <xf numFmtId="172" fontId="21" fillId="0" borderId="35">
      <alignment horizontal="right" indent="1"/>
    </xf>
    <xf numFmtId="4" fontId="38" fillId="31" borderId="36" applyNumberFormat="0" applyProtection="0">
      <alignment horizontal="left" vertical="center" indent="1"/>
    </xf>
    <xf numFmtId="0" fontId="40" fillId="37" borderId="36" applyNumberFormat="0" applyProtection="0">
      <alignment horizontal="left" vertical="top" indent="1"/>
    </xf>
    <xf numFmtId="0" fontId="18" fillId="24" borderId="31" applyNumberFormat="0" applyAlignment="0" applyProtection="0"/>
    <xf numFmtId="4" fontId="40" fillId="32" borderId="36" applyNumberFormat="0" applyProtection="0">
      <alignment horizontal="right" vertical="center"/>
    </xf>
    <xf numFmtId="172" fontId="21" fillId="0" borderId="35">
      <alignment horizontal="right" indent="1"/>
    </xf>
    <xf numFmtId="4" fontId="45" fillId="34" borderId="36" applyNumberFormat="0" applyProtection="0">
      <alignment horizontal="right" vertical="center"/>
    </xf>
    <xf numFmtId="4" fontId="39" fillId="31" borderId="36" applyNumberFormat="0" applyProtection="0">
      <alignment vertical="center"/>
    </xf>
    <xf numFmtId="0" fontId="15" fillId="29" borderId="32" applyNumberFormat="0" applyFont="0" applyAlignment="0" applyProtection="0"/>
    <xf numFmtId="172" fontId="21" fillId="0" borderId="35">
      <alignment horizontal="right" indent="1"/>
    </xf>
    <xf numFmtId="4" fontId="40" fillId="7" borderId="36" applyNumberFormat="0" applyProtection="0">
      <alignment horizontal="right" vertical="center"/>
    </xf>
    <xf numFmtId="4" fontId="40" fillId="21" borderId="36" applyNumberFormat="0" applyProtection="0">
      <alignment horizontal="right" vertical="center"/>
    </xf>
    <xf numFmtId="4" fontId="40" fillId="14" borderId="36" applyNumberFormat="0" applyProtection="0">
      <alignment horizontal="right" vertical="center"/>
    </xf>
    <xf numFmtId="4" fontId="40" fillId="40" borderId="36" applyNumberFormat="0" applyProtection="0">
      <alignment horizontal="left" vertical="center" indent="1"/>
    </xf>
    <xf numFmtId="4" fontId="39" fillId="31" borderId="36" applyNumberFormat="0" applyProtection="0">
      <alignment vertical="center"/>
    </xf>
    <xf numFmtId="4" fontId="43" fillId="40" borderId="36" applyNumberFormat="0" applyProtection="0">
      <alignment vertical="center"/>
    </xf>
    <xf numFmtId="4" fontId="43" fillId="34" borderId="36" applyNumberFormat="0" applyProtection="0">
      <alignment horizontal="right" vertical="center"/>
    </xf>
    <xf numFmtId="4" fontId="38" fillId="31" borderId="36" applyNumberFormat="0" applyProtection="0">
      <alignment horizontal="left" vertical="center" indent="1"/>
    </xf>
    <xf numFmtId="0" fontId="18" fillId="24" borderId="31" applyNumberFormat="0" applyAlignment="0" applyProtection="0"/>
    <xf numFmtId="0" fontId="29" fillId="11" borderId="31" applyNumberFormat="0" applyAlignment="0" applyProtection="0"/>
    <xf numFmtId="0" fontId="22" fillId="37" borderId="36" applyNumberFormat="0" applyProtection="0">
      <alignment horizontal="left" vertical="center" indent="1"/>
    </xf>
    <xf numFmtId="4" fontId="40" fillId="14" borderId="36" applyNumberFormat="0" applyProtection="0">
      <alignment horizontal="right" vertical="center"/>
    </xf>
    <xf numFmtId="172" fontId="21" fillId="0" borderId="35">
      <alignment horizontal="right" indent="1"/>
    </xf>
    <xf numFmtId="4" fontId="40" fillId="23" borderId="36" applyNumberFormat="0" applyProtection="0">
      <alignment horizontal="right" vertical="center"/>
    </xf>
    <xf numFmtId="0" fontId="18" fillId="24" borderId="31" applyNumberFormat="0" applyAlignment="0" applyProtection="0"/>
    <xf numFmtId="172" fontId="21" fillId="0" borderId="35">
      <alignment horizontal="right" indent="1"/>
    </xf>
    <xf numFmtId="0" fontId="19" fillId="29" borderId="32" applyNumberFormat="0" applyFont="0" applyAlignment="0" applyProtection="0"/>
    <xf numFmtId="0" fontId="36" fillId="24" borderId="33" applyNumberFormat="0" applyAlignment="0" applyProtection="0"/>
    <xf numFmtId="4" fontId="40" fillId="40" borderId="36" applyNumberFormat="0" applyProtection="0">
      <alignment horizontal="left" vertical="center" indent="1"/>
    </xf>
    <xf numFmtId="4" fontId="43" fillId="40" borderId="36" applyNumberFormat="0" applyProtection="0">
      <alignment vertical="center"/>
    </xf>
    <xf numFmtId="0" fontId="22" fillId="38" borderId="36" applyNumberFormat="0" applyProtection="0">
      <alignment horizontal="left" vertical="center" indent="1"/>
    </xf>
    <xf numFmtId="0" fontId="22" fillId="35" borderId="36" applyNumberFormat="0" applyProtection="0">
      <alignment horizontal="left" vertical="top" indent="1"/>
    </xf>
    <xf numFmtId="4" fontId="38" fillId="28" borderId="36" applyNumberFormat="0" applyProtection="0">
      <alignment vertical="center"/>
    </xf>
    <xf numFmtId="4" fontId="39" fillId="31" borderId="36" applyNumberFormat="0" applyProtection="0">
      <alignment vertical="center"/>
    </xf>
    <xf numFmtId="4" fontId="38" fillId="31" borderId="36" applyNumberFormat="0" applyProtection="0">
      <alignment horizontal="left" vertical="center" indent="1"/>
    </xf>
    <xf numFmtId="0" fontId="38" fillId="31" borderId="36" applyNumberFormat="0" applyProtection="0">
      <alignment horizontal="left" vertical="top" indent="1"/>
    </xf>
    <xf numFmtId="4" fontId="40" fillId="7" borderId="36" applyNumberFormat="0" applyProtection="0">
      <alignment horizontal="right" vertical="center"/>
    </xf>
    <xf numFmtId="4" fontId="40" fillId="15" borderId="36" applyNumberFormat="0" applyProtection="0">
      <alignment horizontal="right" vertical="center"/>
    </xf>
    <xf numFmtId="4" fontId="40" fillId="22" borderId="36" applyNumberFormat="0" applyProtection="0">
      <alignment horizontal="right" vertical="center"/>
    </xf>
    <xf numFmtId="4" fontId="40" fillId="19" borderId="36" applyNumberFormat="0" applyProtection="0">
      <alignment horizontal="right" vertical="center"/>
    </xf>
    <xf numFmtId="4" fontId="40" fillId="36" borderId="36" applyNumberFormat="0" applyProtection="0">
      <alignment horizontal="right" vertical="center"/>
    </xf>
    <xf numFmtId="0" fontId="22" fillId="35" borderId="36" applyNumberFormat="0" applyProtection="0">
      <alignment horizontal="left" vertical="center" indent="1"/>
    </xf>
    <xf numFmtId="0" fontId="22" fillId="37" borderId="36" applyNumberFormat="0" applyProtection="0">
      <alignment horizontal="left" vertical="top" indent="1"/>
    </xf>
    <xf numFmtId="0" fontId="22" fillId="39" borderId="36" applyNumberFormat="0" applyProtection="0">
      <alignment horizontal="left" vertical="center" indent="1"/>
    </xf>
    <xf numFmtId="4" fontId="40" fillId="36" borderId="36" applyNumberFormat="0" applyProtection="0">
      <alignment horizontal="left" vertical="center" indent="1"/>
    </xf>
    <xf numFmtId="4" fontId="45" fillId="34" borderId="36" applyNumberFormat="0" applyProtection="0">
      <alignment horizontal="right" vertical="center"/>
    </xf>
    <xf numFmtId="0" fontId="36" fillId="24" borderId="33" applyNumberFormat="0" applyAlignment="0" applyProtection="0"/>
    <xf numFmtId="0" fontId="29" fillId="11" borderId="31" applyNumberFormat="0" applyAlignment="0" applyProtection="0"/>
    <xf numFmtId="0" fontId="48" fillId="0" borderId="34" applyNumberFormat="0" applyFill="0" applyAlignment="0" applyProtection="0"/>
    <xf numFmtId="0" fontId="38" fillId="31" borderId="36" applyNumberFormat="0" applyProtection="0">
      <alignment horizontal="left" vertical="top" indent="1"/>
    </xf>
    <xf numFmtId="4" fontId="38" fillId="28" borderId="36" applyNumberFormat="0" applyProtection="0">
      <alignment vertical="center"/>
    </xf>
    <xf numFmtId="4" fontId="39" fillId="31" borderId="36" applyNumberFormat="0" applyProtection="0">
      <alignment vertical="center"/>
    </xf>
    <xf numFmtId="4" fontId="38" fillId="31" borderId="36" applyNumberFormat="0" applyProtection="0">
      <alignment horizontal="left" vertical="center" indent="1"/>
    </xf>
    <xf numFmtId="0" fontId="38" fillId="31" borderId="36" applyNumberFormat="0" applyProtection="0">
      <alignment horizontal="left" vertical="top" indent="1"/>
    </xf>
    <xf numFmtId="4" fontId="40" fillId="7" borderId="36" applyNumberFormat="0" applyProtection="0">
      <alignment horizontal="right" vertical="center"/>
    </xf>
    <xf numFmtId="4" fontId="40" fillId="13" borderId="36" applyNumberFormat="0" applyProtection="0">
      <alignment horizontal="right" vertical="center"/>
    </xf>
    <xf numFmtId="4" fontId="40" fillId="21" borderId="36" applyNumberFormat="0" applyProtection="0">
      <alignment horizontal="right" vertical="center"/>
    </xf>
    <xf numFmtId="4" fontId="40" fillId="15" borderId="36" applyNumberFormat="0" applyProtection="0">
      <alignment horizontal="right" vertical="center"/>
    </xf>
    <xf numFmtId="4" fontId="40" fillId="19" borderId="36" applyNumberFormat="0" applyProtection="0">
      <alignment horizontal="right" vertical="center"/>
    </xf>
    <xf numFmtId="4" fontId="40" fillId="23" borderId="36" applyNumberFormat="0" applyProtection="0">
      <alignment horizontal="right" vertical="center"/>
    </xf>
    <xf numFmtId="4" fontId="40" fillId="22" borderId="36" applyNumberFormat="0" applyProtection="0">
      <alignment horizontal="right" vertical="center"/>
    </xf>
    <xf numFmtId="4" fontId="40" fillId="32" borderId="36" applyNumberFormat="0" applyProtection="0">
      <alignment horizontal="right" vertical="center"/>
    </xf>
    <xf numFmtId="4" fontId="40" fillId="14" borderId="36" applyNumberFormat="0" applyProtection="0">
      <alignment horizontal="right" vertical="center"/>
    </xf>
    <xf numFmtId="4" fontId="40" fillId="22" borderId="36" applyNumberFormat="0" applyProtection="0">
      <alignment horizontal="right" vertical="center"/>
    </xf>
    <xf numFmtId="4" fontId="40" fillId="36" borderId="36" applyNumberFormat="0" applyProtection="0">
      <alignment horizontal="right" vertical="center"/>
    </xf>
    <xf numFmtId="4" fontId="40" fillId="36" borderId="36" applyNumberFormat="0" applyProtection="0">
      <alignment horizontal="right" vertical="center"/>
    </xf>
    <xf numFmtId="0" fontId="22" fillId="35" borderId="36" applyNumberFormat="0" applyProtection="0">
      <alignment horizontal="left" vertical="center" indent="1"/>
    </xf>
    <xf numFmtId="0" fontId="22" fillId="37" borderId="36" applyNumberFormat="0" applyProtection="0">
      <alignment horizontal="left" vertical="top" indent="1"/>
    </xf>
    <xf numFmtId="0" fontId="22" fillId="35" borderId="36" applyNumberFormat="0" applyProtection="0">
      <alignment horizontal="left" vertical="center" indent="1"/>
    </xf>
    <xf numFmtId="0" fontId="22" fillId="35" borderId="36" applyNumberFormat="0" applyProtection="0">
      <alignment horizontal="left" vertical="top" indent="1"/>
    </xf>
    <xf numFmtId="0" fontId="22" fillId="37" borderId="36" applyNumberFormat="0" applyProtection="0">
      <alignment horizontal="left" vertical="center" indent="1"/>
    </xf>
    <xf numFmtId="0" fontId="22" fillId="37" borderId="36" applyNumberFormat="0" applyProtection="0">
      <alignment horizontal="left" vertical="top" indent="1"/>
    </xf>
    <xf numFmtId="0" fontId="22" fillId="38" borderId="36" applyNumberFormat="0" applyProtection="0">
      <alignment horizontal="left" vertical="center" indent="1"/>
    </xf>
    <xf numFmtId="0" fontId="22" fillId="38" borderId="36" applyNumberFormat="0" applyProtection="0">
      <alignment horizontal="left" vertical="top" indent="1"/>
    </xf>
    <xf numFmtId="0" fontId="22" fillId="39" borderId="36" applyNumberFormat="0" applyProtection="0">
      <alignment horizontal="left" vertical="center" indent="1"/>
    </xf>
    <xf numFmtId="0" fontId="22" fillId="39" borderId="36" applyNumberFormat="0" applyProtection="0">
      <alignment horizontal="left" vertical="top" indent="1"/>
    </xf>
    <xf numFmtId="0" fontId="22" fillId="39" borderId="36" applyNumberFormat="0" applyProtection="0">
      <alignment horizontal="left" vertical="center" indent="1"/>
    </xf>
    <xf numFmtId="4" fontId="40" fillId="40" borderId="36" applyNumberFormat="0" applyProtection="0">
      <alignment vertical="center"/>
    </xf>
    <xf numFmtId="4" fontId="43" fillId="40" borderId="36" applyNumberFormat="0" applyProtection="0">
      <alignment vertical="center"/>
    </xf>
    <xf numFmtId="4" fontId="40" fillId="40" borderId="36" applyNumberFormat="0" applyProtection="0">
      <alignment horizontal="left" vertical="center" indent="1"/>
    </xf>
    <xf numFmtId="0" fontId="40" fillId="40" borderId="36" applyNumberFormat="0" applyProtection="0">
      <alignment horizontal="left" vertical="top" indent="1"/>
    </xf>
    <xf numFmtId="4" fontId="40" fillId="34" borderId="36" applyNumberFormat="0" applyProtection="0">
      <alignment horizontal="right" vertical="center"/>
    </xf>
    <xf numFmtId="4" fontId="43" fillId="34" borderId="36" applyNumberFormat="0" applyProtection="0">
      <alignment horizontal="right" vertical="center"/>
    </xf>
    <xf numFmtId="4" fontId="40" fillId="36" borderId="36" applyNumberFormat="0" applyProtection="0">
      <alignment horizontal="left" vertical="center" indent="1"/>
    </xf>
    <xf numFmtId="0" fontId="40" fillId="37" borderId="36" applyNumberFormat="0" applyProtection="0">
      <alignment horizontal="left" vertical="top" indent="1"/>
    </xf>
    <xf numFmtId="4" fontId="40" fillId="40" borderId="36" applyNumberFormat="0" applyProtection="0">
      <alignment vertical="center"/>
    </xf>
    <xf numFmtId="4" fontId="45" fillId="34" borderId="36" applyNumberFormat="0" applyProtection="0">
      <alignment horizontal="right" vertical="center"/>
    </xf>
    <xf numFmtId="0" fontId="40" fillId="40" borderId="36" applyNumberFormat="0" applyProtection="0">
      <alignment horizontal="left" vertical="top" indent="1"/>
    </xf>
    <xf numFmtId="4" fontId="40" fillId="36" borderId="36" applyNumberFormat="0" applyProtection="0">
      <alignment horizontal="left" vertical="center" indent="1"/>
    </xf>
    <xf numFmtId="0" fontId="48" fillId="0" borderId="34" applyNumberFormat="0" applyFill="0" applyAlignment="0" applyProtection="0"/>
    <xf numFmtId="0" fontId="48" fillId="0" borderId="34" applyNumberFormat="0" applyFill="0" applyAlignment="0" applyProtection="0"/>
    <xf numFmtId="4" fontId="40" fillId="23" borderId="36" applyNumberFormat="0" applyProtection="0">
      <alignment horizontal="right" vertical="center"/>
    </xf>
    <xf numFmtId="172" fontId="21" fillId="0" borderId="35">
      <alignment horizontal="right" indent="1"/>
    </xf>
    <xf numFmtId="0" fontId="18" fillId="24" borderId="31" applyNumberFormat="0" applyAlignment="0" applyProtection="0"/>
    <xf numFmtId="0" fontId="38" fillId="31" borderId="36" applyNumberFormat="0" applyProtection="0">
      <alignment horizontal="left" vertical="top" indent="1"/>
    </xf>
    <xf numFmtId="4" fontId="40" fillId="21" borderId="36" applyNumberFormat="0" applyProtection="0">
      <alignment horizontal="right" vertical="center"/>
    </xf>
    <xf numFmtId="4" fontId="40" fillId="22" borderId="36" applyNumberFormat="0" applyProtection="0">
      <alignment horizontal="right" vertical="center"/>
    </xf>
    <xf numFmtId="4" fontId="40" fillId="32" borderId="36" applyNumberFormat="0" applyProtection="0">
      <alignment horizontal="right" vertical="center"/>
    </xf>
    <xf numFmtId="4" fontId="40" fillId="14" borderId="36" applyNumberFormat="0" applyProtection="0">
      <alignment horizontal="right" vertical="center"/>
    </xf>
    <xf numFmtId="4" fontId="40" fillId="36" borderId="36" applyNumberFormat="0" applyProtection="0">
      <alignment horizontal="right" vertical="center"/>
    </xf>
    <xf numFmtId="0" fontId="22" fillId="35" borderId="36" applyNumberFormat="0" applyProtection="0">
      <alignment horizontal="left" vertical="center" indent="1"/>
    </xf>
    <xf numFmtId="0" fontId="22" fillId="35" borderId="36" applyNumberFormat="0" applyProtection="0">
      <alignment horizontal="left" vertical="top" indent="1"/>
    </xf>
    <xf numFmtId="0" fontId="22" fillId="37" borderId="36" applyNumberFormat="0" applyProtection="0">
      <alignment horizontal="left" vertical="center" indent="1"/>
    </xf>
    <xf numFmtId="0" fontId="22" fillId="37" borderId="36" applyNumberFormat="0" applyProtection="0">
      <alignment horizontal="left" vertical="top" indent="1"/>
    </xf>
    <xf numFmtId="0" fontId="22" fillId="38" borderId="36" applyNumberFormat="0" applyProtection="0">
      <alignment horizontal="left" vertical="center" indent="1"/>
    </xf>
    <xf numFmtId="0" fontId="22" fillId="38" borderId="36" applyNumberFormat="0" applyProtection="0">
      <alignment horizontal="left" vertical="top" indent="1"/>
    </xf>
    <xf numFmtId="0" fontId="22" fillId="39" borderId="36" applyNumberFormat="0" applyProtection="0">
      <alignment horizontal="left" vertical="center" indent="1"/>
    </xf>
    <xf numFmtId="0" fontId="22" fillId="39" borderId="36" applyNumberFormat="0" applyProtection="0">
      <alignment horizontal="left" vertical="top" indent="1"/>
    </xf>
    <xf numFmtId="4" fontId="40" fillId="40" borderId="36" applyNumberFormat="0" applyProtection="0">
      <alignment vertical="center"/>
    </xf>
    <xf numFmtId="4" fontId="43" fillId="40" borderId="36" applyNumberFormat="0" applyProtection="0">
      <alignment vertical="center"/>
    </xf>
    <xf numFmtId="4" fontId="40" fillId="40" borderId="36" applyNumberFormat="0" applyProtection="0">
      <alignment horizontal="left" vertical="center" indent="1"/>
    </xf>
    <xf numFmtId="0" fontId="40" fillId="40" borderId="36" applyNumberFormat="0" applyProtection="0">
      <alignment horizontal="left" vertical="top" indent="1"/>
    </xf>
    <xf numFmtId="4" fontId="40" fillId="34" borderId="36" applyNumberFormat="0" applyProtection="0">
      <alignment horizontal="right" vertical="center"/>
    </xf>
    <xf numFmtId="4" fontId="43" fillId="34" borderId="36" applyNumberFormat="0" applyProtection="0">
      <alignment horizontal="right" vertical="center"/>
    </xf>
    <xf numFmtId="4" fontId="40" fillId="36" borderId="36" applyNumberFormat="0" applyProtection="0">
      <alignment horizontal="left" vertical="center" indent="1"/>
    </xf>
    <xf numFmtId="0" fontId="40" fillId="37" borderId="36" applyNumberFormat="0" applyProtection="0">
      <alignment horizontal="left" vertical="top" indent="1"/>
    </xf>
    <xf numFmtId="4" fontId="45" fillId="34" borderId="36" applyNumberFormat="0" applyProtection="0">
      <alignment horizontal="right" vertical="center"/>
    </xf>
    <xf numFmtId="4" fontId="67" fillId="85" borderId="38" applyNumberFormat="0" applyProtection="0">
      <alignment horizontal="left" vertical="center" indent="1"/>
    </xf>
    <xf numFmtId="4" fontId="64" fillId="31" borderId="38" applyNumberFormat="0" applyProtection="0">
      <alignment vertical="center"/>
    </xf>
    <xf numFmtId="4" fontId="65" fillId="31" borderId="38" applyNumberFormat="0" applyProtection="0">
      <alignment vertical="center"/>
    </xf>
    <xf numFmtId="4" fontId="66" fillId="40" borderId="38" applyNumberFormat="0" applyProtection="0">
      <alignment horizontal="left" vertical="center" indent="1"/>
    </xf>
    <xf numFmtId="4" fontId="67" fillId="7" borderId="38" applyNumberFormat="0" applyProtection="0">
      <alignment horizontal="right" vertical="center"/>
    </xf>
    <xf numFmtId="4" fontId="67" fillId="78" borderId="38" applyNumberFormat="0" applyProtection="0">
      <alignment horizontal="right" vertical="center"/>
    </xf>
    <xf numFmtId="4" fontId="67" fillId="15" borderId="38" applyNumberFormat="0" applyProtection="0">
      <alignment horizontal="right" vertical="center"/>
    </xf>
    <xf numFmtId="4" fontId="67" fillId="19" borderId="38" applyNumberFormat="0" applyProtection="0">
      <alignment horizontal="right" vertical="center"/>
    </xf>
    <xf numFmtId="4" fontId="67" fillId="23" borderId="38" applyNumberFormat="0" applyProtection="0">
      <alignment horizontal="right" vertical="center"/>
    </xf>
    <xf numFmtId="4" fontId="67" fillId="22" borderId="38" applyNumberFormat="0" applyProtection="0">
      <alignment horizontal="right" vertical="center"/>
    </xf>
    <xf numFmtId="4" fontId="67" fillId="32" borderId="38" applyNumberFormat="0" applyProtection="0">
      <alignment horizontal="right" vertical="center"/>
    </xf>
    <xf numFmtId="4" fontId="67" fillId="14" borderId="38" applyNumberFormat="0" applyProtection="0">
      <alignment horizontal="right" vertical="center"/>
    </xf>
    <xf numFmtId="4" fontId="67" fillId="33" borderId="37" applyNumberFormat="0" applyProtection="0">
      <alignment horizontal="left" vertical="center" indent="1"/>
    </xf>
    <xf numFmtId="4" fontId="67" fillId="79" borderId="38" applyNumberFormat="0" applyProtection="0">
      <alignment horizontal="left" vertical="center" indent="1"/>
    </xf>
    <xf numFmtId="4" fontId="67" fillId="79" borderId="38" applyNumberFormat="0" applyProtection="0">
      <alignment horizontal="left" vertical="center" indent="1"/>
    </xf>
    <xf numFmtId="4" fontId="68" fillId="80" borderId="37" applyNumberFormat="0" applyProtection="0">
      <alignment horizontal="left" vertical="center" indent="1"/>
    </xf>
    <xf numFmtId="4" fontId="67" fillId="36" borderId="38" applyNumberFormat="0" applyProtection="0">
      <alignment horizontal="right" vertical="center"/>
    </xf>
    <xf numFmtId="0" fontId="67" fillId="24" borderId="38" applyNumberFormat="0" applyProtection="0">
      <alignment horizontal="left" vertical="center" indent="1"/>
    </xf>
    <xf numFmtId="0" fontId="62" fillId="80" borderId="36" applyNumberFormat="0" applyProtection="0">
      <alignment horizontal="left" vertical="top" indent="1"/>
    </xf>
    <xf numFmtId="0" fontId="62" fillId="80" borderId="36" applyNumberFormat="0" applyProtection="0">
      <alignment horizontal="left" vertical="top" indent="1"/>
    </xf>
    <xf numFmtId="0" fontId="67" fillId="81" borderId="38" applyNumberFormat="0" applyProtection="0">
      <alignment horizontal="left" vertical="center" indent="1"/>
    </xf>
    <xf numFmtId="0" fontId="62" fillId="36" borderId="36" applyNumberFormat="0" applyProtection="0">
      <alignment horizontal="left" vertical="top" indent="1"/>
    </xf>
    <xf numFmtId="0" fontId="62" fillId="36" borderId="36" applyNumberFormat="0" applyProtection="0">
      <alignment horizontal="left" vertical="top" indent="1"/>
    </xf>
    <xf numFmtId="0" fontId="67" fillId="12" borderId="38" applyNumberFormat="0" applyProtection="0">
      <alignment horizontal="left" vertical="center" indent="1"/>
    </xf>
    <xf numFmtId="0" fontId="62" fillId="12" borderId="36" applyNumberFormat="0" applyProtection="0">
      <alignment horizontal="left" vertical="top" indent="1"/>
    </xf>
    <xf numFmtId="0" fontId="62" fillId="12" borderId="36" applyNumberFormat="0" applyProtection="0">
      <alignment horizontal="left" vertical="top" indent="1"/>
    </xf>
    <xf numFmtId="0" fontId="67" fillId="34" borderId="38" applyNumberFormat="0" applyProtection="0">
      <alignment horizontal="left" vertical="center" indent="1"/>
    </xf>
    <xf numFmtId="0" fontId="62" fillId="34" borderId="36" applyNumberFormat="0" applyProtection="0">
      <alignment horizontal="left" vertical="top" indent="1"/>
    </xf>
    <xf numFmtId="0" fontId="62" fillId="34" borderId="36" applyNumberFormat="0" applyProtection="0">
      <alignment horizontal="left" vertical="top" indent="1"/>
    </xf>
    <xf numFmtId="4" fontId="66" fillId="82" borderId="38" applyNumberFormat="0" applyProtection="0">
      <alignment horizontal="left" vertical="center" indent="1"/>
    </xf>
    <xf numFmtId="4" fontId="66" fillId="82" borderId="38" applyNumberFormat="0" applyProtection="0">
      <alignment horizontal="left" vertical="center" indent="1"/>
    </xf>
    <xf numFmtId="0" fontId="62" fillId="83" borderId="39" applyNumberFormat="0">
      <protection locked="0"/>
    </xf>
    <xf numFmtId="0" fontId="62" fillId="83" borderId="39" applyNumberFormat="0">
      <protection locked="0"/>
    </xf>
    <xf numFmtId="0" fontId="62" fillId="83" borderId="39" applyNumberFormat="0">
      <protection locked="0"/>
    </xf>
    <xf numFmtId="0" fontId="62" fillId="83" borderId="39" applyNumberFormat="0">
      <protection locked="0"/>
    </xf>
    <xf numFmtId="0" fontId="62" fillId="83" borderId="39" applyNumberFormat="0">
      <protection locked="0"/>
    </xf>
    <xf numFmtId="0" fontId="66" fillId="84" borderId="40"/>
    <xf numFmtId="4" fontId="67" fillId="0" borderId="38" applyNumberFormat="0" applyProtection="0">
      <alignment horizontal="right" vertical="center"/>
    </xf>
    <xf numFmtId="4" fontId="65" fillId="79" borderId="38" applyNumberFormat="0" applyProtection="0">
      <alignment horizontal="right" vertical="center"/>
    </xf>
    <xf numFmtId="0" fontId="69" fillId="0" borderId="1"/>
    <xf numFmtId="0" fontId="73" fillId="87" borderId="30" applyNumberFormat="0" applyAlignment="0" applyProtection="0"/>
  </cellStyleXfs>
  <cellXfs count="361">
    <xf numFmtId="0" fontId="0" fillId="0" borderId="0" xfId="0"/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6" fontId="5" fillId="0" borderId="0" xfId="3" applyNumberFormat="1" applyFont="1" applyBorder="1" applyAlignment="1">
      <alignment vertical="center"/>
    </xf>
    <xf numFmtId="2" fontId="5" fillId="0" borderId="0" xfId="3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10" fontId="5" fillId="0" borderId="0" xfId="1" applyNumberFormat="1" applyFont="1" applyBorder="1"/>
    <xf numFmtId="0" fontId="10" fillId="3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right" vertical="center" inden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right" vertical="center" wrapText="1" indent="1"/>
    </xf>
    <xf numFmtId="2" fontId="8" fillId="0" borderId="7" xfId="0" applyNumberFormat="1" applyFont="1" applyBorder="1" applyAlignment="1">
      <alignment horizontal="right" vertical="center" indent="1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4" fontId="5" fillId="0" borderId="0" xfId="0" applyNumberFormat="1" applyFont="1" applyAlignment="1">
      <alignment vertical="center"/>
    </xf>
    <xf numFmtId="166" fontId="5" fillId="0" borderId="0" xfId="0" applyNumberFormat="1" applyFont="1"/>
    <xf numFmtId="168" fontId="5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7" fontId="5" fillId="0" borderId="0" xfId="0" applyNumberFormat="1" applyFont="1" applyAlignment="1">
      <alignment vertical="center"/>
    </xf>
    <xf numFmtId="169" fontId="5" fillId="0" borderId="0" xfId="0" applyNumberFormat="1" applyFont="1" applyAlignment="1">
      <alignment vertical="center"/>
    </xf>
    <xf numFmtId="2" fontId="8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2" fontId="5" fillId="0" borderId="0" xfId="0" applyNumberFormat="1" applyFont="1" applyAlignment="1">
      <alignment vertical="center"/>
    </xf>
    <xf numFmtId="2" fontId="4" fillId="0" borderId="6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2" fontId="5" fillId="0" borderId="0" xfId="0" applyNumberFormat="1" applyFont="1"/>
    <xf numFmtId="165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6" fontId="5" fillId="0" borderId="0" xfId="3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166" fontId="5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" fontId="5" fillId="0" borderId="0" xfId="0" applyNumberFormat="1" applyFont="1" applyAlignment="1">
      <alignment vertical="center"/>
    </xf>
    <xf numFmtId="1" fontId="5" fillId="0" borderId="0" xfId="3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3" fillId="0" borderId="0" xfId="4" applyAlignment="1">
      <alignment vertical="center"/>
    </xf>
    <xf numFmtId="0" fontId="52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10" fontId="5" fillId="0" borderId="0" xfId="1" applyNumberFormat="1" applyFont="1"/>
    <xf numFmtId="44" fontId="5" fillId="0" borderId="0" xfId="3" applyFont="1" applyAlignment="1">
      <alignment vertical="center"/>
    </xf>
    <xf numFmtId="170" fontId="5" fillId="0" borderId="0" xfId="3" applyNumberFormat="1" applyFont="1" applyBorder="1" applyAlignment="1">
      <alignment horizontal="right" vertical="center"/>
    </xf>
    <xf numFmtId="44" fontId="5" fillId="0" borderId="0" xfId="0" applyNumberFormat="1" applyFont="1"/>
    <xf numFmtId="0" fontId="1" fillId="0" borderId="0" xfId="121"/>
    <xf numFmtId="0" fontId="75" fillId="0" borderId="0" xfId="0" applyFont="1" applyAlignment="1">
      <alignment vertical="center"/>
    </xf>
    <xf numFmtId="10" fontId="5" fillId="0" borderId="0" xfId="1" applyNumberFormat="1" applyFont="1" applyAlignment="1">
      <alignment vertical="center"/>
    </xf>
    <xf numFmtId="10" fontId="52" fillId="0" borderId="0" xfId="1" applyNumberFormat="1" applyFont="1" applyAlignment="1">
      <alignment vertical="center"/>
    </xf>
    <xf numFmtId="10" fontId="5" fillId="0" borderId="0" xfId="0" applyNumberFormat="1" applyFont="1" applyAlignment="1">
      <alignment vertical="center"/>
    </xf>
    <xf numFmtId="43" fontId="5" fillId="0" borderId="0" xfId="3" applyNumberFormat="1" applyFont="1" applyBorder="1" applyAlignment="1">
      <alignment horizontal="right" vertical="center"/>
    </xf>
    <xf numFmtId="10" fontId="6" fillId="0" borderId="0" xfId="1" applyNumberFormat="1" applyFont="1" applyBorder="1" applyAlignment="1">
      <alignment vertical="center"/>
    </xf>
    <xf numFmtId="0" fontId="34" fillId="0" borderId="43" xfId="0" applyFont="1" applyBorder="1" applyAlignment="1">
      <alignment horizontal="left" indent="1"/>
    </xf>
    <xf numFmtId="0" fontId="34" fillId="0" borderId="45" xfId="0" applyFont="1" applyBorder="1" applyAlignment="1">
      <alignment horizontal="left" indent="1"/>
    </xf>
    <xf numFmtId="177" fontId="5" fillId="0" borderId="0" xfId="0" applyNumberFormat="1" applyFont="1" applyAlignment="1">
      <alignment horizontal="right" vertical="center"/>
    </xf>
    <xf numFmtId="43" fontId="5" fillId="0" borderId="0" xfId="3" applyNumberFormat="1" applyFont="1" applyBorder="1" applyAlignment="1">
      <alignment horizontal="center" vertical="center"/>
    </xf>
    <xf numFmtId="0" fontId="77" fillId="0" borderId="0" xfId="0" applyFont="1" applyAlignment="1">
      <alignment vertical="center"/>
    </xf>
    <xf numFmtId="6" fontId="5" fillId="0" borderId="0" xfId="3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5" fillId="0" borderId="0" xfId="0" applyFont="1" applyAlignment="1">
      <alignment horizontal="right"/>
    </xf>
    <xf numFmtId="0" fontId="52" fillId="0" borderId="0" xfId="0" applyFont="1"/>
    <xf numFmtId="0" fontId="52" fillId="0" borderId="0" xfId="0" applyFont="1" applyAlignment="1">
      <alignment horizontal="right"/>
    </xf>
    <xf numFmtId="10" fontId="52" fillId="0" borderId="0" xfId="1" applyNumberFormat="1" applyFont="1"/>
    <xf numFmtId="0" fontId="8" fillId="0" borderId="0" xfId="0" applyFont="1" applyAlignment="1">
      <alignment vertical="center"/>
    </xf>
    <xf numFmtId="165" fontId="52" fillId="0" borderId="0" xfId="0" applyNumberFormat="1" applyFont="1" applyAlignment="1">
      <alignment vertical="center"/>
    </xf>
    <xf numFmtId="2" fontId="6" fillId="4" borderId="9" xfId="0" applyNumberFormat="1" applyFont="1" applyFill="1" applyBorder="1" applyAlignment="1">
      <alignment horizontal="right" vertical="center" wrapText="1"/>
    </xf>
    <xf numFmtId="176" fontId="6" fillId="4" borderId="9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74" fillId="0" borderId="0" xfId="0" applyFont="1" applyAlignment="1">
      <alignment vertical="center"/>
    </xf>
    <xf numFmtId="177" fontId="5" fillId="0" borderId="0" xfId="0" applyNumberFormat="1" applyFont="1" applyAlignment="1">
      <alignment vertical="center"/>
    </xf>
    <xf numFmtId="166" fontId="5" fillId="0" borderId="0" xfId="3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0" fontId="78" fillId="0" borderId="0" xfId="0" applyFont="1" applyAlignment="1">
      <alignment horizontal="left" vertical="center"/>
    </xf>
    <xf numFmtId="10" fontId="75" fillId="0" borderId="0" xfId="1" applyNumberFormat="1" applyFont="1"/>
    <xf numFmtId="0" fontId="75" fillId="0" borderId="0" xfId="0" applyFont="1"/>
    <xf numFmtId="44" fontId="5" fillId="0" borderId="0" xfId="3" applyFont="1" applyBorder="1" applyAlignment="1">
      <alignment horizontal="right" vertical="center"/>
    </xf>
    <xf numFmtId="43" fontId="75" fillId="0" borderId="0" xfId="3" applyNumberFormat="1" applyFont="1" applyBorder="1" applyAlignment="1">
      <alignment horizontal="right" vertical="center"/>
    </xf>
    <xf numFmtId="0" fontId="75" fillId="0" borderId="0" xfId="0" applyFont="1" applyAlignment="1">
      <alignment horizontal="center" vertical="center"/>
    </xf>
    <xf numFmtId="10" fontId="74" fillId="0" borderId="0" xfId="0" applyNumberFormat="1" applyFont="1" applyAlignment="1">
      <alignment vertical="center"/>
    </xf>
    <xf numFmtId="0" fontId="13" fillId="0" borderId="0" xfId="0" quotePrefix="1" applyFont="1" applyAlignment="1">
      <alignment vertical="center"/>
    </xf>
    <xf numFmtId="0" fontId="80" fillId="0" borderId="0" xfId="0" applyFont="1" applyAlignment="1">
      <alignment vertical="center"/>
    </xf>
    <xf numFmtId="168" fontId="80" fillId="0" borderId="0" xfId="0" applyNumberFormat="1" applyFont="1" applyAlignment="1">
      <alignment vertical="center"/>
    </xf>
    <xf numFmtId="10" fontId="80" fillId="0" borderId="0" xfId="1" applyNumberFormat="1" applyFont="1" applyAlignment="1">
      <alignment vertical="center"/>
    </xf>
    <xf numFmtId="165" fontId="80" fillId="0" borderId="0" xfId="1" applyNumberFormat="1" applyFont="1" applyAlignment="1">
      <alignment vertical="center"/>
    </xf>
    <xf numFmtId="165" fontId="80" fillId="0" borderId="0" xfId="0" applyNumberFormat="1" applyFont="1" applyAlignment="1">
      <alignment vertical="center"/>
    </xf>
    <xf numFmtId="2" fontId="75" fillId="0" borderId="0" xfId="0" applyNumberFormat="1" applyFont="1" applyAlignment="1">
      <alignment vertical="center"/>
    </xf>
    <xf numFmtId="0" fontId="5" fillId="90" borderId="0" xfId="0" applyFont="1" applyFill="1"/>
    <xf numFmtId="0" fontId="1" fillId="90" borderId="0" xfId="121" applyFill="1"/>
    <xf numFmtId="0" fontId="5" fillId="89" borderId="0" xfId="0" applyFont="1" applyFill="1"/>
    <xf numFmtId="0" fontId="1" fillId="89" borderId="0" xfId="121" applyFill="1"/>
    <xf numFmtId="0" fontId="5" fillId="91" borderId="0" xfId="0" applyFont="1" applyFill="1"/>
    <xf numFmtId="0" fontId="1" fillId="91" borderId="0" xfId="121" applyFill="1"/>
    <xf numFmtId="0" fontId="5" fillId="92" borderId="0" xfId="0" applyFont="1" applyFill="1"/>
    <xf numFmtId="0" fontId="1" fillId="92" borderId="0" xfId="121" applyFill="1"/>
    <xf numFmtId="0" fontId="74" fillId="0" borderId="0" xfId="0" applyFont="1"/>
    <xf numFmtId="10" fontId="0" fillId="0" borderId="44" xfId="1" applyNumberFormat="1" applyFont="1" applyFill="1" applyBorder="1"/>
    <xf numFmtId="166" fontId="5" fillId="0" borderId="0" xfId="0" applyNumberFormat="1" applyFont="1" applyAlignment="1">
      <alignment horizontal="center" vertical="center"/>
    </xf>
    <xf numFmtId="0" fontId="0" fillId="0" borderId="9" xfId="0" applyBorder="1"/>
    <xf numFmtId="166" fontId="52" fillId="0" borderId="0" xfId="3" applyNumberFormat="1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44" fontId="52" fillId="0" borderId="0" xfId="3" applyFont="1" applyAlignment="1">
      <alignment vertical="center"/>
    </xf>
    <xf numFmtId="165" fontId="5" fillId="0" borderId="42" xfId="0" applyNumberFormat="1" applyFont="1" applyBorder="1" applyAlignment="1">
      <alignment vertical="center"/>
    </xf>
    <xf numFmtId="10" fontId="5" fillId="0" borderId="42" xfId="1" applyNumberFormat="1" applyFont="1" applyBorder="1" applyAlignment="1">
      <alignment vertical="center"/>
    </xf>
    <xf numFmtId="166" fontId="5" fillId="0" borderId="42" xfId="3" applyNumberFormat="1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48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166" fontId="6" fillId="2" borderId="42" xfId="3" applyNumberFormat="1" applyFont="1" applyFill="1" applyBorder="1" applyAlignment="1">
      <alignment vertical="center"/>
    </xf>
    <xf numFmtId="10" fontId="5" fillId="2" borderId="42" xfId="0" applyNumberFormat="1" applyFont="1" applyFill="1" applyBorder="1" applyAlignment="1">
      <alignment vertical="center"/>
    </xf>
    <xf numFmtId="0" fontId="0" fillId="0" borderId="35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vertical="center" wrapText="1"/>
    </xf>
    <xf numFmtId="0" fontId="0" fillId="0" borderId="35" xfId="0" applyBorder="1" applyAlignment="1">
      <alignment horizontal="right" vertical="center" wrapText="1"/>
    </xf>
    <xf numFmtId="0" fontId="5" fillId="0" borderId="35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165" fontId="5" fillId="0" borderId="35" xfId="0" applyNumberFormat="1" applyFont="1" applyBorder="1" applyAlignment="1">
      <alignment vertical="center"/>
    </xf>
    <xf numFmtId="10" fontId="5" fillId="0" borderId="35" xfId="1" applyNumberFormat="1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52" fillId="0" borderId="35" xfId="0" applyFont="1" applyBorder="1" applyAlignment="1">
      <alignment vertical="center"/>
    </xf>
    <xf numFmtId="165" fontId="5" fillId="93" borderId="35" xfId="0" applyNumberFormat="1" applyFont="1" applyFill="1" applyBorder="1" applyAlignment="1">
      <alignment vertical="center"/>
    </xf>
    <xf numFmtId="0" fontId="5" fillId="0" borderId="35" xfId="0" applyFont="1" applyBorder="1"/>
    <xf numFmtId="0" fontId="5" fillId="0" borderId="35" xfId="0" applyFont="1" applyBorder="1" applyAlignment="1">
      <alignment horizontal="right"/>
    </xf>
    <xf numFmtId="10" fontId="5" fillId="0" borderId="35" xfId="1" applyNumberFormat="1" applyFont="1" applyBorder="1" applyAlignment="1"/>
    <xf numFmtId="10" fontId="5" fillId="0" borderId="35" xfId="0" applyNumberFormat="1" applyFont="1" applyBorder="1"/>
    <xf numFmtId="0" fontId="52" fillId="0" borderId="35" xfId="0" applyFont="1" applyBorder="1"/>
    <xf numFmtId="44" fontId="52" fillId="0" borderId="35" xfId="3" applyFont="1" applyBorder="1" applyAlignment="1"/>
    <xf numFmtId="166" fontId="5" fillId="0" borderId="35" xfId="3" applyNumberFormat="1" applyFont="1" applyBorder="1" applyAlignment="1"/>
    <xf numFmtId="0" fontId="8" fillId="0" borderId="35" xfId="0" applyFont="1" applyBorder="1"/>
    <xf numFmtId="10" fontId="52" fillId="0" borderId="35" xfId="1" applyNumberFormat="1" applyFont="1" applyBorder="1" applyAlignment="1"/>
    <xf numFmtId="10" fontId="8" fillId="0" borderId="35" xfId="1" applyNumberFormat="1" applyFont="1" applyBorder="1" applyAlignment="1"/>
    <xf numFmtId="166" fontId="52" fillId="0" borderId="35" xfId="3" applyNumberFormat="1" applyFont="1" applyBorder="1" applyAlignment="1"/>
    <xf numFmtId="166" fontId="8" fillId="0" borderId="35" xfId="3" applyNumberFormat="1" applyFont="1" applyBorder="1" applyAlignment="1"/>
    <xf numFmtId="166" fontId="5" fillId="0" borderId="35" xfId="3" applyNumberFormat="1" applyFont="1" applyFill="1" applyBorder="1" applyAlignment="1"/>
    <xf numFmtId="10" fontId="5" fillId="0" borderId="35" xfId="1" applyNumberFormat="1" applyFont="1" applyFill="1" applyBorder="1" applyAlignment="1"/>
    <xf numFmtId="166" fontId="52" fillId="0" borderId="35" xfId="3" applyNumberFormat="1" applyFont="1" applyFill="1" applyBorder="1" applyAlignment="1"/>
    <xf numFmtId="1" fontId="52" fillId="0" borderId="35" xfId="1" applyNumberFormat="1" applyFont="1" applyBorder="1" applyAlignment="1"/>
    <xf numFmtId="0" fontId="6" fillId="0" borderId="35" xfId="0" applyFont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0" borderId="35" xfId="0" applyFont="1" applyBorder="1" applyAlignment="1">
      <alignment vertical="center"/>
    </xf>
    <xf numFmtId="165" fontId="6" fillId="2" borderId="35" xfId="0" applyNumberFormat="1" applyFont="1" applyFill="1" applyBorder="1" applyAlignment="1">
      <alignment vertical="center"/>
    </xf>
    <xf numFmtId="165" fontId="6" fillId="0" borderId="35" xfId="0" applyNumberFormat="1" applyFont="1" applyBorder="1" applyAlignment="1">
      <alignment vertical="center"/>
    </xf>
    <xf numFmtId="10" fontId="6" fillId="0" borderId="35" xfId="1" applyNumberFormat="1" applyFont="1" applyBorder="1" applyAlignment="1">
      <alignment vertical="center"/>
    </xf>
    <xf numFmtId="165" fontId="74" fillId="0" borderId="35" xfId="0" applyNumberFormat="1" applyFont="1" applyBorder="1" applyAlignment="1">
      <alignment vertical="center"/>
    </xf>
    <xf numFmtId="165" fontId="10" fillId="0" borderId="35" xfId="0" applyNumberFormat="1" applyFont="1" applyBorder="1" applyAlignment="1">
      <alignment vertical="center"/>
    </xf>
    <xf numFmtId="0" fontId="74" fillId="0" borderId="35" xfId="0" applyFont="1" applyBorder="1" applyAlignment="1">
      <alignment vertical="center"/>
    </xf>
    <xf numFmtId="165" fontId="52" fillId="0" borderId="35" xfId="0" applyNumberFormat="1" applyFont="1" applyBorder="1" applyAlignment="1">
      <alignment vertical="center"/>
    </xf>
    <xf numFmtId="166" fontId="74" fillId="0" borderId="35" xfId="3" applyNumberFormat="1" applyFont="1" applyFill="1" applyBorder="1" applyAlignment="1">
      <alignment vertical="center"/>
    </xf>
    <xf numFmtId="166" fontId="10" fillId="0" borderId="35" xfId="3" applyNumberFormat="1" applyFont="1" applyFill="1" applyBorder="1" applyAlignment="1">
      <alignment vertical="center"/>
    </xf>
    <xf numFmtId="166" fontId="10" fillId="44" borderId="35" xfId="0" applyNumberFormat="1" applyFont="1" applyFill="1" applyBorder="1" applyAlignment="1">
      <alignment vertical="center"/>
    </xf>
    <xf numFmtId="166" fontId="74" fillId="0" borderId="35" xfId="3" applyNumberFormat="1" applyFont="1" applyBorder="1" applyAlignment="1">
      <alignment vertical="center"/>
    </xf>
    <xf numFmtId="10" fontId="6" fillId="0" borderId="35" xfId="0" applyNumberFormat="1" applyFont="1" applyBorder="1" applyAlignment="1">
      <alignment horizontal="center" vertical="center"/>
    </xf>
    <xf numFmtId="10" fontId="5" fillId="0" borderId="35" xfId="0" applyNumberFormat="1" applyFont="1" applyBorder="1" applyAlignment="1">
      <alignment horizontal="center" vertical="center"/>
    </xf>
    <xf numFmtId="166" fontId="5" fillId="0" borderId="35" xfId="3" applyNumberFormat="1" applyFont="1" applyBorder="1" applyAlignment="1">
      <alignment vertical="center"/>
    </xf>
    <xf numFmtId="166" fontId="6" fillId="0" borderId="35" xfId="0" applyNumberFormat="1" applyFont="1" applyBorder="1" applyAlignment="1">
      <alignment vertical="center"/>
    </xf>
    <xf numFmtId="168" fontId="74" fillId="0" borderId="35" xfId="0" applyNumberFormat="1" applyFont="1" applyBorder="1" applyAlignment="1">
      <alignment vertical="center"/>
    </xf>
    <xf numFmtId="168" fontId="74" fillId="2" borderId="35" xfId="0" applyNumberFormat="1" applyFont="1" applyFill="1" applyBorder="1" applyAlignment="1">
      <alignment vertical="center"/>
    </xf>
    <xf numFmtId="0" fontId="5" fillId="0" borderId="35" xfId="0" applyFont="1" applyBorder="1" applyAlignment="1">
      <alignment horizontal="center" vertical="center" wrapText="1"/>
    </xf>
    <xf numFmtId="166" fontId="5" fillId="2" borderId="35" xfId="3" applyNumberFormat="1" applyFont="1" applyFill="1" applyBorder="1" applyAlignment="1">
      <alignment vertical="center"/>
    </xf>
    <xf numFmtId="0" fontId="5" fillId="2" borderId="35" xfId="0" applyFont="1" applyFill="1" applyBorder="1" applyAlignment="1">
      <alignment vertical="center"/>
    </xf>
    <xf numFmtId="10" fontId="5" fillId="2" borderId="35" xfId="0" applyNumberFormat="1" applyFont="1" applyFill="1" applyBorder="1" applyAlignment="1">
      <alignment vertical="center"/>
    </xf>
    <xf numFmtId="166" fontId="52" fillId="2" borderId="35" xfId="3" applyNumberFormat="1" applyFont="1" applyFill="1" applyBorder="1" applyAlignment="1">
      <alignment vertical="center"/>
    </xf>
    <xf numFmtId="10" fontId="52" fillId="0" borderId="35" xfId="1" applyNumberFormat="1" applyFont="1" applyBorder="1" applyAlignment="1">
      <alignment vertical="center"/>
    </xf>
    <xf numFmtId="10" fontId="19" fillId="0" borderId="35" xfId="174" applyNumberFormat="1" applyFont="1" applyBorder="1" applyAlignment="1">
      <alignment horizontal="center"/>
    </xf>
    <xf numFmtId="166" fontId="5" fillId="0" borderId="35" xfId="0" applyNumberFormat="1" applyFont="1" applyBorder="1" applyAlignment="1">
      <alignment vertical="center"/>
    </xf>
    <xf numFmtId="166" fontId="5" fillId="0" borderId="35" xfId="3" applyNumberFormat="1" applyFont="1" applyBorder="1" applyAlignment="1">
      <alignment horizontal="center" vertical="center" wrapText="1"/>
    </xf>
    <xf numFmtId="2" fontId="5" fillId="0" borderId="35" xfId="3" applyNumberFormat="1" applyFont="1" applyBorder="1" applyAlignment="1">
      <alignment vertical="center"/>
    </xf>
    <xf numFmtId="167" fontId="5" fillId="0" borderId="35" xfId="0" applyNumberFormat="1" applyFont="1" applyBorder="1" applyAlignment="1">
      <alignment vertical="center"/>
    </xf>
    <xf numFmtId="169" fontId="7" fillId="0" borderId="35" xfId="0" applyNumberFormat="1" applyFont="1" applyBorder="1"/>
    <xf numFmtId="169" fontId="5" fillId="0" borderId="35" xfId="0" applyNumberFormat="1" applyFont="1" applyBorder="1" applyAlignment="1">
      <alignment vertical="center"/>
    </xf>
    <xf numFmtId="0" fontId="6" fillId="0" borderId="35" xfId="0" applyFont="1" applyBorder="1" applyAlignment="1">
      <alignment horizontal="center" vertical="center" wrapText="1"/>
    </xf>
    <xf numFmtId="43" fontId="5" fillId="0" borderId="35" xfId="2" applyFont="1" applyFill="1" applyBorder="1" applyAlignment="1">
      <alignment vertical="center"/>
    </xf>
    <xf numFmtId="178" fontId="5" fillId="0" borderId="35" xfId="0" applyNumberFormat="1" applyFont="1" applyBorder="1" applyAlignment="1">
      <alignment vertical="center"/>
    </xf>
    <xf numFmtId="43" fontId="5" fillId="0" borderId="35" xfId="0" applyNumberFormat="1" applyFont="1" applyBorder="1" applyAlignment="1">
      <alignment vertical="center"/>
    </xf>
    <xf numFmtId="166" fontId="6" fillId="0" borderId="35" xfId="3" applyNumberFormat="1" applyFont="1" applyFill="1" applyBorder="1" applyAlignment="1">
      <alignment vertical="center"/>
    </xf>
    <xf numFmtId="43" fontId="6" fillId="0" borderId="35" xfId="2" applyFont="1" applyBorder="1" applyAlignment="1">
      <alignment vertical="center"/>
    </xf>
    <xf numFmtId="43" fontId="6" fillId="0" borderId="35" xfId="2" applyFont="1" applyFill="1" applyBorder="1" applyAlignment="1">
      <alignment vertical="center"/>
    </xf>
    <xf numFmtId="178" fontId="6" fillId="0" borderId="35" xfId="2" applyNumberFormat="1" applyFont="1" applyBorder="1" applyAlignment="1">
      <alignment vertical="center"/>
    </xf>
    <xf numFmtId="178" fontId="5" fillId="88" borderId="35" xfId="0" applyNumberFormat="1" applyFont="1" applyFill="1" applyBorder="1" applyAlignment="1">
      <alignment vertical="center"/>
    </xf>
    <xf numFmtId="178" fontId="6" fillId="0" borderId="35" xfId="0" applyNumberFormat="1" applyFont="1" applyBorder="1" applyAlignment="1">
      <alignment vertical="center"/>
    </xf>
    <xf numFmtId="0" fontId="6" fillId="2" borderId="35" xfId="0" applyFont="1" applyFill="1" applyBorder="1" applyAlignment="1">
      <alignment horizontal="center" vertical="center" wrapText="1"/>
    </xf>
    <xf numFmtId="166" fontId="6" fillId="2" borderId="35" xfId="3" applyNumberFormat="1" applyFont="1" applyFill="1" applyBorder="1" applyAlignment="1">
      <alignment vertical="center"/>
    </xf>
    <xf numFmtId="10" fontId="6" fillId="0" borderId="35" xfId="0" applyNumberFormat="1" applyFont="1" applyBorder="1" applyAlignment="1">
      <alignment vertical="center"/>
    </xf>
    <xf numFmtId="10" fontId="5" fillId="0" borderId="35" xfId="1" applyNumberFormat="1" applyFont="1" applyFill="1" applyBorder="1" applyAlignment="1">
      <alignment vertical="center"/>
    </xf>
    <xf numFmtId="10" fontId="5" fillId="0" borderId="35" xfId="0" applyNumberFormat="1" applyFont="1" applyBorder="1" applyAlignment="1">
      <alignment vertical="center"/>
    </xf>
    <xf numFmtId="166" fontId="6" fillId="2" borderId="35" xfId="0" applyNumberFormat="1" applyFont="1" applyFill="1" applyBorder="1" applyAlignment="1">
      <alignment vertical="center"/>
    </xf>
    <xf numFmtId="0" fontId="74" fillId="0" borderId="35" xfId="0" applyFont="1" applyBorder="1" applyAlignment="1">
      <alignment horizontal="center" vertical="center"/>
    </xf>
    <xf numFmtId="0" fontId="74" fillId="2" borderId="35" xfId="0" applyFont="1" applyFill="1" applyBorder="1" applyAlignment="1">
      <alignment horizontal="center" vertical="center" wrapText="1"/>
    </xf>
    <xf numFmtId="1" fontId="52" fillId="0" borderId="35" xfId="1" applyNumberFormat="1" applyFont="1" applyFill="1" applyBorder="1" applyAlignment="1">
      <alignment vertical="center"/>
    </xf>
    <xf numFmtId="166" fontId="74" fillId="2" borderId="35" xfId="3" applyNumberFormat="1" applyFont="1" applyFill="1" applyBorder="1" applyAlignment="1">
      <alignment vertical="center"/>
    </xf>
    <xf numFmtId="166" fontId="52" fillId="0" borderId="35" xfId="0" applyNumberFormat="1" applyFont="1" applyBorder="1" applyAlignment="1">
      <alignment vertical="center"/>
    </xf>
    <xf numFmtId="166" fontId="5" fillId="0" borderId="35" xfId="3" applyNumberFormat="1" applyFont="1" applyFill="1" applyBorder="1" applyAlignment="1">
      <alignment vertical="center"/>
    </xf>
    <xf numFmtId="166" fontId="71" fillId="0" borderId="35" xfId="3" applyNumberFormat="1" applyFont="1" applyBorder="1" applyAlignment="1">
      <alignment horizontal="right" vertical="center"/>
    </xf>
    <xf numFmtId="166" fontId="71" fillId="0" borderId="35" xfId="3" applyNumberFormat="1" applyFont="1" applyFill="1" applyBorder="1" applyAlignment="1">
      <alignment vertical="center"/>
    </xf>
    <xf numFmtId="166" fontId="79" fillId="0" borderId="35" xfId="3" applyNumberFormat="1" applyFont="1" applyBorder="1" applyAlignment="1">
      <alignment horizontal="right" vertical="center"/>
    </xf>
    <xf numFmtId="166" fontId="74" fillId="0" borderId="35" xfId="0" applyNumberFormat="1" applyFont="1" applyBorder="1" applyAlignment="1">
      <alignment vertical="center"/>
    </xf>
    <xf numFmtId="0" fontId="5" fillId="0" borderId="35" xfId="0" applyFont="1" applyBorder="1" applyAlignment="1">
      <alignment horizontal="center"/>
    </xf>
    <xf numFmtId="166" fontId="5" fillId="0" borderId="35" xfId="0" applyNumberFormat="1" applyFont="1" applyBorder="1"/>
    <xf numFmtId="10" fontId="52" fillId="0" borderId="35" xfId="1" applyNumberFormat="1" applyFont="1" applyFill="1" applyBorder="1"/>
    <xf numFmtId="10" fontId="8" fillId="0" borderId="35" xfId="1" applyNumberFormat="1" applyFont="1" applyFill="1" applyBorder="1"/>
    <xf numFmtId="0" fontId="6" fillId="0" borderId="35" xfId="0" applyFont="1" applyBorder="1"/>
    <xf numFmtId="10" fontId="5" fillId="0" borderId="35" xfId="1" applyNumberFormat="1" applyFont="1" applyBorder="1"/>
    <xf numFmtId="10" fontId="5" fillId="0" borderId="35" xfId="1" applyNumberFormat="1" applyFont="1" applyFill="1" applyBorder="1"/>
    <xf numFmtId="10" fontId="6" fillId="2" borderId="35" xfId="1" applyNumberFormat="1" applyFont="1" applyFill="1" applyBorder="1"/>
    <xf numFmtId="166" fontId="5" fillId="0" borderId="35" xfId="3" applyNumberFormat="1" applyFont="1" applyBorder="1"/>
    <xf numFmtId="166" fontId="6" fillId="2" borderId="35" xfId="0" applyNumberFormat="1" applyFont="1" applyFill="1" applyBorder="1"/>
    <xf numFmtId="166" fontId="6" fillId="0" borderId="35" xfId="3" applyNumberFormat="1" applyFont="1" applyBorder="1"/>
    <xf numFmtId="166" fontId="8" fillId="0" borderId="35" xfId="0" applyNumberFormat="1" applyFont="1" applyBorder="1" applyAlignment="1">
      <alignment vertical="center"/>
    </xf>
    <xf numFmtId="44" fontId="8" fillId="0" borderId="35" xfId="0" applyNumberFormat="1" applyFont="1" applyBorder="1" applyAlignment="1">
      <alignment vertical="center"/>
    </xf>
    <xf numFmtId="44" fontId="52" fillId="0" borderId="35" xfId="0" applyNumberFormat="1" applyFont="1" applyBorder="1" applyAlignment="1">
      <alignment vertical="center"/>
    </xf>
    <xf numFmtId="0" fontId="5" fillId="0" borderId="35" xfId="0" applyFont="1" applyBorder="1" applyAlignment="1">
      <alignment horizontal="right" vertical="center"/>
    </xf>
    <xf numFmtId="44" fontId="5" fillId="0" borderId="35" xfId="0" applyNumberFormat="1" applyFont="1" applyBorder="1" applyAlignment="1">
      <alignment vertical="center"/>
    </xf>
    <xf numFmtId="1" fontId="5" fillId="0" borderId="35" xfId="0" applyNumberFormat="1" applyFont="1" applyBorder="1" applyAlignment="1">
      <alignment vertical="center"/>
    </xf>
    <xf numFmtId="1" fontId="6" fillId="2" borderId="35" xfId="0" applyNumberFormat="1" applyFont="1" applyFill="1" applyBorder="1" applyAlignment="1">
      <alignment vertical="center"/>
    </xf>
    <xf numFmtId="0" fontId="6" fillId="2" borderId="35" xfId="0" applyFont="1" applyFill="1" applyBorder="1" applyAlignment="1">
      <alignment vertical="center"/>
    </xf>
    <xf numFmtId="0" fontId="81" fillId="0" borderId="35" xfId="0" applyFont="1" applyBorder="1" applyAlignment="1">
      <alignment horizontal="left"/>
    </xf>
    <xf numFmtId="0" fontId="81" fillId="0" borderId="35" xfId="0" applyFont="1" applyBorder="1" applyAlignment="1">
      <alignment horizontal="center" vertical="center"/>
    </xf>
    <xf numFmtId="44" fontId="6" fillId="2" borderId="35" xfId="0" applyNumberFormat="1" applyFont="1" applyFill="1" applyBorder="1" applyAlignment="1">
      <alignment vertical="center"/>
    </xf>
    <xf numFmtId="0" fontId="1" fillId="0" borderId="35" xfId="0" applyFont="1" applyBorder="1"/>
    <xf numFmtId="44" fontId="1" fillId="0" borderId="35" xfId="3" applyFont="1" applyFill="1" applyBorder="1"/>
    <xf numFmtId="44" fontId="6" fillId="0" borderId="35" xfId="3" applyFont="1" applyBorder="1" applyAlignment="1">
      <alignment vertical="center"/>
    </xf>
    <xf numFmtId="10" fontId="6" fillId="2" borderId="35" xfId="0" applyNumberFormat="1" applyFont="1" applyFill="1" applyBorder="1"/>
    <xf numFmtId="0" fontId="8" fillId="0" borderId="3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 wrapText="1"/>
    </xf>
    <xf numFmtId="2" fontId="8" fillId="0" borderId="35" xfId="0" applyNumberFormat="1" applyFont="1" applyBorder="1" applyAlignment="1">
      <alignment horizontal="right" vertical="center" wrapText="1" indent="1"/>
    </xf>
    <xf numFmtId="2" fontId="4" fillId="0" borderId="35" xfId="0" applyNumberFormat="1" applyFont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2" fontId="5" fillId="0" borderId="35" xfId="0" applyNumberFormat="1" applyFont="1" applyBorder="1" applyAlignment="1">
      <alignment horizontal="right" vertical="center"/>
    </xf>
    <xf numFmtId="2" fontId="5" fillId="0" borderId="35" xfId="0" applyNumberFormat="1" applyFont="1" applyBorder="1"/>
    <xf numFmtId="10" fontId="6" fillId="4" borderId="35" xfId="1" applyNumberFormat="1" applyFont="1" applyFill="1" applyBorder="1" applyAlignment="1">
      <alignment horizontal="right" vertical="center" wrapText="1"/>
    </xf>
    <xf numFmtId="0" fontId="0" fillId="88" borderId="35" xfId="0" applyFill="1" applyBorder="1"/>
    <xf numFmtId="0" fontId="6" fillId="4" borderId="35" xfId="0" applyFont="1" applyFill="1" applyBorder="1" applyAlignment="1">
      <alignment horizontal="center" vertical="center"/>
    </xf>
    <xf numFmtId="10" fontId="0" fillId="0" borderId="35" xfId="1" applyNumberFormat="1" applyFont="1" applyFill="1" applyBorder="1"/>
    <xf numFmtId="166" fontId="6" fillId="4" borderId="35" xfId="3" applyNumberFormat="1" applyFont="1" applyFill="1" applyBorder="1" applyAlignment="1">
      <alignment horizontal="right" vertical="center"/>
    </xf>
    <xf numFmtId="10" fontId="6" fillId="4" borderId="35" xfId="1" applyNumberFormat="1" applyFont="1" applyFill="1" applyBorder="1" applyAlignment="1">
      <alignment horizontal="right" vertical="center"/>
    </xf>
    <xf numFmtId="0" fontId="6" fillId="0" borderId="35" xfId="0" applyFont="1" applyBorder="1" applyAlignment="1">
      <alignment horizontal="left" vertical="center"/>
    </xf>
    <xf numFmtId="166" fontId="5" fillId="0" borderId="35" xfId="3" applyNumberFormat="1" applyFont="1" applyFill="1" applyBorder="1" applyAlignment="1">
      <alignment horizontal="center" vertical="center"/>
    </xf>
    <xf numFmtId="166" fontId="5" fillId="0" borderId="35" xfId="3" applyNumberFormat="1" applyFont="1" applyBorder="1" applyAlignment="1">
      <alignment horizontal="center" vertical="center"/>
    </xf>
    <xf numFmtId="10" fontId="6" fillId="2" borderId="35" xfId="1" applyNumberFormat="1" applyFont="1" applyFill="1" applyBorder="1" applyAlignment="1">
      <alignment horizontal="right" vertical="center"/>
    </xf>
    <xf numFmtId="166" fontId="6" fillId="0" borderId="35" xfId="3" applyNumberFormat="1" applyFont="1" applyBorder="1" applyAlignment="1">
      <alignment horizontal="center" vertical="center"/>
    </xf>
    <xf numFmtId="10" fontId="6" fillId="2" borderId="35" xfId="0" applyNumberFormat="1" applyFont="1" applyFill="1" applyBorder="1" applyAlignment="1">
      <alignment horizontal="right" vertical="center"/>
    </xf>
    <xf numFmtId="0" fontId="76" fillId="0" borderId="35" xfId="0" applyFont="1" applyBorder="1" applyAlignment="1">
      <alignment horizontal="center" vertical="center" wrapText="1"/>
    </xf>
    <xf numFmtId="2" fontId="5" fillId="0" borderId="35" xfId="0" applyNumberFormat="1" applyFont="1" applyBorder="1" applyAlignment="1">
      <alignment vertical="center"/>
    </xf>
    <xf numFmtId="177" fontId="5" fillId="0" borderId="35" xfId="0" applyNumberFormat="1" applyFont="1" applyBorder="1" applyAlignment="1">
      <alignment vertical="center"/>
    </xf>
    <xf numFmtId="2" fontId="5" fillId="0" borderId="35" xfId="1" applyNumberFormat="1" applyFont="1" applyFill="1" applyBorder="1" applyAlignment="1">
      <alignment vertical="center"/>
    </xf>
    <xf numFmtId="177" fontId="6" fillId="2" borderId="35" xfId="0" applyNumberFormat="1" applyFont="1" applyFill="1" applyBorder="1" applyAlignment="1">
      <alignment vertical="center"/>
    </xf>
    <xf numFmtId="0" fontId="5" fillId="93" borderId="35" xfId="0" applyFont="1" applyFill="1" applyBorder="1" applyAlignment="1">
      <alignment vertical="center"/>
    </xf>
    <xf numFmtId="2" fontId="6" fillId="0" borderId="35" xfId="0" applyNumberFormat="1" applyFont="1" applyBorder="1" applyAlignment="1">
      <alignment vertical="center"/>
    </xf>
    <xf numFmtId="177" fontId="6" fillId="0" borderId="35" xfId="0" applyNumberFormat="1" applyFont="1" applyBorder="1" applyAlignment="1">
      <alignment vertical="center"/>
    </xf>
    <xf numFmtId="176" fontId="6" fillId="0" borderId="35" xfId="0" applyNumberFormat="1" applyFont="1" applyBorder="1" applyAlignment="1">
      <alignment vertical="center"/>
    </xf>
    <xf numFmtId="10" fontId="6" fillId="2" borderId="35" xfId="1" applyNumberFormat="1" applyFont="1" applyFill="1" applyBorder="1" applyAlignment="1">
      <alignment vertical="center"/>
    </xf>
    <xf numFmtId="6" fontId="5" fillId="0" borderId="35" xfId="3" applyNumberFormat="1" applyFont="1" applyFill="1" applyBorder="1" applyAlignment="1">
      <alignment vertical="center"/>
    </xf>
    <xf numFmtId="166" fontId="6" fillId="0" borderId="35" xfId="3" applyNumberFormat="1" applyFont="1" applyBorder="1" applyAlignment="1">
      <alignment vertical="center"/>
    </xf>
    <xf numFmtId="6" fontId="6" fillId="0" borderId="35" xfId="3" applyNumberFormat="1" applyFont="1" applyBorder="1" applyAlignment="1">
      <alignment vertical="center"/>
    </xf>
    <xf numFmtId="3" fontId="5" fillId="0" borderId="35" xfId="0" applyNumberFormat="1" applyFont="1" applyBorder="1" applyAlignment="1">
      <alignment vertical="center"/>
    </xf>
    <xf numFmtId="3" fontId="6" fillId="0" borderId="35" xfId="0" applyNumberFormat="1" applyFont="1" applyBorder="1" applyAlignment="1">
      <alignment vertical="center"/>
    </xf>
    <xf numFmtId="0" fontId="5" fillId="0" borderId="35" xfId="0" applyFont="1" applyBorder="1" applyAlignment="1">
      <alignment horizontal="left" vertical="center"/>
    </xf>
    <xf numFmtId="3" fontId="5" fillId="0" borderId="35" xfId="2" applyNumberFormat="1" applyFont="1" applyFill="1" applyBorder="1" applyAlignment="1">
      <alignment horizontal="right" vertical="center"/>
    </xf>
    <xf numFmtId="10" fontId="5" fillId="0" borderId="35" xfId="1" applyNumberFormat="1" applyFont="1" applyBorder="1" applyAlignment="1">
      <alignment horizontal="right" vertical="center"/>
    </xf>
    <xf numFmtId="44" fontId="5" fillId="0" borderId="35" xfId="3" applyFont="1" applyBorder="1" applyAlignment="1">
      <alignment vertical="center"/>
    </xf>
    <xf numFmtId="10" fontId="6" fillId="2" borderId="35" xfId="0" applyNumberFormat="1" applyFont="1" applyFill="1" applyBorder="1" applyAlignment="1">
      <alignment vertical="center"/>
    </xf>
    <xf numFmtId="44" fontId="6" fillId="0" borderId="35" xfId="1" applyNumberFormat="1" applyFont="1" applyBorder="1" applyAlignment="1">
      <alignment vertical="center"/>
    </xf>
    <xf numFmtId="168" fontId="74" fillId="0" borderId="0" xfId="0" applyNumberFormat="1" applyFont="1" applyAlignment="1">
      <alignment vertical="center"/>
    </xf>
    <xf numFmtId="0" fontId="7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center"/>
    </xf>
    <xf numFmtId="165" fontId="5" fillId="0" borderId="42" xfId="0" applyNumberFormat="1" applyFont="1" applyBorder="1" applyAlignment="1">
      <alignment horizontal="right" vertical="center"/>
    </xf>
    <xf numFmtId="165" fontId="5" fillId="0" borderId="9" xfId="0" applyNumberFormat="1" applyFont="1" applyBorder="1" applyAlignment="1">
      <alignment horizontal="right" vertical="center"/>
    </xf>
    <xf numFmtId="10" fontId="5" fillId="0" borderId="42" xfId="1" applyNumberFormat="1" applyFont="1" applyBorder="1" applyAlignment="1">
      <alignment horizontal="right" vertical="center"/>
    </xf>
    <xf numFmtId="10" fontId="5" fillId="0" borderId="9" xfId="1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4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8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10" fillId="0" borderId="35" xfId="0" applyFont="1" applyBorder="1" applyAlignment="1">
      <alignment horizontal="center" vertical="center" wrapText="1"/>
    </xf>
    <xf numFmtId="0" fontId="74" fillId="0" borderId="35" xfId="0" applyFont="1" applyBorder="1" applyAlignment="1">
      <alignment horizontal="center" vertical="center" wrapText="1"/>
    </xf>
    <xf numFmtId="0" fontId="74" fillId="2" borderId="35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74" fillId="0" borderId="42" xfId="0" applyFont="1" applyBorder="1" applyAlignment="1">
      <alignment horizontal="center" vertical="center"/>
    </xf>
    <xf numFmtId="0" fontId="74" fillId="0" borderId="9" xfId="0" applyFont="1" applyBorder="1" applyAlignment="1">
      <alignment horizontal="center" vertical="center"/>
    </xf>
    <xf numFmtId="0" fontId="74" fillId="2" borderId="35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left" vertical="center"/>
    </xf>
    <xf numFmtId="0" fontId="74" fillId="2" borderId="48" xfId="0" applyFont="1" applyFill="1" applyBorder="1" applyAlignment="1">
      <alignment horizontal="left" vertical="center"/>
    </xf>
    <xf numFmtId="0" fontId="74" fillId="2" borderId="46" xfId="0" applyFont="1" applyFill="1" applyBorder="1" applyAlignment="1">
      <alignment horizontal="left" vertical="center"/>
    </xf>
    <xf numFmtId="0" fontId="74" fillId="2" borderId="47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1" fillId="0" borderId="48" xfId="0" applyFont="1" applyBorder="1" applyAlignment="1">
      <alignment horizontal="left" vertical="center"/>
    </xf>
    <xf numFmtId="0" fontId="71" fillId="0" borderId="46" xfId="0" applyFont="1" applyBorder="1" applyAlignment="1">
      <alignment horizontal="left" vertical="center"/>
    </xf>
    <xf numFmtId="0" fontId="71" fillId="0" borderId="47" xfId="0" applyFont="1" applyBorder="1" applyAlignment="1">
      <alignment horizontal="left" vertical="center"/>
    </xf>
    <xf numFmtId="0" fontId="71" fillId="0" borderId="35" xfId="0" applyFont="1" applyBorder="1" applyAlignment="1">
      <alignment horizontal="left" vertical="center"/>
    </xf>
    <xf numFmtId="0" fontId="71" fillId="0" borderId="48" xfId="0" applyFont="1" applyBorder="1" applyAlignment="1">
      <alignment horizontal="left" vertical="center" wrapText="1"/>
    </xf>
    <xf numFmtId="0" fontId="71" fillId="0" borderId="46" xfId="0" applyFont="1" applyBorder="1" applyAlignment="1">
      <alignment horizontal="left" vertical="center" wrapText="1"/>
    </xf>
    <xf numFmtId="0" fontId="71" fillId="0" borderId="47" xfId="0" applyFont="1" applyBorder="1" applyAlignment="1">
      <alignment horizontal="left" vertical="center" wrapText="1"/>
    </xf>
    <xf numFmtId="0" fontId="79" fillId="0" borderId="48" xfId="0" applyFont="1" applyBorder="1" applyAlignment="1">
      <alignment horizontal="left" vertical="center"/>
    </xf>
    <xf numFmtId="0" fontId="79" fillId="0" borderId="46" xfId="0" applyFont="1" applyBorder="1" applyAlignment="1">
      <alignment horizontal="left" vertical="center"/>
    </xf>
    <xf numFmtId="0" fontId="79" fillId="0" borderId="47" xfId="0" applyFont="1" applyBorder="1" applyAlignment="1">
      <alignment horizontal="left" vertical="center"/>
    </xf>
    <xf numFmtId="0" fontId="79" fillId="0" borderId="35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71" fillId="0" borderId="35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6" fillId="2" borderId="42" xfId="0" applyFont="1" applyFill="1" applyBorder="1" applyAlignment="1">
      <alignment horizontal="left" vertical="center"/>
    </xf>
    <xf numFmtId="0" fontId="74" fillId="0" borderId="48" xfId="0" applyFont="1" applyBorder="1" applyAlignment="1">
      <alignment horizontal="left" vertical="center" wrapText="1"/>
    </xf>
    <xf numFmtId="0" fontId="74" fillId="0" borderId="46" xfId="0" applyFont="1" applyBorder="1" applyAlignment="1">
      <alignment horizontal="left" vertical="center" wrapText="1"/>
    </xf>
    <xf numFmtId="0" fontId="74" fillId="0" borderId="47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52" fillId="0" borderId="35" xfId="0" applyFont="1" applyBorder="1" applyAlignment="1">
      <alignment horizontal="left" vertical="center"/>
    </xf>
    <xf numFmtId="0" fontId="7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35" xfId="0" applyFont="1" applyBorder="1" applyAlignment="1">
      <alignment horizontal="center"/>
    </xf>
    <xf numFmtId="0" fontId="12" fillId="0" borderId="35" xfId="0" applyFont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6" fillId="2" borderId="35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0" borderId="8" xfId="0" applyFont="1" applyBorder="1" applyAlignment="1">
      <alignment horizontal="left" vertical="center"/>
    </xf>
  </cellXfs>
  <cellStyles count="930">
    <cellStyle name="20 % - zvýraznenie1 2" xfId="382" xr:uid="{00000000-0005-0000-0000-000000000000}"/>
    <cellStyle name="20 % - zvýraznenie1 2 2" xfId="383" xr:uid="{00000000-0005-0000-0000-000001000000}"/>
    <cellStyle name="20 % - zvýraznenie1 3" xfId="384" xr:uid="{00000000-0005-0000-0000-000002000000}"/>
    <cellStyle name="20 % - zvýraznenie1 3 2" xfId="385" xr:uid="{00000000-0005-0000-0000-000003000000}"/>
    <cellStyle name="20 % - zvýraznenie1 4" xfId="386" xr:uid="{00000000-0005-0000-0000-000004000000}"/>
    <cellStyle name="20 % - zvýraznenie1 4 2" xfId="387" xr:uid="{00000000-0005-0000-0000-000005000000}"/>
    <cellStyle name="20 % - zvýraznenie1 5" xfId="388" xr:uid="{00000000-0005-0000-0000-000006000000}"/>
    <cellStyle name="20 % - zvýraznenie1 5 2" xfId="389" xr:uid="{00000000-0005-0000-0000-000007000000}"/>
    <cellStyle name="20 % - zvýraznenie1 6" xfId="390" xr:uid="{00000000-0005-0000-0000-000008000000}"/>
    <cellStyle name="20 % - zvýraznenie1 7" xfId="391" xr:uid="{00000000-0005-0000-0000-000009000000}"/>
    <cellStyle name="20 % - zvýraznenie2 2" xfId="392" xr:uid="{00000000-0005-0000-0000-00000A000000}"/>
    <cellStyle name="20 % - zvýraznenie2 2 2" xfId="393" xr:uid="{00000000-0005-0000-0000-00000B000000}"/>
    <cellStyle name="20 % - zvýraznenie2 3" xfId="394" xr:uid="{00000000-0005-0000-0000-00000C000000}"/>
    <cellStyle name="20 % - zvýraznenie2 3 2" xfId="395" xr:uid="{00000000-0005-0000-0000-00000D000000}"/>
    <cellStyle name="20 % - zvýraznenie2 4" xfId="396" xr:uid="{00000000-0005-0000-0000-00000E000000}"/>
    <cellStyle name="20 % - zvýraznenie2 4 2" xfId="397" xr:uid="{00000000-0005-0000-0000-00000F000000}"/>
    <cellStyle name="20 % - zvýraznenie2 5" xfId="398" xr:uid="{00000000-0005-0000-0000-000010000000}"/>
    <cellStyle name="20 % - zvýraznenie2 5 2" xfId="399" xr:uid="{00000000-0005-0000-0000-000011000000}"/>
    <cellStyle name="20 % - zvýraznenie2 6" xfId="400" xr:uid="{00000000-0005-0000-0000-000012000000}"/>
    <cellStyle name="20 % - zvýraznenie2 7" xfId="401" xr:uid="{00000000-0005-0000-0000-000013000000}"/>
    <cellStyle name="20 % - zvýraznenie3 2" xfId="6" xr:uid="{00000000-0005-0000-0000-000014000000}"/>
    <cellStyle name="20 % - zvýraznenie3 2 2" xfId="402" xr:uid="{00000000-0005-0000-0000-000015000000}"/>
    <cellStyle name="20 % - zvýraznenie3 2 3" xfId="403" xr:uid="{00000000-0005-0000-0000-000016000000}"/>
    <cellStyle name="20 % - zvýraznenie3 3" xfId="404" xr:uid="{00000000-0005-0000-0000-000017000000}"/>
    <cellStyle name="20 % - zvýraznenie3 3 2" xfId="405" xr:uid="{00000000-0005-0000-0000-000018000000}"/>
    <cellStyle name="20 % - zvýraznenie3 4" xfId="406" xr:uid="{00000000-0005-0000-0000-000019000000}"/>
    <cellStyle name="20 % - zvýraznenie3 4 2" xfId="407" xr:uid="{00000000-0005-0000-0000-00001A000000}"/>
    <cellStyle name="20 % - zvýraznenie3 5" xfId="408" xr:uid="{00000000-0005-0000-0000-00001B000000}"/>
    <cellStyle name="20 % - zvýraznenie3 5 2" xfId="409" xr:uid="{00000000-0005-0000-0000-00001C000000}"/>
    <cellStyle name="20 % - zvýraznenie3 6" xfId="410" xr:uid="{00000000-0005-0000-0000-00001D000000}"/>
    <cellStyle name="20 % - zvýraznenie3 7" xfId="411" xr:uid="{00000000-0005-0000-0000-00001E000000}"/>
    <cellStyle name="20 % - zvýraznenie4 2" xfId="412" xr:uid="{00000000-0005-0000-0000-00001F000000}"/>
    <cellStyle name="20 % - zvýraznenie4 2 2" xfId="413" xr:uid="{00000000-0005-0000-0000-000020000000}"/>
    <cellStyle name="20 % - zvýraznenie4 3" xfId="414" xr:uid="{00000000-0005-0000-0000-000021000000}"/>
    <cellStyle name="20 % - zvýraznenie4 3 2" xfId="415" xr:uid="{00000000-0005-0000-0000-000022000000}"/>
    <cellStyle name="20 % - zvýraznenie4 4" xfId="416" xr:uid="{00000000-0005-0000-0000-000023000000}"/>
    <cellStyle name="20 % - zvýraznenie4 4 2" xfId="417" xr:uid="{00000000-0005-0000-0000-000024000000}"/>
    <cellStyle name="20 % - zvýraznenie4 5" xfId="418" xr:uid="{00000000-0005-0000-0000-000025000000}"/>
    <cellStyle name="20 % - zvýraznenie4 5 2" xfId="419" xr:uid="{00000000-0005-0000-0000-000026000000}"/>
    <cellStyle name="20 % - zvýraznenie4 6" xfId="420" xr:uid="{00000000-0005-0000-0000-000027000000}"/>
    <cellStyle name="20 % - zvýraznenie4 7" xfId="421" xr:uid="{00000000-0005-0000-0000-000028000000}"/>
    <cellStyle name="20 % - zvýraznenie5 2" xfId="422" xr:uid="{00000000-0005-0000-0000-000029000000}"/>
    <cellStyle name="20 % - zvýraznenie5 2 2" xfId="423" xr:uid="{00000000-0005-0000-0000-00002A000000}"/>
    <cellStyle name="20 % - zvýraznenie5 3" xfId="424" xr:uid="{00000000-0005-0000-0000-00002B000000}"/>
    <cellStyle name="20 % - zvýraznenie5 3 2" xfId="425" xr:uid="{00000000-0005-0000-0000-00002C000000}"/>
    <cellStyle name="20 % - zvýraznenie5 4" xfId="426" xr:uid="{00000000-0005-0000-0000-00002D000000}"/>
    <cellStyle name="20 % - zvýraznenie6 2" xfId="427" xr:uid="{00000000-0005-0000-0000-00002E000000}"/>
    <cellStyle name="20 % - zvýraznenie6 2 2" xfId="428" xr:uid="{00000000-0005-0000-0000-00002F000000}"/>
    <cellStyle name="20 % - zvýraznenie6 3" xfId="429" xr:uid="{00000000-0005-0000-0000-000030000000}"/>
    <cellStyle name="20 % - zvýraznenie6 3 2" xfId="430" xr:uid="{00000000-0005-0000-0000-000031000000}"/>
    <cellStyle name="20 % - zvýraznenie6 4" xfId="431" xr:uid="{00000000-0005-0000-0000-000032000000}"/>
    <cellStyle name="20% - Accent1" xfId="7" xr:uid="{00000000-0005-0000-0000-000033000000}"/>
    <cellStyle name="20% - Accent1 2" xfId="8" xr:uid="{00000000-0005-0000-0000-000034000000}"/>
    <cellStyle name="20% - Accent1 3" xfId="9" xr:uid="{00000000-0005-0000-0000-000035000000}"/>
    <cellStyle name="20% - Accent2" xfId="10" xr:uid="{00000000-0005-0000-0000-000036000000}"/>
    <cellStyle name="20% - Accent2 2" xfId="11" xr:uid="{00000000-0005-0000-0000-000037000000}"/>
    <cellStyle name="20% - Accent2 3" xfId="12" xr:uid="{00000000-0005-0000-0000-000038000000}"/>
    <cellStyle name="20% - Accent3" xfId="13" xr:uid="{00000000-0005-0000-0000-000039000000}"/>
    <cellStyle name="20% - Accent3 2" xfId="14" xr:uid="{00000000-0005-0000-0000-00003A000000}"/>
    <cellStyle name="20% - Accent3 3" xfId="15" xr:uid="{00000000-0005-0000-0000-00003B000000}"/>
    <cellStyle name="20% - Accent4" xfId="16" xr:uid="{00000000-0005-0000-0000-00003C000000}"/>
    <cellStyle name="20% - Accent4 2" xfId="17" xr:uid="{00000000-0005-0000-0000-00003D000000}"/>
    <cellStyle name="20% - Accent4 3" xfId="18" xr:uid="{00000000-0005-0000-0000-00003E000000}"/>
    <cellStyle name="20% - Accent5" xfId="19" xr:uid="{00000000-0005-0000-0000-00003F000000}"/>
    <cellStyle name="20% - Accent5 2" xfId="20" xr:uid="{00000000-0005-0000-0000-000040000000}"/>
    <cellStyle name="20% - Accent5 3" xfId="21" xr:uid="{00000000-0005-0000-0000-000041000000}"/>
    <cellStyle name="20% - Accent6" xfId="22" xr:uid="{00000000-0005-0000-0000-000042000000}"/>
    <cellStyle name="20% - Accent6 2" xfId="23" xr:uid="{00000000-0005-0000-0000-000043000000}"/>
    <cellStyle name="20% - Accent6 3" xfId="24" xr:uid="{00000000-0005-0000-0000-000044000000}"/>
    <cellStyle name="40 % - zvýraznenie1 2" xfId="432" xr:uid="{00000000-0005-0000-0000-000045000000}"/>
    <cellStyle name="40 % - zvýraznenie1 2 2" xfId="433" xr:uid="{00000000-0005-0000-0000-000046000000}"/>
    <cellStyle name="40 % - zvýraznenie1 3" xfId="434" xr:uid="{00000000-0005-0000-0000-000047000000}"/>
    <cellStyle name="40 % - zvýraznenie1 3 2" xfId="435" xr:uid="{00000000-0005-0000-0000-000048000000}"/>
    <cellStyle name="40 % - zvýraznenie1 4" xfId="436" xr:uid="{00000000-0005-0000-0000-000049000000}"/>
    <cellStyle name="40 % - zvýraznenie2 2" xfId="437" xr:uid="{00000000-0005-0000-0000-00004A000000}"/>
    <cellStyle name="40 % - zvýraznenie2 2 2" xfId="438" xr:uid="{00000000-0005-0000-0000-00004B000000}"/>
    <cellStyle name="40 % - zvýraznenie2 3" xfId="439" xr:uid="{00000000-0005-0000-0000-00004C000000}"/>
    <cellStyle name="40 % - zvýraznenie2 3 2" xfId="440" xr:uid="{00000000-0005-0000-0000-00004D000000}"/>
    <cellStyle name="40 % - zvýraznenie2 4" xfId="441" xr:uid="{00000000-0005-0000-0000-00004E000000}"/>
    <cellStyle name="40 % - zvýraznenie3 2" xfId="442" xr:uid="{00000000-0005-0000-0000-00004F000000}"/>
    <cellStyle name="40 % - zvýraznenie3 2 2" xfId="443" xr:uid="{00000000-0005-0000-0000-000050000000}"/>
    <cellStyle name="40 % - zvýraznenie3 3" xfId="444" xr:uid="{00000000-0005-0000-0000-000051000000}"/>
    <cellStyle name="40 % - zvýraznenie3 3 2" xfId="445" xr:uid="{00000000-0005-0000-0000-000052000000}"/>
    <cellStyle name="40 % - zvýraznenie3 4" xfId="446" xr:uid="{00000000-0005-0000-0000-000053000000}"/>
    <cellStyle name="40 % - zvýraznenie3 4 2" xfId="447" xr:uid="{00000000-0005-0000-0000-000054000000}"/>
    <cellStyle name="40 % - zvýraznenie3 5" xfId="448" xr:uid="{00000000-0005-0000-0000-000055000000}"/>
    <cellStyle name="40 % - zvýraznenie3 5 2" xfId="449" xr:uid="{00000000-0005-0000-0000-000056000000}"/>
    <cellStyle name="40 % - zvýraznenie3 6" xfId="450" xr:uid="{00000000-0005-0000-0000-000057000000}"/>
    <cellStyle name="40 % - zvýraznenie3 7" xfId="451" xr:uid="{00000000-0005-0000-0000-000058000000}"/>
    <cellStyle name="40 % - zvýraznenie4 2" xfId="452" xr:uid="{00000000-0005-0000-0000-000059000000}"/>
    <cellStyle name="40 % - zvýraznenie4 2 2" xfId="453" xr:uid="{00000000-0005-0000-0000-00005A000000}"/>
    <cellStyle name="40 % - zvýraznenie4 3" xfId="454" xr:uid="{00000000-0005-0000-0000-00005B000000}"/>
    <cellStyle name="40 % - zvýraznenie4 3 2" xfId="455" xr:uid="{00000000-0005-0000-0000-00005C000000}"/>
    <cellStyle name="40 % - zvýraznenie4 4" xfId="456" xr:uid="{00000000-0005-0000-0000-00005D000000}"/>
    <cellStyle name="40 % - zvýraznenie5 2" xfId="457" xr:uid="{00000000-0005-0000-0000-00005E000000}"/>
    <cellStyle name="40 % - zvýraznenie5 2 2" xfId="458" xr:uid="{00000000-0005-0000-0000-00005F000000}"/>
    <cellStyle name="40 % - zvýraznenie5 3" xfId="459" xr:uid="{00000000-0005-0000-0000-000060000000}"/>
    <cellStyle name="40 % - zvýraznenie5 3 2" xfId="460" xr:uid="{00000000-0005-0000-0000-000061000000}"/>
    <cellStyle name="40 % - zvýraznenie5 4" xfId="461" xr:uid="{00000000-0005-0000-0000-000062000000}"/>
    <cellStyle name="40 % - zvýraznenie6 2" xfId="462" xr:uid="{00000000-0005-0000-0000-000063000000}"/>
    <cellStyle name="40 % - zvýraznenie6 2 2" xfId="463" xr:uid="{00000000-0005-0000-0000-000064000000}"/>
    <cellStyle name="40 % - zvýraznenie6 3" xfId="464" xr:uid="{00000000-0005-0000-0000-000065000000}"/>
    <cellStyle name="40 % - zvýraznenie6 3 2" xfId="465" xr:uid="{00000000-0005-0000-0000-000066000000}"/>
    <cellStyle name="40 % - zvýraznenie6 4" xfId="466" xr:uid="{00000000-0005-0000-0000-000067000000}"/>
    <cellStyle name="40% - Accent1" xfId="25" xr:uid="{00000000-0005-0000-0000-000068000000}"/>
    <cellStyle name="40% - Accent1 2" xfId="26" xr:uid="{00000000-0005-0000-0000-000069000000}"/>
    <cellStyle name="40% - Accent1 3" xfId="27" xr:uid="{00000000-0005-0000-0000-00006A000000}"/>
    <cellStyle name="40% - Accent2" xfId="28" xr:uid="{00000000-0005-0000-0000-00006B000000}"/>
    <cellStyle name="40% - Accent2 2" xfId="29" xr:uid="{00000000-0005-0000-0000-00006C000000}"/>
    <cellStyle name="40% - Accent2 3" xfId="30" xr:uid="{00000000-0005-0000-0000-00006D000000}"/>
    <cellStyle name="40% - Accent3" xfId="31" xr:uid="{00000000-0005-0000-0000-00006E000000}"/>
    <cellStyle name="40% - Accent3 2" xfId="32" xr:uid="{00000000-0005-0000-0000-00006F000000}"/>
    <cellStyle name="40% - Accent3 3" xfId="33" xr:uid="{00000000-0005-0000-0000-000070000000}"/>
    <cellStyle name="40% - Accent4" xfId="34" xr:uid="{00000000-0005-0000-0000-000071000000}"/>
    <cellStyle name="40% - Accent4 2" xfId="35" xr:uid="{00000000-0005-0000-0000-000072000000}"/>
    <cellStyle name="40% - Accent4 3" xfId="36" xr:uid="{00000000-0005-0000-0000-000073000000}"/>
    <cellStyle name="40% - Accent5" xfId="37" xr:uid="{00000000-0005-0000-0000-000074000000}"/>
    <cellStyle name="40% - Accent5 2" xfId="38" xr:uid="{00000000-0005-0000-0000-000075000000}"/>
    <cellStyle name="40% - Accent5 3" xfId="39" xr:uid="{00000000-0005-0000-0000-000076000000}"/>
    <cellStyle name="40% - Accent6" xfId="40" xr:uid="{00000000-0005-0000-0000-000077000000}"/>
    <cellStyle name="40% - Accent6 2" xfId="41" xr:uid="{00000000-0005-0000-0000-000078000000}"/>
    <cellStyle name="40% - Accent6 3" xfId="42" xr:uid="{00000000-0005-0000-0000-000079000000}"/>
    <cellStyle name="60 % - zvýraznenie3 2" xfId="467" xr:uid="{00000000-0005-0000-0000-00007A000000}"/>
    <cellStyle name="60 % - zvýraznenie3 3" xfId="468" xr:uid="{00000000-0005-0000-0000-00007B000000}"/>
    <cellStyle name="60 % - zvýraznenie3 4" xfId="469" xr:uid="{00000000-0005-0000-0000-00007C000000}"/>
    <cellStyle name="60 % - zvýraznenie3 5" xfId="470" xr:uid="{00000000-0005-0000-0000-00007D000000}"/>
    <cellStyle name="60 % - zvýraznenie4 2" xfId="471" xr:uid="{00000000-0005-0000-0000-00007E000000}"/>
    <cellStyle name="60 % - zvýraznenie4 3" xfId="472" xr:uid="{00000000-0005-0000-0000-00007F000000}"/>
    <cellStyle name="60 % - zvýraznenie4 4" xfId="473" xr:uid="{00000000-0005-0000-0000-000080000000}"/>
    <cellStyle name="60 % - zvýraznenie4 5" xfId="474" xr:uid="{00000000-0005-0000-0000-000081000000}"/>
    <cellStyle name="60 % - zvýraznenie6 2" xfId="475" xr:uid="{00000000-0005-0000-0000-000082000000}"/>
    <cellStyle name="60 % - zvýraznenie6 3" xfId="476" xr:uid="{00000000-0005-0000-0000-000083000000}"/>
    <cellStyle name="60 % - zvýraznenie6 4" xfId="477" xr:uid="{00000000-0005-0000-0000-000084000000}"/>
    <cellStyle name="60 % - zvýraznenie6 5" xfId="478" xr:uid="{00000000-0005-0000-0000-000085000000}"/>
    <cellStyle name="60% - Accent1" xfId="43" xr:uid="{00000000-0005-0000-0000-000086000000}"/>
    <cellStyle name="60% - Accent2" xfId="44" xr:uid="{00000000-0005-0000-0000-000087000000}"/>
    <cellStyle name="60% - Accent3" xfId="45" xr:uid="{00000000-0005-0000-0000-000088000000}"/>
    <cellStyle name="60% - Accent4" xfId="46" xr:uid="{00000000-0005-0000-0000-000089000000}"/>
    <cellStyle name="60% - Accent5" xfId="47" xr:uid="{00000000-0005-0000-0000-00008A000000}"/>
    <cellStyle name="60% - Accent6" xfId="48" xr:uid="{00000000-0005-0000-0000-00008B000000}"/>
    <cellStyle name="Accent1" xfId="49" xr:uid="{00000000-0005-0000-0000-00008C000000}"/>
    <cellStyle name="Accent1 - 20%" xfId="479" xr:uid="{00000000-0005-0000-0000-00008D000000}"/>
    <cellStyle name="Accent1 - 40%" xfId="480" xr:uid="{00000000-0005-0000-0000-00008E000000}"/>
    <cellStyle name="Accent1 - 60%" xfId="481" xr:uid="{00000000-0005-0000-0000-00008F000000}"/>
    <cellStyle name="Accent2" xfId="50" xr:uid="{00000000-0005-0000-0000-000090000000}"/>
    <cellStyle name="Accent2 - 20%" xfId="482" xr:uid="{00000000-0005-0000-0000-000091000000}"/>
    <cellStyle name="Accent2 - 40%" xfId="483" xr:uid="{00000000-0005-0000-0000-000092000000}"/>
    <cellStyle name="Accent2 - 60%" xfId="484" xr:uid="{00000000-0005-0000-0000-000093000000}"/>
    <cellStyle name="Accent3" xfId="51" xr:uid="{00000000-0005-0000-0000-000094000000}"/>
    <cellStyle name="Accent3 - 20%" xfId="485" xr:uid="{00000000-0005-0000-0000-000095000000}"/>
    <cellStyle name="Accent3 - 40%" xfId="486" xr:uid="{00000000-0005-0000-0000-000096000000}"/>
    <cellStyle name="Accent3 - 60%" xfId="487" xr:uid="{00000000-0005-0000-0000-000097000000}"/>
    <cellStyle name="Accent4" xfId="52" xr:uid="{00000000-0005-0000-0000-000098000000}"/>
    <cellStyle name="Accent4 - 20%" xfId="488" xr:uid="{00000000-0005-0000-0000-000099000000}"/>
    <cellStyle name="Accent4 - 40%" xfId="489" xr:uid="{00000000-0005-0000-0000-00009A000000}"/>
    <cellStyle name="Accent4 - 60%" xfId="490" xr:uid="{00000000-0005-0000-0000-00009B000000}"/>
    <cellStyle name="Accent5" xfId="53" xr:uid="{00000000-0005-0000-0000-00009C000000}"/>
    <cellStyle name="Accent5 - 20%" xfId="491" xr:uid="{00000000-0005-0000-0000-00009D000000}"/>
    <cellStyle name="Accent5 - 40%" xfId="492" xr:uid="{00000000-0005-0000-0000-00009E000000}"/>
    <cellStyle name="Accent5 - 60%" xfId="493" xr:uid="{00000000-0005-0000-0000-00009F000000}"/>
    <cellStyle name="Accent6" xfId="54" xr:uid="{00000000-0005-0000-0000-0000A0000000}"/>
    <cellStyle name="Accent6 - 20%" xfId="494" xr:uid="{00000000-0005-0000-0000-0000A1000000}"/>
    <cellStyle name="Accent6 - 40%" xfId="495" xr:uid="{00000000-0005-0000-0000-0000A2000000}"/>
    <cellStyle name="Accent6 - 60%" xfId="496" xr:uid="{00000000-0005-0000-0000-0000A3000000}"/>
    <cellStyle name="Bad" xfId="55" xr:uid="{00000000-0005-0000-0000-0000A4000000}"/>
    <cellStyle name="Calculation" xfId="56" xr:uid="{00000000-0005-0000-0000-0000A5000000}"/>
    <cellStyle name="Calculation 2" xfId="57" xr:uid="{00000000-0005-0000-0000-0000A6000000}"/>
    <cellStyle name="Calculation 2 2" xfId="58" xr:uid="{00000000-0005-0000-0000-0000A7000000}"/>
    <cellStyle name="Calculation 2 2 2" xfId="796" xr:uid="{00000000-0005-0000-0000-0000A8000000}"/>
    <cellStyle name="Calculation 2 3" xfId="59" xr:uid="{00000000-0005-0000-0000-0000A9000000}"/>
    <cellStyle name="Calculation 2 3 2" xfId="775" xr:uid="{00000000-0005-0000-0000-0000AA000000}"/>
    <cellStyle name="Calculation 2 4" xfId="60" xr:uid="{00000000-0005-0000-0000-0000AB000000}"/>
    <cellStyle name="Calculation 2 4 2" xfId="790" xr:uid="{00000000-0005-0000-0000-0000AC000000}"/>
    <cellStyle name="Calculation 2 5" xfId="61" xr:uid="{00000000-0005-0000-0000-0000AD000000}"/>
    <cellStyle name="Calculation 2 5 2" xfId="865" xr:uid="{00000000-0005-0000-0000-0000AE000000}"/>
    <cellStyle name="Calculation 2 6" xfId="698" xr:uid="{00000000-0005-0000-0000-0000AF000000}"/>
    <cellStyle name="Calculation 3" xfId="62" xr:uid="{00000000-0005-0000-0000-0000B0000000}"/>
    <cellStyle name="Calculation 3 2" xfId="692" xr:uid="{00000000-0005-0000-0000-0000B1000000}"/>
    <cellStyle name="Calculation 4" xfId="684" xr:uid="{00000000-0005-0000-0000-0000B2000000}"/>
    <cellStyle name="Čiarka" xfId="2" builtinId="3"/>
    <cellStyle name="Čiarka 2" xfId="63" xr:uid="{00000000-0005-0000-0000-0000B4000000}"/>
    <cellStyle name="Čiarka 2 2" xfId="64" xr:uid="{00000000-0005-0000-0000-0000B5000000}"/>
    <cellStyle name="Čiarka 2 3" xfId="65" xr:uid="{00000000-0005-0000-0000-0000B6000000}"/>
    <cellStyle name="Čiarka 2 3 2" xfId="497" xr:uid="{00000000-0005-0000-0000-0000B7000000}"/>
    <cellStyle name="Čiarka 3" xfId="66" xr:uid="{00000000-0005-0000-0000-0000B8000000}"/>
    <cellStyle name="Čiarka 3 2" xfId="498" xr:uid="{00000000-0005-0000-0000-0000B9000000}"/>
    <cellStyle name="Čiarka 4" xfId="67" xr:uid="{00000000-0005-0000-0000-0000BA000000}"/>
    <cellStyle name="Čiarka 4 2" xfId="499" xr:uid="{00000000-0005-0000-0000-0000BB000000}"/>
    <cellStyle name="Čiarka 5" xfId="68" xr:uid="{00000000-0005-0000-0000-0000BC000000}"/>
    <cellStyle name="Čiarka 5 2" xfId="500" xr:uid="{00000000-0005-0000-0000-0000BD000000}"/>
    <cellStyle name="Čiarka 6" xfId="69" xr:uid="{00000000-0005-0000-0000-0000BE000000}"/>
    <cellStyle name="Čiarka 6 2" xfId="501" xr:uid="{00000000-0005-0000-0000-0000BF000000}"/>
    <cellStyle name="Čiarka 7" xfId="70" xr:uid="{00000000-0005-0000-0000-0000C0000000}"/>
    <cellStyle name="Čiarka 7 2" xfId="502" xr:uid="{00000000-0005-0000-0000-0000C1000000}"/>
    <cellStyle name="Čiarka 8" xfId="503" xr:uid="{00000000-0005-0000-0000-0000C2000000}"/>
    <cellStyle name="čiarky 2" xfId="71" xr:uid="{00000000-0005-0000-0000-0000C3000000}"/>
    <cellStyle name="čiarky 3" xfId="72" xr:uid="{00000000-0005-0000-0000-0000C4000000}"/>
    <cellStyle name="čiarky 3 2" xfId="73" xr:uid="{00000000-0005-0000-0000-0000C5000000}"/>
    <cellStyle name="čiarky 3 3" xfId="74" xr:uid="{00000000-0005-0000-0000-0000C6000000}"/>
    <cellStyle name="Data-vstup" xfId="75" xr:uid="{00000000-0005-0000-0000-0000C7000000}"/>
    <cellStyle name="Data-vstup 10" xfId="686" xr:uid="{00000000-0005-0000-0000-0000C8000000}"/>
    <cellStyle name="Data-vstup 2" xfId="76" xr:uid="{00000000-0005-0000-0000-0000C9000000}"/>
    <cellStyle name="Data-vstup 2 2" xfId="77" xr:uid="{00000000-0005-0000-0000-0000CA000000}"/>
    <cellStyle name="Data-vstup 2 2 2" xfId="504" xr:uid="{00000000-0005-0000-0000-0000CB000000}"/>
    <cellStyle name="Data-vstup 2 2 3" xfId="794" xr:uid="{00000000-0005-0000-0000-0000CC000000}"/>
    <cellStyle name="Data-vstup 2 3" xfId="78" xr:uid="{00000000-0005-0000-0000-0000CD000000}"/>
    <cellStyle name="Data-vstup 2 3 2" xfId="505" xr:uid="{00000000-0005-0000-0000-0000CE000000}"/>
    <cellStyle name="Data-vstup 2 3 3" xfId="797" xr:uid="{00000000-0005-0000-0000-0000CF000000}"/>
    <cellStyle name="Data-vstup 2 4" xfId="79" xr:uid="{00000000-0005-0000-0000-0000D0000000}"/>
    <cellStyle name="Data-vstup 2 4 2" xfId="506" xr:uid="{00000000-0005-0000-0000-0000D1000000}"/>
    <cellStyle name="Data-vstup 2 4 3" xfId="864" xr:uid="{00000000-0005-0000-0000-0000D2000000}"/>
    <cellStyle name="Data-vstup 2 5" xfId="507" xr:uid="{00000000-0005-0000-0000-0000D3000000}"/>
    <cellStyle name="Data-vstup 2 6" xfId="697" xr:uid="{00000000-0005-0000-0000-0000D4000000}"/>
    <cellStyle name="Data-vstup 3" xfId="80" xr:uid="{00000000-0005-0000-0000-0000D5000000}"/>
    <cellStyle name="Data-vstup 3 2" xfId="508" xr:uid="{00000000-0005-0000-0000-0000D6000000}"/>
    <cellStyle name="Data-vstup 3 3" xfId="693" xr:uid="{00000000-0005-0000-0000-0000D7000000}"/>
    <cellStyle name="Data-vstup 4" xfId="81" xr:uid="{00000000-0005-0000-0000-0000D8000000}"/>
    <cellStyle name="Data-vstup 4 2" xfId="509" xr:uid="{00000000-0005-0000-0000-0000D9000000}"/>
    <cellStyle name="Data-vstup 4 3" xfId="777" xr:uid="{00000000-0005-0000-0000-0000DA000000}"/>
    <cellStyle name="Data-vstup 5" xfId="82" xr:uid="{00000000-0005-0000-0000-0000DB000000}"/>
    <cellStyle name="Data-vstup 5 2" xfId="510" xr:uid="{00000000-0005-0000-0000-0000DC000000}"/>
    <cellStyle name="Data-vstup 5 3" xfId="743" xr:uid="{00000000-0005-0000-0000-0000DD000000}"/>
    <cellStyle name="Data-vstup 6" xfId="83" xr:uid="{00000000-0005-0000-0000-0000DE000000}"/>
    <cellStyle name="Data-vstup 6 2" xfId="511" xr:uid="{00000000-0005-0000-0000-0000DF000000}"/>
    <cellStyle name="Data-vstup 6 3" xfId="781" xr:uid="{00000000-0005-0000-0000-0000E0000000}"/>
    <cellStyle name="Data-vstup 7" xfId="84" xr:uid="{00000000-0005-0000-0000-0000E1000000}"/>
    <cellStyle name="Data-vstup 7 2" xfId="512" xr:uid="{00000000-0005-0000-0000-0000E2000000}"/>
    <cellStyle name="Data-vstup 7 3" xfId="772" xr:uid="{00000000-0005-0000-0000-0000E3000000}"/>
    <cellStyle name="Data-vstup 8" xfId="513" xr:uid="{00000000-0005-0000-0000-0000E4000000}"/>
    <cellStyle name="Data-vstup 8 2" xfId="514" xr:uid="{00000000-0005-0000-0000-0000E5000000}"/>
    <cellStyle name="Data-vstup 9" xfId="515" xr:uid="{00000000-0005-0000-0000-0000E6000000}"/>
    <cellStyle name="Dobrá 2" xfId="689" xr:uid="{00000000-0005-0000-0000-0000E7000000}"/>
    <cellStyle name="Emphasis 1" xfId="516" xr:uid="{00000000-0005-0000-0000-0000E8000000}"/>
    <cellStyle name="Emphasis 2" xfId="517" xr:uid="{00000000-0005-0000-0000-0000E9000000}"/>
    <cellStyle name="Emphasis 3" xfId="518" xr:uid="{00000000-0005-0000-0000-0000EA000000}"/>
    <cellStyle name="Euro" xfId="519" xr:uid="{00000000-0005-0000-0000-0000EB000000}"/>
    <cellStyle name="Excel Built-in Normal" xfId="520" xr:uid="{00000000-0005-0000-0000-0000EC000000}"/>
    <cellStyle name="Explanatory Text" xfId="85" xr:uid="{00000000-0005-0000-0000-0000ED000000}"/>
    <cellStyle name="Good" xfId="86" xr:uid="{00000000-0005-0000-0000-0000EE000000}"/>
    <cellStyle name="Heading 1" xfId="87" xr:uid="{00000000-0005-0000-0000-0000EF000000}"/>
    <cellStyle name="Heading 2" xfId="88" xr:uid="{00000000-0005-0000-0000-0000F0000000}"/>
    <cellStyle name="Heading 3" xfId="89" xr:uid="{00000000-0005-0000-0000-0000F1000000}"/>
    <cellStyle name="Heading 4" xfId="90" xr:uid="{00000000-0005-0000-0000-0000F2000000}"/>
    <cellStyle name="Hlav-stlpcov" xfId="91" xr:uid="{00000000-0005-0000-0000-0000F3000000}"/>
    <cellStyle name="Hlav-stlpcov 2" xfId="92" xr:uid="{00000000-0005-0000-0000-0000F4000000}"/>
    <cellStyle name="Hypertextové prepojenie" xfId="4" builtinId="8"/>
    <cellStyle name="Hypertextové prepojenie 2" xfId="521" xr:uid="{00000000-0005-0000-0000-0000F6000000}"/>
    <cellStyle name="Hypertextové prepojenie 3" xfId="522" xr:uid="{00000000-0005-0000-0000-0000F7000000}"/>
    <cellStyle name="Check Cell" xfId="93" xr:uid="{00000000-0005-0000-0000-0000F8000000}"/>
    <cellStyle name="Input" xfId="94" xr:uid="{00000000-0005-0000-0000-0000F9000000}"/>
    <cellStyle name="Input 2" xfId="95" xr:uid="{00000000-0005-0000-0000-0000FA000000}"/>
    <cellStyle name="Input 2 2" xfId="96" xr:uid="{00000000-0005-0000-0000-0000FB000000}"/>
    <cellStyle name="Input 2 2 2" xfId="819" xr:uid="{00000000-0005-0000-0000-0000FC000000}"/>
    <cellStyle name="Input 2 3" xfId="97" xr:uid="{00000000-0005-0000-0000-0000FD000000}"/>
    <cellStyle name="Input 2 3 2" xfId="768" xr:uid="{00000000-0005-0000-0000-0000FE000000}"/>
    <cellStyle name="Input 2 4" xfId="98" xr:uid="{00000000-0005-0000-0000-0000FF000000}"/>
    <cellStyle name="Input 2 4 2" xfId="760" xr:uid="{00000000-0005-0000-0000-000000010000}"/>
    <cellStyle name="Input 2 5" xfId="99" xr:uid="{00000000-0005-0000-0000-000001010000}"/>
    <cellStyle name="Input 2 5 2" xfId="791" xr:uid="{00000000-0005-0000-0000-000002010000}"/>
    <cellStyle name="Input 2 6" xfId="699" xr:uid="{00000000-0005-0000-0000-000003010000}"/>
    <cellStyle name="Input 3" xfId="100" xr:uid="{00000000-0005-0000-0000-000004010000}"/>
    <cellStyle name="Input 3 2" xfId="694" xr:uid="{00000000-0005-0000-0000-000005010000}"/>
    <cellStyle name="Input 4" xfId="685" xr:uid="{00000000-0005-0000-0000-000006010000}"/>
    <cellStyle name="KT-stlpec" xfId="101" xr:uid="{00000000-0005-0000-0000-000007010000}"/>
    <cellStyle name="KT-stlpec 2" xfId="102" xr:uid="{00000000-0005-0000-0000-000008010000}"/>
    <cellStyle name="KT-stlpec 3" xfId="103" xr:uid="{00000000-0005-0000-0000-000009010000}"/>
    <cellStyle name="KT-stlpec 3 2" xfId="523" xr:uid="{00000000-0005-0000-0000-00000A010000}"/>
    <cellStyle name="KT-stlpec 3 2 2" xfId="524" xr:uid="{00000000-0005-0000-0000-00000B010000}"/>
    <cellStyle name="KT-stlpec 3 3" xfId="754" xr:uid="{00000000-0005-0000-0000-00000C010000}"/>
    <cellStyle name="KT-stlpec 4" xfId="104" xr:uid="{00000000-0005-0000-0000-00000D010000}"/>
    <cellStyle name="KT-stlpec 4 2" xfId="525" xr:uid="{00000000-0005-0000-0000-00000E010000}"/>
    <cellStyle name="KT-stlpec 4 2 2" xfId="526" xr:uid="{00000000-0005-0000-0000-00000F010000}"/>
    <cellStyle name="KT-stlpec 4 3" xfId="739" xr:uid="{00000000-0005-0000-0000-000010010000}"/>
    <cellStyle name="KT-stlpec 5" xfId="105" xr:uid="{00000000-0005-0000-0000-000011010000}"/>
    <cellStyle name="KT-stlpec 5 2" xfId="527" xr:uid="{00000000-0005-0000-0000-000012010000}"/>
    <cellStyle name="KT-stlpec 5 2 2" xfId="528" xr:uid="{00000000-0005-0000-0000-000013010000}"/>
    <cellStyle name="KT-stlpec 5 3" xfId="747" xr:uid="{00000000-0005-0000-0000-000014010000}"/>
    <cellStyle name="KT-stlpec 6" xfId="106" xr:uid="{00000000-0005-0000-0000-000015010000}"/>
    <cellStyle name="KT-stlpec 6 2" xfId="529" xr:uid="{00000000-0005-0000-0000-000016010000}"/>
    <cellStyle name="KT-stlpec 6 2 2" xfId="530" xr:uid="{00000000-0005-0000-0000-000017010000}"/>
    <cellStyle name="KT-stlpec 6 3" xfId="741" xr:uid="{00000000-0005-0000-0000-000018010000}"/>
    <cellStyle name="KT-sučet" xfId="107" xr:uid="{00000000-0005-0000-0000-000019010000}"/>
    <cellStyle name="KT-sučet 2" xfId="108" xr:uid="{00000000-0005-0000-0000-00001A010000}"/>
    <cellStyle name="Linked Cell" xfId="109" xr:uid="{00000000-0005-0000-0000-00001B010000}"/>
    <cellStyle name="Mena" xfId="3" builtinId="4"/>
    <cellStyle name="Mena 2" xfId="110" xr:uid="{00000000-0005-0000-0000-00001D010000}"/>
    <cellStyle name="Mena 3" xfId="111" xr:uid="{00000000-0005-0000-0000-00001E010000}"/>
    <cellStyle name="Neutral" xfId="112" xr:uid="{00000000-0005-0000-0000-00001F010000}"/>
    <cellStyle name="Normal_1 Prir.vedy" xfId="113" xr:uid="{00000000-0005-0000-0000-000020010000}"/>
    <cellStyle name="Normálna" xfId="0" builtinId="0"/>
    <cellStyle name="Normálna 10" xfId="114" xr:uid="{00000000-0005-0000-0000-000022010000}"/>
    <cellStyle name="Normálna 11" xfId="5" xr:uid="{00000000-0005-0000-0000-000023010000}"/>
    <cellStyle name="Normálna 12" xfId="115" xr:uid="{00000000-0005-0000-0000-000024010000}"/>
    <cellStyle name="Normálna 12 2" xfId="531" xr:uid="{00000000-0005-0000-0000-000025010000}"/>
    <cellStyle name="Normálna 12 2 2" xfId="532" xr:uid="{00000000-0005-0000-0000-000026010000}"/>
    <cellStyle name="Normálna 13" xfId="116" xr:uid="{00000000-0005-0000-0000-000027010000}"/>
    <cellStyle name="Normálna 13 2" xfId="533" xr:uid="{00000000-0005-0000-0000-000028010000}"/>
    <cellStyle name="Normálna 14" xfId="117" xr:uid="{00000000-0005-0000-0000-000029010000}"/>
    <cellStyle name="Normálna 14 2" xfId="534" xr:uid="{00000000-0005-0000-0000-00002A010000}"/>
    <cellStyle name="Normálna 15" xfId="535" xr:uid="{00000000-0005-0000-0000-00002B010000}"/>
    <cellStyle name="Normálna 16" xfId="536" xr:uid="{00000000-0005-0000-0000-00002C010000}"/>
    <cellStyle name="Normálna 17" xfId="537" xr:uid="{00000000-0005-0000-0000-00002D010000}"/>
    <cellStyle name="Normálna 18" xfId="538" xr:uid="{00000000-0005-0000-0000-00002E010000}"/>
    <cellStyle name="Normálna 19" xfId="539" xr:uid="{00000000-0005-0000-0000-00002F010000}"/>
    <cellStyle name="Normálna 2" xfId="118" xr:uid="{00000000-0005-0000-0000-000030010000}"/>
    <cellStyle name="Normálna 2 2" xfId="119" xr:uid="{00000000-0005-0000-0000-000031010000}"/>
    <cellStyle name="Normálna 2 2 2" xfId="120" xr:uid="{00000000-0005-0000-0000-000032010000}"/>
    <cellStyle name="Normálna 2 2 2 2" xfId="121" xr:uid="{00000000-0005-0000-0000-000033010000}"/>
    <cellStyle name="Normálna 2 2 3" xfId="122" xr:uid="{00000000-0005-0000-0000-000034010000}"/>
    <cellStyle name="Normálna 2 2 3 2" xfId="123" xr:uid="{00000000-0005-0000-0000-000035010000}"/>
    <cellStyle name="Normálna 2 2 4" xfId="124" xr:uid="{00000000-0005-0000-0000-000036010000}"/>
    <cellStyle name="Normálna 2 3" xfId="125" xr:uid="{00000000-0005-0000-0000-000037010000}"/>
    <cellStyle name="Normálna 2 4" xfId="126" xr:uid="{00000000-0005-0000-0000-000038010000}"/>
    <cellStyle name="Normálna 2 5" xfId="127" xr:uid="{00000000-0005-0000-0000-000039010000}"/>
    <cellStyle name="Normálna 20" xfId="540" xr:uid="{00000000-0005-0000-0000-00003A010000}"/>
    <cellStyle name="Normálna 3" xfId="128" xr:uid="{00000000-0005-0000-0000-00003B010000}"/>
    <cellStyle name="Normálna 3 2" xfId="129" xr:uid="{00000000-0005-0000-0000-00003C010000}"/>
    <cellStyle name="Normálna 4" xfId="130" xr:uid="{00000000-0005-0000-0000-00003D010000}"/>
    <cellStyle name="Normálna 4 2" xfId="131" xr:uid="{00000000-0005-0000-0000-00003E010000}"/>
    <cellStyle name="Normálna 4 3" xfId="132" xr:uid="{00000000-0005-0000-0000-00003F010000}"/>
    <cellStyle name="Normálna 5" xfId="133" xr:uid="{00000000-0005-0000-0000-000040010000}"/>
    <cellStyle name="Normálna 5 2" xfId="134" xr:uid="{00000000-0005-0000-0000-000041010000}"/>
    <cellStyle name="Normálna 5 2 2" xfId="135" xr:uid="{00000000-0005-0000-0000-000042010000}"/>
    <cellStyle name="Normálna 5 3" xfId="136" xr:uid="{00000000-0005-0000-0000-000043010000}"/>
    <cellStyle name="Normálna 6" xfId="137" xr:uid="{00000000-0005-0000-0000-000044010000}"/>
    <cellStyle name="Normálna 7" xfId="138" xr:uid="{00000000-0005-0000-0000-000045010000}"/>
    <cellStyle name="Normálna 7 2" xfId="139" xr:uid="{00000000-0005-0000-0000-000046010000}"/>
    <cellStyle name="Normálna 8" xfId="140" xr:uid="{00000000-0005-0000-0000-000047010000}"/>
    <cellStyle name="Normálna 8 2" xfId="541" xr:uid="{00000000-0005-0000-0000-000048010000}"/>
    <cellStyle name="Normálna 9" xfId="141" xr:uid="{00000000-0005-0000-0000-000049010000}"/>
    <cellStyle name="normálne 10" xfId="542" xr:uid="{00000000-0005-0000-0000-00004A010000}"/>
    <cellStyle name="normálne 11" xfId="543" xr:uid="{00000000-0005-0000-0000-00004B010000}"/>
    <cellStyle name="normálne 11 2" xfId="544" xr:uid="{00000000-0005-0000-0000-00004C010000}"/>
    <cellStyle name="normálne 11 3" xfId="545" xr:uid="{00000000-0005-0000-0000-00004D010000}"/>
    <cellStyle name="normálne 12" xfId="546" xr:uid="{00000000-0005-0000-0000-00004E010000}"/>
    <cellStyle name="normálne 2" xfId="142" xr:uid="{00000000-0005-0000-0000-00004F010000}"/>
    <cellStyle name="normálne 2 2" xfId="143" xr:uid="{00000000-0005-0000-0000-000050010000}"/>
    <cellStyle name="normálne 2 2 2" xfId="144" xr:uid="{00000000-0005-0000-0000-000051010000}"/>
    <cellStyle name="normálne 2 2 2 2" xfId="547" xr:uid="{00000000-0005-0000-0000-000052010000}"/>
    <cellStyle name="normálne 2 2 3" xfId="145" xr:uid="{00000000-0005-0000-0000-000053010000}"/>
    <cellStyle name="normálne 2 3" xfId="146" xr:uid="{00000000-0005-0000-0000-000054010000}"/>
    <cellStyle name="normálne 2 3 2" xfId="548" xr:uid="{00000000-0005-0000-0000-000055010000}"/>
    <cellStyle name="normálne 2 4" xfId="549" xr:uid="{00000000-0005-0000-0000-000056010000}"/>
    <cellStyle name="normálne 2 4 2" xfId="550" xr:uid="{00000000-0005-0000-0000-000057010000}"/>
    <cellStyle name="normálne 2 5" xfId="551" xr:uid="{00000000-0005-0000-0000-000058010000}"/>
    <cellStyle name="normálne 2 5 2" xfId="552" xr:uid="{00000000-0005-0000-0000-000059010000}"/>
    <cellStyle name="normálne 2 6" xfId="553" xr:uid="{00000000-0005-0000-0000-00005A010000}"/>
    <cellStyle name="normálne 2 7" xfId="554" xr:uid="{00000000-0005-0000-0000-00005B010000}"/>
    <cellStyle name="normálne 2 8" xfId="555" xr:uid="{00000000-0005-0000-0000-00005C010000}"/>
    <cellStyle name="normálne 22" xfId="556" xr:uid="{00000000-0005-0000-0000-00005D010000}"/>
    <cellStyle name="normálne 24" xfId="557" xr:uid="{00000000-0005-0000-0000-00005E010000}"/>
    <cellStyle name="normálne 3" xfId="147" xr:uid="{00000000-0005-0000-0000-00005F010000}"/>
    <cellStyle name="normálne 3 2" xfId="148" xr:uid="{00000000-0005-0000-0000-000060010000}"/>
    <cellStyle name="normálne 3 3" xfId="149" xr:uid="{00000000-0005-0000-0000-000061010000}"/>
    <cellStyle name="normálne 3 4" xfId="558" xr:uid="{00000000-0005-0000-0000-000062010000}"/>
    <cellStyle name="normálne 35" xfId="559" xr:uid="{00000000-0005-0000-0000-000063010000}"/>
    <cellStyle name="normálne 4" xfId="150" xr:uid="{00000000-0005-0000-0000-000064010000}"/>
    <cellStyle name="normálne 4 2" xfId="151" xr:uid="{00000000-0005-0000-0000-000065010000}"/>
    <cellStyle name="normálne 4 3" xfId="152" xr:uid="{00000000-0005-0000-0000-000066010000}"/>
    <cellStyle name="normálne 5" xfId="153" xr:uid="{00000000-0005-0000-0000-000067010000}"/>
    <cellStyle name="normálne 5 2" xfId="560" xr:uid="{00000000-0005-0000-0000-000068010000}"/>
    <cellStyle name="normálne 6" xfId="154" xr:uid="{00000000-0005-0000-0000-000069010000}"/>
    <cellStyle name="normálne 6 2" xfId="155" xr:uid="{00000000-0005-0000-0000-00006A010000}"/>
    <cellStyle name="normálne 6 2 2" xfId="156" xr:uid="{00000000-0005-0000-0000-00006B010000}"/>
    <cellStyle name="normálne 6 2 2 2" xfId="157" xr:uid="{00000000-0005-0000-0000-00006C010000}"/>
    <cellStyle name="normálne 6 2 3" xfId="158" xr:uid="{00000000-0005-0000-0000-00006D010000}"/>
    <cellStyle name="normálne 6 3" xfId="159" xr:uid="{00000000-0005-0000-0000-00006E010000}"/>
    <cellStyle name="normálne 7" xfId="561" xr:uid="{00000000-0005-0000-0000-00006F010000}"/>
    <cellStyle name="normálne 7 2" xfId="562" xr:uid="{00000000-0005-0000-0000-000070010000}"/>
    <cellStyle name="normálne 8" xfId="563" xr:uid="{00000000-0005-0000-0000-000071010000}"/>
    <cellStyle name="normálne 8 2" xfId="564" xr:uid="{00000000-0005-0000-0000-000072010000}"/>
    <cellStyle name="normálne 9" xfId="565" xr:uid="{00000000-0005-0000-0000-000073010000}"/>
    <cellStyle name="normálne 9 2" xfId="566" xr:uid="{00000000-0005-0000-0000-000074010000}"/>
    <cellStyle name="normálne_Databazy_VVŠ_2006_ severská" xfId="160" xr:uid="{00000000-0005-0000-0000-000075010000}"/>
    <cellStyle name="normální 2" xfId="161" xr:uid="{00000000-0005-0000-0000-000076010000}"/>
    <cellStyle name="normální 2 2" xfId="162" xr:uid="{00000000-0005-0000-0000-000077010000}"/>
    <cellStyle name="normální_15.6.07 východ.+rozpočet 08-10" xfId="567" xr:uid="{00000000-0005-0000-0000-000078010000}"/>
    <cellStyle name="Note" xfId="163" xr:uid="{00000000-0005-0000-0000-000079010000}"/>
    <cellStyle name="Note 2" xfId="164" xr:uid="{00000000-0005-0000-0000-00007A010000}"/>
    <cellStyle name="Note 2 2" xfId="165" xr:uid="{00000000-0005-0000-0000-00007B010000}"/>
    <cellStyle name="Note 2 2 2" xfId="798" xr:uid="{00000000-0005-0000-0000-00007C010000}"/>
    <cellStyle name="Note 2 3" xfId="166" xr:uid="{00000000-0005-0000-0000-00007D010000}"/>
    <cellStyle name="Note 2 3 2" xfId="746" xr:uid="{00000000-0005-0000-0000-00007E010000}"/>
    <cellStyle name="Note 2 4" xfId="700" xr:uid="{00000000-0005-0000-0000-00007F010000}"/>
    <cellStyle name="Note 3" xfId="167" xr:uid="{00000000-0005-0000-0000-000080010000}"/>
    <cellStyle name="Note 3 2" xfId="695" xr:uid="{00000000-0005-0000-0000-000081010000}"/>
    <cellStyle name="Note 4" xfId="168" xr:uid="{00000000-0005-0000-0000-000082010000}"/>
    <cellStyle name="Note 4 2" xfId="762" xr:uid="{00000000-0005-0000-0000-000083010000}"/>
    <cellStyle name="Note 5" xfId="169" xr:uid="{00000000-0005-0000-0000-000084010000}"/>
    <cellStyle name="Note 5 2" xfId="780" xr:uid="{00000000-0005-0000-0000-000085010000}"/>
    <cellStyle name="Note 6" xfId="687" xr:uid="{00000000-0005-0000-0000-000086010000}"/>
    <cellStyle name="Output" xfId="170" xr:uid="{00000000-0005-0000-0000-000087010000}"/>
    <cellStyle name="Output 2" xfId="171" xr:uid="{00000000-0005-0000-0000-000088010000}"/>
    <cellStyle name="Output 2 2" xfId="799" xr:uid="{00000000-0005-0000-0000-000089010000}"/>
    <cellStyle name="Output 3" xfId="172" xr:uid="{00000000-0005-0000-0000-00008A010000}"/>
    <cellStyle name="Output 3 2" xfId="818" xr:uid="{00000000-0005-0000-0000-00008B010000}"/>
    <cellStyle name="Output 4" xfId="701" xr:uid="{00000000-0005-0000-0000-00008C010000}"/>
    <cellStyle name="Percentá" xfId="1" builtinId="5"/>
    <cellStyle name="Percentá 10" xfId="173" xr:uid="{00000000-0005-0000-0000-00008E010000}"/>
    <cellStyle name="Percentá 11" xfId="174" xr:uid="{00000000-0005-0000-0000-00008F010000}"/>
    <cellStyle name="Percentá 11 2" xfId="568" xr:uid="{00000000-0005-0000-0000-000090010000}"/>
    <cellStyle name="percentá 2" xfId="175" xr:uid="{00000000-0005-0000-0000-000091010000}"/>
    <cellStyle name="percentá 2 10" xfId="176" xr:uid="{00000000-0005-0000-0000-000092010000}"/>
    <cellStyle name="Percentá 2 2" xfId="177" xr:uid="{00000000-0005-0000-0000-000093010000}"/>
    <cellStyle name="percentá 2 2 2" xfId="178" xr:uid="{00000000-0005-0000-0000-000094010000}"/>
    <cellStyle name="percentá 2 3" xfId="179" xr:uid="{00000000-0005-0000-0000-000095010000}"/>
    <cellStyle name="percentá 2 4" xfId="180" xr:uid="{00000000-0005-0000-0000-000096010000}"/>
    <cellStyle name="percentá 2 5" xfId="181" xr:uid="{00000000-0005-0000-0000-000097010000}"/>
    <cellStyle name="percentá 2 6" xfId="182" xr:uid="{00000000-0005-0000-0000-000098010000}"/>
    <cellStyle name="percentá 2 7" xfId="183" xr:uid="{00000000-0005-0000-0000-000099010000}"/>
    <cellStyle name="percentá 2 8" xfId="184" xr:uid="{00000000-0005-0000-0000-00009A010000}"/>
    <cellStyle name="percentá 2 9" xfId="185" xr:uid="{00000000-0005-0000-0000-00009B010000}"/>
    <cellStyle name="percentá 3" xfId="186" xr:uid="{00000000-0005-0000-0000-00009C010000}"/>
    <cellStyle name="percentá 3 2" xfId="187" xr:uid="{00000000-0005-0000-0000-00009D010000}"/>
    <cellStyle name="Percentá 4" xfId="188" xr:uid="{00000000-0005-0000-0000-00009E010000}"/>
    <cellStyle name="Percentá 4 2" xfId="189" xr:uid="{00000000-0005-0000-0000-00009F010000}"/>
    <cellStyle name="Percentá 4 3" xfId="190" xr:uid="{00000000-0005-0000-0000-0000A0010000}"/>
    <cellStyle name="Percentá 5" xfId="191" xr:uid="{00000000-0005-0000-0000-0000A1010000}"/>
    <cellStyle name="Percentá 5 2" xfId="192" xr:uid="{00000000-0005-0000-0000-0000A2010000}"/>
    <cellStyle name="Percentá 5 3" xfId="193" xr:uid="{00000000-0005-0000-0000-0000A3010000}"/>
    <cellStyle name="Percentá 6" xfId="194" xr:uid="{00000000-0005-0000-0000-0000A4010000}"/>
    <cellStyle name="Percentá 7" xfId="195" xr:uid="{00000000-0005-0000-0000-0000A5010000}"/>
    <cellStyle name="Percentá 8" xfId="196" xr:uid="{00000000-0005-0000-0000-0000A6010000}"/>
    <cellStyle name="Percentá 9" xfId="197" xr:uid="{00000000-0005-0000-0000-0000A7010000}"/>
    <cellStyle name="Poznámka 2" xfId="569" xr:uid="{00000000-0005-0000-0000-0000A8010000}"/>
    <cellStyle name="Poznámka 2 2" xfId="570" xr:uid="{00000000-0005-0000-0000-0000A9010000}"/>
    <cellStyle name="Poznámka 2 2 2" xfId="571" xr:uid="{00000000-0005-0000-0000-0000AA010000}"/>
    <cellStyle name="Poznámka 2 3" xfId="572" xr:uid="{00000000-0005-0000-0000-0000AB010000}"/>
    <cellStyle name="Poznámka 3" xfId="573" xr:uid="{00000000-0005-0000-0000-0000AC010000}"/>
    <cellStyle name="Poznámka 4" xfId="574" xr:uid="{00000000-0005-0000-0000-0000AD010000}"/>
    <cellStyle name="Poznámka 4 2" xfId="575" xr:uid="{00000000-0005-0000-0000-0000AE010000}"/>
    <cellStyle name="Poznámka 5" xfId="576" xr:uid="{00000000-0005-0000-0000-0000AF010000}"/>
    <cellStyle name="Poznámka 6" xfId="577" xr:uid="{00000000-0005-0000-0000-0000B0010000}"/>
    <cellStyle name="Poznámka 6 2" xfId="578" xr:uid="{00000000-0005-0000-0000-0000B1010000}"/>
    <cellStyle name="Poznámka 7" xfId="579" xr:uid="{00000000-0005-0000-0000-0000B2010000}"/>
    <cellStyle name="procent 2" xfId="198" xr:uid="{00000000-0005-0000-0000-0000B3010000}"/>
    <cellStyle name="RD_pred_rokom" xfId="716" xr:uid="{00000000-0005-0000-0000-0000B4010000}"/>
    <cellStyle name="SAPBEXaggData" xfId="199" xr:uid="{00000000-0005-0000-0000-0000B5010000}"/>
    <cellStyle name="SAPBEXaggData 2" xfId="200" xr:uid="{00000000-0005-0000-0000-0000B6010000}"/>
    <cellStyle name="SAPBEXaggData 2 2" xfId="580" xr:uid="{00000000-0005-0000-0000-0000B7010000}"/>
    <cellStyle name="SAPBEXaggData 2 2 2" xfId="581" xr:uid="{00000000-0005-0000-0000-0000B8010000}"/>
    <cellStyle name="SAPBEXaggData 2 2 3" xfId="890" xr:uid="{00000000-0005-0000-0000-0000B9010000}"/>
    <cellStyle name="SAPBEXaggData 2 3" xfId="804" xr:uid="{00000000-0005-0000-0000-0000BA010000}"/>
    <cellStyle name="SAPBEXaggData 3" xfId="201" xr:uid="{00000000-0005-0000-0000-0000BB010000}"/>
    <cellStyle name="SAPBEXaggData 3 2" xfId="822" xr:uid="{00000000-0005-0000-0000-0000BC010000}"/>
    <cellStyle name="SAPBEXaggData 4" xfId="202" xr:uid="{00000000-0005-0000-0000-0000BD010000}"/>
    <cellStyle name="SAPBEXaggData 4 2" xfId="765" xr:uid="{00000000-0005-0000-0000-0000BE010000}"/>
    <cellStyle name="SAPBEXaggData 5" xfId="203" xr:uid="{00000000-0005-0000-0000-0000BF010000}"/>
    <cellStyle name="SAPBEXaggData 5 2" xfId="742" xr:uid="{00000000-0005-0000-0000-0000C0010000}"/>
    <cellStyle name="SAPBEXaggData 6" xfId="702" xr:uid="{00000000-0005-0000-0000-0000C1010000}"/>
    <cellStyle name="SAPBEXaggDataEmph" xfId="204" xr:uid="{00000000-0005-0000-0000-0000C2010000}"/>
    <cellStyle name="SAPBEXaggDataEmph 2" xfId="205" xr:uid="{00000000-0005-0000-0000-0000C3010000}"/>
    <cellStyle name="SAPBEXaggDataEmph 2 2" xfId="582" xr:uid="{00000000-0005-0000-0000-0000C4010000}"/>
    <cellStyle name="SAPBEXaggDataEmph 2 2 2" xfId="583" xr:uid="{00000000-0005-0000-0000-0000C5010000}"/>
    <cellStyle name="SAPBEXaggDataEmph 2 2 3" xfId="891" xr:uid="{00000000-0005-0000-0000-0000C6010000}"/>
    <cellStyle name="SAPBEXaggDataEmph 2 3" xfId="805" xr:uid="{00000000-0005-0000-0000-0000C7010000}"/>
    <cellStyle name="SAPBEXaggDataEmph 3" xfId="206" xr:uid="{00000000-0005-0000-0000-0000C8010000}"/>
    <cellStyle name="SAPBEXaggDataEmph 3 2" xfId="823" xr:uid="{00000000-0005-0000-0000-0000C9010000}"/>
    <cellStyle name="SAPBEXaggDataEmph 4" xfId="207" xr:uid="{00000000-0005-0000-0000-0000CA010000}"/>
    <cellStyle name="SAPBEXaggDataEmph 4 2" xfId="779" xr:uid="{00000000-0005-0000-0000-0000CB010000}"/>
    <cellStyle name="SAPBEXaggDataEmph 5" xfId="208" xr:uid="{00000000-0005-0000-0000-0000CC010000}"/>
    <cellStyle name="SAPBEXaggDataEmph 5 2" xfId="786" xr:uid="{00000000-0005-0000-0000-0000CD010000}"/>
    <cellStyle name="SAPBEXaggDataEmph 6" xfId="703" xr:uid="{00000000-0005-0000-0000-0000CE010000}"/>
    <cellStyle name="SAPBEXaggItem" xfId="209" xr:uid="{00000000-0005-0000-0000-0000CF010000}"/>
    <cellStyle name="SAPBEXaggItem 2" xfId="210" xr:uid="{00000000-0005-0000-0000-0000D0010000}"/>
    <cellStyle name="SAPBEXaggItem 2 2" xfId="584" xr:uid="{00000000-0005-0000-0000-0000D1010000}"/>
    <cellStyle name="SAPBEXaggItem 2 2 2" xfId="585" xr:uid="{00000000-0005-0000-0000-0000D2010000}"/>
    <cellStyle name="SAPBEXaggItem 2 2 3" xfId="892" xr:uid="{00000000-0005-0000-0000-0000D3010000}"/>
    <cellStyle name="SAPBEXaggItem 2 3" xfId="806" xr:uid="{00000000-0005-0000-0000-0000D4010000}"/>
    <cellStyle name="SAPBEXaggItem 3" xfId="211" xr:uid="{00000000-0005-0000-0000-0000D5010000}"/>
    <cellStyle name="SAPBEXaggItem 3 2" xfId="824" xr:uid="{00000000-0005-0000-0000-0000D6010000}"/>
    <cellStyle name="SAPBEXaggItem 4" xfId="212" xr:uid="{00000000-0005-0000-0000-0000D7010000}"/>
    <cellStyle name="SAPBEXaggItem 4 2" xfId="789" xr:uid="{00000000-0005-0000-0000-0000D8010000}"/>
    <cellStyle name="SAPBEXaggItem 5" xfId="213" xr:uid="{00000000-0005-0000-0000-0000D9010000}"/>
    <cellStyle name="SAPBEXaggItem 5 2" xfId="773" xr:uid="{00000000-0005-0000-0000-0000DA010000}"/>
    <cellStyle name="SAPBEXaggItem 6" xfId="704" xr:uid="{00000000-0005-0000-0000-0000DB010000}"/>
    <cellStyle name="SAPBEXaggItemX" xfId="214" xr:uid="{00000000-0005-0000-0000-0000DC010000}"/>
    <cellStyle name="SAPBEXaggItemX 2" xfId="215" xr:uid="{00000000-0005-0000-0000-0000DD010000}"/>
    <cellStyle name="SAPBEXaggItemX 2 2" xfId="807" xr:uid="{00000000-0005-0000-0000-0000DE010000}"/>
    <cellStyle name="SAPBEXaggItemX 3" xfId="216" xr:uid="{00000000-0005-0000-0000-0000DF010000}"/>
    <cellStyle name="SAPBEXaggItemX 3 2" xfId="825" xr:uid="{00000000-0005-0000-0000-0000E0010000}"/>
    <cellStyle name="SAPBEXaggItemX 4" xfId="217" xr:uid="{00000000-0005-0000-0000-0000E1010000}"/>
    <cellStyle name="SAPBEXaggItemX 4 2" xfId="821" xr:uid="{00000000-0005-0000-0000-0000E2010000}"/>
    <cellStyle name="SAPBEXaggItemX 5" xfId="218" xr:uid="{00000000-0005-0000-0000-0000E3010000}"/>
    <cellStyle name="SAPBEXaggItemX 5 2" xfId="866" xr:uid="{00000000-0005-0000-0000-0000E4010000}"/>
    <cellStyle name="SAPBEXaggItemX 6" xfId="705" xr:uid="{00000000-0005-0000-0000-0000E5010000}"/>
    <cellStyle name="SAPBEXexcBad7" xfId="219" xr:uid="{00000000-0005-0000-0000-0000E6010000}"/>
    <cellStyle name="SAPBEXexcBad7 2" xfId="220" xr:uid="{00000000-0005-0000-0000-0000E7010000}"/>
    <cellStyle name="SAPBEXexcBad7 2 2" xfId="586" xr:uid="{00000000-0005-0000-0000-0000E8010000}"/>
    <cellStyle name="SAPBEXexcBad7 2 2 2" xfId="587" xr:uid="{00000000-0005-0000-0000-0000E9010000}"/>
    <cellStyle name="SAPBEXexcBad7 2 2 3" xfId="893" xr:uid="{00000000-0005-0000-0000-0000EA010000}"/>
    <cellStyle name="SAPBEXexcBad7 2 3" xfId="808" xr:uid="{00000000-0005-0000-0000-0000EB010000}"/>
    <cellStyle name="SAPBEXexcBad7 3" xfId="221" xr:uid="{00000000-0005-0000-0000-0000EC010000}"/>
    <cellStyle name="SAPBEXexcBad7 3 2" xfId="826" xr:uid="{00000000-0005-0000-0000-0000ED010000}"/>
    <cellStyle name="SAPBEXexcBad7 4" xfId="222" xr:uid="{00000000-0005-0000-0000-0000EE010000}"/>
    <cellStyle name="SAPBEXexcBad7 4 2" xfId="766" xr:uid="{00000000-0005-0000-0000-0000EF010000}"/>
    <cellStyle name="SAPBEXexcBad7 5" xfId="223" xr:uid="{00000000-0005-0000-0000-0000F0010000}"/>
    <cellStyle name="SAPBEXexcBad7 5 2" xfId="782" xr:uid="{00000000-0005-0000-0000-0000F1010000}"/>
    <cellStyle name="SAPBEXexcBad7 6" xfId="706" xr:uid="{00000000-0005-0000-0000-0000F2010000}"/>
    <cellStyle name="SAPBEXexcBad8" xfId="224" xr:uid="{00000000-0005-0000-0000-0000F3010000}"/>
    <cellStyle name="SAPBEXexcBad8 2" xfId="225" xr:uid="{00000000-0005-0000-0000-0000F4010000}"/>
    <cellStyle name="SAPBEXexcBad8 2 2" xfId="588" xr:uid="{00000000-0005-0000-0000-0000F5010000}"/>
    <cellStyle name="SAPBEXexcBad8 2 2 2" xfId="589" xr:uid="{00000000-0005-0000-0000-0000F6010000}"/>
    <cellStyle name="SAPBEXexcBad8 2 2 3" xfId="894" xr:uid="{00000000-0005-0000-0000-0000F7010000}"/>
    <cellStyle name="SAPBEXexcBad8 2 3" xfId="749" xr:uid="{00000000-0005-0000-0000-0000F8010000}"/>
    <cellStyle name="SAPBEXexcBad8 3" xfId="226" xr:uid="{00000000-0005-0000-0000-0000F9010000}"/>
    <cellStyle name="SAPBEXexcBad8 3 2" xfId="827" xr:uid="{00000000-0005-0000-0000-0000FA010000}"/>
    <cellStyle name="SAPBEXexcBad8 4" xfId="227" xr:uid="{00000000-0005-0000-0000-0000FB010000}"/>
    <cellStyle name="SAPBEXexcBad8 4 2" xfId="736" xr:uid="{00000000-0005-0000-0000-0000FC010000}"/>
    <cellStyle name="SAPBEXexcBad8 5" xfId="228" xr:uid="{00000000-0005-0000-0000-0000FD010000}"/>
    <cellStyle name="SAPBEXexcBad8 5 2" xfId="740" xr:uid="{00000000-0005-0000-0000-0000FE010000}"/>
    <cellStyle name="SAPBEXexcBad8 6" xfId="707" xr:uid="{00000000-0005-0000-0000-0000FF010000}"/>
    <cellStyle name="SAPBEXexcBad9" xfId="229" xr:uid="{00000000-0005-0000-0000-000000020000}"/>
    <cellStyle name="SAPBEXexcBad9 2" xfId="230" xr:uid="{00000000-0005-0000-0000-000001020000}"/>
    <cellStyle name="SAPBEXexcBad9 2 2" xfId="750" xr:uid="{00000000-0005-0000-0000-000002020000}"/>
    <cellStyle name="SAPBEXexcBad9 3" xfId="231" xr:uid="{00000000-0005-0000-0000-000003020000}"/>
    <cellStyle name="SAPBEXexcBad9 3 2" xfId="828" xr:uid="{00000000-0005-0000-0000-000004020000}"/>
    <cellStyle name="SAPBEXexcBad9 4" xfId="232" xr:uid="{00000000-0005-0000-0000-000005020000}"/>
    <cellStyle name="SAPBEXexcBad9 4 2" xfId="783" xr:uid="{00000000-0005-0000-0000-000006020000}"/>
    <cellStyle name="SAPBEXexcBad9 5" xfId="233" xr:uid="{00000000-0005-0000-0000-000007020000}"/>
    <cellStyle name="SAPBEXexcBad9 5 2" xfId="867" xr:uid="{00000000-0005-0000-0000-000008020000}"/>
    <cellStyle name="SAPBEXexcBad9 6" xfId="708" xr:uid="{00000000-0005-0000-0000-000009020000}"/>
    <cellStyle name="SAPBEXexcCritical4" xfId="234" xr:uid="{00000000-0005-0000-0000-00000A020000}"/>
    <cellStyle name="SAPBEXexcCritical4 2" xfId="235" xr:uid="{00000000-0005-0000-0000-00000B020000}"/>
    <cellStyle name="SAPBEXexcCritical4 2 2" xfId="590" xr:uid="{00000000-0005-0000-0000-00000C020000}"/>
    <cellStyle name="SAPBEXexcCritical4 2 2 2" xfId="591" xr:uid="{00000000-0005-0000-0000-00000D020000}"/>
    <cellStyle name="SAPBEXexcCritical4 2 2 3" xfId="895" xr:uid="{00000000-0005-0000-0000-00000E020000}"/>
    <cellStyle name="SAPBEXexcCritical4 2 3" xfId="809" xr:uid="{00000000-0005-0000-0000-00000F020000}"/>
    <cellStyle name="SAPBEXexcCritical4 3" xfId="236" xr:uid="{00000000-0005-0000-0000-000010020000}"/>
    <cellStyle name="SAPBEXexcCritical4 3 2" xfId="829" xr:uid="{00000000-0005-0000-0000-000011020000}"/>
    <cellStyle name="SAPBEXexcCritical4 4" xfId="237" xr:uid="{00000000-0005-0000-0000-000012020000}"/>
    <cellStyle name="SAPBEXexcCritical4 4 2" xfId="738" xr:uid="{00000000-0005-0000-0000-000013020000}"/>
    <cellStyle name="SAPBEXexcCritical4 5" xfId="238" xr:uid="{00000000-0005-0000-0000-000014020000}"/>
    <cellStyle name="SAPBEXexcCritical4 5 2" xfId="767" xr:uid="{00000000-0005-0000-0000-000015020000}"/>
    <cellStyle name="SAPBEXexcCritical4 6" xfId="709" xr:uid="{00000000-0005-0000-0000-000016020000}"/>
    <cellStyle name="SAPBEXexcCritical5" xfId="239" xr:uid="{00000000-0005-0000-0000-000017020000}"/>
    <cellStyle name="SAPBEXexcCritical5 2" xfId="240" xr:uid="{00000000-0005-0000-0000-000018020000}"/>
    <cellStyle name="SAPBEXexcCritical5 2 2" xfId="592" xr:uid="{00000000-0005-0000-0000-000019020000}"/>
    <cellStyle name="SAPBEXexcCritical5 2 2 2" xfId="593" xr:uid="{00000000-0005-0000-0000-00001A020000}"/>
    <cellStyle name="SAPBEXexcCritical5 2 2 3" xfId="896" xr:uid="{00000000-0005-0000-0000-00001B020000}"/>
    <cellStyle name="SAPBEXexcCritical5 2 3" xfId="751" xr:uid="{00000000-0005-0000-0000-00001C020000}"/>
    <cellStyle name="SAPBEXexcCritical5 3" xfId="241" xr:uid="{00000000-0005-0000-0000-00001D020000}"/>
    <cellStyle name="SAPBEXexcCritical5 3 2" xfId="830" xr:uid="{00000000-0005-0000-0000-00001E020000}"/>
    <cellStyle name="SAPBEXexcCritical5 4" xfId="242" xr:uid="{00000000-0005-0000-0000-00001F020000}"/>
    <cellStyle name="SAPBEXexcCritical5 4 2" xfId="811" xr:uid="{00000000-0005-0000-0000-000020020000}"/>
    <cellStyle name="SAPBEXexcCritical5 5" xfId="243" xr:uid="{00000000-0005-0000-0000-000021020000}"/>
    <cellStyle name="SAPBEXexcCritical5 5 2" xfId="748" xr:uid="{00000000-0005-0000-0000-000022020000}"/>
    <cellStyle name="SAPBEXexcCritical5 6" xfId="710" xr:uid="{00000000-0005-0000-0000-000023020000}"/>
    <cellStyle name="SAPBEXexcCritical6" xfId="244" xr:uid="{00000000-0005-0000-0000-000024020000}"/>
    <cellStyle name="SAPBEXexcCritical6 2" xfId="245" xr:uid="{00000000-0005-0000-0000-000025020000}"/>
    <cellStyle name="SAPBEXexcCritical6 2 2" xfId="594" xr:uid="{00000000-0005-0000-0000-000026020000}"/>
    <cellStyle name="SAPBEXexcCritical6 2 2 2" xfId="595" xr:uid="{00000000-0005-0000-0000-000027020000}"/>
    <cellStyle name="SAPBEXexcCritical6 2 2 3" xfId="897" xr:uid="{00000000-0005-0000-0000-000028020000}"/>
    <cellStyle name="SAPBEXexcCritical6 2 3" xfId="752" xr:uid="{00000000-0005-0000-0000-000029020000}"/>
    <cellStyle name="SAPBEXexcCritical6 3" xfId="246" xr:uid="{00000000-0005-0000-0000-00002A020000}"/>
    <cellStyle name="SAPBEXexcCritical6 3 2" xfId="831" xr:uid="{00000000-0005-0000-0000-00002B020000}"/>
    <cellStyle name="SAPBEXexcCritical6 4" xfId="247" xr:uid="{00000000-0005-0000-0000-00002C020000}"/>
    <cellStyle name="SAPBEXexcCritical6 4 2" xfId="795" xr:uid="{00000000-0005-0000-0000-00002D020000}"/>
    <cellStyle name="SAPBEXexcCritical6 5" xfId="248" xr:uid="{00000000-0005-0000-0000-00002E020000}"/>
    <cellStyle name="SAPBEXexcCritical6 5 2" xfId="863" xr:uid="{00000000-0005-0000-0000-00002F020000}"/>
    <cellStyle name="SAPBEXexcCritical6 6" xfId="711" xr:uid="{00000000-0005-0000-0000-000030020000}"/>
    <cellStyle name="SAPBEXexcGood1" xfId="249" xr:uid="{00000000-0005-0000-0000-000031020000}"/>
    <cellStyle name="SAPBEXexcGood1 2" xfId="250" xr:uid="{00000000-0005-0000-0000-000032020000}"/>
    <cellStyle name="SAPBEXexcGood1 2 2" xfId="596" xr:uid="{00000000-0005-0000-0000-000033020000}"/>
    <cellStyle name="SAPBEXexcGood1 2 2 2" xfId="597" xr:uid="{00000000-0005-0000-0000-000034020000}"/>
    <cellStyle name="SAPBEXexcGood1 2 2 3" xfId="898" xr:uid="{00000000-0005-0000-0000-000035020000}"/>
    <cellStyle name="SAPBEXexcGood1 2 3" xfId="810" xr:uid="{00000000-0005-0000-0000-000036020000}"/>
    <cellStyle name="SAPBEXexcGood1 3" xfId="251" xr:uid="{00000000-0005-0000-0000-000037020000}"/>
    <cellStyle name="SAPBEXexcGood1 3 2" xfId="832" xr:uid="{00000000-0005-0000-0000-000038020000}"/>
    <cellStyle name="SAPBEXexcGood1 4" xfId="252" xr:uid="{00000000-0005-0000-0000-000039020000}"/>
    <cellStyle name="SAPBEXexcGood1 4 2" xfId="835" xr:uid="{00000000-0005-0000-0000-00003A020000}"/>
    <cellStyle name="SAPBEXexcGood1 5" xfId="253" xr:uid="{00000000-0005-0000-0000-00003B020000}"/>
    <cellStyle name="SAPBEXexcGood1 5 2" xfId="868" xr:uid="{00000000-0005-0000-0000-00003C020000}"/>
    <cellStyle name="SAPBEXexcGood1 6" xfId="712" xr:uid="{00000000-0005-0000-0000-00003D020000}"/>
    <cellStyle name="SAPBEXexcGood2" xfId="254" xr:uid="{00000000-0005-0000-0000-00003E020000}"/>
    <cellStyle name="SAPBEXexcGood2 2" xfId="255" xr:uid="{00000000-0005-0000-0000-00003F020000}"/>
    <cellStyle name="SAPBEXexcGood2 2 2" xfId="598" xr:uid="{00000000-0005-0000-0000-000040020000}"/>
    <cellStyle name="SAPBEXexcGood2 2 2 2" xfId="599" xr:uid="{00000000-0005-0000-0000-000041020000}"/>
    <cellStyle name="SAPBEXexcGood2 2 2 3" xfId="899" xr:uid="{00000000-0005-0000-0000-000042020000}"/>
    <cellStyle name="SAPBEXexcGood2 2 3" xfId="753" xr:uid="{00000000-0005-0000-0000-000043020000}"/>
    <cellStyle name="SAPBEXexcGood2 3" xfId="256" xr:uid="{00000000-0005-0000-0000-000044020000}"/>
    <cellStyle name="SAPBEXexcGood2 3 2" xfId="833" xr:uid="{00000000-0005-0000-0000-000045020000}"/>
    <cellStyle name="SAPBEXexcGood2 4" xfId="257" xr:uid="{00000000-0005-0000-0000-000046020000}"/>
    <cellStyle name="SAPBEXexcGood2 4 2" xfId="776" xr:uid="{00000000-0005-0000-0000-000047020000}"/>
    <cellStyle name="SAPBEXexcGood2 5" xfId="258" xr:uid="{00000000-0005-0000-0000-000048020000}"/>
    <cellStyle name="SAPBEXexcGood2 5 2" xfId="869" xr:uid="{00000000-0005-0000-0000-000049020000}"/>
    <cellStyle name="SAPBEXexcGood2 6" xfId="713" xr:uid="{00000000-0005-0000-0000-00004A020000}"/>
    <cellStyle name="SAPBEXexcGood3" xfId="259" xr:uid="{00000000-0005-0000-0000-00004B020000}"/>
    <cellStyle name="SAPBEXexcGood3 2" xfId="260" xr:uid="{00000000-0005-0000-0000-00004C020000}"/>
    <cellStyle name="SAPBEXexcGood3 2 2" xfId="600" xr:uid="{00000000-0005-0000-0000-00004D020000}"/>
    <cellStyle name="SAPBEXexcGood3 2 2 2" xfId="601" xr:uid="{00000000-0005-0000-0000-00004E020000}"/>
    <cellStyle name="SAPBEXexcGood3 2 2 3" xfId="900" xr:uid="{00000000-0005-0000-0000-00004F020000}"/>
    <cellStyle name="SAPBEXexcGood3 2 3" xfId="784" xr:uid="{00000000-0005-0000-0000-000050020000}"/>
    <cellStyle name="SAPBEXexcGood3 3" xfId="261" xr:uid="{00000000-0005-0000-0000-000051020000}"/>
    <cellStyle name="SAPBEXexcGood3 3 2" xfId="834" xr:uid="{00000000-0005-0000-0000-000052020000}"/>
    <cellStyle name="SAPBEXexcGood3 4" xfId="262" xr:uid="{00000000-0005-0000-0000-000053020000}"/>
    <cellStyle name="SAPBEXexcGood3 4 2" xfId="793" xr:uid="{00000000-0005-0000-0000-000054020000}"/>
    <cellStyle name="SAPBEXexcGood3 5" xfId="263" xr:uid="{00000000-0005-0000-0000-000055020000}"/>
    <cellStyle name="SAPBEXexcGood3 5 2" xfId="870" xr:uid="{00000000-0005-0000-0000-000056020000}"/>
    <cellStyle name="SAPBEXexcGood3 6" xfId="714" xr:uid="{00000000-0005-0000-0000-000057020000}"/>
    <cellStyle name="SAPBEXfilterDrill" xfId="264" xr:uid="{00000000-0005-0000-0000-000058020000}"/>
    <cellStyle name="SAPBEXfilterDrill 2" xfId="602" xr:uid="{00000000-0005-0000-0000-000059020000}"/>
    <cellStyle name="SAPBEXfilterDrill 2 2" xfId="901" xr:uid="{00000000-0005-0000-0000-00005A020000}"/>
    <cellStyle name="SAPBEXfilterItem" xfId="265" xr:uid="{00000000-0005-0000-0000-00005B020000}"/>
    <cellStyle name="SAPBEXfilterItem 2" xfId="603" xr:uid="{00000000-0005-0000-0000-00005C020000}"/>
    <cellStyle name="SAPBEXfilterItem 2 2" xfId="604" xr:uid="{00000000-0005-0000-0000-00005D020000}"/>
    <cellStyle name="SAPBEXfilterItem 2 2 2" xfId="605" xr:uid="{00000000-0005-0000-0000-00005E020000}"/>
    <cellStyle name="SAPBEXfilterItem 2 2 3" xfId="903" xr:uid="{00000000-0005-0000-0000-00005F020000}"/>
    <cellStyle name="SAPBEXfilterItem 2 3" xfId="606" xr:uid="{00000000-0005-0000-0000-000060020000}"/>
    <cellStyle name="SAPBEXfilterItem 2 4" xfId="902" xr:uid="{00000000-0005-0000-0000-000061020000}"/>
    <cellStyle name="SAPBEXfilterText" xfId="266" xr:uid="{00000000-0005-0000-0000-000062020000}"/>
    <cellStyle name="SAPBEXfilterText 2" xfId="607" xr:uid="{00000000-0005-0000-0000-000063020000}"/>
    <cellStyle name="SAPBEXfilterText 2 2" xfId="904" xr:uid="{00000000-0005-0000-0000-000064020000}"/>
    <cellStyle name="SAPBEXformats" xfId="267" xr:uid="{00000000-0005-0000-0000-000065020000}"/>
    <cellStyle name="SAPBEXformats 2" xfId="268" xr:uid="{00000000-0005-0000-0000-000066020000}"/>
    <cellStyle name="SAPBEXformats 2 2" xfId="608" xr:uid="{00000000-0005-0000-0000-000067020000}"/>
    <cellStyle name="SAPBEXformats 2 2 2" xfId="609" xr:uid="{00000000-0005-0000-0000-000068020000}"/>
    <cellStyle name="SAPBEXformats 2 2 3" xfId="905" xr:uid="{00000000-0005-0000-0000-000069020000}"/>
    <cellStyle name="SAPBEXformats 2 3" xfId="812" xr:uid="{00000000-0005-0000-0000-00006A020000}"/>
    <cellStyle name="SAPBEXformats 3" xfId="269" xr:uid="{00000000-0005-0000-0000-00006B020000}"/>
    <cellStyle name="SAPBEXformats 3 2" xfId="837" xr:uid="{00000000-0005-0000-0000-00006C020000}"/>
    <cellStyle name="SAPBEXformats 4" xfId="270" xr:uid="{00000000-0005-0000-0000-00006D020000}"/>
    <cellStyle name="SAPBEXformats 4 2" xfId="836" xr:uid="{00000000-0005-0000-0000-00006E020000}"/>
    <cellStyle name="SAPBEXformats 5" xfId="271" xr:uid="{00000000-0005-0000-0000-00006F020000}"/>
    <cellStyle name="SAPBEXformats 5 2" xfId="871" xr:uid="{00000000-0005-0000-0000-000070020000}"/>
    <cellStyle name="SAPBEXformats 6" xfId="715" xr:uid="{00000000-0005-0000-0000-000071020000}"/>
    <cellStyle name="SAPBEXheaderItem" xfId="272" xr:uid="{00000000-0005-0000-0000-000072020000}"/>
    <cellStyle name="SAPBEXheaderItem 10" xfId="610" xr:uid="{00000000-0005-0000-0000-000073020000}"/>
    <cellStyle name="SAPBEXheaderItem 11" xfId="611" xr:uid="{00000000-0005-0000-0000-000074020000}"/>
    <cellStyle name="SAPBEXheaderItem 12" xfId="612" xr:uid="{00000000-0005-0000-0000-000075020000}"/>
    <cellStyle name="SAPBEXheaderItem 2" xfId="613" xr:uid="{00000000-0005-0000-0000-000076020000}"/>
    <cellStyle name="SAPBEXheaderItem 3" xfId="614" xr:uid="{00000000-0005-0000-0000-000077020000}"/>
    <cellStyle name="SAPBEXheaderItem 3 2" xfId="615" xr:uid="{00000000-0005-0000-0000-000078020000}"/>
    <cellStyle name="SAPBEXheaderItem 4" xfId="616" xr:uid="{00000000-0005-0000-0000-000079020000}"/>
    <cellStyle name="SAPBEXheaderItem 4 2" xfId="617" xr:uid="{00000000-0005-0000-0000-00007A020000}"/>
    <cellStyle name="SAPBEXheaderItem 5" xfId="618" xr:uid="{00000000-0005-0000-0000-00007B020000}"/>
    <cellStyle name="SAPBEXheaderItem 6" xfId="619" xr:uid="{00000000-0005-0000-0000-00007C020000}"/>
    <cellStyle name="SAPBEXheaderItem 7" xfId="620" xr:uid="{00000000-0005-0000-0000-00007D020000}"/>
    <cellStyle name="SAPBEXheaderItem 8" xfId="621" xr:uid="{00000000-0005-0000-0000-00007E020000}"/>
    <cellStyle name="SAPBEXheaderItem 9" xfId="622" xr:uid="{00000000-0005-0000-0000-00007F020000}"/>
    <cellStyle name="SAPBEXheaderText" xfId="273" xr:uid="{00000000-0005-0000-0000-000080020000}"/>
    <cellStyle name="SAPBEXheaderText 10" xfId="623" xr:uid="{00000000-0005-0000-0000-000081020000}"/>
    <cellStyle name="SAPBEXheaderText 11" xfId="624" xr:uid="{00000000-0005-0000-0000-000082020000}"/>
    <cellStyle name="SAPBEXheaderText 12" xfId="625" xr:uid="{00000000-0005-0000-0000-000083020000}"/>
    <cellStyle name="SAPBEXheaderText 2" xfId="626" xr:uid="{00000000-0005-0000-0000-000084020000}"/>
    <cellStyle name="SAPBEXheaderText 3" xfId="627" xr:uid="{00000000-0005-0000-0000-000085020000}"/>
    <cellStyle name="SAPBEXheaderText 3 2" xfId="628" xr:uid="{00000000-0005-0000-0000-000086020000}"/>
    <cellStyle name="SAPBEXheaderText 4" xfId="629" xr:uid="{00000000-0005-0000-0000-000087020000}"/>
    <cellStyle name="SAPBEXheaderText 4 2" xfId="630" xr:uid="{00000000-0005-0000-0000-000088020000}"/>
    <cellStyle name="SAPBEXheaderText 5" xfId="631" xr:uid="{00000000-0005-0000-0000-000089020000}"/>
    <cellStyle name="SAPBEXheaderText 6" xfId="632" xr:uid="{00000000-0005-0000-0000-00008A020000}"/>
    <cellStyle name="SAPBEXheaderText 7" xfId="633" xr:uid="{00000000-0005-0000-0000-00008B020000}"/>
    <cellStyle name="SAPBEXheaderText 8" xfId="634" xr:uid="{00000000-0005-0000-0000-00008C020000}"/>
    <cellStyle name="SAPBEXheaderText 9" xfId="635" xr:uid="{00000000-0005-0000-0000-00008D020000}"/>
    <cellStyle name="SAPBEXHLevel0" xfId="274" xr:uid="{00000000-0005-0000-0000-00008E020000}"/>
    <cellStyle name="SAPBEXHLevel0 2" xfId="275" xr:uid="{00000000-0005-0000-0000-00008F020000}"/>
    <cellStyle name="SAPBEXHLevel0 2 2" xfId="813" xr:uid="{00000000-0005-0000-0000-000090020000}"/>
    <cellStyle name="SAPBEXHLevel0 3" xfId="276" xr:uid="{00000000-0005-0000-0000-000091020000}"/>
    <cellStyle name="SAPBEXHLevel0 3 2" xfId="636" xr:uid="{00000000-0005-0000-0000-000092020000}"/>
    <cellStyle name="SAPBEXHLevel0 3 2 2" xfId="637" xr:uid="{00000000-0005-0000-0000-000093020000}"/>
    <cellStyle name="SAPBEXHLevel0 3 2 3" xfId="906" xr:uid="{00000000-0005-0000-0000-000094020000}"/>
    <cellStyle name="SAPBEXHLevel0 3 3" xfId="840" xr:uid="{00000000-0005-0000-0000-000095020000}"/>
    <cellStyle name="SAPBEXHLevel0 4" xfId="277" xr:uid="{00000000-0005-0000-0000-000096020000}"/>
    <cellStyle name="SAPBEXHLevel0 4 2" xfId="838" xr:uid="{00000000-0005-0000-0000-000097020000}"/>
    <cellStyle name="SAPBEXHLevel0 5" xfId="278" xr:uid="{00000000-0005-0000-0000-000098020000}"/>
    <cellStyle name="SAPBEXHLevel0 5 2" xfId="872" xr:uid="{00000000-0005-0000-0000-000099020000}"/>
    <cellStyle name="SAPBEXHLevel0 6" xfId="717" xr:uid="{00000000-0005-0000-0000-00009A020000}"/>
    <cellStyle name="SAPBEXHLevel0X" xfId="279" xr:uid="{00000000-0005-0000-0000-00009B020000}"/>
    <cellStyle name="SAPBEXHLevel0X 2" xfId="280" xr:uid="{00000000-0005-0000-0000-00009C020000}"/>
    <cellStyle name="SAPBEXHLevel0X 2 2" xfId="691" xr:uid="{00000000-0005-0000-0000-00009D020000}"/>
    <cellStyle name="SAPBEXHLevel0X 3" xfId="281" xr:uid="{00000000-0005-0000-0000-00009E020000}"/>
    <cellStyle name="SAPBEXHLevel0X 3 2" xfId="841" xr:uid="{00000000-0005-0000-0000-00009F020000}"/>
    <cellStyle name="SAPBEXHLevel0X 4" xfId="282" xr:uid="{00000000-0005-0000-0000-0000A0020000}"/>
    <cellStyle name="SAPBEXHLevel0X 4 2" xfId="638" xr:uid="{00000000-0005-0000-0000-0000A1020000}"/>
    <cellStyle name="SAPBEXHLevel0X 4 2 2" xfId="907" xr:uid="{00000000-0005-0000-0000-0000A2020000}"/>
    <cellStyle name="SAPBEXHLevel0X 4 3" xfId="803" xr:uid="{00000000-0005-0000-0000-0000A3020000}"/>
    <cellStyle name="SAPBEXHLevel0X 5" xfId="283" xr:uid="{00000000-0005-0000-0000-0000A4020000}"/>
    <cellStyle name="SAPBEXHLevel0X 5 2" xfId="873" xr:uid="{00000000-0005-0000-0000-0000A5020000}"/>
    <cellStyle name="SAPBEXHLevel0X 6" xfId="639" xr:uid="{00000000-0005-0000-0000-0000A6020000}"/>
    <cellStyle name="SAPBEXHLevel0X 6 2" xfId="908" xr:uid="{00000000-0005-0000-0000-0000A7020000}"/>
    <cellStyle name="SAPBEXHLevel0X 7" xfId="718" xr:uid="{00000000-0005-0000-0000-0000A8020000}"/>
    <cellStyle name="SAPBEXHLevel1" xfId="284" xr:uid="{00000000-0005-0000-0000-0000A9020000}"/>
    <cellStyle name="SAPBEXHLevel1 2" xfId="285" xr:uid="{00000000-0005-0000-0000-0000AA020000}"/>
    <cellStyle name="SAPBEXHLevel1 2 2" xfId="690" xr:uid="{00000000-0005-0000-0000-0000AB020000}"/>
    <cellStyle name="SAPBEXHLevel1 3" xfId="286" xr:uid="{00000000-0005-0000-0000-0000AC020000}"/>
    <cellStyle name="SAPBEXHLevel1 3 2" xfId="640" xr:uid="{00000000-0005-0000-0000-0000AD020000}"/>
    <cellStyle name="SAPBEXHLevel1 3 2 2" xfId="641" xr:uid="{00000000-0005-0000-0000-0000AE020000}"/>
    <cellStyle name="SAPBEXHLevel1 3 2 3" xfId="909" xr:uid="{00000000-0005-0000-0000-0000AF020000}"/>
    <cellStyle name="SAPBEXHLevel1 3 3" xfId="842" xr:uid="{00000000-0005-0000-0000-0000B0020000}"/>
    <cellStyle name="SAPBEXHLevel1 4" xfId="287" xr:uid="{00000000-0005-0000-0000-0000B1020000}"/>
    <cellStyle name="SAPBEXHLevel1 4 2" xfId="792" xr:uid="{00000000-0005-0000-0000-0000B2020000}"/>
    <cellStyle name="SAPBEXHLevel1 5" xfId="288" xr:uid="{00000000-0005-0000-0000-0000B3020000}"/>
    <cellStyle name="SAPBEXHLevel1 5 2" xfId="874" xr:uid="{00000000-0005-0000-0000-0000B4020000}"/>
    <cellStyle name="SAPBEXHLevel1 6" xfId="719" xr:uid="{00000000-0005-0000-0000-0000B5020000}"/>
    <cellStyle name="SAPBEXHLevel1X" xfId="289" xr:uid="{00000000-0005-0000-0000-0000B6020000}"/>
    <cellStyle name="SAPBEXHLevel1X 2" xfId="290" xr:uid="{00000000-0005-0000-0000-0000B7020000}"/>
    <cellStyle name="SAPBEXHLevel1X 2 2" xfId="814" xr:uid="{00000000-0005-0000-0000-0000B8020000}"/>
    <cellStyle name="SAPBEXHLevel1X 3" xfId="291" xr:uid="{00000000-0005-0000-0000-0000B9020000}"/>
    <cellStyle name="SAPBEXHLevel1X 3 2" xfId="843" xr:uid="{00000000-0005-0000-0000-0000BA020000}"/>
    <cellStyle name="SAPBEXHLevel1X 4" xfId="292" xr:uid="{00000000-0005-0000-0000-0000BB020000}"/>
    <cellStyle name="SAPBEXHLevel1X 4 2" xfId="642" xr:uid="{00000000-0005-0000-0000-0000BC020000}"/>
    <cellStyle name="SAPBEXHLevel1X 4 2 2" xfId="910" xr:uid="{00000000-0005-0000-0000-0000BD020000}"/>
    <cellStyle name="SAPBEXHLevel1X 4 3" xfId="839" xr:uid="{00000000-0005-0000-0000-0000BE020000}"/>
    <cellStyle name="SAPBEXHLevel1X 5" xfId="293" xr:uid="{00000000-0005-0000-0000-0000BF020000}"/>
    <cellStyle name="SAPBEXHLevel1X 5 2" xfId="875" xr:uid="{00000000-0005-0000-0000-0000C0020000}"/>
    <cellStyle name="SAPBEXHLevel1X 6" xfId="643" xr:uid="{00000000-0005-0000-0000-0000C1020000}"/>
    <cellStyle name="SAPBEXHLevel1X 6 2" xfId="911" xr:uid="{00000000-0005-0000-0000-0000C2020000}"/>
    <cellStyle name="SAPBEXHLevel1X 7" xfId="720" xr:uid="{00000000-0005-0000-0000-0000C3020000}"/>
    <cellStyle name="SAPBEXHLevel2" xfId="294" xr:uid="{00000000-0005-0000-0000-0000C4020000}"/>
    <cellStyle name="SAPBEXHLevel2 2" xfId="295" xr:uid="{00000000-0005-0000-0000-0000C5020000}"/>
    <cellStyle name="SAPBEXHLevel2 2 2" xfId="755" xr:uid="{00000000-0005-0000-0000-0000C6020000}"/>
    <cellStyle name="SAPBEXHLevel2 3" xfId="296" xr:uid="{00000000-0005-0000-0000-0000C7020000}"/>
    <cellStyle name="SAPBEXHLevel2 3 2" xfId="644" xr:uid="{00000000-0005-0000-0000-0000C8020000}"/>
    <cellStyle name="SAPBEXHLevel2 3 2 2" xfId="645" xr:uid="{00000000-0005-0000-0000-0000C9020000}"/>
    <cellStyle name="SAPBEXHLevel2 3 2 3" xfId="912" xr:uid="{00000000-0005-0000-0000-0000CA020000}"/>
    <cellStyle name="SAPBEXHLevel2 3 3" xfId="844" xr:uid="{00000000-0005-0000-0000-0000CB020000}"/>
    <cellStyle name="SAPBEXHLevel2 4" xfId="297" xr:uid="{00000000-0005-0000-0000-0000CC020000}"/>
    <cellStyle name="SAPBEXHLevel2 4 2" xfId="802" xr:uid="{00000000-0005-0000-0000-0000CD020000}"/>
    <cellStyle name="SAPBEXHLevel2 5" xfId="298" xr:uid="{00000000-0005-0000-0000-0000CE020000}"/>
    <cellStyle name="SAPBEXHLevel2 5 2" xfId="876" xr:uid="{00000000-0005-0000-0000-0000CF020000}"/>
    <cellStyle name="SAPBEXHLevel2 6" xfId="721" xr:uid="{00000000-0005-0000-0000-0000D0020000}"/>
    <cellStyle name="SAPBEXHLevel2X" xfId="299" xr:uid="{00000000-0005-0000-0000-0000D1020000}"/>
    <cellStyle name="SAPBEXHLevel2X 2" xfId="300" xr:uid="{00000000-0005-0000-0000-0000D2020000}"/>
    <cellStyle name="SAPBEXHLevel2X 2 2" xfId="756" xr:uid="{00000000-0005-0000-0000-0000D3020000}"/>
    <cellStyle name="SAPBEXHLevel2X 3" xfId="301" xr:uid="{00000000-0005-0000-0000-0000D4020000}"/>
    <cellStyle name="SAPBEXHLevel2X 3 2" xfId="845" xr:uid="{00000000-0005-0000-0000-0000D5020000}"/>
    <cellStyle name="SAPBEXHLevel2X 4" xfId="302" xr:uid="{00000000-0005-0000-0000-0000D6020000}"/>
    <cellStyle name="SAPBEXHLevel2X 4 2" xfId="646" xr:uid="{00000000-0005-0000-0000-0000D7020000}"/>
    <cellStyle name="SAPBEXHLevel2X 4 2 2" xfId="913" xr:uid="{00000000-0005-0000-0000-0000D8020000}"/>
    <cellStyle name="SAPBEXHLevel2X 4 3" xfId="764" xr:uid="{00000000-0005-0000-0000-0000D9020000}"/>
    <cellStyle name="SAPBEXHLevel2X 5" xfId="303" xr:uid="{00000000-0005-0000-0000-0000DA020000}"/>
    <cellStyle name="SAPBEXHLevel2X 5 2" xfId="877" xr:uid="{00000000-0005-0000-0000-0000DB020000}"/>
    <cellStyle name="SAPBEXHLevel2X 6" xfId="647" xr:uid="{00000000-0005-0000-0000-0000DC020000}"/>
    <cellStyle name="SAPBEXHLevel2X 6 2" xfId="914" xr:uid="{00000000-0005-0000-0000-0000DD020000}"/>
    <cellStyle name="SAPBEXHLevel2X 7" xfId="722" xr:uid="{00000000-0005-0000-0000-0000DE020000}"/>
    <cellStyle name="SAPBEXHLevel3" xfId="304" xr:uid="{00000000-0005-0000-0000-0000DF020000}"/>
    <cellStyle name="SAPBEXHLevel3 2" xfId="305" xr:uid="{00000000-0005-0000-0000-0000E0020000}"/>
    <cellStyle name="SAPBEXHLevel3 2 2" xfId="815" xr:uid="{00000000-0005-0000-0000-0000E1020000}"/>
    <cellStyle name="SAPBEXHLevel3 3" xfId="306" xr:uid="{00000000-0005-0000-0000-0000E2020000}"/>
    <cellStyle name="SAPBEXHLevel3 3 2" xfId="648" xr:uid="{00000000-0005-0000-0000-0000E3020000}"/>
    <cellStyle name="SAPBEXHLevel3 3 2 2" xfId="649" xr:uid="{00000000-0005-0000-0000-0000E4020000}"/>
    <cellStyle name="SAPBEXHLevel3 3 2 3" xfId="915" xr:uid="{00000000-0005-0000-0000-0000E5020000}"/>
    <cellStyle name="SAPBEXHLevel3 3 3" xfId="846" xr:uid="{00000000-0005-0000-0000-0000E6020000}"/>
    <cellStyle name="SAPBEXHLevel3 4" xfId="307" xr:uid="{00000000-0005-0000-0000-0000E7020000}"/>
    <cellStyle name="SAPBEXHLevel3 4 2" xfId="848" xr:uid="{00000000-0005-0000-0000-0000E8020000}"/>
    <cellStyle name="SAPBEXHLevel3 5" xfId="308" xr:uid="{00000000-0005-0000-0000-0000E9020000}"/>
    <cellStyle name="SAPBEXHLevel3 5 2" xfId="878" xr:uid="{00000000-0005-0000-0000-0000EA020000}"/>
    <cellStyle name="SAPBEXHLevel3 6" xfId="723" xr:uid="{00000000-0005-0000-0000-0000EB020000}"/>
    <cellStyle name="SAPBEXHLevel3X" xfId="309" xr:uid="{00000000-0005-0000-0000-0000EC020000}"/>
    <cellStyle name="SAPBEXHLevel3X 2" xfId="310" xr:uid="{00000000-0005-0000-0000-0000ED020000}"/>
    <cellStyle name="SAPBEXHLevel3X 2 2" xfId="757" xr:uid="{00000000-0005-0000-0000-0000EE020000}"/>
    <cellStyle name="SAPBEXHLevel3X 3" xfId="311" xr:uid="{00000000-0005-0000-0000-0000EF020000}"/>
    <cellStyle name="SAPBEXHLevel3X 3 2" xfId="847" xr:uid="{00000000-0005-0000-0000-0000F0020000}"/>
    <cellStyle name="SAPBEXHLevel3X 4" xfId="312" xr:uid="{00000000-0005-0000-0000-0000F1020000}"/>
    <cellStyle name="SAPBEXHLevel3X 4 2" xfId="650" xr:uid="{00000000-0005-0000-0000-0000F2020000}"/>
    <cellStyle name="SAPBEXHLevel3X 4 2 2" xfId="916" xr:uid="{00000000-0005-0000-0000-0000F3020000}"/>
    <cellStyle name="SAPBEXHLevel3X 4 3" xfId="763" xr:uid="{00000000-0005-0000-0000-0000F4020000}"/>
    <cellStyle name="SAPBEXHLevel3X 5" xfId="313" xr:uid="{00000000-0005-0000-0000-0000F5020000}"/>
    <cellStyle name="SAPBEXHLevel3X 5 2" xfId="879" xr:uid="{00000000-0005-0000-0000-0000F6020000}"/>
    <cellStyle name="SAPBEXHLevel3X 6" xfId="651" xr:uid="{00000000-0005-0000-0000-0000F7020000}"/>
    <cellStyle name="SAPBEXHLevel3X 6 2" xfId="917" xr:uid="{00000000-0005-0000-0000-0000F8020000}"/>
    <cellStyle name="SAPBEXHLevel3X 7" xfId="724" xr:uid="{00000000-0005-0000-0000-0000F9020000}"/>
    <cellStyle name="SAPBEXchaText" xfId="314" xr:uid="{00000000-0005-0000-0000-0000FA020000}"/>
    <cellStyle name="SAPBEXchaText 2" xfId="652" xr:uid="{00000000-0005-0000-0000-0000FB020000}"/>
    <cellStyle name="SAPBEXchaText 2 2" xfId="653" xr:uid="{00000000-0005-0000-0000-0000FC020000}"/>
    <cellStyle name="SAPBEXchaText 2 2 2" xfId="654" xr:uid="{00000000-0005-0000-0000-0000FD020000}"/>
    <cellStyle name="SAPBEXchaText 2 2 3" xfId="919" xr:uid="{00000000-0005-0000-0000-0000FE020000}"/>
    <cellStyle name="SAPBEXchaText 2 3" xfId="655" xr:uid="{00000000-0005-0000-0000-0000FF020000}"/>
    <cellStyle name="SAPBEXchaText 2 4" xfId="918" xr:uid="{00000000-0005-0000-0000-000000030000}"/>
    <cellStyle name="SAPBEXinputData" xfId="656" xr:uid="{00000000-0005-0000-0000-000001030000}"/>
    <cellStyle name="SAPBEXinputData 2" xfId="657" xr:uid="{00000000-0005-0000-0000-000002030000}"/>
    <cellStyle name="SAPBEXinputData 2 2" xfId="658" xr:uid="{00000000-0005-0000-0000-000003030000}"/>
    <cellStyle name="SAPBEXinputData 2 2 2" xfId="922" xr:uid="{00000000-0005-0000-0000-000004030000}"/>
    <cellStyle name="SAPBEXinputData 2 3" xfId="921" xr:uid="{00000000-0005-0000-0000-000005030000}"/>
    <cellStyle name="SAPBEXinputData 3" xfId="659" xr:uid="{00000000-0005-0000-0000-000006030000}"/>
    <cellStyle name="SAPBEXinputData 3 2" xfId="923" xr:uid="{00000000-0005-0000-0000-000007030000}"/>
    <cellStyle name="SAPBEXinputData 4" xfId="660" xr:uid="{00000000-0005-0000-0000-000008030000}"/>
    <cellStyle name="SAPBEXinputData 4 2" xfId="924" xr:uid="{00000000-0005-0000-0000-000009030000}"/>
    <cellStyle name="SAPBEXinputData 5" xfId="920" xr:uid="{00000000-0005-0000-0000-00000A030000}"/>
    <cellStyle name="SAPBEXItemHeader" xfId="661" xr:uid="{00000000-0005-0000-0000-00000B030000}"/>
    <cellStyle name="SAPBEXItemHeader 2" xfId="925" xr:uid="{00000000-0005-0000-0000-00000C030000}"/>
    <cellStyle name="SAPBEXresData" xfId="315" xr:uid="{00000000-0005-0000-0000-00000D030000}"/>
    <cellStyle name="SAPBEXresData 2" xfId="316" xr:uid="{00000000-0005-0000-0000-00000E030000}"/>
    <cellStyle name="SAPBEXresData 2 2" xfId="769" xr:uid="{00000000-0005-0000-0000-00000F030000}"/>
    <cellStyle name="SAPBEXresData 3" xfId="317" xr:uid="{00000000-0005-0000-0000-000010030000}"/>
    <cellStyle name="SAPBEXresData 3 2" xfId="849" xr:uid="{00000000-0005-0000-0000-000011030000}"/>
    <cellStyle name="SAPBEXresData 4" xfId="318" xr:uid="{00000000-0005-0000-0000-000012030000}"/>
    <cellStyle name="SAPBEXresData 4 2" xfId="857" xr:uid="{00000000-0005-0000-0000-000013030000}"/>
    <cellStyle name="SAPBEXresData 5" xfId="319" xr:uid="{00000000-0005-0000-0000-000014030000}"/>
    <cellStyle name="SAPBEXresData 5 2" xfId="880" xr:uid="{00000000-0005-0000-0000-000015030000}"/>
    <cellStyle name="SAPBEXresData 6" xfId="725" xr:uid="{00000000-0005-0000-0000-000016030000}"/>
    <cellStyle name="SAPBEXresDataEmph" xfId="320" xr:uid="{00000000-0005-0000-0000-000017030000}"/>
    <cellStyle name="SAPBEXresDataEmph 2" xfId="321" xr:uid="{00000000-0005-0000-0000-000018030000}"/>
    <cellStyle name="SAPBEXresDataEmph 2 2" xfId="787" xr:uid="{00000000-0005-0000-0000-000019030000}"/>
    <cellStyle name="SAPBEXresDataEmph 3" xfId="322" xr:uid="{00000000-0005-0000-0000-00001A030000}"/>
    <cellStyle name="SAPBEXresDataEmph 3 2" xfId="850" xr:uid="{00000000-0005-0000-0000-00001B030000}"/>
    <cellStyle name="SAPBEXresDataEmph 4" xfId="323" xr:uid="{00000000-0005-0000-0000-00001C030000}"/>
    <cellStyle name="SAPBEXresDataEmph 4 2" xfId="801" xr:uid="{00000000-0005-0000-0000-00001D030000}"/>
    <cellStyle name="SAPBEXresDataEmph 5" xfId="324" xr:uid="{00000000-0005-0000-0000-00001E030000}"/>
    <cellStyle name="SAPBEXresDataEmph 5 2" xfId="881" xr:uid="{00000000-0005-0000-0000-00001F030000}"/>
    <cellStyle name="SAPBEXresDataEmph 6" xfId="726" xr:uid="{00000000-0005-0000-0000-000020030000}"/>
    <cellStyle name="SAPBEXresItem" xfId="325" xr:uid="{00000000-0005-0000-0000-000021030000}"/>
    <cellStyle name="SAPBEXresItem 2" xfId="326" xr:uid="{00000000-0005-0000-0000-000022030000}"/>
    <cellStyle name="SAPBEXresItem 2 2" xfId="785" xr:uid="{00000000-0005-0000-0000-000023030000}"/>
    <cellStyle name="SAPBEXresItem 3" xfId="327" xr:uid="{00000000-0005-0000-0000-000024030000}"/>
    <cellStyle name="SAPBEXresItem 3 2" xfId="851" xr:uid="{00000000-0005-0000-0000-000025030000}"/>
    <cellStyle name="SAPBEXresItem 4" xfId="328" xr:uid="{00000000-0005-0000-0000-000026030000}"/>
    <cellStyle name="SAPBEXresItem 4 2" xfId="800" xr:uid="{00000000-0005-0000-0000-000027030000}"/>
    <cellStyle name="SAPBEXresItem 5" xfId="329" xr:uid="{00000000-0005-0000-0000-000028030000}"/>
    <cellStyle name="SAPBEXresItem 5 2" xfId="882" xr:uid="{00000000-0005-0000-0000-000029030000}"/>
    <cellStyle name="SAPBEXresItem 6" xfId="727" xr:uid="{00000000-0005-0000-0000-00002A030000}"/>
    <cellStyle name="SAPBEXresItemX" xfId="330" xr:uid="{00000000-0005-0000-0000-00002B030000}"/>
    <cellStyle name="SAPBEXresItemX 2" xfId="331" xr:uid="{00000000-0005-0000-0000-00002C030000}"/>
    <cellStyle name="SAPBEXresItemX 2 2" xfId="770" xr:uid="{00000000-0005-0000-0000-00002D030000}"/>
    <cellStyle name="SAPBEXresItemX 3" xfId="332" xr:uid="{00000000-0005-0000-0000-00002E030000}"/>
    <cellStyle name="SAPBEXresItemX 3 2" xfId="852" xr:uid="{00000000-0005-0000-0000-00002F030000}"/>
    <cellStyle name="SAPBEXresItemX 4" xfId="333" xr:uid="{00000000-0005-0000-0000-000030030000}"/>
    <cellStyle name="SAPBEXresItemX 4 2" xfId="859" xr:uid="{00000000-0005-0000-0000-000031030000}"/>
    <cellStyle name="SAPBEXresItemX 5" xfId="334" xr:uid="{00000000-0005-0000-0000-000032030000}"/>
    <cellStyle name="SAPBEXresItemX 5 2" xfId="883" xr:uid="{00000000-0005-0000-0000-000033030000}"/>
    <cellStyle name="SAPBEXresItemX 6" xfId="728" xr:uid="{00000000-0005-0000-0000-000034030000}"/>
    <cellStyle name="SAPBEXstdData" xfId="335" xr:uid="{00000000-0005-0000-0000-000035030000}"/>
    <cellStyle name="SAPBEXstdData 2" xfId="336" xr:uid="{00000000-0005-0000-0000-000036030000}"/>
    <cellStyle name="SAPBEXstdData 2 2" xfId="662" xr:uid="{00000000-0005-0000-0000-000037030000}"/>
    <cellStyle name="SAPBEXstdData 2 2 2" xfId="663" xr:uid="{00000000-0005-0000-0000-000038030000}"/>
    <cellStyle name="SAPBEXstdData 2 2 3" xfId="926" xr:uid="{00000000-0005-0000-0000-000039030000}"/>
    <cellStyle name="SAPBEXstdData 2 3" xfId="758" xr:uid="{00000000-0005-0000-0000-00003A030000}"/>
    <cellStyle name="SAPBEXstdData 3" xfId="337" xr:uid="{00000000-0005-0000-0000-00003B030000}"/>
    <cellStyle name="SAPBEXstdData 3 2" xfId="853" xr:uid="{00000000-0005-0000-0000-00003C030000}"/>
    <cellStyle name="SAPBEXstdData 4" xfId="338" xr:uid="{00000000-0005-0000-0000-00003D030000}"/>
    <cellStyle name="SAPBEXstdData 4 2" xfId="744" xr:uid="{00000000-0005-0000-0000-00003E030000}"/>
    <cellStyle name="SAPBEXstdData 5" xfId="339" xr:uid="{00000000-0005-0000-0000-00003F030000}"/>
    <cellStyle name="SAPBEXstdData 5 2" xfId="884" xr:uid="{00000000-0005-0000-0000-000040030000}"/>
    <cellStyle name="SAPBEXstdData 6" xfId="729" xr:uid="{00000000-0005-0000-0000-000041030000}"/>
    <cellStyle name="SAPBEXstdDataEmph" xfId="340" xr:uid="{00000000-0005-0000-0000-000042030000}"/>
    <cellStyle name="SAPBEXstdDataEmph 2" xfId="341" xr:uid="{00000000-0005-0000-0000-000043030000}"/>
    <cellStyle name="SAPBEXstdDataEmph 2 2" xfId="664" xr:uid="{00000000-0005-0000-0000-000044030000}"/>
    <cellStyle name="SAPBEXstdDataEmph 2 2 2" xfId="665" xr:uid="{00000000-0005-0000-0000-000045030000}"/>
    <cellStyle name="SAPBEXstdDataEmph 2 2 3" xfId="927" xr:uid="{00000000-0005-0000-0000-000046030000}"/>
    <cellStyle name="SAPBEXstdDataEmph 2 3" xfId="788" xr:uid="{00000000-0005-0000-0000-000047030000}"/>
    <cellStyle name="SAPBEXstdDataEmph 3" xfId="342" xr:uid="{00000000-0005-0000-0000-000048030000}"/>
    <cellStyle name="SAPBEXstdDataEmph 3 2" xfId="854" xr:uid="{00000000-0005-0000-0000-000049030000}"/>
    <cellStyle name="SAPBEXstdDataEmph 4" xfId="343" xr:uid="{00000000-0005-0000-0000-00004A030000}"/>
    <cellStyle name="SAPBEXstdDataEmph 4 2" xfId="761" xr:uid="{00000000-0005-0000-0000-00004B030000}"/>
    <cellStyle name="SAPBEXstdDataEmph 5" xfId="344" xr:uid="{00000000-0005-0000-0000-00004C030000}"/>
    <cellStyle name="SAPBEXstdDataEmph 5 2" xfId="885" xr:uid="{00000000-0005-0000-0000-00004D030000}"/>
    <cellStyle name="SAPBEXstdDataEmph 6" xfId="730" xr:uid="{00000000-0005-0000-0000-00004E030000}"/>
    <cellStyle name="SAPBEXstdItem" xfId="345" xr:uid="{00000000-0005-0000-0000-00004F030000}"/>
    <cellStyle name="SAPBEXstdItem 2" xfId="346" xr:uid="{00000000-0005-0000-0000-000050030000}"/>
    <cellStyle name="SAPBEXstdItem 2 2" xfId="666" xr:uid="{00000000-0005-0000-0000-000051030000}"/>
    <cellStyle name="SAPBEXstdItem 2 2 2" xfId="667" xr:uid="{00000000-0005-0000-0000-000052030000}"/>
    <cellStyle name="SAPBEXstdItem 2 2 3" xfId="889" xr:uid="{00000000-0005-0000-0000-000053030000}"/>
    <cellStyle name="SAPBEXstdItem 2 3" xfId="816" xr:uid="{00000000-0005-0000-0000-000054030000}"/>
    <cellStyle name="SAPBEXstdItem 3" xfId="347" xr:uid="{00000000-0005-0000-0000-000055030000}"/>
    <cellStyle name="SAPBEXstdItem 3 2" xfId="855" xr:uid="{00000000-0005-0000-0000-000056030000}"/>
    <cellStyle name="SAPBEXstdItem 4" xfId="348" xr:uid="{00000000-0005-0000-0000-000057030000}"/>
    <cellStyle name="SAPBEXstdItem 4 2" xfId="860" xr:uid="{00000000-0005-0000-0000-000058030000}"/>
    <cellStyle name="SAPBEXstdItem 5" xfId="349" xr:uid="{00000000-0005-0000-0000-000059030000}"/>
    <cellStyle name="SAPBEXstdItem 5 2" xfId="886" xr:uid="{00000000-0005-0000-0000-00005A030000}"/>
    <cellStyle name="SAPBEXstdItem 6" xfId="731" xr:uid="{00000000-0005-0000-0000-00005B030000}"/>
    <cellStyle name="SAPBEXstdItemX" xfId="350" xr:uid="{00000000-0005-0000-0000-00005C030000}"/>
    <cellStyle name="SAPBEXstdItemX 2" xfId="351" xr:uid="{00000000-0005-0000-0000-00005D030000}"/>
    <cellStyle name="SAPBEXstdItemX 2 2" xfId="759" xr:uid="{00000000-0005-0000-0000-00005E030000}"/>
    <cellStyle name="SAPBEXstdItemX 3" xfId="352" xr:uid="{00000000-0005-0000-0000-00005F030000}"/>
    <cellStyle name="SAPBEXstdItemX 3 2" xfId="856" xr:uid="{00000000-0005-0000-0000-000060030000}"/>
    <cellStyle name="SAPBEXstdItemX 4" xfId="353" xr:uid="{00000000-0005-0000-0000-000061030000}"/>
    <cellStyle name="SAPBEXstdItemX 4 2" xfId="774" xr:uid="{00000000-0005-0000-0000-000062030000}"/>
    <cellStyle name="SAPBEXstdItemX 5" xfId="354" xr:uid="{00000000-0005-0000-0000-000063030000}"/>
    <cellStyle name="SAPBEXstdItemX 5 2" xfId="887" xr:uid="{00000000-0005-0000-0000-000064030000}"/>
    <cellStyle name="SAPBEXstdItemX 6" xfId="732" xr:uid="{00000000-0005-0000-0000-000065030000}"/>
    <cellStyle name="SAPBEXtitle" xfId="355" xr:uid="{00000000-0005-0000-0000-000066030000}"/>
    <cellStyle name="SAPBEXtitle 10" xfId="668" xr:uid="{00000000-0005-0000-0000-000067030000}"/>
    <cellStyle name="SAPBEXtitle 11" xfId="669" xr:uid="{00000000-0005-0000-0000-000068030000}"/>
    <cellStyle name="SAPBEXtitle 12" xfId="670" xr:uid="{00000000-0005-0000-0000-000069030000}"/>
    <cellStyle name="SAPBEXtitle 2" xfId="671" xr:uid="{00000000-0005-0000-0000-00006A030000}"/>
    <cellStyle name="SAPBEXtitle 3" xfId="672" xr:uid="{00000000-0005-0000-0000-00006B030000}"/>
    <cellStyle name="SAPBEXtitle 3 2" xfId="673" xr:uid="{00000000-0005-0000-0000-00006C030000}"/>
    <cellStyle name="SAPBEXtitle 4" xfId="674" xr:uid="{00000000-0005-0000-0000-00006D030000}"/>
    <cellStyle name="SAPBEXtitle 4 2" xfId="675" xr:uid="{00000000-0005-0000-0000-00006E030000}"/>
    <cellStyle name="SAPBEXtitle 5" xfId="676" xr:uid="{00000000-0005-0000-0000-00006F030000}"/>
    <cellStyle name="SAPBEXtitle 6" xfId="677" xr:uid="{00000000-0005-0000-0000-000070030000}"/>
    <cellStyle name="SAPBEXtitle 7" xfId="678" xr:uid="{00000000-0005-0000-0000-000071030000}"/>
    <cellStyle name="SAPBEXtitle 8" xfId="679" xr:uid="{00000000-0005-0000-0000-000072030000}"/>
    <cellStyle name="SAPBEXtitle 9" xfId="680" xr:uid="{00000000-0005-0000-0000-000073030000}"/>
    <cellStyle name="SAPBEXunassignedItem" xfId="681" xr:uid="{00000000-0005-0000-0000-000074030000}"/>
    <cellStyle name="SAPBEXunassignedItem 2" xfId="682" xr:uid="{00000000-0005-0000-0000-000075030000}"/>
    <cellStyle name="SAPBEXunassignedItem 3" xfId="928" xr:uid="{00000000-0005-0000-0000-000076030000}"/>
    <cellStyle name="SAPBEXundefined" xfId="356" xr:uid="{00000000-0005-0000-0000-000077030000}"/>
    <cellStyle name="SAPBEXundefined 2" xfId="357" xr:uid="{00000000-0005-0000-0000-000078030000}"/>
    <cellStyle name="SAPBEXundefined 2 2" xfId="817" xr:uid="{00000000-0005-0000-0000-000079030000}"/>
    <cellStyle name="SAPBEXundefined 3" xfId="358" xr:uid="{00000000-0005-0000-0000-00007A030000}"/>
    <cellStyle name="SAPBEXundefined 3 2" xfId="858" xr:uid="{00000000-0005-0000-0000-00007B030000}"/>
    <cellStyle name="SAPBEXundefined 4" xfId="359" xr:uid="{00000000-0005-0000-0000-00007C030000}"/>
    <cellStyle name="SAPBEXundefined 4 2" xfId="778" xr:uid="{00000000-0005-0000-0000-00007D030000}"/>
    <cellStyle name="SAPBEXundefined 5" xfId="360" xr:uid="{00000000-0005-0000-0000-00007E030000}"/>
    <cellStyle name="SAPBEXundefined 5 2" xfId="888" xr:uid="{00000000-0005-0000-0000-00007F030000}"/>
    <cellStyle name="SAPBEXundefined 6" xfId="733" xr:uid="{00000000-0005-0000-0000-000080030000}"/>
    <cellStyle name="Sheet Title" xfId="683" xr:uid="{00000000-0005-0000-0000-000081030000}"/>
    <cellStyle name="Štýl 1" xfId="361" xr:uid="{00000000-0005-0000-0000-000082030000}"/>
    <cellStyle name="Štýl 1 2" xfId="362" xr:uid="{00000000-0005-0000-0000-000083030000}"/>
    <cellStyle name="Štýl 2" xfId="363" xr:uid="{00000000-0005-0000-0000-000084030000}"/>
    <cellStyle name="Štýl 2 2" xfId="364" xr:uid="{00000000-0005-0000-0000-000085030000}"/>
    <cellStyle name="Title" xfId="365" xr:uid="{00000000-0005-0000-0000-000086030000}"/>
    <cellStyle name="Total" xfId="366" xr:uid="{00000000-0005-0000-0000-000087030000}"/>
    <cellStyle name="Total 2" xfId="367" xr:uid="{00000000-0005-0000-0000-000088030000}"/>
    <cellStyle name="Total 2 2" xfId="368" xr:uid="{00000000-0005-0000-0000-000089030000}"/>
    <cellStyle name="Total 2 2 2" xfId="771" xr:uid="{00000000-0005-0000-0000-00008A030000}"/>
    <cellStyle name="Total 2 3" xfId="369" xr:uid="{00000000-0005-0000-0000-00008B030000}"/>
    <cellStyle name="Total 2 3 2" xfId="861" xr:uid="{00000000-0005-0000-0000-00008C030000}"/>
    <cellStyle name="Total 2 4" xfId="734" xr:uid="{00000000-0005-0000-0000-00008D030000}"/>
    <cellStyle name="Total 3" xfId="370" xr:uid="{00000000-0005-0000-0000-00008E030000}"/>
    <cellStyle name="Total 3 2" xfId="371" xr:uid="{00000000-0005-0000-0000-00008F030000}"/>
    <cellStyle name="Total 3 2 2" xfId="820" xr:uid="{00000000-0005-0000-0000-000090030000}"/>
    <cellStyle name="Total 3 3" xfId="372" xr:uid="{00000000-0005-0000-0000-000091030000}"/>
    <cellStyle name="Total 3 3 2" xfId="862" xr:uid="{00000000-0005-0000-0000-000092030000}"/>
    <cellStyle name="Total 3 4" xfId="735" xr:uid="{00000000-0005-0000-0000-000093030000}"/>
    <cellStyle name="Total 4" xfId="373" xr:uid="{00000000-0005-0000-0000-000094030000}"/>
    <cellStyle name="Total 4 2" xfId="696" xr:uid="{00000000-0005-0000-0000-000095030000}"/>
    <cellStyle name="Total 5" xfId="374" xr:uid="{00000000-0005-0000-0000-000096030000}"/>
    <cellStyle name="Total 5 2" xfId="745" xr:uid="{00000000-0005-0000-0000-000097030000}"/>
    <cellStyle name="Total 6" xfId="375" xr:uid="{00000000-0005-0000-0000-000098030000}"/>
    <cellStyle name="Total 6 2" xfId="737" xr:uid="{00000000-0005-0000-0000-000099030000}"/>
    <cellStyle name="Total 7" xfId="688" xr:uid="{00000000-0005-0000-0000-00009A030000}"/>
    <cellStyle name="vstu_oby_cele" xfId="376" xr:uid="{00000000-0005-0000-0000-00009B030000}"/>
    <cellStyle name="Vstup 2" xfId="929" xr:uid="{00000000-0005-0000-0000-00009C030000}"/>
    <cellStyle name="VVŠ" xfId="377" xr:uid="{00000000-0005-0000-0000-00009D030000}"/>
    <cellStyle name="VVŠ Modre" xfId="378" xr:uid="{00000000-0005-0000-0000-00009E030000}"/>
    <cellStyle name="výstup koncový" xfId="379" xr:uid="{00000000-0005-0000-0000-00009F030000}"/>
    <cellStyle name="výstup koncový 2" xfId="380" xr:uid="{00000000-0005-0000-0000-0000A0030000}"/>
    <cellStyle name="Warning Text" xfId="381" xr:uid="{00000000-0005-0000-0000-0000A1030000}"/>
  </cellStyles>
  <dxfs count="15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FF0000"/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95B3D7"/>
        </left>
        <right style="thin">
          <color rgb="FF95B3D7"/>
        </right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</font>
      <border>
        <bottom style="medium">
          <color auto="1"/>
        </bottom>
        <horizontal style="medium">
          <color auto="1"/>
        </horizontal>
      </border>
    </dxf>
    <dxf>
      <fill>
        <patternFill>
          <bgColor theme="5" tint="0.59996337778862885"/>
        </patternFill>
      </fill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1" defaultTableStyle="TableStyleMedium2" defaultPivotStyle="PivotStyleLight16">
    <tableStyle name="MySqlDefault" pivot="0" table="0" count="2" xr9:uid="{00000000-0011-0000-FFFF-FFFF00000000}">
      <tableStyleElement type="wholeTable" dxfId="153"/>
      <tableStyleElement type="headerRow" dxfId="152"/>
    </tableStyle>
    <tableStyle name="PivotStyleLight16 4" table="0" count="11" xr9:uid="{00000000-0011-0000-FFFF-FFFF01000000}">
      <tableStyleElement type="headerRow" dxfId="151"/>
      <tableStyleElement type="totalRow" dxfId="150"/>
      <tableStyleElement type="firstRowStripe" dxfId="149"/>
      <tableStyleElement type="firstColumnStripe" dxfId="148"/>
      <tableStyleElement type="firstSubtotalColumn" dxfId="147"/>
      <tableStyleElement type="firstSubtotalRow" dxfId="146"/>
      <tableStyleElement type="secondSubtotalRow" dxfId="145"/>
      <tableStyleElement type="firstRowSubheading" dxfId="144"/>
      <tableStyleElement type="secondRowSubheading" dxfId="143"/>
      <tableStyleElement type="pageFieldLabels" dxfId="142"/>
      <tableStyleElement type="pageFieldValues" dxfId="141"/>
    </tableStyle>
    <tableStyle name="Štýl kontingenčnej tabuľky 1" table="0" count="1" xr9:uid="{00000000-0011-0000-FFFF-FFFF02000000}">
      <tableStyleElement type="firstColumn" dxfId="140"/>
    </tableStyle>
    <tableStyle name="Štýl kontingenčnej tabuľky 2" table="0" count="1" xr9:uid="{00000000-0011-0000-FFFF-FFFF03000000}">
      <tableStyleElement type="totalRow" dxfId="139"/>
    </tableStyle>
    <tableStyle name="Štýl kontingenčnej tabuľky 3" table="0" count="0" xr9:uid="{00000000-0011-0000-FFFF-FFFF04000000}"/>
    <tableStyle name="Štýl kontingenčnej tabuľky 4" table="0" count="1" xr9:uid="{00000000-0011-0000-FFFF-FFFF05000000}">
      <tableStyleElement type="firstColumn" dxfId="138"/>
    </tableStyle>
    <tableStyle name="Štýl kontingenčnej tabuľky 5" table="0" count="0" xr9:uid="{00000000-0011-0000-FFFF-FFFF06000000}"/>
    <tableStyle name="Štýl tabuľky 1" pivot="0" count="1" xr9:uid="{00000000-0011-0000-FFFF-FFFF07000000}">
      <tableStyleElement type="firstColumn" dxfId="137"/>
    </tableStyle>
    <tableStyle name="PivotStyleLight16 2" table="0" count="11" xr9:uid="{00000000-0011-0000-FFFF-FFFF08000000}">
      <tableStyleElement type="headerRow" dxfId="136"/>
      <tableStyleElement type="totalRow" dxfId="135"/>
      <tableStyleElement type="firstRowStripe" dxfId="134"/>
      <tableStyleElement type="firstColumnStripe" dxfId="133"/>
      <tableStyleElement type="firstSubtotalColumn" dxfId="132"/>
      <tableStyleElement type="firstSubtotalRow" dxfId="131"/>
      <tableStyleElement type="secondSubtotalRow" dxfId="130"/>
      <tableStyleElement type="firstRowSubheading" dxfId="129"/>
      <tableStyleElement type="secondRowSubheading" dxfId="128"/>
      <tableStyleElement type="pageFieldLabels" dxfId="127"/>
      <tableStyleElement type="pageFieldValues" dxfId="126"/>
    </tableStyle>
    <tableStyle name="PivotStyleLight16 3" table="0" count="11" xr9:uid="{00000000-0011-0000-FFFF-FFFF09000000}">
      <tableStyleElement type="headerRow" dxfId="125"/>
      <tableStyleElement type="totalRow" dxfId="124"/>
      <tableStyleElement type="firstRowStripe" dxfId="123"/>
      <tableStyleElement type="firstColumnStripe" dxfId="122"/>
      <tableStyleElement type="firstSubtotalColumn" dxfId="121"/>
      <tableStyleElement type="firstSubtotalRow" dxfId="120"/>
      <tableStyleElement type="secondSubtotalRow" dxfId="119"/>
      <tableStyleElement type="firstRowSubheading" dxfId="118"/>
      <tableStyleElement type="secondRowSubheading" dxfId="117"/>
      <tableStyleElement type="pageFieldLabels" dxfId="116"/>
      <tableStyleElement type="pageFieldValues" dxfId="115"/>
    </tableStyle>
    <tableStyle name="TableStyleMedium2 2" pivot="0" count="7" xr9:uid="{00000000-0011-0000-FFFF-FFFF0A000000}">
      <tableStyleElement type="wholeTable" dxfId="114"/>
      <tableStyleElement type="headerRow" dxfId="113"/>
      <tableStyleElement type="totalRow" dxfId="112"/>
      <tableStyleElement type="firstColumn" dxfId="111"/>
      <tableStyleElement type="lastColumn" dxfId="110"/>
      <tableStyleElement type="firstRowStripe" dxfId="109"/>
      <tableStyleElement type="firstColumnStripe" dxfId="108"/>
    </tableStyle>
  </tableStyles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3</xdr:row>
      <xdr:rowOff>9525</xdr:rowOff>
    </xdr:from>
    <xdr:to>
      <xdr:col>4</xdr:col>
      <xdr:colOff>142529</xdr:colOff>
      <xdr:row>13</xdr:row>
      <xdr:rowOff>199679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609600"/>
          <a:ext cx="2190404" cy="21904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pjs-my.sharepoint.com/Users/Roman/OneDrive%20-%20UPJ&#352;/RSfiles/Rozpocet/UPJS/2020/SR/Dec-rozp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pjs-my.sharepoint.com/Rozpocet/SR/2016/finalWEB/RD_2016_V17-we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pjs-my.sharepoint.com/Users/Roman/OneDrive%20-%20UPJ&#352;/RSfiles/Rozpocet/UPJS/2020/SR/FebruarFinal/Rozpis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T1-RD2020_RD_2019-DZ"/>
      <sheetName val="T1-RD2020_RD_2019 (%)"/>
      <sheetName val="T2-KO"/>
      <sheetName val="T2-KAP"/>
      <sheetName val="T2-odbory_predmety"/>
      <sheetName val="T3-vstupy"/>
      <sheetName val="T4-štruk_077"/>
      <sheetName val="T5a-abs"/>
      <sheetName val="T5b-studenti"/>
      <sheetName val="T6a-abs"/>
      <sheetName val="T6b-výkon"/>
      <sheetName val="T6c-výkon-fak"/>
      <sheetName val="T7-mzdy"/>
      <sheetName val="T7a-val-2020"/>
      <sheetName val="T7b-val-1,9,2019-2020"/>
      <sheetName val="T8-TaS"/>
      <sheetName val="T9-kultúra-šport"/>
      <sheetName val="T9a_rozpis na TJ,ŠK"/>
      <sheetName val="T10-prev_ŠD"/>
      <sheetName val="T11-sumár_ŠD"/>
      <sheetName val="T12-špecifiká"/>
      <sheetName val="T13-sumár-špec"/>
      <sheetName val="T14-VVZ"/>
      <sheetName val="T14a-KA"/>
      <sheetName val="T14b-podiely"/>
      <sheetName val="T14c-vstup_DG-ZG"/>
      <sheetName val="T14d-Drš"/>
      <sheetName val="T14e-tímy"/>
      <sheetName val="T14f-EIZ"/>
      <sheetName val="T15-štipendiá-soc"/>
      <sheetName val="T16-KKŠ"/>
      <sheetName val="T17-Klinické-Zahr_lek"/>
      <sheetName val="T18-Mot_štip"/>
      <sheetName val="T19-počty študentov"/>
      <sheetName val="T20-Publik"/>
      <sheetName val="T20a-KT-CRUČ"/>
      <sheetName val="T20b-CRUČ"/>
      <sheetName val="T21-Mobility"/>
      <sheetName val="T21a- mobility"/>
      <sheetName val="T21b-cudzinci"/>
      <sheetName val="T22-praxe"/>
      <sheetName val="T23-špecifické_potreby"/>
      <sheetName val="T24-rozvo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T1-SR2016_RD2015"/>
      <sheetName val="T1-SR2016_RD2015 s korekciou"/>
      <sheetName val="T1-SR2016_RD2015 (%)"/>
      <sheetName val="T2-KO"/>
      <sheetName val="T2-KAP"/>
      <sheetName val="T2-odbory_predmety"/>
      <sheetName val="T3-vstupy"/>
      <sheetName val="T4-štruk_077"/>
      <sheetName val="T5a-abs"/>
      <sheetName val="T5b-studenti"/>
      <sheetName val="T6a-abs"/>
      <sheetName val="T6b-výkon"/>
      <sheetName val="T6c-výkon-fak"/>
      <sheetName val="T7-mzdy"/>
      <sheetName val="T7a-val"/>
      <sheetName val="Korekcia-2015"/>
      <sheetName val="T8-TaS"/>
      <sheetName val="T9-kultúra-šport"/>
      <sheetName val="T9a_rozpis na TJ,ŠK"/>
      <sheetName val="T10-prev_ŠD"/>
      <sheetName val="T11-sumár_ŠD"/>
      <sheetName val="T12-špecifiká"/>
      <sheetName val="T13-sumár-špec"/>
      <sheetName val="T14-VVZ"/>
      <sheetName val="T14a-KA"/>
      <sheetName val="T14b-podiely"/>
      <sheetName val="T14c-vstup_DG-ZG"/>
      <sheetName val="T14d-Drš"/>
      <sheetName val="T15-štipendiá-soc-Drš"/>
      <sheetName val="T16-KKŠ"/>
      <sheetName val="T17-Klinické-Zahr_lek"/>
      <sheetName val="T18-Mot_štip"/>
      <sheetName val="T19-počty študentov"/>
      <sheetName val="T20-Publik"/>
      <sheetName val="T20a-EPC"/>
      <sheetName val="T20b-EUC"/>
      <sheetName val="T21-Mobility"/>
      <sheetName val="T22-praxe"/>
      <sheetName val="T23-špecifické_potreb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T1-RD2020_RD_2019-DZ"/>
      <sheetName val="T1-RD2020_RD_2019 (%)"/>
      <sheetName val="T2-KO"/>
      <sheetName val="T2-KAP"/>
      <sheetName val="T2-odbory_predmety"/>
      <sheetName val="T3-vstupy"/>
      <sheetName val="T4-štruk_077"/>
      <sheetName val="T5a-abs"/>
      <sheetName val="T5b-studenti"/>
      <sheetName val="T6a-abs"/>
      <sheetName val="T6b-výkon"/>
      <sheetName val="T6c-výkon-fak"/>
      <sheetName val="T7-mzdy"/>
      <sheetName val="T7a-val-2020"/>
      <sheetName val="T7b-val-1,9,2019-2020"/>
      <sheetName val="T8-TaS"/>
      <sheetName val="T9-kultúra-šport"/>
      <sheetName val="T9a_rozpis na TJ,ŠK"/>
      <sheetName val="T10-prev_ŠD"/>
      <sheetName val="T11-sumár_ŠD"/>
      <sheetName val="T12-špecifiká"/>
      <sheetName val="T13-sumár-špec"/>
      <sheetName val="T14-VVZ"/>
      <sheetName val="T14a-KA"/>
      <sheetName val="T14b-podiely"/>
      <sheetName val="T14c-vstup_DG-ZG"/>
      <sheetName val="T14d-Drš"/>
      <sheetName val="T14e-tímy"/>
      <sheetName val="T14f-EIZ"/>
      <sheetName val="T15-štipendiá-soc"/>
      <sheetName val="T16-KKŠ"/>
      <sheetName val="T17-Klinické-Zahr_lek"/>
      <sheetName val="T18-Mot_štip"/>
      <sheetName val="T19-počty študentov"/>
      <sheetName val="T20-Publik"/>
      <sheetName val="T20a-KT-CRUČ"/>
      <sheetName val="T20b-CRUČ"/>
      <sheetName val="T21-Mobility"/>
      <sheetName val="T21a- mobility"/>
      <sheetName val="T21b-cudzinci"/>
      <sheetName val="T22-praxe"/>
      <sheetName val="T23-špecifické_potreby"/>
      <sheetName val="T24-rozvo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upjs.sk/vyskum/vedeckovyskumna-cinnost/doktorandsky-portal/doktorandske-studiu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nedu.sk/uspesnost-domacich-a-zahranicnych-grantov-k-rozpisu-dotacii-na-rok-2018/" TargetMode="External"/><Relationship Id="rId2" Type="http://schemas.openxmlformats.org/officeDocument/2006/relationships/hyperlink" Target="https://www.minedu.sk/uspesnost-domacich-a-zahranicnych-projektov-k-rozpisu-dotacii-na-rok-2020/" TargetMode="External"/><Relationship Id="rId1" Type="http://schemas.openxmlformats.org/officeDocument/2006/relationships/hyperlink" Target="https://www.minedu.sk/uspesnost-domacich-a-zahranicnych-grantov-k-rozpisu-dotacii-na-rok-2018/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s://www.minedu.sk/uspesnost-domacich-a-zahranicnych-projektov-k-rozpisu-dotacii-na-rok-2020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F47"/>
  <sheetViews>
    <sheetView topLeftCell="A17" workbookViewId="0">
      <selection activeCell="A30" sqref="A30:B30"/>
    </sheetView>
  </sheetViews>
  <sheetFormatPr defaultColWidth="14.28515625" defaultRowHeight="15.6"/>
  <cols>
    <col min="1" max="4" width="14.28515625" style="23"/>
    <col min="5" max="5" width="14.28515625" style="23" customWidth="1"/>
    <col min="6" max="16384" width="14.28515625" style="23"/>
  </cols>
  <sheetData>
    <row r="18" spans="1:6">
      <c r="A18" s="279" t="str">
        <f>"Rozdelenie dotácie MŠVVaŠ SR
na Univerzite Pavla Jozefa Šafárika v Košiciach
na rok "&amp;Rok</f>
        <v>Rozdelenie dotácie MŠVVaŠ SR
na Univerzite Pavla Jozefa Šafárika v Košiciach
na rok 2023</v>
      </c>
      <c r="B18" s="279"/>
      <c r="C18" s="279"/>
      <c r="D18" s="279"/>
      <c r="E18" s="279"/>
      <c r="F18" s="279"/>
    </row>
    <row r="19" spans="1:6" ht="15.75" customHeight="1">
      <c r="A19" s="279"/>
      <c r="B19" s="279"/>
      <c r="C19" s="279"/>
      <c r="D19" s="279"/>
      <c r="E19" s="279"/>
      <c r="F19" s="279"/>
    </row>
    <row r="20" spans="1:6">
      <c r="A20" s="279"/>
      <c r="B20" s="279"/>
      <c r="C20" s="279"/>
      <c r="D20" s="279"/>
      <c r="E20" s="279"/>
      <c r="F20" s="279"/>
    </row>
    <row r="27" spans="1:6">
      <c r="A27" s="23" t="s">
        <v>0</v>
      </c>
      <c r="B27" s="23" t="s">
        <v>1</v>
      </c>
    </row>
    <row r="28" spans="1:6">
      <c r="A28" s="23" t="s">
        <v>2</v>
      </c>
      <c r="B28" s="23" t="s">
        <v>3</v>
      </c>
    </row>
    <row r="30" spans="1:6">
      <c r="A30" s="280">
        <f>Datum</f>
        <v>44945</v>
      </c>
      <c r="B30" s="280"/>
    </row>
    <row r="32" spans="1:6">
      <c r="A32" s="23" t="s">
        <v>4</v>
      </c>
      <c r="D32" s="39"/>
      <c r="E32" s="39"/>
      <c r="F32" s="39"/>
    </row>
    <row r="33" spans="1:6">
      <c r="A33" s="39" t="s">
        <v>5</v>
      </c>
      <c r="B33" s="39" t="s">
        <v>6</v>
      </c>
      <c r="D33" s="39"/>
      <c r="E33" s="39"/>
      <c r="F33" s="39"/>
    </row>
    <row r="34" spans="1:6">
      <c r="A34" s="39" t="s">
        <v>5</v>
      </c>
      <c r="B34" s="39" t="s">
        <v>7</v>
      </c>
      <c r="D34" s="39"/>
      <c r="E34" s="39"/>
      <c r="F34" s="39"/>
    </row>
    <row r="35" spans="1:6">
      <c r="A35" s="39" t="s">
        <v>8</v>
      </c>
      <c r="B35" s="39" t="s">
        <v>9</v>
      </c>
      <c r="D35" s="39"/>
      <c r="E35" s="39"/>
      <c r="F35" s="39"/>
    </row>
    <row r="36" spans="1:6">
      <c r="A36" s="39" t="s">
        <v>10</v>
      </c>
      <c r="B36" s="39" t="s">
        <v>11</v>
      </c>
      <c r="D36" s="39"/>
      <c r="E36" s="39"/>
      <c r="F36" s="39"/>
    </row>
    <row r="37" spans="1:6">
      <c r="A37" s="39" t="s">
        <v>12</v>
      </c>
      <c r="B37" s="39" t="s">
        <v>13</v>
      </c>
      <c r="D37" s="39"/>
      <c r="E37" s="39"/>
      <c r="F37" s="39"/>
    </row>
    <row r="38" spans="1:6">
      <c r="A38" s="39" t="s">
        <v>14</v>
      </c>
      <c r="B38" s="39" t="s">
        <v>15</v>
      </c>
      <c r="D38" s="39"/>
      <c r="E38" s="39"/>
      <c r="F38" s="39"/>
    </row>
    <row r="39" spans="1:6">
      <c r="A39" s="91"/>
      <c r="B39" s="39"/>
      <c r="D39" s="39"/>
      <c r="E39" s="39"/>
      <c r="F39" s="39"/>
    </row>
    <row r="40" spans="1:6">
      <c r="A40" s="39"/>
      <c r="B40" s="39"/>
      <c r="D40" s="39"/>
      <c r="E40" s="39"/>
      <c r="F40" s="39"/>
    </row>
    <row r="41" spans="1:6">
      <c r="A41" s="39"/>
      <c r="B41" s="39"/>
      <c r="D41" s="39"/>
      <c r="E41" s="39"/>
      <c r="F41" s="39"/>
    </row>
    <row r="42" spans="1:6">
      <c r="A42" s="39"/>
      <c r="B42" s="39"/>
      <c r="C42" s="39"/>
      <c r="D42" s="39"/>
      <c r="E42" s="39"/>
      <c r="F42" s="39"/>
    </row>
    <row r="43" spans="1:6">
      <c r="A43" s="91"/>
      <c r="B43" s="39"/>
      <c r="C43" s="39"/>
      <c r="D43" s="39"/>
      <c r="E43" s="39"/>
      <c r="F43" s="39"/>
    </row>
    <row r="44" spans="1:6">
      <c r="A44" s="91"/>
      <c r="B44" s="39"/>
      <c r="C44" s="39"/>
      <c r="D44" s="39"/>
      <c r="E44" s="39"/>
      <c r="F44" s="39"/>
    </row>
    <row r="45" spans="1:6">
      <c r="A45" s="39"/>
      <c r="B45" s="39"/>
      <c r="C45" s="39"/>
      <c r="D45" s="39"/>
      <c r="E45" s="39"/>
      <c r="F45" s="39"/>
    </row>
    <row r="46" spans="1:6">
      <c r="A46" s="39"/>
      <c r="B46" s="39"/>
      <c r="C46" s="39"/>
      <c r="D46" s="39"/>
      <c r="E46" s="39"/>
      <c r="F46" s="39"/>
    </row>
    <row r="47" spans="1:6">
      <c r="A47" s="39"/>
      <c r="B47" s="39"/>
      <c r="C47" s="39"/>
      <c r="D47" s="39"/>
      <c r="E47" s="39"/>
      <c r="F47" s="39"/>
    </row>
  </sheetData>
  <mergeCells count="2">
    <mergeCell ref="A18:F20"/>
    <mergeCell ref="A30:B30"/>
  </mergeCells>
  <pageMargins left="0.7" right="0.7" top="0.75" bottom="0.75" header="0.3" footer="0.3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39"/>
  <sheetViews>
    <sheetView workbookViewId="0">
      <selection sqref="A1:D1"/>
    </sheetView>
  </sheetViews>
  <sheetFormatPr defaultColWidth="14.28515625" defaultRowHeight="15.6"/>
  <cols>
    <col min="1" max="9" width="17.140625" style="1" customWidth="1"/>
    <col min="10" max="16384" width="14.28515625" style="1"/>
  </cols>
  <sheetData>
    <row r="1" spans="1:9">
      <c r="A1" s="285" t="s">
        <v>383</v>
      </c>
      <c r="B1" s="285"/>
      <c r="C1" s="285"/>
      <c r="D1" s="285"/>
      <c r="E1" s="112" t="s">
        <v>384</v>
      </c>
      <c r="F1" s="113" t="s">
        <v>385</v>
      </c>
      <c r="G1" s="113" t="s">
        <v>386</v>
      </c>
      <c r="H1" s="113" t="s">
        <v>387</v>
      </c>
    </row>
    <row r="2" spans="1:9">
      <c r="A2" s="310" t="s">
        <v>388</v>
      </c>
      <c r="B2" s="310"/>
      <c r="C2" s="310"/>
      <c r="D2" s="310"/>
      <c r="E2" s="222">
        <v>807.5</v>
      </c>
      <c r="F2" s="114">
        <v>832</v>
      </c>
      <c r="G2" s="114">
        <v>915.5</v>
      </c>
      <c r="H2" s="114">
        <v>1025.5</v>
      </c>
    </row>
    <row r="3" spans="1:9">
      <c r="A3" s="310" t="s">
        <v>389</v>
      </c>
      <c r="B3" s="310"/>
      <c r="C3" s="310"/>
      <c r="D3" s="310"/>
      <c r="E3" s="222">
        <v>940.5</v>
      </c>
      <c r="F3" s="114">
        <v>969</v>
      </c>
      <c r="G3" s="114">
        <v>1066</v>
      </c>
      <c r="H3" s="114">
        <v>1194</v>
      </c>
    </row>
    <row r="4" spans="1:9">
      <c r="A4" s="346"/>
      <c r="B4" s="346"/>
      <c r="C4" s="346"/>
      <c r="D4" s="346"/>
      <c r="E4" s="223"/>
      <c r="F4" s="224" t="s">
        <v>390</v>
      </c>
      <c r="G4" s="224" t="s">
        <v>391</v>
      </c>
    </row>
    <row r="5" spans="1:9">
      <c r="A5" s="310" t="s">
        <v>392</v>
      </c>
      <c r="B5" s="310"/>
      <c r="C5" s="310"/>
      <c r="D5" s="310"/>
      <c r="E5" s="225">
        <f>F5*E2*G5</f>
        <v>323000</v>
      </c>
      <c r="F5" s="128">
        <v>100</v>
      </c>
      <c r="G5" s="128">
        <v>4</v>
      </c>
    </row>
    <row r="7" spans="1:9">
      <c r="A7" s="5" t="s">
        <v>393</v>
      </c>
    </row>
    <row r="8" spans="1:9" ht="46.9">
      <c r="A8" s="184"/>
      <c r="B8" s="184" t="s">
        <v>394</v>
      </c>
      <c r="C8" s="184" t="s">
        <v>395</v>
      </c>
      <c r="D8" s="184" t="s">
        <v>396</v>
      </c>
      <c r="E8" s="184" t="s">
        <v>397</v>
      </c>
      <c r="F8" s="184" t="s">
        <v>398</v>
      </c>
      <c r="G8" s="184" t="s">
        <v>399</v>
      </c>
      <c r="H8" s="194" t="s">
        <v>400</v>
      </c>
      <c r="I8" s="194" t="s">
        <v>401</v>
      </c>
    </row>
    <row r="9" spans="1:9">
      <c r="A9" s="153" t="s">
        <v>173</v>
      </c>
      <c r="B9" s="198">
        <f>'07712-TaS'!B13</f>
        <v>0.27133525327500774</v>
      </c>
      <c r="C9" s="198">
        <f>B9/(B$16-B$14-B$15)</f>
        <v>0.28723593964407745</v>
      </c>
      <c r="D9" s="128">
        <v>11</v>
      </c>
      <c r="E9" s="128">
        <f>D9*2</f>
        <v>22</v>
      </c>
      <c r="F9" s="198">
        <f>IF(E9&lt;C9*F$5,C9-E9/$F$5,0)</f>
        <v>6.7235939644077453E-2</v>
      </c>
      <c r="G9" s="226">
        <f>ROUND(F9/F$16*(F$5-E$16),0)</f>
        <v>4</v>
      </c>
      <c r="H9" s="227">
        <f>ROUND(E9+G9,0)</f>
        <v>26</v>
      </c>
      <c r="I9" s="199">
        <f>H9*E$2*G$5</f>
        <v>83980</v>
      </c>
    </row>
    <row r="10" spans="1:9">
      <c r="A10" s="153" t="s">
        <v>174</v>
      </c>
      <c r="B10" s="198">
        <f>'07712-TaS'!B14</f>
        <v>0.52858614402717241</v>
      </c>
      <c r="C10" s="198">
        <f>B10/(B$16-B$14-B$15)</f>
        <v>0.55956215025476475</v>
      </c>
      <c r="D10" s="128">
        <v>18</v>
      </c>
      <c r="E10" s="128">
        <f>D10*2</f>
        <v>36</v>
      </c>
      <c r="F10" s="198">
        <f>IF(E10&lt;C10*F$5,C10-E10/$F$5,0)</f>
        <v>0.19956215025476476</v>
      </c>
      <c r="G10" s="226">
        <f t="shared" ref="G10:G13" si="0">ROUND(F10/F$16*(F$5-E$16),0)</f>
        <v>12</v>
      </c>
      <c r="H10" s="227">
        <f>ROUND(E10+G10,0)</f>
        <v>48</v>
      </c>
      <c r="I10" s="199">
        <f>H10*E$2*G$5</f>
        <v>155040</v>
      </c>
    </row>
    <row r="11" spans="1:9">
      <c r="A11" s="153" t="s">
        <v>175</v>
      </c>
      <c r="B11" s="198">
        <f>'07712-TaS'!B15</f>
        <v>3.6396273281511918E-2</v>
      </c>
      <c r="C11" s="198">
        <f>B11/(B$16-B$14-B$15)</f>
        <v>3.8529153987085826E-2</v>
      </c>
      <c r="D11" s="128">
        <v>5</v>
      </c>
      <c r="E11" s="128">
        <f>D11*2</f>
        <v>10</v>
      </c>
      <c r="F11" s="198">
        <f>IF(E11&lt;C11*F$5,C11-E11/$F$5,0)</f>
        <v>0</v>
      </c>
      <c r="G11" s="226">
        <f t="shared" si="0"/>
        <v>0</v>
      </c>
      <c r="H11" s="227">
        <f>ROUND(E11+G11,0)</f>
        <v>10</v>
      </c>
      <c r="I11" s="199">
        <f>H11*E$2*G$5</f>
        <v>32300</v>
      </c>
    </row>
    <row r="12" spans="1:9">
      <c r="A12" s="153" t="s">
        <v>176</v>
      </c>
      <c r="B12" s="198">
        <f>'07712-TaS'!B16</f>
        <v>1.0262317573308701E-2</v>
      </c>
      <c r="C12" s="198">
        <f>B12/(B$16-B$14-B$15)</f>
        <v>1.086370604452069E-2</v>
      </c>
      <c r="D12" s="128">
        <v>1</v>
      </c>
      <c r="E12" s="128">
        <f>D12*2</f>
        <v>2</v>
      </c>
      <c r="F12" s="198">
        <f>IF(E12&lt;C12*F$5,C12-E12/$F$5,0)</f>
        <v>0</v>
      </c>
      <c r="G12" s="226">
        <f t="shared" si="0"/>
        <v>0</v>
      </c>
      <c r="H12" s="227">
        <f>ROUND(E12+G12,0)</f>
        <v>2</v>
      </c>
      <c r="I12" s="199">
        <f>H12*E$2*G$5</f>
        <v>6460</v>
      </c>
    </row>
    <row r="13" spans="1:9">
      <c r="A13" s="153" t="s">
        <v>177</v>
      </c>
      <c r="B13" s="198">
        <f>'07712-TaS'!B17</f>
        <v>9.806243232571174E-2</v>
      </c>
      <c r="C13" s="198">
        <f>B13/(B$16-B$14-B$15)</f>
        <v>0.10380905006955096</v>
      </c>
      <c r="D13" s="128">
        <v>7</v>
      </c>
      <c r="E13" s="128">
        <f>D13*2</f>
        <v>14</v>
      </c>
      <c r="F13" s="198">
        <f>IF(E13&lt;C13*F$5,C13-E13/$F$5,0)</f>
        <v>0</v>
      </c>
      <c r="G13" s="226">
        <f t="shared" si="0"/>
        <v>0</v>
      </c>
      <c r="H13" s="227">
        <f>ROUND(E13+G13,0)</f>
        <v>14</v>
      </c>
      <c r="I13" s="199">
        <f>H13*E$2*G$5</f>
        <v>45220</v>
      </c>
    </row>
    <row r="14" spans="1:9">
      <c r="A14" s="153" t="s">
        <v>178</v>
      </c>
      <c r="B14" s="198">
        <f>'07712-TaS'!B18</f>
        <v>3.3350811673291867E-3</v>
      </c>
      <c r="C14" s="198"/>
      <c r="D14" s="128"/>
      <c r="E14" s="128"/>
      <c r="F14" s="128"/>
      <c r="G14" s="128"/>
      <c r="H14" s="228"/>
      <c r="I14" s="199"/>
    </row>
    <row r="15" spans="1:9">
      <c r="A15" s="153" t="s">
        <v>179</v>
      </c>
      <c r="B15" s="198">
        <f>'07712-TaS'!B19</f>
        <v>5.202249834995834E-2</v>
      </c>
      <c r="C15" s="198"/>
      <c r="D15" s="128"/>
      <c r="E15" s="128"/>
      <c r="F15" s="198"/>
      <c r="G15" s="226"/>
      <c r="H15" s="227"/>
      <c r="I15" s="199"/>
    </row>
    <row r="16" spans="1:9">
      <c r="A16" s="153" t="s">
        <v>203</v>
      </c>
      <c r="B16" s="196">
        <f t="shared" ref="B16:H16" si="1">SUM(B9:B15)</f>
        <v>1.0000000000000002</v>
      </c>
      <c r="C16" s="196">
        <f t="shared" si="1"/>
        <v>0.99999999999999967</v>
      </c>
      <c r="D16" s="153">
        <f t="shared" si="1"/>
        <v>42</v>
      </c>
      <c r="E16" s="153">
        <f t="shared" si="1"/>
        <v>84</v>
      </c>
      <c r="F16" s="196">
        <f t="shared" si="1"/>
        <v>0.26679808989884224</v>
      </c>
      <c r="G16" s="153">
        <f t="shared" si="1"/>
        <v>16</v>
      </c>
      <c r="H16" s="228">
        <f t="shared" si="1"/>
        <v>100</v>
      </c>
      <c r="I16" s="199">
        <f>SUM(I9:I14)</f>
        <v>323000</v>
      </c>
    </row>
    <row r="17" spans="1:13">
      <c r="D17" s="48" t="s">
        <v>402</v>
      </c>
    </row>
    <row r="18" spans="1:13">
      <c r="A18" s="49"/>
      <c r="D18" s="48"/>
    </row>
    <row r="20" spans="1:13">
      <c r="A20" s="5" t="s">
        <v>403</v>
      </c>
    </row>
    <row r="21" spans="1:13" ht="46.9">
      <c r="A21" s="184"/>
      <c r="B21" s="184" t="s">
        <v>404</v>
      </c>
      <c r="C21" s="184" t="s">
        <v>405</v>
      </c>
      <c r="D21" s="194" t="s">
        <v>406</v>
      </c>
      <c r="F21" s="229"/>
      <c r="G21" s="230" t="s">
        <v>407</v>
      </c>
      <c r="H21" s="230" t="s">
        <v>408</v>
      </c>
    </row>
    <row r="22" spans="1:13">
      <c r="A22" s="153" t="s">
        <v>173</v>
      </c>
      <c r="B22" s="128">
        <v>350</v>
      </c>
      <c r="C22" s="128">
        <v>427</v>
      </c>
      <c r="D22" s="231">
        <f t="shared" ref="D22:D26" si="2">B22*E$2+C22*E$3</f>
        <v>684218.5</v>
      </c>
      <c r="F22" s="153" t="s">
        <v>173</v>
      </c>
      <c r="G22" s="232">
        <v>90</v>
      </c>
      <c r="H22" s="232">
        <v>110</v>
      </c>
    </row>
    <row r="23" spans="1:13">
      <c r="A23" s="153" t="s">
        <v>174</v>
      </c>
      <c r="B23" s="128">
        <v>812</v>
      </c>
      <c r="C23" s="128">
        <v>836</v>
      </c>
      <c r="D23" s="231">
        <f t="shared" si="2"/>
        <v>1441948</v>
      </c>
      <c r="F23" s="153" t="s">
        <v>174</v>
      </c>
      <c r="G23" s="232">
        <v>206</v>
      </c>
      <c r="H23" s="232">
        <v>270</v>
      </c>
    </row>
    <row r="24" spans="1:13">
      <c r="A24" s="153" t="s">
        <v>175</v>
      </c>
      <c r="B24" s="128">
        <v>153</v>
      </c>
      <c r="C24" s="128">
        <v>209</v>
      </c>
      <c r="D24" s="231">
        <f t="shared" si="2"/>
        <v>320112</v>
      </c>
      <c r="F24" s="153" t="s">
        <v>175</v>
      </c>
      <c r="G24" s="232">
        <v>48</v>
      </c>
      <c r="H24" s="232">
        <v>52</v>
      </c>
    </row>
    <row r="25" spans="1:13">
      <c r="A25" s="153" t="s">
        <v>176</v>
      </c>
      <c r="B25" s="128">
        <v>54</v>
      </c>
      <c r="C25" s="128">
        <v>37</v>
      </c>
      <c r="D25" s="231">
        <f t="shared" si="2"/>
        <v>78403.5</v>
      </c>
      <c r="F25" s="153" t="s">
        <v>176</v>
      </c>
      <c r="G25" s="232">
        <v>20</v>
      </c>
      <c r="H25" s="232">
        <v>7</v>
      </c>
    </row>
    <row r="26" spans="1:13">
      <c r="A26" s="153" t="s">
        <v>177</v>
      </c>
      <c r="B26" s="128">
        <v>172</v>
      </c>
      <c r="C26" s="128">
        <v>288</v>
      </c>
      <c r="D26" s="231">
        <f t="shared" si="2"/>
        <v>409754</v>
      </c>
      <c r="F26" s="153" t="s">
        <v>177</v>
      </c>
      <c r="G26" s="232">
        <v>48</v>
      </c>
      <c r="H26" s="232">
        <v>84</v>
      </c>
    </row>
    <row r="27" spans="1:13">
      <c r="A27" s="153" t="s">
        <v>178</v>
      </c>
      <c r="B27" s="128"/>
      <c r="C27" s="128"/>
      <c r="D27" s="231"/>
      <c r="F27" s="153" t="s">
        <v>178</v>
      </c>
      <c r="G27" s="232"/>
      <c r="H27" s="232"/>
    </row>
    <row r="28" spans="1:13">
      <c r="A28" s="153" t="s">
        <v>203</v>
      </c>
      <c r="B28" s="153">
        <f>SUM(B22:B27)</f>
        <v>1541</v>
      </c>
      <c r="C28" s="153">
        <f>SUM(C22:C27)</f>
        <v>1797</v>
      </c>
      <c r="D28" s="231">
        <f>SUM(D22:D27)</f>
        <v>2934436</v>
      </c>
      <c r="F28" s="153" t="s">
        <v>203</v>
      </c>
      <c r="G28" s="153">
        <f>SUM(G22:G27)</f>
        <v>412</v>
      </c>
      <c r="H28" s="153">
        <f>SUM(H22:H27)</f>
        <v>523</v>
      </c>
    </row>
    <row r="30" spans="1:13">
      <c r="A30" s="111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</row>
    <row r="31" spans="1:13" ht="31.15">
      <c r="A31" s="153" t="s">
        <v>409</v>
      </c>
      <c r="B31" s="171" t="s">
        <v>410</v>
      </c>
      <c r="C31" s="129" t="s">
        <v>411</v>
      </c>
      <c r="D31" s="129" t="s">
        <v>412</v>
      </c>
      <c r="E31" s="194" t="s">
        <v>413</v>
      </c>
    </row>
    <row r="32" spans="1:13">
      <c r="A32" s="229" t="s">
        <v>414</v>
      </c>
      <c r="B32" s="233">
        <f>$B22*B$38+$C22*B$39</f>
        <v>91388.5</v>
      </c>
      <c r="C32" s="233">
        <f>$G22*C$38+$H22*C$39</f>
        <v>23980</v>
      </c>
      <c r="D32" s="233">
        <f>H9*D$38*4</f>
        <v>22672</v>
      </c>
      <c r="E32" s="231">
        <f>SUM(B32:D32)</f>
        <v>138040.5</v>
      </c>
    </row>
    <row r="33" spans="1:5">
      <c r="A33" s="229" t="s">
        <v>415</v>
      </c>
      <c r="B33" s="233">
        <f>$B23*B$38+$C23*B$39</f>
        <v>192614</v>
      </c>
      <c r="C33" s="233">
        <f>$G23*C$38+$H23*C$39</f>
        <v>57220</v>
      </c>
      <c r="D33" s="233">
        <f>H10*D$38*4</f>
        <v>41856</v>
      </c>
      <c r="E33" s="231">
        <f t="shared" ref="E33:E36" si="3">SUM(B33:D33)</f>
        <v>291690</v>
      </c>
    </row>
    <row r="34" spans="1:5">
      <c r="A34" s="229" t="s">
        <v>416</v>
      </c>
      <c r="B34" s="233">
        <f>$B24*B$38+$C24*B$39</f>
        <v>42753.5</v>
      </c>
      <c r="C34" s="233">
        <f>$G24*C$38+$H24*C$39</f>
        <v>11936</v>
      </c>
      <c r="D34" s="233">
        <f>H11*D$38*4</f>
        <v>8720</v>
      </c>
      <c r="E34" s="231">
        <f t="shared" si="3"/>
        <v>63409.5</v>
      </c>
    </row>
    <row r="35" spans="1:5">
      <c r="A35" s="229" t="s">
        <v>417</v>
      </c>
      <c r="B35" s="233">
        <f>$B25*B$38+$C25*B$39</f>
        <v>10475.5</v>
      </c>
      <c r="C35" s="233">
        <f>$G25*C$38+$H25*C$39</f>
        <v>3096</v>
      </c>
      <c r="D35" s="233">
        <f>H12*D$38*4</f>
        <v>1744</v>
      </c>
      <c r="E35" s="231">
        <f t="shared" si="3"/>
        <v>15315.5</v>
      </c>
    </row>
    <row r="36" spans="1:5">
      <c r="A36" s="229" t="s">
        <v>418</v>
      </c>
      <c r="B36" s="233">
        <f>$B26*B$38+$C26*B$39</f>
        <v>54720</v>
      </c>
      <c r="C36" s="233">
        <f>$G26*C$38+$H26*C$39</f>
        <v>16032</v>
      </c>
      <c r="D36" s="233">
        <f>H13*D$38*4</f>
        <v>12208</v>
      </c>
      <c r="E36" s="231">
        <f t="shared" si="3"/>
        <v>82960</v>
      </c>
    </row>
    <row r="37" spans="1:5">
      <c r="A37" s="153" t="s">
        <v>203</v>
      </c>
      <c r="B37" s="234">
        <f>SUM(B31:B36)</f>
        <v>391951.5</v>
      </c>
      <c r="C37" s="234">
        <f t="shared" ref="C37" si="4">SUM(C31:C36)</f>
        <v>112264</v>
      </c>
      <c r="D37" s="234">
        <f t="shared" ref="D37" si="5">SUM(D31:D36)</f>
        <v>87200</v>
      </c>
      <c r="E37" s="231">
        <f>SUM(E32:E36)</f>
        <v>591415.5</v>
      </c>
    </row>
    <row r="38" spans="1:5">
      <c r="A38" s="1" t="s">
        <v>419</v>
      </c>
      <c r="B38" s="25">
        <f>G2-E2</f>
        <v>108</v>
      </c>
      <c r="C38" s="25">
        <f>H2-G2</f>
        <v>110</v>
      </c>
      <c r="D38" s="52">
        <f>B38+C38</f>
        <v>218</v>
      </c>
    </row>
    <row r="39" spans="1:5">
      <c r="A39" s="1" t="s">
        <v>420</v>
      </c>
      <c r="B39" s="25">
        <f>G3-E3</f>
        <v>125.5</v>
      </c>
      <c r="C39" s="25">
        <f>H3-G3</f>
        <v>128</v>
      </c>
      <c r="D39" s="52">
        <f>B39+C39</f>
        <v>253.5</v>
      </c>
    </row>
  </sheetData>
  <mergeCells count="5">
    <mergeCell ref="A5:D5"/>
    <mergeCell ref="A1:D1"/>
    <mergeCell ref="A2:D2"/>
    <mergeCell ref="A3:D3"/>
    <mergeCell ref="A4:D4"/>
  </mergeCells>
  <hyperlinks>
    <hyperlink ref="D17" r:id="rId1" xr:uid="{00000000-0004-0000-0900-000000000000}"/>
  </hyperlinks>
  <pageMargins left="0.31496062992125984" right="0.31496062992125984" top="0.74803149606299213" bottom="0.55118110236220474" header="0.31496062992125984" footer="0.31496062992125984"/>
  <pageSetup paperSize="9" scale="74" orientation="landscape" r:id="rId2"/>
  <headerFooter scaleWithDoc="0">
    <oddHeader>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59"/>
  <sheetViews>
    <sheetView workbookViewId="0">
      <selection activeCell="E18" sqref="E18"/>
    </sheetView>
  </sheetViews>
  <sheetFormatPr defaultColWidth="14.28515625" defaultRowHeight="15.6"/>
  <cols>
    <col min="1" max="7" width="14.28515625" style="4"/>
    <col min="8" max="11" width="14.28515625" style="4" customWidth="1"/>
    <col min="12" max="16384" width="14.28515625" style="4"/>
  </cols>
  <sheetData>
    <row r="1" spans="1:13">
      <c r="A1" s="285" t="s">
        <v>421</v>
      </c>
      <c r="B1" s="285"/>
      <c r="C1" s="285"/>
      <c r="D1" s="285"/>
      <c r="E1" s="5"/>
    </row>
    <row r="2" spans="1:13">
      <c r="A2" s="310" t="s">
        <v>422</v>
      </c>
      <c r="B2" s="310"/>
      <c r="C2" s="310"/>
      <c r="D2" s="310"/>
      <c r="E2" s="178"/>
      <c r="F2" s="135"/>
      <c r="H2" s="348" t="s">
        <v>423</v>
      </c>
      <c r="I2" s="348"/>
      <c r="J2" s="348"/>
      <c r="K2" s="348"/>
      <c r="L2" s="348"/>
      <c r="M2" s="348"/>
    </row>
    <row r="3" spans="1:13">
      <c r="A3" s="310" t="s">
        <v>424</v>
      </c>
      <c r="B3" s="310"/>
      <c r="C3" s="310"/>
      <c r="D3" s="310"/>
      <c r="E3" s="178">
        <f>VstupySR!B24</f>
        <v>328200</v>
      </c>
      <c r="F3" s="211"/>
      <c r="H3" s="4" t="s">
        <v>425</v>
      </c>
      <c r="I3" s="4" t="s">
        <v>426</v>
      </c>
      <c r="L3" s="70" t="s">
        <v>427</v>
      </c>
      <c r="M3" s="70" t="s">
        <v>428</v>
      </c>
    </row>
    <row r="4" spans="1:13">
      <c r="A4" s="312" t="s">
        <v>429</v>
      </c>
      <c r="B4" s="312"/>
      <c r="C4" s="312"/>
      <c r="D4" s="312"/>
      <c r="E4" s="199">
        <f>ROUND(E3*F4,0)</f>
        <v>49230</v>
      </c>
      <c r="F4" s="235">
        <f>VstupyUPJS!B37</f>
        <v>0.15</v>
      </c>
      <c r="H4" s="102" t="s">
        <v>174</v>
      </c>
      <c r="I4" s="103" t="s">
        <v>430</v>
      </c>
      <c r="J4" s="103"/>
      <c r="K4" s="103"/>
      <c r="L4" s="103">
        <v>1</v>
      </c>
      <c r="M4" s="102">
        <v>22</v>
      </c>
    </row>
    <row r="5" spans="1:13">
      <c r="A5" s="310" t="s">
        <v>431</v>
      </c>
      <c r="B5" s="310"/>
      <c r="C5" s="310"/>
      <c r="D5" s="310"/>
      <c r="E5" s="178">
        <f>E3-E4</f>
        <v>278970</v>
      </c>
      <c r="F5" s="135"/>
      <c r="H5" s="102" t="s">
        <v>174</v>
      </c>
      <c r="I5" s="103" t="s">
        <v>432</v>
      </c>
      <c r="J5" s="103"/>
      <c r="K5" s="103"/>
      <c r="L5" s="103">
        <v>1</v>
      </c>
      <c r="M5" s="102">
        <v>78</v>
      </c>
    </row>
    <row r="6" spans="1:13">
      <c r="A6" s="310" t="s">
        <v>433</v>
      </c>
      <c r="B6" s="310"/>
      <c r="C6" s="310"/>
      <c r="D6" s="310"/>
      <c r="E6" s="178">
        <f>VstupySR!B23</f>
        <v>143370</v>
      </c>
      <c r="F6" s="135"/>
      <c r="H6" s="102" t="s">
        <v>174</v>
      </c>
      <c r="I6" s="103" t="s">
        <v>434</v>
      </c>
      <c r="J6" s="103"/>
      <c r="K6" s="103"/>
      <c r="L6" s="103">
        <v>1</v>
      </c>
      <c r="M6" s="102">
        <v>25</v>
      </c>
    </row>
    <row r="7" spans="1:13">
      <c r="H7" s="102" t="s">
        <v>174</v>
      </c>
      <c r="I7" s="103" t="s">
        <v>435</v>
      </c>
      <c r="J7" s="103"/>
      <c r="K7" s="103"/>
      <c r="L7" s="103">
        <v>1</v>
      </c>
      <c r="M7" s="102">
        <v>61</v>
      </c>
    </row>
    <row r="8" spans="1:13">
      <c r="A8" s="287" t="s">
        <v>436</v>
      </c>
      <c r="B8" s="287"/>
      <c r="C8" s="287"/>
      <c r="H8" s="102" t="s">
        <v>174</v>
      </c>
      <c r="I8" s="103" t="s">
        <v>437</v>
      </c>
      <c r="J8" s="103"/>
      <c r="K8" s="103"/>
      <c r="L8" s="103">
        <v>1</v>
      </c>
      <c r="M8" s="102">
        <v>31</v>
      </c>
    </row>
    <row r="9" spans="1:13">
      <c r="A9" s="349"/>
      <c r="B9" s="350" t="s">
        <v>438</v>
      </c>
      <c r="C9" s="351" t="s">
        <v>422</v>
      </c>
      <c r="D9" s="350" t="s">
        <v>439</v>
      </c>
      <c r="E9" s="351" t="s">
        <v>433</v>
      </c>
      <c r="H9" s="102" t="s">
        <v>174</v>
      </c>
      <c r="I9" s="103" t="s">
        <v>440</v>
      </c>
      <c r="J9" s="103"/>
      <c r="K9" s="103"/>
      <c r="L9" s="103">
        <v>1</v>
      </c>
      <c r="M9" s="102">
        <v>27</v>
      </c>
    </row>
    <row r="10" spans="1:13" ht="15.75" customHeight="1">
      <c r="A10" s="349"/>
      <c r="B10" s="350"/>
      <c r="C10" s="351"/>
      <c r="D10" s="350"/>
      <c r="E10" s="351"/>
      <c r="H10" s="102" t="s">
        <v>174</v>
      </c>
      <c r="I10" s="103" t="s">
        <v>441</v>
      </c>
      <c r="J10" s="103"/>
      <c r="K10" s="103"/>
      <c r="L10" s="103">
        <v>1</v>
      </c>
      <c r="M10" s="102">
        <v>11</v>
      </c>
    </row>
    <row r="11" spans="1:13">
      <c r="A11" s="349"/>
      <c r="B11" s="350"/>
      <c r="C11" s="351"/>
      <c r="D11" s="350"/>
      <c r="E11" s="351"/>
      <c r="H11" s="102" t="s">
        <v>174</v>
      </c>
      <c r="I11" s="103" t="s">
        <v>442</v>
      </c>
      <c r="J11" s="103"/>
      <c r="K11" s="103"/>
      <c r="L11" s="103">
        <v>1</v>
      </c>
      <c r="M11" s="102">
        <v>11</v>
      </c>
    </row>
    <row r="12" spans="1:13" s="12" customFormat="1">
      <c r="A12" s="349"/>
      <c r="B12" s="350"/>
      <c r="C12" s="351"/>
      <c r="D12" s="350"/>
      <c r="E12" s="351"/>
      <c r="H12" s="102" t="s">
        <v>174</v>
      </c>
      <c r="I12" s="103" t="s">
        <v>443</v>
      </c>
      <c r="J12" s="103"/>
      <c r="K12" s="103"/>
      <c r="L12" s="103">
        <v>1</v>
      </c>
      <c r="M12" s="102">
        <v>9</v>
      </c>
    </row>
    <row r="13" spans="1:13">
      <c r="A13" s="153" t="s">
        <v>173</v>
      </c>
      <c r="B13" s="128">
        <v>3115</v>
      </c>
      <c r="C13" s="199">
        <f t="shared" ref="C13:C18" si="0">ROUND(B13/B$19*$E$5,0)</f>
        <v>132388</v>
      </c>
      <c r="D13" s="128">
        <v>69</v>
      </c>
      <c r="E13" s="199">
        <f t="shared" ref="E13:E18" si="1">ROUND(D13/D$19*$E$6,0)</f>
        <v>12420</v>
      </c>
      <c r="F13" s="54"/>
      <c r="H13" s="102" t="s">
        <v>174</v>
      </c>
      <c r="I13" s="103" t="s">
        <v>444</v>
      </c>
      <c r="J13" s="103"/>
      <c r="K13" s="103"/>
      <c r="L13" s="103">
        <v>1</v>
      </c>
      <c r="M13" s="102">
        <v>2</v>
      </c>
    </row>
    <row r="14" spans="1:13">
      <c r="A14" s="153" t="s">
        <v>174</v>
      </c>
      <c r="B14" s="128">
        <v>775.5</v>
      </c>
      <c r="C14" s="199">
        <f t="shared" si="0"/>
        <v>32959</v>
      </c>
      <c r="D14" s="226">
        <v>632.5</v>
      </c>
      <c r="E14" s="199">
        <f t="shared" si="1"/>
        <v>113850</v>
      </c>
      <c r="F14" s="26"/>
      <c r="H14" s="104" t="s">
        <v>174</v>
      </c>
      <c r="I14" s="105" t="s">
        <v>445</v>
      </c>
      <c r="J14" s="105"/>
      <c r="K14" s="105"/>
      <c r="L14" s="105">
        <v>1</v>
      </c>
      <c r="M14" s="104">
        <v>15</v>
      </c>
    </row>
    <row r="15" spans="1:13">
      <c r="A15" s="153" t="s">
        <v>175</v>
      </c>
      <c r="B15" s="128">
        <v>708</v>
      </c>
      <c r="C15" s="199">
        <f t="shared" si="0"/>
        <v>30090</v>
      </c>
      <c r="D15" s="128">
        <v>0</v>
      </c>
      <c r="E15" s="199">
        <f t="shared" si="1"/>
        <v>0</v>
      </c>
      <c r="F15" s="26"/>
      <c r="H15" s="104" t="s">
        <v>174</v>
      </c>
      <c r="I15" s="105" t="s">
        <v>446</v>
      </c>
      <c r="J15" s="105"/>
      <c r="K15" s="105"/>
      <c r="L15" s="105">
        <v>1</v>
      </c>
      <c r="M15" s="104">
        <v>94</v>
      </c>
    </row>
    <row r="16" spans="1:13">
      <c r="A16" s="153" t="s">
        <v>176</v>
      </c>
      <c r="B16" s="128">
        <v>567</v>
      </c>
      <c r="C16" s="199">
        <f t="shared" si="0"/>
        <v>24098</v>
      </c>
      <c r="D16" s="128">
        <v>0</v>
      </c>
      <c r="E16" s="199">
        <f t="shared" si="1"/>
        <v>0</v>
      </c>
      <c r="H16" s="104" t="s">
        <v>174</v>
      </c>
      <c r="I16" s="105" t="s">
        <v>447</v>
      </c>
      <c r="J16" s="105"/>
      <c r="K16" s="105"/>
      <c r="L16" s="105">
        <v>1</v>
      </c>
      <c r="M16" s="104">
        <v>16</v>
      </c>
    </row>
    <row r="17" spans="1:13">
      <c r="A17" s="153" t="s">
        <v>177</v>
      </c>
      <c r="B17" s="128">
        <v>1313.5</v>
      </c>
      <c r="C17" s="199">
        <f t="shared" si="0"/>
        <v>55824</v>
      </c>
      <c r="D17" s="128">
        <v>95</v>
      </c>
      <c r="E17" s="199">
        <f t="shared" si="1"/>
        <v>17100</v>
      </c>
      <c r="F17" s="4" t="s">
        <v>448</v>
      </c>
      <c r="H17" s="104" t="s">
        <v>174</v>
      </c>
      <c r="I17" s="105" t="s">
        <v>449</v>
      </c>
      <c r="J17" s="105"/>
      <c r="K17" s="105"/>
      <c r="L17" s="105">
        <v>1</v>
      </c>
      <c r="M17" s="104">
        <v>21</v>
      </c>
    </row>
    <row r="18" spans="1:13">
      <c r="A18" s="153" t="s">
        <v>178</v>
      </c>
      <c r="B18" s="128">
        <v>85</v>
      </c>
      <c r="C18" s="199">
        <f t="shared" si="0"/>
        <v>3613</v>
      </c>
      <c r="D18" s="128">
        <v>0</v>
      </c>
      <c r="E18" s="199">
        <f t="shared" si="1"/>
        <v>0</v>
      </c>
      <c r="H18" s="104" t="s">
        <v>174</v>
      </c>
      <c r="I18" s="105" t="s">
        <v>450</v>
      </c>
      <c r="J18" s="105"/>
      <c r="K18" s="105"/>
      <c r="L18" s="105">
        <v>1</v>
      </c>
      <c r="M18" s="104">
        <v>1</v>
      </c>
    </row>
    <row r="19" spans="1:13">
      <c r="A19" s="153" t="s">
        <v>203</v>
      </c>
      <c r="B19" s="153">
        <f>SUM(B13:B18)</f>
        <v>6564</v>
      </c>
      <c r="C19" s="199">
        <f>SUM(C13:C18)</f>
        <v>278972</v>
      </c>
      <c r="D19" s="153">
        <f>SUM(D13:D18)</f>
        <v>796.5</v>
      </c>
      <c r="E19" s="199">
        <f>SUM(E13:E18)</f>
        <v>143370</v>
      </c>
      <c r="H19" s="104" t="s">
        <v>174</v>
      </c>
      <c r="I19" s="105" t="s">
        <v>451</v>
      </c>
      <c r="J19" s="105"/>
      <c r="K19" s="105"/>
      <c r="L19" s="105">
        <v>1</v>
      </c>
      <c r="M19" s="104">
        <v>7</v>
      </c>
    </row>
    <row r="20" spans="1:13">
      <c r="A20" s="34" t="s">
        <v>253</v>
      </c>
      <c r="B20" s="46">
        <v>6564</v>
      </c>
      <c r="D20" s="53">
        <v>796.5</v>
      </c>
      <c r="H20" s="104" t="s">
        <v>174</v>
      </c>
      <c r="I20" s="105" t="s">
        <v>452</v>
      </c>
      <c r="J20" s="105"/>
      <c r="K20" s="105"/>
      <c r="L20" s="105">
        <v>1</v>
      </c>
      <c r="M20" s="104">
        <v>9</v>
      </c>
    </row>
    <row r="21" spans="1:13">
      <c r="B21" s="4" t="s">
        <v>453</v>
      </c>
      <c r="D21" s="4" t="s">
        <v>454</v>
      </c>
      <c r="H21" s="104" t="s">
        <v>174</v>
      </c>
      <c r="I21" s="105" t="s">
        <v>455</v>
      </c>
      <c r="J21" s="105"/>
      <c r="K21" s="105"/>
      <c r="L21" s="105">
        <v>1</v>
      </c>
      <c r="M21" s="104">
        <v>1</v>
      </c>
    </row>
    <row r="22" spans="1:13">
      <c r="H22" s="104" t="s">
        <v>174</v>
      </c>
      <c r="I22" s="105" t="s">
        <v>456</v>
      </c>
      <c r="J22" s="105"/>
      <c r="K22" s="105"/>
      <c r="L22" s="105">
        <v>1</v>
      </c>
      <c r="M22" s="104">
        <v>14</v>
      </c>
    </row>
    <row r="23" spans="1:13">
      <c r="A23" s="348" t="s">
        <v>423</v>
      </c>
      <c r="B23" s="348"/>
      <c r="C23" s="348"/>
      <c r="D23" s="348"/>
      <c r="E23" s="348"/>
      <c r="F23" s="348"/>
      <c r="H23" s="104" t="s">
        <v>174</v>
      </c>
      <c r="I23" s="105" t="s">
        <v>457</v>
      </c>
      <c r="J23" s="105"/>
      <c r="K23" s="105"/>
      <c r="L23" s="105">
        <v>1</v>
      </c>
      <c r="M23" s="104">
        <v>3</v>
      </c>
    </row>
    <row r="24" spans="1:13">
      <c r="A24" s="4" t="s">
        <v>425</v>
      </c>
      <c r="B24" s="4" t="s">
        <v>426</v>
      </c>
      <c r="E24" s="70" t="s">
        <v>427</v>
      </c>
      <c r="F24" s="70" t="s">
        <v>428</v>
      </c>
      <c r="H24" s="104" t="s">
        <v>174</v>
      </c>
      <c r="I24" s="105" t="s">
        <v>458</v>
      </c>
      <c r="J24" s="105"/>
      <c r="K24" s="105"/>
      <c r="L24" s="105">
        <v>1</v>
      </c>
      <c r="M24" s="104">
        <v>4</v>
      </c>
    </row>
    <row r="25" spans="1:13">
      <c r="A25" s="98" t="s">
        <v>173</v>
      </c>
      <c r="B25" s="99" t="s">
        <v>459</v>
      </c>
      <c r="C25" s="98"/>
      <c r="D25" s="98"/>
      <c r="E25" s="99">
        <v>1</v>
      </c>
      <c r="F25" s="98">
        <v>69</v>
      </c>
      <c r="H25" s="104" t="s">
        <v>174</v>
      </c>
      <c r="I25" s="105" t="s">
        <v>460</v>
      </c>
      <c r="J25" s="105"/>
      <c r="K25" s="105"/>
      <c r="L25" s="105">
        <v>1</v>
      </c>
      <c r="M25" s="104">
        <v>8</v>
      </c>
    </row>
    <row r="26" spans="1:13">
      <c r="A26" s="100" t="s">
        <v>177</v>
      </c>
      <c r="B26" s="101" t="s">
        <v>461</v>
      </c>
      <c r="C26" s="100"/>
      <c r="D26" s="100"/>
      <c r="E26" s="101">
        <v>1</v>
      </c>
      <c r="F26" s="100">
        <v>11</v>
      </c>
      <c r="H26" s="104" t="s">
        <v>174</v>
      </c>
      <c r="I26" s="105" t="s">
        <v>462</v>
      </c>
      <c r="J26" s="105"/>
      <c r="K26" s="105"/>
      <c r="L26" s="105">
        <v>1</v>
      </c>
      <c r="M26" s="104">
        <v>4</v>
      </c>
    </row>
    <row r="27" spans="1:13">
      <c r="A27" s="100" t="s">
        <v>177</v>
      </c>
      <c r="B27" s="101" t="s">
        <v>463</v>
      </c>
      <c r="C27" s="100"/>
      <c r="D27" s="100"/>
      <c r="E27" s="101">
        <v>1</v>
      </c>
      <c r="F27" s="100">
        <v>3</v>
      </c>
      <c r="H27" s="104" t="s">
        <v>174</v>
      </c>
      <c r="I27" s="105" t="s">
        <v>464</v>
      </c>
      <c r="J27" s="105"/>
      <c r="K27" s="105"/>
      <c r="L27" s="105">
        <v>1</v>
      </c>
      <c r="M27" s="104">
        <v>7</v>
      </c>
    </row>
    <row r="28" spans="1:13">
      <c r="A28" s="100" t="s">
        <v>177</v>
      </c>
      <c r="B28" s="101" t="s">
        <v>465</v>
      </c>
      <c r="C28" s="100"/>
      <c r="D28" s="100"/>
      <c r="E28" s="101">
        <v>1</v>
      </c>
      <c r="F28" s="100">
        <v>31</v>
      </c>
      <c r="H28" s="104" t="s">
        <v>174</v>
      </c>
      <c r="I28" s="105" t="s">
        <v>466</v>
      </c>
      <c r="J28" s="105"/>
      <c r="K28" s="105"/>
      <c r="L28" s="105">
        <v>1</v>
      </c>
      <c r="M28" s="104">
        <v>1</v>
      </c>
    </row>
    <row r="29" spans="1:13">
      <c r="A29" s="100" t="s">
        <v>177</v>
      </c>
      <c r="B29" s="101" t="s">
        <v>467</v>
      </c>
      <c r="C29" s="100"/>
      <c r="D29" s="100"/>
      <c r="E29" s="101">
        <v>1</v>
      </c>
      <c r="F29" s="100">
        <v>21</v>
      </c>
      <c r="H29" s="104" t="s">
        <v>174</v>
      </c>
      <c r="I29" s="105" t="s">
        <v>468</v>
      </c>
      <c r="J29" s="105"/>
      <c r="K29" s="105"/>
      <c r="L29" s="105">
        <v>1</v>
      </c>
      <c r="M29" s="104">
        <v>1</v>
      </c>
    </row>
    <row r="30" spans="1:13">
      <c r="A30" s="100" t="s">
        <v>177</v>
      </c>
      <c r="B30" s="101" t="s">
        <v>469</v>
      </c>
      <c r="C30" s="100"/>
      <c r="D30" s="100"/>
      <c r="E30" s="101">
        <v>1</v>
      </c>
      <c r="F30" s="100">
        <v>15</v>
      </c>
      <c r="H30" s="104" t="s">
        <v>174</v>
      </c>
      <c r="I30" s="105" t="s">
        <v>470</v>
      </c>
      <c r="J30" s="105"/>
      <c r="K30" s="105"/>
      <c r="L30" s="105">
        <v>1</v>
      </c>
      <c r="M30" s="104">
        <v>17</v>
      </c>
    </row>
    <row r="31" spans="1:13">
      <c r="A31" s="100" t="s">
        <v>177</v>
      </c>
      <c r="B31" s="101" t="s">
        <v>471</v>
      </c>
      <c r="C31" s="100"/>
      <c r="D31" s="100"/>
      <c r="E31" s="101">
        <v>1</v>
      </c>
      <c r="F31" s="100">
        <v>8</v>
      </c>
      <c r="H31" s="104" t="s">
        <v>174</v>
      </c>
      <c r="I31" s="105" t="s">
        <v>472</v>
      </c>
      <c r="J31" s="105"/>
      <c r="K31" s="105"/>
      <c r="L31" s="105">
        <v>1</v>
      </c>
      <c r="M31" s="104">
        <v>1</v>
      </c>
    </row>
    <row r="32" spans="1:13">
      <c r="A32" s="100" t="s">
        <v>177</v>
      </c>
      <c r="B32" s="101" t="s">
        <v>473</v>
      </c>
      <c r="C32" s="100"/>
      <c r="D32" s="100"/>
      <c r="E32" s="101">
        <v>1</v>
      </c>
      <c r="F32" s="100">
        <v>4</v>
      </c>
      <c r="H32" s="102" t="s">
        <v>174</v>
      </c>
      <c r="I32" s="103" t="s">
        <v>474</v>
      </c>
      <c r="J32" s="103"/>
      <c r="K32" s="103"/>
      <c r="L32" s="103">
        <v>2</v>
      </c>
      <c r="M32" s="102">
        <v>1</v>
      </c>
    </row>
    <row r="33" spans="1:13">
      <c r="A33" s="100" t="s">
        <v>177</v>
      </c>
      <c r="B33" s="101" t="s">
        <v>475</v>
      </c>
      <c r="C33" s="100"/>
      <c r="D33" s="100"/>
      <c r="E33" s="101">
        <v>1</v>
      </c>
      <c r="F33" s="100">
        <v>2</v>
      </c>
      <c r="H33" s="102" t="s">
        <v>174</v>
      </c>
      <c r="I33" s="103" t="s">
        <v>476</v>
      </c>
      <c r="J33" s="103"/>
      <c r="K33" s="103"/>
      <c r="L33" s="103">
        <v>2</v>
      </c>
      <c r="M33" s="102">
        <v>2</v>
      </c>
    </row>
    <row r="34" spans="1:13">
      <c r="E34" s="55"/>
      <c r="H34" s="102" t="s">
        <v>174</v>
      </c>
      <c r="I34" s="103" t="s">
        <v>477</v>
      </c>
      <c r="J34" s="103"/>
      <c r="K34" s="103"/>
      <c r="L34" s="103">
        <v>2</v>
      </c>
      <c r="M34" s="102">
        <v>6</v>
      </c>
    </row>
    <row r="35" spans="1:13">
      <c r="H35" s="102" t="s">
        <v>174</v>
      </c>
      <c r="I35" s="103" t="s">
        <v>443</v>
      </c>
      <c r="J35" s="103"/>
      <c r="K35" s="103"/>
      <c r="L35" s="103">
        <v>2</v>
      </c>
      <c r="M35" s="102">
        <v>4</v>
      </c>
    </row>
    <row r="36" spans="1:13">
      <c r="H36" s="102" t="s">
        <v>174</v>
      </c>
      <c r="I36" s="103" t="s">
        <v>434</v>
      </c>
      <c r="J36" s="103"/>
      <c r="K36" s="103"/>
      <c r="L36" s="103">
        <v>2</v>
      </c>
      <c r="M36" s="102">
        <v>9</v>
      </c>
    </row>
    <row r="37" spans="1:13">
      <c r="H37" s="102" t="s">
        <v>174</v>
      </c>
      <c r="I37" s="103" t="s">
        <v>440</v>
      </c>
      <c r="J37" s="103"/>
      <c r="K37" s="103"/>
      <c r="L37" s="103">
        <v>2</v>
      </c>
      <c r="M37" s="102">
        <v>14</v>
      </c>
    </row>
    <row r="38" spans="1:13">
      <c r="H38" s="102" t="s">
        <v>174</v>
      </c>
      <c r="I38" s="103" t="s">
        <v>478</v>
      </c>
      <c r="J38" s="103"/>
      <c r="K38" s="103"/>
      <c r="L38" s="103">
        <v>2</v>
      </c>
      <c r="M38" s="102">
        <v>9</v>
      </c>
    </row>
    <row r="39" spans="1:13">
      <c r="H39" s="102" t="s">
        <v>174</v>
      </c>
      <c r="I39" s="103" t="s">
        <v>470</v>
      </c>
      <c r="J39" s="103"/>
      <c r="K39" s="103"/>
      <c r="L39" s="103">
        <v>2</v>
      </c>
      <c r="M39" s="102">
        <v>4</v>
      </c>
    </row>
    <row r="40" spans="1:13">
      <c r="A40" s="347" t="s">
        <v>479</v>
      </c>
      <c r="B40" s="347"/>
      <c r="C40" s="347"/>
      <c r="D40" s="347"/>
      <c r="E40" s="347"/>
      <c r="F40" s="347"/>
      <c r="H40" s="102" t="s">
        <v>174</v>
      </c>
      <c r="I40" s="103" t="s">
        <v>480</v>
      </c>
      <c r="J40" s="103"/>
      <c r="K40" s="103"/>
      <c r="L40" s="103">
        <v>2</v>
      </c>
      <c r="M40" s="102">
        <v>17</v>
      </c>
    </row>
    <row r="41" spans="1:13">
      <c r="A41" s="71" t="s">
        <v>425</v>
      </c>
      <c r="B41" s="71" t="s">
        <v>426</v>
      </c>
      <c r="E41" s="72" t="s">
        <v>427</v>
      </c>
      <c r="F41" s="72" t="s">
        <v>481</v>
      </c>
      <c r="H41" s="102" t="s">
        <v>174</v>
      </c>
      <c r="I41" s="103" t="s">
        <v>482</v>
      </c>
      <c r="J41" s="103"/>
      <c r="K41" s="103"/>
      <c r="L41" s="103">
        <v>2</v>
      </c>
      <c r="M41" s="102">
        <v>12</v>
      </c>
    </row>
    <row r="42" spans="1:13">
      <c r="A42" s="71" t="s">
        <v>174</v>
      </c>
      <c r="B42" s="71" t="s">
        <v>483</v>
      </c>
      <c r="C42" s="71"/>
      <c r="D42" s="71"/>
      <c r="E42" s="71">
        <v>2</v>
      </c>
      <c r="F42" s="73">
        <v>0.78260869565217395</v>
      </c>
      <c r="H42" s="102" t="s">
        <v>174</v>
      </c>
      <c r="I42" s="103" t="s">
        <v>441</v>
      </c>
      <c r="J42" s="103"/>
      <c r="K42" s="103"/>
      <c r="L42" s="103">
        <v>2</v>
      </c>
      <c r="M42" s="102">
        <v>5</v>
      </c>
    </row>
    <row r="43" spans="1:13">
      <c r="A43" s="71" t="s">
        <v>174</v>
      </c>
      <c r="B43" s="71" t="s">
        <v>484</v>
      </c>
      <c r="C43" s="71"/>
      <c r="D43" s="71"/>
      <c r="E43" s="71">
        <v>2</v>
      </c>
      <c r="F43" s="73">
        <v>0.86206896551724133</v>
      </c>
      <c r="H43" s="102" t="s">
        <v>174</v>
      </c>
      <c r="I43" s="103" t="s">
        <v>485</v>
      </c>
      <c r="J43" s="103"/>
      <c r="K43" s="103"/>
      <c r="L43" s="103">
        <v>2</v>
      </c>
      <c r="M43" s="102">
        <v>4</v>
      </c>
    </row>
    <row r="44" spans="1:13">
      <c r="A44" s="71" t="s">
        <v>174</v>
      </c>
      <c r="B44" s="71" t="s">
        <v>430</v>
      </c>
      <c r="C44" s="71"/>
      <c r="D44" s="71"/>
      <c r="E44" s="71">
        <v>2</v>
      </c>
      <c r="F44" s="73">
        <v>0.7142857142857143</v>
      </c>
      <c r="H44" s="102" t="s">
        <v>174</v>
      </c>
      <c r="I44" s="103" t="s">
        <v>442</v>
      </c>
      <c r="J44" s="103"/>
      <c r="K44" s="103"/>
      <c r="L44" s="103">
        <v>2</v>
      </c>
      <c r="M44" s="102">
        <v>2</v>
      </c>
    </row>
    <row r="45" spans="1:13">
      <c r="A45" s="71" t="s">
        <v>174</v>
      </c>
      <c r="B45" s="71" t="s">
        <v>486</v>
      </c>
      <c r="E45" s="71">
        <v>2</v>
      </c>
      <c r="F45" s="73">
        <v>0.83333333333333337</v>
      </c>
      <c r="H45" s="104" t="s">
        <v>174</v>
      </c>
      <c r="I45" s="105" t="s">
        <v>487</v>
      </c>
      <c r="J45" s="105"/>
      <c r="K45" s="105"/>
      <c r="L45" s="105">
        <v>2</v>
      </c>
      <c r="M45" s="104">
        <v>22</v>
      </c>
    </row>
    <row r="46" spans="1:13">
      <c r="A46" s="71" t="s">
        <v>174</v>
      </c>
      <c r="B46" s="71" t="s">
        <v>488</v>
      </c>
      <c r="C46" s="71"/>
      <c r="D46" s="71"/>
      <c r="E46" s="71">
        <v>2</v>
      </c>
      <c r="F46" s="73">
        <v>0.85714285714285721</v>
      </c>
      <c r="H46" s="104" t="s">
        <v>174</v>
      </c>
      <c r="I46" s="105" t="s">
        <v>489</v>
      </c>
      <c r="J46" s="105"/>
      <c r="K46" s="105"/>
      <c r="L46" s="105">
        <v>2</v>
      </c>
      <c r="M46" s="104">
        <v>14</v>
      </c>
    </row>
    <row r="47" spans="1:13">
      <c r="A47" s="71" t="s">
        <v>174</v>
      </c>
      <c r="B47" s="71" t="s">
        <v>490</v>
      </c>
      <c r="C47" s="71"/>
      <c r="D47" s="71"/>
      <c r="E47" s="71">
        <v>2</v>
      </c>
      <c r="F47" s="73">
        <v>0.88888888888888884</v>
      </c>
      <c r="H47" s="104" t="s">
        <v>174</v>
      </c>
      <c r="I47" s="105" t="s">
        <v>491</v>
      </c>
      <c r="J47" s="105"/>
      <c r="K47" s="105"/>
      <c r="L47" s="105">
        <v>2</v>
      </c>
      <c r="M47" s="104">
        <v>4.5</v>
      </c>
    </row>
    <row r="48" spans="1:13">
      <c r="A48" s="71" t="s">
        <v>174</v>
      </c>
      <c r="B48" s="71" t="s">
        <v>492</v>
      </c>
      <c r="E48" s="71">
        <v>2</v>
      </c>
      <c r="F48" s="73">
        <v>0</v>
      </c>
      <c r="H48" s="104" t="s">
        <v>174</v>
      </c>
      <c r="I48" s="105" t="s">
        <v>493</v>
      </c>
      <c r="J48" s="105"/>
      <c r="K48" s="105"/>
      <c r="L48" s="105">
        <v>2</v>
      </c>
      <c r="M48" s="104">
        <v>2</v>
      </c>
    </row>
    <row r="49" spans="7:13">
      <c r="I49" s="55"/>
      <c r="J49" s="55"/>
      <c r="K49" s="55"/>
      <c r="L49" s="55"/>
    </row>
    <row r="50" spans="7:13">
      <c r="I50" s="55"/>
      <c r="J50" s="55"/>
      <c r="K50" s="55"/>
      <c r="L50" s="55"/>
    </row>
    <row r="51" spans="7:13">
      <c r="G51" s="106"/>
      <c r="H51" s="106"/>
      <c r="I51" s="106"/>
      <c r="J51" s="106"/>
      <c r="K51" s="106"/>
      <c r="L51" s="106"/>
      <c r="M51" s="106"/>
    </row>
    <row r="52" spans="7:13">
      <c r="G52" s="71"/>
    </row>
    <row r="53" spans="7:13">
      <c r="G53" s="71"/>
    </row>
    <row r="54" spans="7:13">
      <c r="G54" s="71"/>
    </row>
    <row r="55" spans="7:13">
      <c r="G55" s="71"/>
    </row>
    <row r="56" spans="7:13">
      <c r="G56" s="71"/>
    </row>
    <row r="57" spans="7:13">
      <c r="G57" s="71"/>
    </row>
    <row r="58" spans="7:13">
      <c r="G58" s="71"/>
    </row>
    <row r="59" spans="7:13">
      <c r="G59" s="71"/>
    </row>
  </sheetData>
  <mergeCells count="15">
    <mergeCell ref="H2:M2"/>
    <mergeCell ref="A23:F23"/>
    <mergeCell ref="A9:A12"/>
    <mergeCell ref="B9:B12"/>
    <mergeCell ref="C9:C12"/>
    <mergeCell ref="D9:D12"/>
    <mergeCell ref="E9:E12"/>
    <mergeCell ref="A40:F40"/>
    <mergeCell ref="A8:C8"/>
    <mergeCell ref="A5:D5"/>
    <mergeCell ref="A6:D6"/>
    <mergeCell ref="A1:D1"/>
    <mergeCell ref="A2:D2"/>
    <mergeCell ref="A3:D3"/>
    <mergeCell ref="A4:D4"/>
  </mergeCells>
  <conditionalFormatting sqref="B20">
    <cfRule type="cellIs" dxfId="30" priority="2" operator="between">
      <formula>B19-0.9</formula>
      <formula>B19+0.9</formula>
    </cfRule>
  </conditionalFormatting>
  <conditionalFormatting sqref="D20">
    <cfRule type="cellIs" dxfId="29" priority="1" operator="between">
      <formula>D19-0.9</formula>
      <formula>D19+0.9</formula>
    </cfRule>
  </conditionalFormatting>
  <pageMargins left="0.31496062992125984" right="0.31496062992125984" top="0.74803149606299213" bottom="0.55118110236220474" header="0.31496062992125984" footer="0.31496062992125984"/>
  <pageSetup paperSize="9" scale="68" orientation="landscape" r:id="rId1"/>
  <headerFooter scaleWithDoc="0"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67"/>
  <sheetViews>
    <sheetView topLeftCell="A57" workbookViewId="0">
      <selection activeCell="B62" sqref="B62"/>
    </sheetView>
  </sheetViews>
  <sheetFormatPr defaultColWidth="14.28515625" defaultRowHeight="15.6"/>
  <cols>
    <col min="1" max="1" width="14.7109375" style="4" customWidth="1"/>
    <col min="2" max="2" width="12" style="4" customWidth="1"/>
    <col min="3" max="3" width="14.140625" style="4" customWidth="1"/>
    <col min="4" max="7" width="14.28515625" style="4" customWidth="1"/>
    <col min="8" max="11" width="14.28515625" style="10" customWidth="1"/>
    <col min="12" max="16384" width="14.28515625" style="4"/>
  </cols>
  <sheetData>
    <row r="1" spans="1:8" s="32" customFormat="1" ht="46.9">
      <c r="A1" s="14" t="s">
        <v>494</v>
      </c>
      <c r="B1" s="14" t="s">
        <v>194</v>
      </c>
      <c r="C1" s="14" t="s">
        <v>495</v>
      </c>
      <c r="D1" s="14" t="s">
        <v>496</v>
      </c>
      <c r="E1" s="14" t="s">
        <v>497</v>
      </c>
      <c r="F1" s="14" t="s">
        <v>498</v>
      </c>
      <c r="G1" s="14" t="s">
        <v>499</v>
      </c>
      <c r="H1" s="6"/>
    </row>
    <row r="2" spans="1:8">
      <c r="A2" s="15" t="s">
        <v>500</v>
      </c>
      <c r="B2" s="236" t="s">
        <v>174</v>
      </c>
      <c r="C2" s="237">
        <v>24</v>
      </c>
      <c r="D2" s="236" t="s">
        <v>501</v>
      </c>
      <c r="E2" s="238">
        <v>4</v>
      </c>
      <c r="F2" s="239">
        <v>16.170000000000002</v>
      </c>
      <c r="G2" s="16">
        <f t="shared" ref="G2:G17" si="0">(E2-1)^2*F2</f>
        <v>145.53000000000003</v>
      </c>
    </row>
    <row r="3" spans="1:8">
      <c r="A3" s="15" t="s">
        <v>500</v>
      </c>
      <c r="B3" s="236" t="s">
        <v>178</v>
      </c>
      <c r="C3" s="237">
        <v>21</v>
      </c>
      <c r="D3" s="236" t="s">
        <v>502</v>
      </c>
      <c r="E3" s="238">
        <v>1.7</v>
      </c>
      <c r="F3" s="239">
        <v>2.67</v>
      </c>
      <c r="G3" s="16">
        <f t="shared" si="0"/>
        <v>1.3082999999999998</v>
      </c>
    </row>
    <row r="4" spans="1:8">
      <c r="A4" s="15" t="s">
        <v>500</v>
      </c>
      <c r="B4" s="236" t="s">
        <v>173</v>
      </c>
      <c r="C4" s="237">
        <v>18</v>
      </c>
      <c r="D4" s="236" t="s">
        <v>501</v>
      </c>
      <c r="E4" s="238">
        <v>3.95</v>
      </c>
      <c r="F4" s="239">
        <v>236.5</v>
      </c>
      <c r="G4" s="16">
        <f t="shared" si="0"/>
        <v>2058.1412500000001</v>
      </c>
    </row>
    <row r="5" spans="1:8">
      <c r="A5" s="15" t="s">
        <v>500</v>
      </c>
      <c r="B5" s="236" t="s">
        <v>174</v>
      </c>
      <c r="C5" s="237">
        <v>16</v>
      </c>
      <c r="D5" s="236" t="s">
        <v>503</v>
      </c>
      <c r="E5" s="238">
        <v>3.5</v>
      </c>
      <c r="F5" s="239">
        <v>12.17</v>
      </c>
      <c r="G5" s="16">
        <f t="shared" si="0"/>
        <v>76.0625</v>
      </c>
    </row>
    <row r="6" spans="1:8">
      <c r="A6" s="15" t="s">
        <v>500</v>
      </c>
      <c r="B6" s="236" t="s">
        <v>174</v>
      </c>
      <c r="C6" s="237">
        <v>13</v>
      </c>
      <c r="D6" s="236" t="s">
        <v>501</v>
      </c>
      <c r="E6" s="238">
        <v>3.9</v>
      </c>
      <c r="F6" s="239">
        <v>24.33</v>
      </c>
      <c r="G6" s="16">
        <f t="shared" si="0"/>
        <v>204.61529999999999</v>
      </c>
    </row>
    <row r="7" spans="1:8">
      <c r="A7" s="15" t="s">
        <v>500</v>
      </c>
      <c r="B7" s="236" t="s">
        <v>174</v>
      </c>
      <c r="C7" s="237">
        <v>12</v>
      </c>
      <c r="D7" s="236" t="s">
        <v>501</v>
      </c>
      <c r="E7" s="238">
        <v>3.95</v>
      </c>
      <c r="F7" s="239">
        <v>34.5</v>
      </c>
      <c r="G7" s="16">
        <f t="shared" si="0"/>
        <v>300.23625000000004</v>
      </c>
    </row>
    <row r="8" spans="1:8">
      <c r="A8" s="15" t="s">
        <v>500</v>
      </c>
      <c r="B8" s="236" t="s">
        <v>174</v>
      </c>
      <c r="C8" s="237">
        <v>10</v>
      </c>
      <c r="D8" s="236" t="s">
        <v>503</v>
      </c>
      <c r="E8" s="238">
        <v>3.7</v>
      </c>
      <c r="F8" s="239">
        <v>7.67</v>
      </c>
      <c r="G8" s="16">
        <f t="shared" si="0"/>
        <v>55.914300000000004</v>
      </c>
    </row>
    <row r="9" spans="1:8">
      <c r="A9" s="15" t="s">
        <v>500</v>
      </c>
      <c r="B9" s="236" t="s">
        <v>174</v>
      </c>
      <c r="C9" s="237">
        <v>9</v>
      </c>
      <c r="D9" s="236" t="s">
        <v>504</v>
      </c>
      <c r="E9" s="238">
        <v>3.1</v>
      </c>
      <c r="F9" s="239">
        <v>9.5</v>
      </c>
      <c r="G9" s="16">
        <f t="shared" si="0"/>
        <v>41.895000000000003</v>
      </c>
    </row>
    <row r="10" spans="1:8">
      <c r="A10" s="15" t="s">
        <v>500</v>
      </c>
      <c r="B10" s="236" t="s">
        <v>174</v>
      </c>
      <c r="C10" s="237">
        <v>9</v>
      </c>
      <c r="D10" s="236" t="s">
        <v>501</v>
      </c>
      <c r="E10" s="238">
        <v>4</v>
      </c>
      <c r="F10" s="239">
        <v>31</v>
      </c>
      <c r="G10" s="16">
        <f t="shared" si="0"/>
        <v>279</v>
      </c>
    </row>
    <row r="11" spans="1:8">
      <c r="A11" s="15" t="s">
        <v>500</v>
      </c>
      <c r="B11" s="236" t="s">
        <v>505</v>
      </c>
      <c r="C11" s="237">
        <v>7</v>
      </c>
      <c r="D11" s="236" t="s">
        <v>503</v>
      </c>
      <c r="E11" s="238">
        <v>3.5</v>
      </c>
      <c r="F11" s="239">
        <v>44.5</v>
      </c>
      <c r="G11" s="16">
        <f t="shared" si="0"/>
        <v>278.125</v>
      </c>
    </row>
    <row r="12" spans="1:8">
      <c r="A12" s="15" t="s">
        <v>500</v>
      </c>
      <c r="B12" s="236" t="s">
        <v>177</v>
      </c>
      <c r="C12" s="237">
        <v>6</v>
      </c>
      <c r="D12" s="236" t="s">
        <v>503</v>
      </c>
      <c r="E12" s="238">
        <v>3.5</v>
      </c>
      <c r="F12" s="239">
        <v>16.489999999999998</v>
      </c>
      <c r="G12" s="16">
        <f t="shared" si="0"/>
        <v>103.06249999999999</v>
      </c>
    </row>
    <row r="13" spans="1:8">
      <c r="A13" s="15" t="s">
        <v>500</v>
      </c>
      <c r="B13" s="236" t="s">
        <v>176</v>
      </c>
      <c r="C13" s="237">
        <v>6</v>
      </c>
      <c r="D13" s="236" t="s">
        <v>506</v>
      </c>
      <c r="E13" s="238">
        <v>2.65</v>
      </c>
      <c r="F13" s="239">
        <v>23.34</v>
      </c>
      <c r="G13" s="16">
        <f t="shared" si="0"/>
        <v>63.54314999999999</v>
      </c>
    </row>
    <row r="14" spans="1:8">
      <c r="A14" s="15" t="s">
        <v>500</v>
      </c>
      <c r="B14" s="237" t="s">
        <v>177</v>
      </c>
      <c r="C14" s="237">
        <v>3</v>
      </c>
      <c r="D14" s="236" t="s">
        <v>504</v>
      </c>
      <c r="E14" s="240">
        <v>3.35</v>
      </c>
      <c r="F14" s="239">
        <v>4</v>
      </c>
      <c r="G14" s="16">
        <f t="shared" si="0"/>
        <v>22.090000000000003</v>
      </c>
      <c r="H14" s="238">
        <v>2.95</v>
      </c>
    </row>
    <row r="15" spans="1:8">
      <c r="A15" s="15" t="s">
        <v>500</v>
      </c>
      <c r="B15" s="237" t="s">
        <v>177</v>
      </c>
      <c r="C15" s="237">
        <v>2</v>
      </c>
      <c r="D15" s="236" t="s">
        <v>507</v>
      </c>
      <c r="E15" s="238">
        <v>3.45</v>
      </c>
      <c r="F15" s="239">
        <v>54.83</v>
      </c>
      <c r="G15" s="16">
        <f t="shared" si="0"/>
        <v>329.11707500000006</v>
      </c>
    </row>
    <row r="16" spans="1:8">
      <c r="A16" s="15" t="s">
        <v>500</v>
      </c>
      <c r="B16" s="236" t="s">
        <v>174</v>
      </c>
      <c r="C16" s="237">
        <v>1</v>
      </c>
      <c r="D16" s="236" t="s">
        <v>503</v>
      </c>
      <c r="E16" s="238">
        <v>3.7</v>
      </c>
      <c r="F16" s="239">
        <v>14.83</v>
      </c>
      <c r="G16" s="16">
        <f t="shared" si="0"/>
        <v>108.11070000000001</v>
      </c>
    </row>
    <row r="17" spans="1:8" ht="16.149999999999999" thickBot="1">
      <c r="A17" s="17" t="s">
        <v>500</v>
      </c>
      <c r="B17" s="18" t="s">
        <v>177</v>
      </c>
      <c r="C17" s="19">
        <v>1</v>
      </c>
      <c r="D17" s="18" t="s">
        <v>506</v>
      </c>
      <c r="E17" s="35">
        <v>3.35</v>
      </c>
      <c r="F17" s="20">
        <v>7.83</v>
      </c>
      <c r="G17" s="21">
        <f t="shared" si="0"/>
        <v>43.241175000000005</v>
      </c>
      <c r="H17" s="31">
        <v>2.6</v>
      </c>
    </row>
    <row r="19" spans="1:8" ht="62.45">
      <c r="A19" s="241" t="s">
        <v>508</v>
      </c>
      <c r="B19" s="241" t="s">
        <v>509</v>
      </c>
      <c r="C19" s="241" t="s">
        <v>510</v>
      </c>
      <c r="D19" s="241" t="str">
        <f>"Prepočítaný počet AZ za rok "&amp;Rok-1</f>
        <v>Prepočítaný počet AZ za rok 2022</v>
      </c>
      <c r="E19" s="241" t="s">
        <v>511</v>
      </c>
      <c r="F19" s="241" t="s">
        <v>512</v>
      </c>
      <c r="G19" s="10"/>
    </row>
    <row r="20" spans="1:8">
      <c r="A20" s="129" t="s">
        <v>173</v>
      </c>
      <c r="B20" s="242">
        <f t="shared" ref="B20:B26" si="1">SUMIFS($G$2:$G$17,$B$2:$B$17,A20)</f>
        <v>2058.1412500000001</v>
      </c>
      <c r="C20" s="242">
        <f t="shared" ref="C20:C26" si="2">SUMIFS($F$2:$F$17,$B$2:$B$17,A20)</f>
        <v>236.5</v>
      </c>
      <c r="D20" s="243"/>
      <c r="E20" s="243">
        <f t="shared" ref="E20:E25" si="3">MAX(C20,D20)*B20/C20</f>
        <v>2058.1412500000001</v>
      </c>
      <c r="F20" s="244">
        <f t="shared" ref="F20:F26" si="4">E20/E$27</f>
        <v>0.46750059112944886</v>
      </c>
      <c r="G20" s="37"/>
      <c r="H20" s="37"/>
    </row>
    <row r="21" spans="1:8">
      <c r="A21" s="129" t="s">
        <v>174</v>
      </c>
      <c r="B21" s="242">
        <f t="shared" si="1"/>
        <v>1211.3640499999999</v>
      </c>
      <c r="C21" s="242">
        <f t="shared" si="2"/>
        <v>150.17000000000002</v>
      </c>
      <c r="D21" s="243"/>
      <c r="E21" s="243">
        <f t="shared" si="3"/>
        <v>1211.3640499999999</v>
      </c>
      <c r="F21" s="244">
        <f t="shared" si="4"/>
        <v>0.27515769845629556</v>
      </c>
      <c r="G21" s="37"/>
      <c r="H21" s="37"/>
    </row>
    <row r="22" spans="1:8">
      <c r="A22" s="129" t="s">
        <v>505</v>
      </c>
      <c r="B22" s="242">
        <f t="shared" si="1"/>
        <v>278.125</v>
      </c>
      <c r="C22" s="242">
        <f t="shared" si="2"/>
        <v>44.5</v>
      </c>
      <c r="D22" s="245">
        <v>59.268999999999998</v>
      </c>
      <c r="E22" s="243">
        <f t="shared" si="3"/>
        <v>370.43124999999998</v>
      </c>
      <c r="F22" s="244">
        <f t="shared" si="4"/>
        <v>8.4142343654897658E-2</v>
      </c>
      <c r="G22" s="37"/>
    </row>
    <row r="23" spans="1:8">
      <c r="A23" s="129" t="s">
        <v>176</v>
      </c>
      <c r="B23" s="242">
        <f t="shared" si="1"/>
        <v>63.54314999999999</v>
      </c>
      <c r="C23" s="242">
        <f t="shared" si="2"/>
        <v>23.34</v>
      </c>
      <c r="D23" s="245">
        <v>31.654</v>
      </c>
      <c r="E23" s="243">
        <f t="shared" si="3"/>
        <v>86.178014999999988</v>
      </c>
      <c r="F23" s="244">
        <f t="shared" si="4"/>
        <v>1.9575076761550018E-2</v>
      </c>
      <c r="G23" s="37"/>
    </row>
    <row r="24" spans="1:8">
      <c r="A24" s="129" t="s">
        <v>177</v>
      </c>
      <c r="B24" s="242">
        <f t="shared" si="1"/>
        <v>497.51075000000003</v>
      </c>
      <c r="C24" s="242">
        <f t="shared" si="2"/>
        <v>83.149999999999991</v>
      </c>
      <c r="D24" s="245">
        <v>111.831</v>
      </c>
      <c r="E24" s="243">
        <f t="shared" si="3"/>
        <v>669.11755481960324</v>
      </c>
      <c r="F24" s="244">
        <f t="shared" si="4"/>
        <v>0.15198803892262297</v>
      </c>
      <c r="G24" s="37"/>
    </row>
    <row r="25" spans="1:8">
      <c r="A25" s="129" t="s">
        <v>178</v>
      </c>
      <c r="B25" s="242">
        <f t="shared" si="1"/>
        <v>1.3082999999999998</v>
      </c>
      <c r="C25" s="242">
        <f t="shared" si="2"/>
        <v>2.67</v>
      </c>
      <c r="D25" s="245">
        <v>14.701000000000001</v>
      </c>
      <c r="E25" s="243">
        <f t="shared" si="3"/>
        <v>7.2034899999999995</v>
      </c>
      <c r="F25" s="244">
        <f t="shared" si="4"/>
        <v>1.636251075184987E-3</v>
      </c>
      <c r="G25" s="37"/>
    </row>
    <row r="26" spans="1:8">
      <c r="A26" s="129" t="s">
        <v>179</v>
      </c>
      <c r="B26" s="83">
        <f t="shared" si="1"/>
        <v>0</v>
      </c>
      <c r="C26" s="83">
        <f t="shared" si="2"/>
        <v>0</v>
      </c>
      <c r="D26" s="109"/>
      <c r="E26" s="243"/>
      <c r="F26" s="244">
        <f t="shared" si="4"/>
        <v>0</v>
      </c>
      <c r="G26" s="37"/>
    </row>
    <row r="27" spans="1:8">
      <c r="A27" s="246" t="s">
        <v>513</v>
      </c>
      <c r="B27" s="76">
        <f>SUM(B20:B26)</f>
        <v>4109.9924999999994</v>
      </c>
      <c r="C27" s="76">
        <f>SUM(C20:C26)</f>
        <v>540.32999999999993</v>
      </c>
      <c r="D27" s="77">
        <f>SUM(D20:D25)</f>
        <v>217.45500000000001</v>
      </c>
      <c r="E27" s="76">
        <f>SUM(E20:E25)</f>
        <v>4402.4356098196031</v>
      </c>
      <c r="F27" s="244">
        <f>SUM(F20:F25)</f>
        <v>1.0000000000000002</v>
      </c>
      <c r="G27" s="10"/>
    </row>
    <row r="28" spans="1:8">
      <c r="A28" s="10"/>
      <c r="B28" s="10"/>
      <c r="C28" s="10"/>
      <c r="D28" s="7" t="s">
        <v>514</v>
      </c>
    </row>
    <row r="30" spans="1:8">
      <c r="A30" t="s">
        <v>515</v>
      </c>
    </row>
    <row r="31" spans="1:8" ht="31.9" thickBot="1">
      <c r="A31" s="241"/>
      <c r="B31" s="241">
        <f>Rok-1</f>
        <v>2022</v>
      </c>
      <c r="C31" s="241">
        <f>Rok-2</f>
        <v>2021</v>
      </c>
      <c r="D31" s="241">
        <f>Rok-3</f>
        <v>2020</v>
      </c>
      <c r="E31" s="241">
        <f>Rok-4</f>
        <v>2019</v>
      </c>
      <c r="F31" s="241">
        <f>Rok-5</f>
        <v>2018</v>
      </c>
      <c r="G31" s="241">
        <f>Rok-6</f>
        <v>2017</v>
      </c>
      <c r="H31" s="241" t="s">
        <v>516</v>
      </c>
    </row>
    <row r="32" spans="1:8">
      <c r="A32" s="62" t="s">
        <v>173</v>
      </c>
      <c r="B32" s="107">
        <v>0.22387767533557618</v>
      </c>
      <c r="C32" s="107">
        <v>0.22560600709017756</v>
      </c>
      <c r="D32" s="107">
        <v>0.22635549322033513</v>
      </c>
      <c r="E32" s="107">
        <v>0.20235290091565497</v>
      </c>
      <c r="F32" s="107">
        <v>0.22093614758030169</v>
      </c>
      <c r="G32" s="107">
        <v>0.29782803842018818</v>
      </c>
      <c r="H32" s="244">
        <f>+AVERAGE(B32:G32)</f>
        <v>0.23282604376037228</v>
      </c>
    </row>
    <row r="33" spans="1:11">
      <c r="A33" s="63" t="s">
        <v>174</v>
      </c>
      <c r="B33" s="247">
        <v>0.57765919716871073</v>
      </c>
      <c r="C33" s="247">
        <v>0.61476819276110639</v>
      </c>
      <c r="D33" s="247">
        <v>0.6333254450042044</v>
      </c>
      <c r="E33" s="247">
        <v>0.58562217433602259</v>
      </c>
      <c r="F33" s="247">
        <v>0.46611706324449254</v>
      </c>
      <c r="G33" s="247">
        <f>55.5562824272242%-G38</f>
        <v>0.55556282427224202</v>
      </c>
      <c r="H33" s="244">
        <f t="shared" ref="H33:H38" si="5">+AVERAGE(B33:G33)</f>
        <v>0.57217581613112978</v>
      </c>
    </row>
    <row r="34" spans="1:11">
      <c r="A34" s="63" t="s">
        <v>505</v>
      </c>
      <c r="B34" s="247">
        <v>2.9449606740194579E-2</v>
      </c>
      <c r="C34" s="247">
        <v>3.0953749296604077E-2</v>
      </c>
      <c r="D34" s="247">
        <v>2.6262753750153325E-2</v>
      </c>
      <c r="E34" s="247">
        <v>2.6049558216924142E-2</v>
      </c>
      <c r="F34" s="247">
        <v>3.3169965887807899E-2</v>
      </c>
      <c r="G34" s="247">
        <v>4.5965902101189275E-2</v>
      </c>
      <c r="H34" s="244">
        <f t="shared" si="5"/>
        <v>3.1975255998812215E-2</v>
      </c>
    </row>
    <row r="35" spans="1:11">
      <c r="A35" s="63" t="s">
        <v>176</v>
      </c>
      <c r="B35" s="247">
        <v>1.0486124840424478E-2</v>
      </c>
      <c r="C35" s="247">
        <v>7.8259287610116766E-3</v>
      </c>
      <c r="D35" s="247">
        <v>8.7063377493181594E-3</v>
      </c>
      <c r="E35" s="247">
        <v>9.4105320583867808E-3</v>
      </c>
      <c r="F35" s="247">
        <v>1.1975594591223108E-2</v>
      </c>
      <c r="G35" s="247">
        <v>1.349319111174194E-2</v>
      </c>
      <c r="H35" s="244">
        <f t="shared" si="5"/>
        <v>1.0316284852017689E-2</v>
      </c>
    </row>
    <row r="36" spans="1:11">
      <c r="A36" s="63" t="s">
        <v>177</v>
      </c>
      <c r="B36" s="247">
        <v>9.3047682105292101E-2</v>
      </c>
      <c r="C36" s="247">
        <v>9.6107677111302914E-2</v>
      </c>
      <c r="D36" s="247">
        <v>7.8844340323969558E-2</v>
      </c>
      <c r="E36" s="247">
        <v>0.12741033825004772</v>
      </c>
      <c r="F36" s="247">
        <v>0.15448809555329254</v>
      </c>
      <c r="G36" s="247">
        <v>8.5201275684868114E-2</v>
      </c>
      <c r="H36" s="244">
        <f t="shared" si="5"/>
        <v>0.10584990150479549</v>
      </c>
    </row>
    <row r="37" spans="1:11">
      <c r="A37" s="63" t="s">
        <v>517</v>
      </c>
      <c r="B37" s="247">
        <v>3.0649598069513073E-3</v>
      </c>
      <c r="C37" s="247">
        <v>4.5080678006576358E-3</v>
      </c>
      <c r="D37" s="247">
        <v>5.0177817261886264E-3</v>
      </c>
      <c r="E37" s="247">
        <v>2.9673375379526967E-3</v>
      </c>
      <c r="F37" s="247">
        <v>2.1640734083269281E-3</v>
      </c>
      <c r="G37" s="247">
        <v>1.9487684097702512E-3</v>
      </c>
      <c r="H37" s="244">
        <f t="shared" si="5"/>
        <v>3.2784981149745745E-3</v>
      </c>
    </row>
    <row r="38" spans="1:11">
      <c r="A38" s="63" t="s">
        <v>179</v>
      </c>
      <c r="B38" s="247">
        <v>6.2414754002850424E-2</v>
      </c>
      <c r="C38" s="247">
        <v>2.0230377179139711E-2</v>
      </c>
      <c r="D38" s="247">
        <v>2.1487848225830788E-2</v>
      </c>
      <c r="E38" s="247">
        <v>4.6187158685011193E-2</v>
      </c>
      <c r="F38" s="247">
        <v>0.11114905973455512</v>
      </c>
      <c r="G38" s="247">
        <v>0</v>
      </c>
      <c r="H38" s="244">
        <f t="shared" si="5"/>
        <v>4.3578199637897878E-2</v>
      </c>
    </row>
    <row r="39" spans="1:11">
      <c r="A39" s="246" t="s">
        <v>203</v>
      </c>
      <c r="B39" s="244">
        <f t="shared" ref="B39:H39" si="6">SUM(B32:B38)</f>
        <v>0.99999999999999978</v>
      </c>
      <c r="C39" s="244">
        <f t="shared" si="6"/>
        <v>0.99999999999999989</v>
      </c>
      <c r="D39" s="244">
        <f t="shared" si="6"/>
        <v>1</v>
      </c>
      <c r="E39" s="244">
        <f t="shared" si="6"/>
        <v>1</v>
      </c>
      <c r="F39" s="244">
        <f t="shared" si="6"/>
        <v>0.99999999999999978</v>
      </c>
      <c r="G39" s="244">
        <f t="shared" si="6"/>
        <v>0.99999999999999978</v>
      </c>
      <c r="H39" s="244">
        <f t="shared" si="6"/>
        <v>1</v>
      </c>
    </row>
    <row r="41" spans="1:11" ht="31.15">
      <c r="A41" s="241" t="s">
        <v>518</v>
      </c>
      <c r="B41" s="241" t="s">
        <v>519</v>
      </c>
      <c r="C41" s="241" t="s">
        <v>520</v>
      </c>
      <c r="D41" s="241" t="s">
        <v>521</v>
      </c>
      <c r="E41" s="241" t="s">
        <v>522</v>
      </c>
      <c r="F41" s="241" t="s">
        <v>523</v>
      </c>
      <c r="G41" s="241" t="s">
        <v>524</v>
      </c>
      <c r="H41" s="241" t="s">
        <v>525</v>
      </c>
      <c r="I41" s="241" t="s">
        <v>287</v>
      </c>
      <c r="J41" s="241" t="s">
        <v>526</v>
      </c>
      <c r="K41" s="4"/>
    </row>
    <row r="42" spans="1:11">
      <c r="A42" s="129" t="s">
        <v>173</v>
      </c>
      <c r="B42" s="218">
        <f>IF(VstupyUPJS!$B$36=0,0,IF(VstupyUPJS!$B$36=1,B52,B61))</f>
        <v>0</v>
      </c>
      <c r="C42" s="218">
        <f>IF(VstupyUPJS!$B$36=0,0,IF(VstupyUPJS!$B$36=1,C52,C61))</f>
        <v>0</v>
      </c>
      <c r="D42" s="218">
        <f>IF(VstupyUPJS!$B$36=0,0,IF(VstupyUPJS!$B$36=1,D52,D61))</f>
        <v>0</v>
      </c>
      <c r="E42" s="218">
        <f>IF(VstupyUPJS!$B$36=0,0,IF(VstupyUPJS!$B$36=1,E52,E61))</f>
        <v>0</v>
      </c>
      <c r="F42" s="218">
        <f>IF(VstupyUPJS!$B$36=0,0,IF(VstupyUPJS!$B$36=1,F52,F61))</f>
        <v>0</v>
      </c>
      <c r="G42" s="218">
        <f>IF(VstupyUPJS!$B$36=0,0,IF(VstupyUPJS!$B$36=1,G52,G61))</f>
        <v>0</v>
      </c>
      <c r="H42" s="218">
        <f>IF(VstupyUPJS!$B$36=0,0,IF(VstupyUPJS!$B$36=1,H52,H61))</f>
        <v>0</v>
      </c>
      <c r="I42" s="218">
        <f>SUM(B42:H42)</f>
        <v>0</v>
      </c>
      <c r="J42" s="244">
        <f>IFERROR(I42/I$49,0)</f>
        <v>0</v>
      </c>
      <c r="K42" s="4"/>
    </row>
    <row r="43" spans="1:11">
      <c r="A43" s="129" t="s">
        <v>174</v>
      </c>
      <c r="B43" s="218">
        <f>IF(VstupyUPJS!$B$36=0,0,IF(VstupyUPJS!$B$36=1,B53,B62))</f>
        <v>607712.96</v>
      </c>
      <c r="C43" s="218">
        <f>IF(VstupyUPJS!$B$36=0,0,IF(VstupyUPJS!$B$36=1,C53,C62))</f>
        <v>110823.81</v>
      </c>
      <c r="D43" s="218">
        <f>IF(VstupyUPJS!$B$36=0,0,IF(VstupyUPJS!$B$36=1,D53,D62))</f>
        <v>0</v>
      </c>
      <c r="E43" s="218">
        <f>IF(VstupyUPJS!$B$36=0,0,IF(VstupyUPJS!$B$36=1,E53,E62))</f>
        <v>0</v>
      </c>
      <c r="F43" s="218">
        <f>IF(VstupyUPJS!$B$36=0,0,IF(VstupyUPJS!$B$36=1,F53,F62))</f>
        <v>0</v>
      </c>
      <c r="G43" s="218">
        <f>IF(VstupyUPJS!$B$36=0,0,IF(VstupyUPJS!$B$36=1,G53,G62))</f>
        <v>0</v>
      </c>
      <c r="H43" s="218">
        <f>IF(VstupyUPJS!$B$36=0,0,IF(VstupyUPJS!$B$36=1,H53,H62))</f>
        <v>0</v>
      </c>
      <c r="I43" s="218">
        <f t="shared" ref="I43:I48" si="7">SUM(B43:H43)</f>
        <v>718536.77</v>
      </c>
      <c r="J43" s="244">
        <f t="shared" ref="J43:J48" si="8">IFERROR(I43/I$49,0)</f>
        <v>0.98008086555985074</v>
      </c>
      <c r="K43" s="4"/>
    </row>
    <row r="44" spans="1:11">
      <c r="A44" s="129" t="s">
        <v>505</v>
      </c>
      <c r="B44" s="218">
        <f>IF(VstupyUPJS!$B$36=0,0,IF(VstupyUPJS!$B$36=1,B54,B63))</f>
        <v>0</v>
      </c>
      <c r="C44" s="218">
        <f>IF(VstupyUPJS!$B$36=0,0,IF(VstupyUPJS!$B$36=1,C54,C63))</f>
        <v>0</v>
      </c>
      <c r="D44" s="218">
        <f>IF(VstupyUPJS!$B$36=0,0,IF(VstupyUPJS!$B$36=1,D54,D63))</f>
        <v>0</v>
      </c>
      <c r="E44" s="218">
        <f>IF(VstupyUPJS!$B$36=0,0,IF(VstupyUPJS!$B$36=1,E54,E63))</f>
        <v>0</v>
      </c>
      <c r="F44" s="218">
        <f>IF(VstupyUPJS!$B$36=0,0,IF(VstupyUPJS!$B$36=1,F54,F63))</f>
        <v>0</v>
      </c>
      <c r="G44" s="218">
        <f>IF(VstupyUPJS!$B$36=0,0,IF(VstupyUPJS!$B$36=1,G54,G63))</f>
        <v>0</v>
      </c>
      <c r="H44" s="218">
        <f>IF(VstupyUPJS!$B$36=0,0,IF(VstupyUPJS!$B$36=1,H54,H63))</f>
        <v>0</v>
      </c>
      <c r="I44" s="218">
        <f t="shared" si="7"/>
        <v>0</v>
      </c>
      <c r="J44" s="244">
        <f t="shared" si="8"/>
        <v>0</v>
      </c>
      <c r="K44" s="4"/>
    </row>
    <row r="45" spans="1:11">
      <c r="A45" s="129" t="s">
        <v>176</v>
      </c>
      <c r="B45" s="218">
        <f>IF(VstupyUPJS!$B$36=0,0,IF(VstupyUPJS!$B$36=1,B55,B64))</f>
        <v>0</v>
      </c>
      <c r="C45" s="218">
        <f>IF(VstupyUPJS!$B$36=0,0,IF(VstupyUPJS!$B$36=1,C55,C64))</f>
        <v>0</v>
      </c>
      <c r="D45" s="218">
        <f>IF(VstupyUPJS!$B$36=0,0,IF(VstupyUPJS!$B$36=1,D55,D64))</f>
        <v>0</v>
      </c>
      <c r="E45" s="218">
        <f>IF(VstupyUPJS!$B$36=0,0,IF(VstupyUPJS!$B$36=1,E55,E64))</f>
        <v>0</v>
      </c>
      <c r="F45" s="218">
        <f>IF(VstupyUPJS!$B$36=0,0,IF(VstupyUPJS!$B$36=1,F55,F64))</f>
        <v>0</v>
      </c>
      <c r="G45" s="218">
        <f>IF(VstupyUPJS!$B$36=0,0,IF(VstupyUPJS!$B$36=1,G55,G64))</f>
        <v>0</v>
      </c>
      <c r="H45" s="218">
        <f>IF(VstupyUPJS!$B$36=0,0,IF(VstupyUPJS!$B$36=1,H55,H64))</f>
        <v>0</v>
      </c>
      <c r="I45" s="218">
        <f t="shared" si="7"/>
        <v>0</v>
      </c>
      <c r="J45" s="244">
        <f t="shared" si="8"/>
        <v>0</v>
      </c>
      <c r="K45" s="4"/>
    </row>
    <row r="46" spans="1:11">
      <c r="A46" s="129" t="s">
        <v>177</v>
      </c>
      <c r="B46" s="218">
        <f>IF(VstupyUPJS!$B$36=0,0,IF(VstupyUPJS!$B$36=1,B56,B65))</f>
        <v>0</v>
      </c>
      <c r="C46" s="218">
        <f>IF(VstupyUPJS!$B$36=0,0,IF(VstupyUPJS!$B$36=1,C56,C65))</f>
        <v>0</v>
      </c>
      <c r="D46" s="218">
        <f>IF(VstupyUPJS!$B$36=0,0,IF(VstupyUPJS!$B$36=1,D56,D65))</f>
        <v>0</v>
      </c>
      <c r="E46" s="218">
        <f>IF(VstupyUPJS!$B$36=0,0,IF(VstupyUPJS!$B$36=1,E56,E65))</f>
        <v>0</v>
      </c>
      <c r="F46" s="218">
        <f>IF(VstupyUPJS!$B$36=0,0,IF(VstupyUPJS!$B$36=1,F56,F65))</f>
        <v>12195.51</v>
      </c>
      <c r="G46" s="218">
        <f>IF(VstupyUPJS!$B$36=0,0,IF(VstupyUPJS!$B$36=1,G56,G65))</f>
        <v>0</v>
      </c>
      <c r="H46" s="218">
        <f>IF(VstupyUPJS!$B$36=0,0,IF(VstupyUPJS!$B$36=1,H56,H65))</f>
        <v>0</v>
      </c>
      <c r="I46" s="218">
        <f t="shared" si="7"/>
        <v>12195.51</v>
      </c>
      <c r="J46" s="244">
        <f t="shared" si="8"/>
        <v>1.6634619821535111E-2</v>
      </c>
      <c r="K46" s="4"/>
    </row>
    <row r="47" spans="1:11">
      <c r="A47" s="129" t="s">
        <v>178</v>
      </c>
      <c r="B47" s="218">
        <f>IF(VstupyUPJS!$B$36=0,0,IF(VstupyUPJS!$B$36=1,B57,B66))</f>
        <v>0</v>
      </c>
      <c r="C47" s="218">
        <f>IF(VstupyUPJS!$B$36=0,0,IF(VstupyUPJS!$B$36=1,C57,C66))</f>
        <v>0</v>
      </c>
      <c r="D47" s="218">
        <f>IF(VstupyUPJS!$B$36=0,0,IF(VstupyUPJS!$B$36=1,D57,D66))</f>
        <v>0</v>
      </c>
      <c r="E47" s="218">
        <f>IF(VstupyUPJS!$B$36=0,0,IF(VstupyUPJS!$B$36=1,E57,E66))</f>
        <v>0</v>
      </c>
      <c r="F47" s="218">
        <f>IF(VstupyUPJS!$B$36=0,0,IF(VstupyUPJS!$B$36=1,F57,F66))</f>
        <v>0</v>
      </c>
      <c r="G47" s="218">
        <f>IF(VstupyUPJS!$B$36=0,0,IF(VstupyUPJS!$B$36=1,G57,G66))</f>
        <v>0</v>
      </c>
      <c r="H47" s="218">
        <f>IF(VstupyUPJS!$B$36=0,0,IF(VstupyUPJS!$B$36=1,H57,H66))</f>
        <v>0</v>
      </c>
      <c r="I47" s="218">
        <f t="shared" si="7"/>
        <v>0</v>
      </c>
      <c r="J47" s="244">
        <f t="shared" si="8"/>
        <v>0</v>
      </c>
      <c r="K47" s="4"/>
    </row>
    <row r="48" spans="1:11">
      <c r="A48" s="129" t="s">
        <v>179</v>
      </c>
      <c r="B48" s="218">
        <f>IF(VstupyUPJS!$B$36=0,0,IF(VstupyUPJS!$B$36=1,B58,B67))</f>
        <v>2408.0100000000002</v>
      </c>
      <c r="C48" s="218">
        <f>IF(VstupyUPJS!$B$36=0,0,IF(VstupyUPJS!$B$36=1,C58,C67))</f>
        <v>0</v>
      </c>
      <c r="D48" s="218">
        <f>IF(VstupyUPJS!$B$36=0,0,IF(VstupyUPJS!$B$36=1,D58,D67))</f>
        <v>0</v>
      </c>
      <c r="E48" s="218">
        <f>IF(VstupyUPJS!$B$36=0,0,IF(VstupyUPJS!$B$36=1,E58,E67))</f>
        <v>0</v>
      </c>
      <c r="F48" s="218">
        <f>IF(VstupyUPJS!$B$36=0,0,IF(VstupyUPJS!$B$36=1,F58,F67))</f>
        <v>0</v>
      </c>
      <c r="G48" s="218">
        <f>IF(VstupyUPJS!$B$36=0,0,IF(VstupyUPJS!$B$36=1,G58,G67))</f>
        <v>0</v>
      </c>
      <c r="H48" s="218">
        <f>IF(VstupyUPJS!$B$36=0,0,IF(VstupyUPJS!$B$36=1,H58,H67))</f>
        <v>0</v>
      </c>
      <c r="I48" s="218">
        <f t="shared" si="7"/>
        <v>2408.0100000000002</v>
      </c>
      <c r="J48" s="244">
        <f t="shared" si="8"/>
        <v>3.2845146186141266E-3</v>
      </c>
      <c r="K48" s="4"/>
    </row>
    <row r="49" spans="1:11">
      <c r="A49" s="246" t="s">
        <v>513</v>
      </c>
      <c r="B49" s="248">
        <f t="shared" ref="B49:J49" si="9">SUM(B42:B48)</f>
        <v>610120.97</v>
      </c>
      <c r="C49" s="248">
        <f t="shared" si="9"/>
        <v>110823.81</v>
      </c>
      <c r="D49" s="248">
        <f t="shared" si="9"/>
        <v>0</v>
      </c>
      <c r="E49" s="248">
        <f t="shared" si="9"/>
        <v>0</v>
      </c>
      <c r="F49" s="248">
        <f t="shared" si="9"/>
        <v>12195.51</v>
      </c>
      <c r="G49" s="248">
        <f t="shared" si="9"/>
        <v>0</v>
      </c>
      <c r="H49" s="248">
        <f t="shared" si="9"/>
        <v>0</v>
      </c>
      <c r="I49" s="248">
        <f t="shared" si="9"/>
        <v>733140.29</v>
      </c>
      <c r="J49" s="249">
        <f t="shared" si="9"/>
        <v>1</v>
      </c>
      <c r="K49" s="4"/>
    </row>
    <row r="51" spans="1:11">
      <c r="A51" s="4">
        <v>1</v>
      </c>
      <c r="B51" s="352" t="s">
        <v>527</v>
      </c>
      <c r="C51" s="352"/>
      <c r="D51" s="352"/>
      <c r="E51" s="352"/>
      <c r="F51" s="352"/>
      <c r="G51" s="352"/>
      <c r="H51" s="352"/>
    </row>
    <row r="52" spans="1:11">
      <c r="A52" s="129" t="s">
        <v>173</v>
      </c>
      <c r="B52" s="218"/>
      <c r="C52" s="218"/>
      <c r="D52" s="218"/>
      <c r="E52" s="218"/>
      <c r="F52" s="218"/>
      <c r="G52" s="218"/>
      <c r="H52" s="218"/>
    </row>
    <row r="53" spans="1:11">
      <c r="A53" s="129" t="s">
        <v>174</v>
      </c>
      <c r="B53" s="218">
        <v>457632.93</v>
      </c>
      <c r="C53" s="218">
        <v>118067.84761370919</v>
      </c>
      <c r="D53" s="218"/>
      <c r="E53" s="218"/>
      <c r="F53" s="218"/>
      <c r="G53" s="218"/>
      <c r="H53" s="218"/>
    </row>
    <row r="54" spans="1:11">
      <c r="A54" s="129" t="s">
        <v>505</v>
      </c>
      <c r="B54" s="218"/>
      <c r="C54" s="218"/>
      <c r="D54" s="218"/>
      <c r="E54" s="218"/>
      <c r="F54" s="218"/>
      <c r="G54" s="218"/>
      <c r="H54" s="218"/>
    </row>
    <row r="55" spans="1:11">
      <c r="A55" s="129" t="s">
        <v>176</v>
      </c>
      <c r="B55" s="218"/>
      <c r="C55" s="218"/>
      <c r="D55" s="218"/>
      <c r="E55" s="218"/>
      <c r="F55" s="218"/>
      <c r="G55" s="218"/>
      <c r="H55" s="218"/>
    </row>
    <row r="56" spans="1:11">
      <c r="A56" s="129" t="s">
        <v>177</v>
      </c>
      <c r="B56" s="218"/>
      <c r="C56" s="218"/>
      <c r="D56" s="218"/>
      <c r="E56" s="218"/>
      <c r="F56" s="218">
        <v>12945.761882052857</v>
      </c>
      <c r="G56" s="218"/>
      <c r="H56" s="218"/>
    </row>
    <row r="57" spans="1:11">
      <c r="A57" s="129" t="s">
        <v>178</v>
      </c>
      <c r="B57" s="218"/>
      <c r="C57" s="218"/>
      <c r="D57" s="218"/>
      <c r="E57" s="218"/>
      <c r="F57" s="218"/>
      <c r="G57" s="218"/>
      <c r="H57" s="218"/>
    </row>
    <row r="58" spans="1:11">
      <c r="A58" s="129" t="s">
        <v>179</v>
      </c>
      <c r="B58" s="218">
        <v>15000.401767635412</v>
      </c>
      <c r="C58" s="218"/>
      <c r="D58" s="218"/>
      <c r="E58" s="218"/>
      <c r="F58" s="218"/>
      <c r="G58" s="218"/>
      <c r="H58" s="218"/>
    </row>
    <row r="60" spans="1:11">
      <c r="A60" s="4">
        <v>2</v>
      </c>
      <c r="B60" s="352" t="s">
        <v>528</v>
      </c>
      <c r="C60" s="352"/>
      <c r="D60" s="352"/>
      <c r="E60" s="352"/>
      <c r="F60" s="352"/>
      <c r="G60" s="352"/>
      <c r="H60" s="352"/>
    </row>
    <row r="61" spans="1:11">
      <c r="A61" s="129" t="s">
        <v>173</v>
      </c>
      <c r="B61" s="218"/>
      <c r="C61" s="218"/>
      <c r="D61" s="218"/>
      <c r="E61" s="218"/>
      <c r="F61" s="218"/>
      <c r="G61" s="218"/>
      <c r="H61" s="218"/>
    </row>
    <row r="62" spans="1:11">
      <c r="A62" s="129" t="s">
        <v>174</v>
      </c>
      <c r="B62" s="218">
        <v>607712.96</v>
      </c>
      <c r="C62" s="218">
        <v>110823.81</v>
      </c>
      <c r="D62" s="218"/>
      <c r="E62" s="218"/>
      <c r="F62" s="218"/>
      <c r="G62" s="218"/>
      <c r="H62" s="218"/>
    </row>
    <row r="63" spans="1:11">
      <c r="A63" s="129" t="s">
        <v>505</v>
      </c>
      <c r="B63" s="218"/>
      <c r="C63" s="218"/>
      <c r="D63" s="218"/>
      <c r="E63" s="218"/>
      <c r="F63" s="218"/>
      <c r="G63" s="218"/>
      <c r="H63" s="218"/>
    </row>
    <row r="64" spans="1:11">
      <c r="A64" s="129" t="s">
        <v>176</v>
      </c>
      <c r="B64" s="218"/>
      <c r="C64" s="218"/>
      <c r="D64" s="218"/>
      <c r="E64" s="218"/>
      <c r="F64" s="218"/>
      <c r="G64" s="218"/>
      <c r="H64" s="218"/>
    </row>
    <row r="65" spans="1:10">
      <c r="A65" s="129" t="s">
        <v>177</v>
      </c>
      <c r="B65" s="218"/>
      <c r="C65" s="218"/>
      <c r="D65" s="218"/>
      <c r="E65" s="218"/>
      <c r="F65" s="218">
        <v>12195.51</v>
      </c>
      <c r="G65" s="218"/>
      <c r="H65" s="218"/>
      <c r="J65" s="108"/>
    </row>
    <row r="66" spans="1:10">
      <c r="A66" s="129" t="s">
        <v>178</v>
      </c>
      <c r="B66" s="218"/>
      <c r="C66" s="218"/>
      <c r="D66" s="218"/>
      <c r="E66" s="218"/>
      <c r="F66" s="218"/>
      <c r="G66" s="218"/>
      <c r="H66" s="218"/>
    </row>
    <row r="67" spans="1:10">
      <c r="A67" s="129" t="s">
        <v>179</v>
      </c>
      <c r="B67" s="218">
        <v>2408.0100000000002</v>
      </c>
      <c r="C67" s="218"/>
      <c r="D67" s="218"/>
      <c r="E67" s="218"/>
      <c r="F67" s="218"/>
      <c r="G67" s="218"/>
      <c r="H67" s="218"/>
    </row>
  </sheetData>
  <mergeCells count="2">
    <mergeCell ref="B51:H51"/>
    <mergeCell ref="B60:H60"/>
  </mergeCells>
  <pageMargins left="0.31496062992125984" right="0.31496062992125984" top="0.74803149606299213" bottom="0.55118110236220474" header="0.31496062992125984" footer="0.31496062992125984"/>
  <pageSetup paperSize="9" scale="66" orientation="portrait" r:id="rId1"/>
  <headerFooter scaleWithDoc="0">
    <oddHeader>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42"/>
  <sheetViews>
    <sheetView workbookViewId="0">
      <selection activeCell="A18" sqref="A18"/>
    </sheetView>
  </sheetViews>
  <sheetFormatPr defaultColWidth="14.28515625" defaultRowHeight="15.6"/>
  <cols>
    <col min="1" max="1" width="14.28515625" style="10"/>
    <col min="2" max="12" width="14.28515625" style="10" customWidth="1"/>
    <col min="13" max="16384" width="14.28515625" style="10"/>
  </cols>
  <sheetData>
    <row r="1" spans="1:15">
      <c r="A1" s="355" t="s">
        <v>529</v>
      </c>
      <c r="B1" s="355"/>
      <c r="C1" s="355"/>
      <c r="D1" s="355"/>
      <c r="E1" s="355"/>
      <c r="F1" s="355"/>
      <c r="G1" s="355"/>
      <c r="H1" s="355"/>
      <c r="I1" s="355"/>
      <c r="J1" s="22"/>
      <c r="K1" s="22"/>
      <c r="L1" s="22"/>
      <c r="M1" s="22"/>
      <c r="N1" s="22"/>
      <c r="O1" s="22"/>
    </row>
    <row r="2" spans="1:15">
      <c r="A2" s="290"/>
      <c r="B2" s="290" t="s">
        <v>530</v>
      </c>
      <c r="C2" s="290"/>
      <c r="D2" s="290" t="s">
        <v>531</v>
      </c>
      <c r="E2" s="290"/>
      <c r="F2" s="290" t="s">
        <v>532</v>
      </c>
      <c r="G2" s="290"/>
      <c r="H2" s="290" t="s">
        <v>533</v>
      </c>
      <c r="I2" s="290"/>
      <c r="J2" s="290" t="s">
        <v>203</v>
      </c>
      <c r="K2" s="290"/>
      <c r="L2" s="151" t="s">
        <v>534</v>
      </c>
      <c r="M2" s="353" t="s">
        <v>535</v>
      </c>
    </row>
    <row r="3" spans="1:15">
      <c r="A3" s="290"/>
      <c r="B3" s="151">
        <f>Rok-3</f>
        <v>2020</v>
      </c>
      <c r="C3" s="151">
        <f>Rok-2</f>
        <v>2021</v>
      </c>
      <c r="D3" s="151">
        <f>Rok-3</f>
        <v>2020</v>
      </c>
      <c r="E3" s="151">
        <f>Rok-2</f>
        <v>2021</v>
      </c>
      <c r="F3" s="151">
        <f>Rok-3</f>
        <v>2020</v>
      </c>
      <c r="G3" s="151">
        <f>Rok-2</f>
        <v>2021</v>
      </c>
      <c r="H3" s="151">
        <f>Rok-3</f>
        <v>2020</v>
      </c>
      <c r="I3" s="151">
        <f>Rok-2</f>
        <v>2021</v>
      </c>
      <c r="J3" s="151">
        <f>Rok-3</f>
        <v>2020</v>
      </c>
      <c r="K3" s="151">
        <f>Rok-2</f>
        <v>2021</v>
      </c>
      <c r="L3" s="151" t="s">
        <v>536</v>
      </c>
      <c r="M3" s="354"/>
    </row>
    <row r="4" spans="1:15">
      <c r="A4" s="250" t="s">
        <v>173</v>
      </c>
      <c r="B4" s="251">
        <v>392211</v>
      </c>
      <c r="C4" s="251">
        <v>404572</v>
      </c>
      <c r="D4" s="251">
        <v>93737</v>
      </c>
      <c r="E4" s="251">
        <v>88986</v>
      </c>
      <c r="F4" s="252">
        <v>739732</v>
      </c>
      <c r="G4" s="252">
        <v>966958</v>
      </c>
      <c r="H4" s="252">
        <v>94092.28</v>
      </c>
      <c r="I4" s="252">
        <v>105407.26000000001</v>
      </c>
      <c r="J4" s="252">
        <f>B4+D4+F4+H4</f>
        <v>1319772.28</v>
      </c>
      <c r="K4" s="252">
        <f>C4+E4+G4+I4</f>
        <v>1565923.26</v>
      </c>
      <c r="L4" s="252">
        <f>J4+K4</f>
        <v>2885695.54</v>
      </c>
      <c r="M4" s="253">
        <f>L4/SUM(L$4:L$10)</f>
        <v>0.38429386969002355</v>
      </c>
    </row>
    <row r="5" spans="1:15">
      <c r="A5" s="250" t="s">
        <v>174</v>
      </c>
      <c r="B5" s="251">
        <v>504077</v>
      </c>
      <c r="C5" s="251">
        <v>446742</v>
      </c>
      <c r="D5" s="251">
        <v>68041</v>
      </c>
      <c r="E5" s="251">
        <v>93006</v>
      </c>
      <c r="F5" s="252">
        <v>764079</v>
      </c>
      <c r="G5" s="252">
        <v>719943</v>
      </c>
      <c r="H5" s="252">
        <v>21000</v>
      </c>
      <c r="I5" s="252">
        <v>21000</v>
      </c>
      <c r="J5" s="252">
        <f t="shared" ref="J5:K11" si="0">B5+D5+F5+H5</f>
        <v>1357197</v>
      </c>
      <c r="K5" s="252">
        <f t="shared" si="0"/>
        <v>1280691</v>
      </c>
      <c r="L5" s="252">
        <f t="shared" ref="L5:L11" si="1">J5+K5</f>
        <v>2637888</v>
      </c>
      <c r="M5" s="253">
        <f t="shared" ref="M5:M10" si="2">L5/SUM(L$4:L$10)</f>
        <v>0.35129284197766641</v>
      </c>
    </row>
    <row r="6" spans="1:15">
      <c r="A6" s="250" t="s">
        <v>175</v>
      </c>
      <c r="B6" s="251">
        <v>62780</v>
      </c>
      <c r="C6" s="251">
        <v>74260</v>
      </c>
      <c r="D6" s="251">
        <v>0</v>
      </c>
      <c r="E6" s="251">
        <v>0</v>
      </c>
      <c r="F6" s="252">
        <v>269970</v>
      </c>
      <c r="G6" s="252">
        <v>328279</v>
      </c>
      <c r="H6" s="252">
        <v>0</v>
      </c>
      <c r="I6" s="252">
        <v>0</v>
      </c>
      <c r="J6" s="252">
        <f t="shared" si="0"/>
        <v>332750</v>
      </c>
      <c r="K6" s="252">
        <f t="shared" si="0"/>
        <v>402539</v>
      </c>
      <c r="L6" s="252">
        <f t="shared" si="1"/>
        <v>735289</v>
      </c>
      <c r="M6" s="253">
        <f t="shared" si="2"/>
        <v>9.791991262893511E-2</v>
      </c>
    </row>
    <row r="7" spans="1:15">
      <c r="A7" s="250" t="s">
        <v>176</v>
      </c>
      <c r="B7" s="251">
        <v>12722</v>
      </c>
      <c r="C7" s="251">
        <v>25025</v>
      </c>
      <c r="D7" s="251">
        <v>0</v>
      </c>
      <c r="E7" s="251">
        <v>0</v>
      </c>
      <c r="F7" s="252">
        <v>0</v>
      </c>
      <c r="G7" s="252">
        <v>0</v>
      </c>
      <c r="H7" s="252">
        <v>0</v>
      </c>
      <c r="I7" s="252">
        <v>0</v>
      </c>
      <c r="J7" s="252">
        <f t="shared" si="0"/>
        <v>12722</v>
      </c>
      <c r="K7" s="252">
        <f t="shared" si="0"/>
        <v>25025</v>
      </c>
      <c r="L7" s="252">
        <f t="shared" si="1"/>
        <v>37747</v>
      </c>
      <c r="M7" s="253">
        <f t="shared" si="2"/>
        <v>5.0268437879587664E-3</v>
      </c>
    </row>
    <row r="8" spans="1:15">
      <c r="A8" s="250" t="s">
        <v>177</v>
      </c>
      <c r="B8" s="251">
        <v>83445</v>
      </c>
      <c r="C8" s="251">
        <v>97064</v>
      </c>
      <c r="D8" s="251">
        <v>17662</v>
      </c>
      <c r="E8" s="251">
        <v>28767</v>
      </c>
      <c r="F8" s="252">
        <v>245566</v>
      </c>
      <c r="G8" s="252">
        <v>250520</v>
      </c>
      <c r="H8" s="252">
        <v>0</v>
      </c>
      <c r="I8" s="252">
        <v>0</v>
      </c>
      <c r="J8" s="252">
        <f t="shared" si="0"/>
        <v>346673</v>
      </c>
      <c r="K8" s="252">
        <f t="shared" si="0"/>
        <v>376351</v>
      </c>
      <c r="L8" s="252">
        <f t="shared" si="1"/>
        <v>723024</v>
      </c>
      <c r="M8" s="253">
        <f t="shared" si="2"/>
        <v>9.6286557950170854E-2</v>
      </c>
    </row>
    <row r="9" spans="1:15">
      <c r="A9" s="250" t="s">
        <v>178</v>
      </c>
      <c r="B9" s="251">
        <v>0</v>
      </c>
      <c r="C9" s="251">
        <v>0</v>
      </c>
      <c r="D9" s="251">
        <v>0</v>
      </c>
      <c r="E9" s="251">
        <v>0</v>
      </c>
      <c r="F9" s="252">
        <v>0</v>
      </c>
      <c r="G9" s="252">
        <v>0</v>
      </c>
      <c r="H9" s="252">
        <v>0</v>
      </c>
      <c r="I9" s="252">
        <v>0</v>
      </c>
      <c r="J9" s="252">
        <f t="shared" si="0"/>
        <v>0</v>
      </c>
      <c r="K9" s="252">
        <f t="shared" si="0"/>
        <v>0</v>
      </c>
      <c r="L9" s="252">
        <f t="shared" si="1"/>
        <v>0</v>
      </c>
      <c r="M9" s="253">
        <f t="shared" si="2"/>
        <v>0</v>
      </c>
    </row>
    <row r="10" spans="1:15">
      <c r="A10" s="250" t="s">
        <v>179</v>
      </c>
      <c r="B10" s="251">
        <v>67535</v>
      </c>
      <c r="C10" s="251">
        <v>44006</v>
      </c>
      <c r="D10" s="251">
        <v>0</v>
      </c>
      <c r="E10" s="251">
        <v>16245</v>
      </c>
      <c r="F10" s="252">
        <v>168800</v>
      </c>
      <c r="G10" s="252">
        <v>182856</v>
      </c>
      <c r="H10" s="252">
        <v>10000</v>
      </c>
      <c r="I10" s="252">
        <v>0</v>
      </c>
      <c r="J10" s="252">
        <f>B10+D10+F10+H10</f>
        <v>246335</v>
      </c>
      <c r="K10" s="252">
        <f>C10+E10+G10+I10</f>
        <v>243107</v>
      </c>
      <c r="L10" s="252">
        <f>J10+K10</f>
        <v>489442</v>
      </c>
      <c r="M10" s="253">
        <f t="shared" si="2"/>
        <v>6.5179973965245303E-2</v>
      </c>
    </row>
    <row r="11" spans="1:15">
      <c r="A11" s="250" t="s">
        <v>533</v>
      </c>
      <c r="B11" s="251">
        <v>0</v>
      </c>
      <c r="C11" s="251">
        <v>0</v>
      </c>
      <c r="D11" s="251">
        <v>0</v>
      </c>
      <c r="E11" s="251">
        <v>0</v>
      </c>
      <c r="F11" s="252">
        <v>0</v>
      </c>
      <c r="G11" s="252">
        <v>0</v>
      </c>
      <c r="H11" s="252">
        <v>0</v>
      </c>
      <c r="I11" s="252">
        <v>0</v>
      </c>
      <c r="J11" s="252">
        <f t="shared" si="0"/>
        <v>0</v>
      </c>
      <c r="K11" s="252">
        <f t="shared" si="0"/>
        <v>0</v>
      </c>
      <c r="L11" s="252">
        <f t="shared" si="1"/>
        <v>0</v>
      </c>
      <c r="M11" s="253"/>
    </row>
    <row r="12" spans="1:15">
      <c r="A12" s="250" t="s">
        <v>203</v>
      </c>
      <c r="B12" s="254">
        <f t="shared" ref="B12:M12" si="3">SUM(B4:B11)</f>
        <v>1122770</v>
      </c>
      <c r="C12" s="254">
        <f t="shared" si="3"/>
        <v>1091669</v>
      </c>
      <c r="D12" s="254">
        <f t="shared" si="3"/>
        <v>179440</v>
      </c>
      <c r="E12" s="254">
        <f t="shared" si="3"/>
        <v>227004</v>
      </c>
      <c r="F12" s="254">
        <f t="shared" si="3"/>
        <v>2188147</v>
      </c>
      <c r="G12" s="254">
        <f t="shared" si="3"/>
        <v>2448556</v>
      </c>
      <c r="H12" s="254">
        <f t="shared" si="3"/>
        <v>125092.28</v>
      </c>
      <c r="I12" s="254">
        <f t="shared" si="3"/>
        <v>126407.26000000001</v>
      </c>
      <c r="J12" s="254">
        <f t="shared" si="3"/>
        <v>3615449.2800000003</v>
      </c>
      <c r="K12" s="254">
        <f t="shared" si="3"/>
        <v>3893636.26</v>
      </c>
      <c r="L12" s="254">
        <f t="shared" si="3"/>
        <v>7509085.54</v>
      </c>
      <c r="M12" s="255">
        <f t="shared" si="3"/>
        <v>1</v>
      </c>
    </row>
    <row r="13" spans="1:15">
      <c r="A13" s="7" t="s">
        <v>253</v>
      </c>
      <c r="B13" s="40">
        <v>1122770</v>
      </c>
      <c r="C13" s="40">
        <v>1091669</v>
      </c>
      <c r="D13" s="40">
        <v>179440</v>
      </c>
      <c r="E13" s="40">
        <v>227004</v>
      </c>
      <c r="F13" s="40">
        <v>2188147</v>
      </c>
      <c r="G13" s="40">
        <v>2448556</v>
      </c>
      <c r="H13" s="40">
        <v>125092.28</v>
      </c>
      <c r="I13" s="40">
        <v>126407.26</v>
      </c>
      <c r="J13" s="40">
        <v>3615449</v>
      </c>
      <c r="K13" s="40">
        <v>3893636.26</v>
      </c>
      <c r="L13" s="40">
        <v>7509085.2599999998</v>
      </c>
    </row>
    <row r="14" spans="1:15">
      <c r="B14" s="48" t="s">
        <v>537</v>
      </c>
      <c r="C14" s="48"/>
      <c r="D14" s="48"/>
      <c r="E14" s="48"/>
      <c r="F14" s="48"/>
      <c r="G14" s="48"/>
      <c r="H14" s="48"/>
      <c r="I14" s="48"/>
      <c r="J14" s="356" t="s">
        <v>538</v>
      </c>
      <c r="K14" s="356"/>
      <c r="L14" s="356"/>
    </row>
    <row r="15" spans="1:15">
      <c r="B15" s="48" t="s">
        <v>539</v>
      </c>
      <c r="C15" s="48"/>
      <c r="D15" s="48"/>
      <c r="E15" s="48"/>
      <c r="F15" s="48"/>
      <c r="G15" s="48"/>
      <c r="H15" s="48"/>
      <c r="I15" s="48"/>
    </row>
    <row r="16" spans="1:15" ht="33.75" customHeight="1">
      <c r="A16" s="357" t="s">
        <v>540</v>
      </c>
      <c r="B16" s="357"/>
      <c r="C16" s="357"/>
      <c r="D16" s="357"/>
      <c r="E16" s="357"/>
      <c r="F16" s="28"/>
      <c r="G16" s="357" t="s">
        <v>541</v>
      </c>
      <c r="H16" s="357"/>
      <c r="I16" s="357"/>
      <c r="J16" s="357"/>
      <c r="K16" s="357"/>
    </row>
    <row r="17" spans="1:13" s="6" customFormat="1" ht="31.15">
      <c r="A17" s="184"/>
      <c r="B17" s="184">
        <f>Rok-3</f>
        <v>2020</v>
      </c>
      <c r="C17" s="184">
        <f>Rok-2</f>
        <v>2021</v>
      </c>
      <c r="D17" s="184" t="s">
        <v>534</v>
      </c>
      <c r="E17" s="194" t="s">
        <v>66</v>
      </c>
      <c r="G17" s="184"/>
      <c r="H17" s="184" t="str">
        <f>Rok-3&amp;" ERASMUS"</f>
        <v>2020 ERASMUS</v>
      </c>
      <c r="I17" s="184" t="str">
        <f>Rok-3&amp;" Iné"</f>
        <v>2020 Iné</v>
      </c>
      <c r="J17" s="184" t="str">
        <f>Rok-2&amp;" ERASMUS"</f>
        <v>2021 ERASMUS</v>
      </c>
      <c r="K17" s="184" t="str">
        <f>Rok-2&amp;" Iné"</f>
        <v>2021 Iné</v>
      </c>
      <c r="L17" s="184" t="s">
        <v>534</v>
      </c>
      <c r="M17" s="194" t="s">
        <v>66</v>
      </c>
    </row>
    <row r="18" spans="1:13">
      <c r="A18" s="250" t="s">
        <v>173</v>
      </c>
      <c r="B18" s="252">
        <v>4954.58</v>
      </c>
      <c r="C18" s="252">
        <v>230551.54</v>
      </c>
      <c r="D18" s="252">
        <f t="shared" ref="D18:D25" si="4">B18+C18</f>
        <v>235506.12</v>
      </c>
      <c r="E18" s="253">
        <f>D18/SUM(D$18:D$24)</f>
        <v>0.25196730531532563</v>
      </c>
      <c r="G18" s="250" t="s">
        <v>173</v>
      </c>
      <c r="H18" s="251"/>
      <c r="I18" s="251">
        <v>144727</v>
      </c>
      <c r="J18" s="251"/>
      <c r="K18" s="251">
        <v>31978</v>
      </c>
      <c r="L18" s="252">
        <f>SUM(H18:K18)</f>
        <v>176705</v>
      </c>
      <c r="M18" s="253">
        <f t="shared" ref="M18:M23" si="5">L18/SUM(L$18:L$23)</f>
        <v>0.57524417073102452</v>
      </c>
    </row>
    <row r="19" spans="1:13">
      <c r="A19" s="250" t="s">
        <v>174</v>
      </c>
      <c r="B19" s="252">
        <v>191333.91</v>
      </c>
      <c r="C19" s="252">
        <v>127065.4</v>
      </c>
      <c r="D19" s="252">
        <f t="shared" si="4"/>
        <v>318399.31</v>
      </c>
      <c r="E19" s="253">
        <f t="shared" ref="E19:E24" si="6">D19/SUM(D$18:D$24)</f>
        <v>0.3406544855605409</v>
      </c>
      <c r="G19" s="250" t="s">
        <v>174</v>
      </c>
      <c r="H19" s="251"/>
      <c r="I19" s="251">
        <v>30500</v>
      </c>
      <c r="J19" s="251"/>
      <c r="K19" s="251">
        <v>31038</v>
      </c>
      <c r="L19" s="252">
        <f t="shared" ref="L19:L25" si="7">SUM(H19:K19)</f>
        <v>61538</v>
      </c>
      <c r="M19" s="253">
        <f t="shared" si="5"/>
        <v>0.20033035725330797</v>
      </c>
    </row>
    <row r="20" spans="1:13">
      <c r="A20" s="250" t="s">
        <v>175</v>
      </c>
      <c r="B20" s="252">
        <v>0</v>
      </c>
      <c r="C20" s="252">
        <v>0</v>
      </c>
      <c r="D20" s="252">
        <f t="shared" si="4"/>
        <v>0</v>
      </c>
      <c r="E20" s="253">
        <f t="shared" si="6"/>
        <v>0</v>
      </c>
      <c r="G20" s="250" t="s">
        <v>175</v>
      </c>
      <c r="H20" s="251"/>
      <c r="I20" s="251">
        <v>0</v>
      </c>
      <c r="J20" s="251"/>
      <c r="K20" s="251">
        <v>0</v>
      </c>
      <c r="L20" s="252">
        <f t="shared" si="7"/>
        <v>0</v>
      </c>
      <c r="M20" s="253">
        <f t="shared" si="5"/>
        <v>0</v>
      </c>
    </row>
    <row r="21" spans="1:13">
      <c r="A21" s="250" t="s">
        <v>176</v>
      </c>
      <c r="B21" s="252">
        <v>0</v>
      </c>
      <c r="C21" s="252">
        <v>0</v>
      </c>
      <c r="D21" s="252">
        <f t="shared" si="4"/>
        <v>0</v>
      </c>
      <c r="E21" s="253">
        <f t="shared" si="6"/>
        <v>0</v>
      </c>
      <c r="G21" s="250" t="s">
        <v>176</v>
      </c>
      <c r="H21" s="251"/>
      <c r="I21" s="251">
        <v>0</v>
      </c>
      <c r="J21" s="251"/>
      <c r="K21" s="251">
        <v>59139.6</v>
      </c>
      <c r="L21" s="252">
        <f t="shared" si="7"/>
        <v>59139.6</v>
      </c>
      <c r="M21" s="253">
        <f t="shared" si="5"/>
        <v>0.1925226233517133</v>
      </c>
    </row>
    <row r="22" spans="1:13">
      <c r="A22" s="250" t="s">
        <v>177</v>
      </c>
      <c r="B22" s="252">
        <v>57467.05</v>
      </c>
      <c r="C22" s="252">
        <v>0</v>
      </c>
      <c r="D22" s="252">
        <f t="shared" si="4"/>
        <v>57467.05</v>
      </c>
      <c r="E22" s="253">
        <f t="shared" si="6"/>
        <v>6.1483827821209418E-2</v>
      </c>
      <c r="G22" s="250" t="s">
        <v>177</v>
      </c>
      <c r="H22" s="251"/>
      <c r="I22" s="251">
        <v>9800</v>
      </c>
      <c r="J22" s="251"/>
      <c r="K22" s="251">
        <v>0</v>
      </c>
      <c r="L22" s="252">
        <f t="shared" si="7"/>
        <v>9800</v>
      </c>
      <c r="M22" s="253">
        <f t="shared" si="5"/>
        <v>3.1902848663954278E-2</v>
      </c>
    </row>
    <row r="23" spans="1:13">
      <c r="A23" s="250" t="s">
        <v>178</v>
      </c>
      <c r="B23" s="252">
        <v>0</v>
      </c>
      <c r="C23" s="252">
        <v>0</v>
      </c>
      <c r="D23" s="252">
        <f t="shared" si="4"/>
        <v>0</v>
      </c>
      <c r="E23" s="253">
        <f t="shared" si="6"/>
        <v>0</v>
      </c>
      <c r="G23" s="250" t="s">
        <v>178</v>
      </c>
      <c r="H23" s="251"/>
      <c r="I23" s="251">
        <v>0</v>
      </c>
      <c r="J23" s="251"/>
      <c r="K23" s="251">
        <v>0</v>
      </c>
      <c r="L23" s="252">
        <f t="shared" si="7"/>
        <v>0</v>
      </c>
      <c r="M23" s="253">
        <f t="shared" si="5"/>
        <v>0</v>
      </c>
    </row>
    <row r="24" spans="1:13">
      <c r="A24" s="250" t="s">
        <v>179</v>
      </c>
      <c r="B24" s="252">
        <v>323296.88</v>
      </c>
      <c r="C24" s="252">
        <v>0</v>
      </c>
      <c r="D24" s="252">
        <f t="shared" si="4"/>
        <v>323296.88</v>
      </c>
      <c r="E24" s="253">
        <f t="shared" si="6"/>
        <v>0.34589438130292405</v>
      </c>
      <c r="G24" s="250" t="s">
        <v>179</v>
      </c>
      <c r="H24" s="251"/>
      <c r="I24" s="251">
        <v>0</v>
      </c>
      <c r="J24" s="251"/>
      <c r="K24" s="251">
        <v>0</v>
      </c>
      <c r="L24" s="252"/>
      <c r="M24" s="253"/>
    </row>
    <row r="25" spans="1:13">
      <c r="A25" s="250" t="s">
        <v>533</v>
      </c>
      <c r="B25" s="252">
        <v>0</v>
      </c>
      <c r="C25" s="252">
        <v>0</v>
      </c>
      <c r="D25" s="252">
        <f t="shared" si="4"/>
        <v>0</v>
      </c>
      <c r="E25" s="253"/>
      <c r="G25" s="250" t="s">
        <v>533</v>
      </c>
      <c r="H25" s="251"/>
      <c r="I25" s="251">
        <v>0</v>
      </c>
      <c r="J25" s="251">
        <v>580127</v>
      </c>
      <c r="K25" s="251">
        <v>0</v>
      </c>
      <c r="L25" s="252">
        <f t="shared" si="7"/>
        <v>580127</v>
      </c>
      <c r="M25" s="253"/>
    </row>
    <row r="26" spans="1:13">
      <c r="A26" s="250" t="s">
        <v>203</v>
      </c>
      <c r="B26" s="254">
        <f>SUM(B18:B25)</f>
        <v>577052.41999999993</v>
      </c>
      <c r="C26" s="254">
        <f>SUM(C18:C25)</f>
        <v>357616.94</v>
      </c>
      <c r="D26" s="254">
        <f>SUM(D18:D25)</f>
        <v>934669.36</v>
      </c>
      <c r="E26" s="253">
        <f>SUM(E18:E25)</f>
        <v>1</v>
      </c>
      <c r="G26" s="250" t="s">
        <v>203</v>
      </c>
      <c r="H26" s="254">
        <f t="shared" ref="H26:M26" si="8">SUM(H18:H25)</f>
        <v>0</v>
      </c>
      <c r="I26" s="254">
        <f>SUM(I18:I25)</f>
        <v>185027</v>
      </c>
      <c r="J26" s="254">
        <f t="shared" si="8"/>
        <v>580127</v>
      </c>
      <c r="K26" s="254">
        <f>SUM(K18:K25)</f>
        <v>122155.6</v>
      </c>
      <c r="L26" s="254">
        <f t="shared" si="8"/>
        <v>887309.6</v>
      </c>
      <c r="M26" s="253">
        <f t="shared" si="8"/>
        <v>1</v>
      </c>
    </row>
    <row r="27" spans="1:13">
      <c r="A27" s="7" t="s">
        <v>253</v>
      </c>
      <c r="B27" s="40">
        <v>577052.42000000004</v>
      </c>
      <c r="C27" s="40">
        <v>357616.94000000006</v>
      </c>
      <c r="D27" s="40">
        <v>934669.3600000001</v>
      </c>
      <c r="G27" s="7" t="s">
        <v>253</v>
      </c>
      <c r="H27" s="40">
        <v>0</v>
      </c>
      <c r="I27" s="40">
        <f>185027-H27</f>
        <v>185027</v>
      </c>
      <c r="J27" s="40">
        <v>580127</v>
      </c>
      <c r="K27" s="40">
        <f>702282.6-J27</f>
        <v>122155.59999999998</v>
      </c>
      <c r="L27" s="40">
        <f>H27+I27+J27+K27</f>
        <v>887309.6</v>
      </c>
    </row>
    <row r="28" spans="1:13">
      <c r="B28" s="356" t="s">
        <v>542</v>
      </c>
      <c r="C28" s="356"/>
      <c r="D28" s="356"/>
      <c r="H28" s="356" t="s">
        <v>543</v>
      </c>
      <c r="I28" s="356"/>
      <c r="J28" s="356"/>
    </row>
    <row r="30" spans="1:13">
      <c r="A30" s="355" t="s">
        <v>544</v>
      </c>
      <c r="B30" s="355"/>
      <c r="C30" s="355"/>
      <c r="D30" s="355"/>
      <c r="E30" s="355"/>
      <c r="F30" s="355"/>
      <c r="G30" s="355"/>
      <c r="H30" s="355"/>
      <c r="I30" s="355"/>
    </row>
    <row r="31" spans="1:13">
      <c r="A31" s="184"/>
      <c r="B31" s="151">
        <f>Rok-3</f>
        <v>2020</v>
      </c>
      <c r="C31" s="151">
        <f>Rok-2</f>
        <v>2021</v>
      </c>
      <c r="D31" s="151" t="s">
        <v>534</v>
      </c>
      <c r="E31" s="152" t="s">
        <v>66</v>
      </c>
    </row>
    <row r="32" spans="1:13">
      <c r="A32" s="250" t="s">
        <v>173</v>
      </c>
      <c r="B32" s="252">
        <v>20000</v>
      </c>
      <c r="C32" s="252">
        <v>60000</v>
      </c>
      <c r="D32" s="252">
        <f>B32+C32</f>
        <v>80000</v>
      </c>
      <c r="E32" s="253">
        <f>D32/SUM(D$32:D$38)</f>
        <v>0.4821910568747968</v>
      </c>
    </row>
    <row r="33" spans="1:5">
      <c r="A33" s="250" t="s">
        <v>174</v>
      </c>
      <c r="B33" s="252">
        <v>12992</v>
      </c>
      <c r="C33" s="252">
        <v>42462.34</v>
      </c>
      <c r="D33" s="252">
        <f t="shared" ref="D33:D39" si="9">B33+C33</f>
        <v>55454.34</v>
      </c>
      <c r="E33" s="253">
        <f t="shared" ref="E33:E38" si="10">D33/SUM(D$32:D$38)</f>
        <v>0.33424483516117898</v>
      </c>
    </row>
    <row r="34" spans="1:5">
      <c r="A34" s="250" t="s">
        <v>175</v>
      </c>
      <c r="B34" s="252">
        <v>0</v>
      </c>
      <c r="C34" s="252">
        <v>0</v>
      </c>
      <c r="D34" s="252">
        <f t="shared" si="9"/>
        <v>0</v>
      </c>
      <c r="E34" s="253">
        <f t="shared" si="10"/>
        <v>0</v>
      </c>
    </row>
    <row r="35" spans="1:5">
      <c r="A35" s="250" t="s">
        <v>176</v>
      </c>
      <c r="B35" s="252">
        <v>0</v>
      </c>
      <c r="C35" s="252">
        <v>0</v>
      </c>
      <c r="D35" s="252">
        <f t="shared" si="9"/>
        <v>0</v>
      </c>
      <c r="E35" s="253">
        <f t="shared" si="10"/>
        <v>0</v>
      </c>
    </row>
    <row r="36" spans="1:5">
      <c r="A36" s="250" t="s">
        <v>177</v>
      </c>
      <c r="B36" s="252">
        <v>0</v>
      </c>
      <c r="C36" s="252">
        <v>0</v>
      </c>
      <c r="D36" s="252">
        <f t="shared" si="9"/>
        <v>0</v>
      </c>
      <c r="E36" s="253">
        <f t="shared" si="10"/>
        <v>0</v>
      </c>
    </row>
    <row r="37" spans="1:5">
      <c r="A37" s="250" t="s">
        <v>178</v>
      </c>
      <c r="B37" s="252">
        <v>0</v>
      </c>
      <c r="C37" s="252">
        <v>0</v>
      </c>
      <c r="D37" s="252">
        <f t="shared" si="9"/>
        <v>0</v>
      </c>
      <c r="E37" s="253">
        <f t="shared" si="10"/>
        <v>0</v>
      </c>
    </row>
    <row r="38" spans="1:5">
      <c r="A38" s="250" t="s">
        <v>179</v>
      </c>
      <c r="B38" s="252">
        <v>12705</v>
      </c>
      <c r="C38" s="252">
        <v>17750</v>
      </c>
      <c r="D38" s="252">
        <f t="shared" si="9"/>
        <v>30455</v>
      </c>
      <c r="E38" s="253">
        <f t="shared" si="10"/>
        <v>0.1835641079640242</v>
      </c>
    </row>
    <row r="39" spans="1:5">
      <c r="A39" s="250" t="s">
        <v>533</v>
      </c>
      <c r="B39" s="252">
        <v>0</v>
      </c>
      <c r="C39" s="252">
        <v>0</v>
      </c>
      <c r="D39" s="252">
        <f t="shared" si="9"/>
        <v>0</v>
      </c>
      <c r="E39" s="253"/>
    </row>
    <row r="40" spans="1:5">
      <c r="A40" s="250" t="s">
        <v>203</v>
      </c>
      <c r="B40" s="254">
        <f>SUM(B32:B39)</f>
        <v>45697</v>
      </c>
      <c r="C40" s="254">
        <f>SUM(C32:C39)</f>
        <v>120212.34</v>
      </c>
      <c r="D40" s="254">
        <f>SUM(D32:D39)</f>
        <v>165909.34</v>
      </c>
      <c r="E40" s="253">
        <f>SUM(E32:E39)</f>
        <v>1</v>
      </c>
    </row>
    <row r="41" spans="1:5">
      <c r="A41" s="7" t="s">
        <v>253</v>
      </c>
      <c r="B41" s="40">
        <v>45697</v>
      </c>
      <c r="C41" s="40">
        <v>120212.34</v>
      </c>
      <c r="D41" s="40">
        <v>165909.34</v>
      </c>
    </row>
    <row r="42" spans="1:5">
      <c r="B42" s="356" t="s">
        <v>545</v>
      </c>
      <c r="C42" s="356"/>
      <c r="D42" s="356"/>
    </row>
  </sheetData>
  <mergeCells count="15">
    <mergeCell ref="A1:I1"/>
    <mergeCell ref="B28:D28"/>
    <mergeCell ref="B2:C2"/>
    <mergeCell ref="D2:E2"/>
    <mergeCell ref="F2:G2"/>
    <mergeCell ref="H2:I2"/>
    <mergeCell ref="M2:M3"/>
    <mergeCell ref="A2:A3"/>
    <mergeCell ref="A30:I30"/>
    <mergeCell ref="B42:D42"/>
    <mergeCell ref="J14:L14"/>
    <mergeCell ref="J2:K2"/>
    <mergeCell ref="A16:E16"/>
    <mergeCell ref="G16:K16"/>
    <mergeCell ref="H28:J28"/>
  </mergeCells>
  <conditionalFormatting sqref="C27:D27 K27:L27 C13 E13 G13 I13:L13">
    <cfRule type="cellIs" dxfId="28" priority="35" operator="between">
      <formula>C12-0.9</formula>
      <formula>C12+0.9</formula>
    </cfRule>
  </conditionalFormatting>
  <conditionalFormatting sqref="C27:D27">
    <cfRule type="cellIs" dxfId="27" priority="31" operator="equal">
      <formula>C26</formula>
    </cfRule>
  </conditionalFormatting>
  <conditionalFormatting sqref="J27:L27">
    <cfRule type="cellIs" dxfId="26" priority="30" operator="equal">
      <formula>J26</formula>
    </cfRule>
  </conditionalFormatting>
  <conditionalFormatting sqref="B27">
    <cfRule type="cellIs" dxfId="25" priority="14" operator="between">
      <formula>B26-0.9</formula>
      <formula>B26+0.9</formula>
    </cfRule>
  </conditionalFormatting>
  <conditionalFormatting sqref="H27">
    <cfRule type="cellIs" dxfId="24" priority="20" operator="equal">
      <formula>H26</formula>
    </cfRule>
  </conditionalFormatting>
  <conditionalFormatting sqref="B27">
    <cfRule type="cellIs" dxfId="23" priority="13" operator="equal">
      <formula>B26</formula>
    </cfRule>
  </conditionalFormatting>
  <conditionalFormatting sqref="I27">
    <cfRule type="cellIs" dxfId="22" priority="12" operator="between">
      <formula>I26-0.9</formula>
      <formula>I26+0.9</formula>
    </cfRule>
  </conditionalFormatting>
  <conditionalFormatting sqref="I27">
    <cfRule type="cellIs" dxfId="21" priority="11" operator="equal">
      <formula>I26</formula>
    </cfRule>
  </conditionalFormatting>
  <conditionalFormatting sqref="F13">
    <cfRule type="cellIs" dxfId="20" priority="6" operator="between">
      <formula>F12-0.9</formula>
      <formula>F12+0.9</formula>
    </cfRule>
  </conditionalFormatting>
  <conditionalFormatting sqref="B13">
    <cfRule type="cellIs" dxfId="19" priority="8" operator="between">
      <formula>B12-0.9</formula>
      <formula>B12+0.9</formula>
    </cfRule>
  </conditionalFormatting>
  <conditionalFormatting sqref="H13">
    <cfRule type="cellIs" dxfId="18" priority="5" operator="between">
      <formula>H12-0.9</formula>
      <formula>H12+0.9</formula>
    </cfRule>
  </conditionalFormatting>
  <conditionalFormatting sqref="D13">
    <cfRule type="cellIs" dxfId="17" priority="7" operator="between">
      <formula>D12-0.9</formula>
      <formula>D12+0.9</formula>
    </cfRule>
  </conditionalFormatting>
  <conditionalFormatting sqref="C41:D41">
    <cfRule type="cellIs" dxfId="16" priority="4" operator="between">
      <formula>C40-0.9</formula>
      <formula>C40+0.9</formula>
    </cfRule>
  </conditionalFormatting>
  <conditionalFormatting sqref="C41:D41">
    <cfRule type="cellIs" dxfId="15" priority="3" operator="equal">
      <formula>C40</formula>
    </cfRule>
  </conditionalFormatting>
  <conditionalFormatting sqref="B41">
    <cfRule type="cellIs" dxfId="14" priority="2" operator="between">
      <formula>B40-0.9</formula>
      <formula>B40+0.9</formula>
    </cfRule>
  </conditionalFormatting>
  <conditionalFormatting sqref="B41">
    <cfRule type="cellIs" dxfId="13" priority="1" operator="equal">
      <formula>B40</formula>
    </cfRule>
  </conditionalFormatting>
  <hyperlinks>
    <hyperlink ref="B15" r:id="rId1" display="https://www.minedu.sk/uspesnost-domacich-a-zahranicnych-grantov-k-rozpisu-dotacii-na-rok-2018/" xr:uid="{00000000-0004-0000-0C00-000000000000}"/>
    <hyperlink ref="B15:I15" r:id="rId2" display="https://www.minedu.sk/uspesnost-domacich-a-zahranicnych-projektov-k-rozpisu-dotacii-na-rok-2020/" xr:uid="{00000000-0004-0000-0C00-000001000000}"/>
    <hyperlink ref="B14" r:id="rId3" display="https://www.minedu.sk/uspesnost-domacich-a-zahranicnych-grantov-k-rozpisu-dotacii-na-rok-2018/" xr:uid="{00000000-0004-0000-0C00-000002000000}"/>
    <hyperlink ref="B14:I14" r:id="rId4" display="https://www.minedu.sk/uspesnost-domacich-a-zahranicnych-projektov-k-rozpisu-dotacii-na-rok-2020/" xr:uid="{00000000-0004-0000-0C00-000003000000}"/>
  </hyperlinks>
  <pageMargins left="0.31496062992125984" right="0.31496062992125984" top="0.74803149606299213" bottom="0.55118110236220474" header="0.31496062992125984" footer="0.31496062992125984"/>
  <pageSetup paperSize="9" scale="74" orientation="landscape" r:id="rId5"/>
  <headerFooter scaleWithDoc="0">
    <oddHeader>&amp;R&amp;A</oddHeader>
  </headerFooter>
  <ignoredErrors>
    <ignoredError sqref="C3 E3 G3 I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79"/>
  <sheetViews>
    <sheetView tabSelected="1" workbookViewId="0">
      <selection activeCell="K10" sqref="K10"/>
    </sheetView>
  </sheetViews>
  <sheetFormatPr defaultColWidth="14.28515625" defaultRowHeight="15.6"/>
  <cols>
    <col min="1" max="14" width="14.28515625" style="1" customWidth="1"/>
    <col min="15" max="16384" width="14.28515625" style="1"/>
  </cols>
  <sheetData>
    <row r="1" spans="1:18">
      <c r="A1" s="5" t="s">
        <v>546</v>
      </c>
      <c r="D1" s="1" t="str">
        <f>"(T16-KIVČ - rozpis "&amp;Rok-2&amp;", "&amp;Rok-3&amp;", "&amp;Rok-4&amp;" + výročná správa o stave vš (počet zamestnancov))"</f>
        <v>(T16-KIVČ - rozpis 2021, 2020, 2019 + výročná správa o stave vš (počet zamestnancov))</v>
      </c>
      <c r="M1" s="49">
        <f>0.5*VstupyUPJS!$B11</f>
        <v>0.25</v>
      </c>
      <c r="N1" s="49">
        <f>1*VstupyUPJS!$B11</f>
        <v>0.5</v>
      </c>
    </row>
    <row r="2" spans="1:18" ht="46.9">
      <c r="A2" s="151"/>
      <c r="B2" s="184" t="str">
        <f>"Podiel na vede "&amp;Rok-2&amp;" bez KA"</f>
        <v>Podiel na vede 2021 bez KA</v>
      </c>
      <c r="C2" s="184" t="str">
        <f>"počet AZ "&amp;Rok-2</f>
        <v>počet AZ 2021</v>
      </c>
      <c r="D2" s="151" t="str">
        <f>"Podiel "&amp;Rok-2</f>
        <v>Podiel 2021</v>
      </c>
      <c r="E2" s="184" t="str">
        <f>"Podiel na vede "&amp;Rok-3&amp;" bez KA"</f>
        <v>Podiel na vede 2020 bez KA</v>
      </c>
      <c r="F2" s="184" t="str">
        <f>"počet AZ "&amp;Rok-3</f>
        <v>počet AZ 2020</v>
      </c>
      <c r="G2" s="151" t="str">
        <f>"Podiel "&amp;Rok-3</f>
        <v>Podiel 2020</v>
      </c>
      <c r="H2" s="184" t="str">
        <f>"Podiel na vede "&amp;Rok-4&amp;" bez KA"</f>
        <v>Podiel na vede 2019 bez KA</v>
      </c>
      <c r="I2" s="184" t="str">
        <f>"počet AZ "&amp;Rok-4</f>
        <v>počet AZ 2019</v>
      </c>
      <c r="J2" s="151" t="str">
        <f>"Podiel "&amp;Rok-4</f>
        <v>Podiel 2019</v>
      </c>
      <c r="K2" s="194" t="str">
        <f>"Median 
"&amp;Rok-4&amp;"-"&amp;Rok-2</f>
        <v>Median 
2019-2021</v>
      </c>
      <c r="M2" s="256" t="s">
        <v>547</v>
      </c>
      <c r="N2" s="256" t="s">
        <v>548</v>
      </c>
      <c r="O2" s="184" t="s">
        <v>549</v>
      </c>
      <c r="P2" s="184" t="str">
        <f>"počet AZ "&amp;Rok-2</f>
        <v>počet AZ 2021</v>
      </c>
      <c r="Q2" s="184" t="str">
        <f>"počet AZ "&amp;Rok-3</f>
        <v>počet AZ 2020</v>
      </c>
      <c r="R2" s="184" t="str">
        <f>"počet AZ "&amp;Rok-4</f>
        <v>počet AZ 2019</v>
      </c>
    </row>
    <row r="3" spans="1:18">
      <c r="A3" s="153" t="s">
        <v>173</v>
      </c>
      <c r="B3" s="197">
        <v>0.30453470193728593</v>
      </c>
      <c r="C3" s="257">
        <f>P3+$O3</f>
        <v>395.20000000000005</v>
      </c>
      <c r="D3" s="258">
        <f>B3/C3*B$11</f>
        <v>6.3867215850680562E-3</v>
      </c>
      <c r="E3" s="197">
        <v>0.31820123739390838</v>
      </c>
      <c r="F3" s="259">
        <f>Q3+$O3</f>
        <v>384.29999999999995</v>
      </c>
      <c r="G3" s="258">
        <f>E3/F3*E$11</f>
        <v>6.5938544544593717E-3</v>
      </c>
      <c r="H3" s="197">
        <v>0.29483601657044872</v>
      </c>
      <c r="I3" s="257">
        <f>R3+$O3</f>
        <v>375.90000000000003</v>
      </c>
      <c r="J3" s="258">
        <f>H3/I3*H$11</f>
        <v>6.8433964237594111E-3</v>
      </c>
      <c r="K3" s="260">
        <f>MEDIAN(D3,G3,J3)</f>
        <v>6.5938544544593717E-3</v>
      </c>
      <c r="M3" s="181">
        <f>AVERAGE(M$1*$K3/$K$11+1-M$1)</f>
        <v>0.92952592984072457</v>
      </c>
      <c r="N3" s="181">
        <f>AVERAGE(N$1*$K3/$K$11+1-N$1)</f>
        <v>0.85905185968144915</v>
      </c>
      <c r="O3" s="257"/>
      <c r="P3" s="128">
        <f>330.6+64.6</f>
        <v>395.20000000000005</v>
      </c>
      <c r="Q3" s="128">
        <f>329.4+54.9</f>
        <v>384.29999999999995</v>
      </c>
      <c r="R3" s="128">
        <v>375.90000000000003</v>
      </c>
    </row>
    <row r="4" spans="1:18">
      <c r="A4" s="153" t="s">
        <v>174</v>
      </c>
      <c r="B4" s="197">
        <v>0.49900397046238509</v>
      </c>
      <c r="C4" s="257">
        <f t="shared" ref="C4:C9" si="0">P4+$O4</f>
        <v>201.20000000000002</v>
      </c>
      <c r="D4" s="258">
        <f t="shared" ref="D4:D10" si="1">B4/C4*B$11</f>
        <v>2.055578929186111E-2</v>
      </c>
      <c r="E4" s="197">
        <v>0.4896624552694584</v>
      </c>
      <c r="F4" s="259">
        <f t="shared" ref="F4:F9" si="2">Q4+$O4</f>
        <v>198.4</v>
      </c>
      <c r="G4" s="258">
        <f t="shared" ref="G4:G10" si="3">E4/F4*E$11</f>
        <v>1.9654545938095451E-2</v>
      </c>
      <c r="H4" s="197">
        <v>0.4718237281999107</v>
      </c>
      <c r="I4" s="257">
        <f t="shared" ref="I4:I9" si="4">R4+$O4</f>
        <v>194.2</v>
      </c>
      <c r="J4" s="258">
        <f t="shared" ref="J4:J10" si="5">H4/I4*H$11</f>
        <v>2.1197958697012402E-2</v>
      </c>
      <c r="K4" s="260">
        <f t="shared" ref="K4:K10" si="6">MEDIAN(D4,G4,J4)</f>
        <v>2.055578929186111E-2</v>
      </c>
      <c r="M4" s="181">
        <f t="shared" ref="M4:N10" si="7">AVERAGE(M$1*$K4/$K$11+1-M$1)</f>
        <v>1.3096570582075338</v>
      </c>
      <c r="N4" s="181">
        <f t="shared" si="7"/>
        <v>1.6193141164150675</v>
      </c>
      <c r="O4" s="257"/>
      <c r="P4" s="128">
        <f>139.3+61.9</f>
        <v>201.20000000000002</v>
      </c>
      <c r="Q4" s="128">
        <f>140.5+57.9</f>
        <v>198.4</v>
      </c>
      <c r="R4" s="128">
        <v>194.2</v>
      </c>
    </row>
    <row r="5" spans="1:18">
      <c r="A5" s="153" t="s">
        <v>175</v>
      </c>
      <c r="B5" s="197">
        <v>4.7902570979732904E-2</v>
      </c>
      <c r="C5" s="257">
        <f t="shared" si="0"/>
        <v>59.9</v>
      </c>
      <c r="D5" s="258">
        <f t="shared" si="1"/>
        <v>6.6281164979947816E-3</v>
      </c>
      <c r="E5" s="197">
        <v>4.6696255619126645E-2</v>
      </c>
      <c r="F5" s="259">
        <f t="shared" si="2"/>
        <v>56.800000000000004</v>
      </c>
      <c r="G5" s="258">
        <f t="shared" si="3"/>
        <v>6.5469888160467529E-3</v>
      </c>
      <c r="H5" s="197">
        <v>4.4878430625293952E-2</v>
      </c>
      <c r="I5" s="257">
        <f t="shared" si="4"/>
        <v>56</v>
      </c>
      <c r="J5" s="258">
        <f t="shared" si="5"/>
        <v>6.9921884346003963E-3</v>
      </c>
      <c r="K5" s="260">
        <f t="shared" si="6"/>
        <v>6.6281164979947816E-3</v>
      </c>
      <c r="M5" s="181">
        <f t="shared" si="7"/>
        <v>0.93045875680353052</v>
      </c>
      <c r="N5" s="181">
        <f t="shared" si="7"/>
        <v>0.86091751360706104</v>
      </c>
      <c r="O5" s="257"/>
      <c r="P5" s="128">
        <f>49.4+10.5</f>
        <v>59.9</v>
      </c>
      <c r="Q5" s="128">
        <f>48.7+8.1</f>
        <v>56.800000000000004</v>
      </c>
      <c r="R5" s="128">
        <v>56</v>
      </c>
    </row>
    <row r="6" spans="1:18">
      <c r="A6" s="153" t="s">
        <v>176</v>
      </c>
      <c r="B6" s="197">
        <v>1.1338759742429124E-2</v>
      </c>
      <c r="C6" s="257">
        <f t="shared" si="0"/>
        <v>29.599999999999998</v>
      </c>
      <c r="D6" s="258">
        <f t="shared" si="1"/>
        <v>3.1749140627635448E-3</v>
      </c>
      <c r="E6" s="197">
        <v>1.2588189292710444E-2</v>
      </c>
      <c r="F6" s="259">
        <f t="shared" si="2"/>
        <v>29.5</v>
      </c>
      <c r="G6" s="258">
        <f t="shared" si="3"/>
        <v>3.3982014903024584E-3</v>
      </c>
      <c r="H6" s="197">
        <v>1.2351468416219726E-2</v>
      </c>
      <c r="I6" s="257">
        <f t="shared" si="4"/>
        <v>30.5</v>
      </c>
      <c r="J6" s="258">
        <f t="shared" si="5"/>
        <v>3.5333140641207205E-3</v>
      </c>
      <c r="K6" s="260">
        <f t="shared" si="6"/>
        <v>3.3982014903024584E-3</v>
      </c>
      <c r="M6" s="181">
        <f t="shared" si="7"/>
        <v>0.84252028332534734</v>
      </c>
      <c r="N6" s="181">
        <f t="shared" si="7"/>
        <v>0.68504056665069468</v>
      </c>
      <c r="O6" s="257"/>
      <c r="P6" s="128">
        <f>28.9+0.7</f>
        <v>29.599999999999998</v>
      </c>
      <c r="Q6" s="128">
        <f>29+0.5</f>
        <v>29.5</v>
      </c>
      <c r="R6" s="128">
        <v>30.5</v>
      </c>
    </row>
    <row r="7" spans="1:18">
      <c r="A7" s="153" t="s">
        <v>177</v>
      </c>
      <c r="B7" s="197">
        <v>0.11959338713328506</v>
      </c>
      <c r="C7" s="257">
        <f t="shared" si="0"/>
        <v>112.30000000000001</v>
      </c>
      <c r="D7" s="258">
        <f t="shared" si="1"/>
        <v>8.8264393707036329E-3</v>
      </c>
      <c r="E7" s="197">
        <v>0.11631979581890134</v>
      </c>
      <c r="F7" s="259">
        <f t="shared" si="2"/>
        <v>115.4</v>
      </c>
      <c r="G7" s="258">
        <f t="shared" si="3"/>
        <v>8.0270450328061935E-3</v>
      </c>
      <c r="H7" s="197">
        <v>0.14415290789398341</v>
      </c>
      <c r="I7" s="257">
        <f t="shared" si="4"/>
        <v>119.19999999999999</v>
      </c>
      <c r="J7" s="258">
        <f t="shared" si="5"/>
        <v>1.0551413461461948E-2</v>
      </c>
      <c r="K7" s="260">
        <f t="shared" si="6"/>
        <v>8.8264393707036329E-3</v>
      </c>
      <c r="M7" s="181">
        <f t="shared" si="7"/>
        <v>0.9903108449166198</v>
      </c>
      <c r="N7" s="181">
        <f t="shared" si="7"/>
        <v>0.98062168983323961</v>
      </c>
      <c r="O7" s="226">
        <v>-11</v>
      </c>
      <c r="P7" s="128">
        <f>120.4+2.9</f>
        <v>123.30000000000001</v>
      </c>
      <c r="Q7" s="128">
        <f>122.4+4</f>
        <v>126.4</v>
      </c>
      <c r="R7" s="128">
        <v>130.19999999999999</v>
      </c>
    </row>
    <row r="8" spans="1:18">
      <c r="A8" s="153" t="s">
        <v>178</v>
      </c>
      <c r="B8" s="197">
        <v>3.3013010262709138E-3</v>
      </c>
      <c r="C8" s="257">
        <f t="shared" si="0"/>
        <v>12.2</v>
      </c>
      <c r="D8" s="258">
        <f t="shared" si="1"/>
        <v>2.2427632373438191E-3</v>
      </c>
      <c r="E8" s="197">
        <v>3.5396572382462056E-3</v>
      </c>
      <c r="F8" s="259">
        <f t="shared" si="2"/>
        <v>10.7</v>
      </c>
      <c r="G8" s="258">
        <f t="shared" si="3"/>
        <v>2.6344217825890817E-3</v>
      </c>
      <c r="H8" s="197">
        <v>2.347229501956349E-3</v>
      </c>
      <c r="I8" s="257">
        <f t="shared" si="4"/>
        <v>9.6999999999999993</v>
      </c>
      <c r="J8" s="258">
        <f t="shared" si="5"/>
        <v>2.1112871774788236E-3</v>
      </c>
      <c r="K8" s="260">
        <f t="shared" si="6"/>
        <v>2.2427632373438191E-3</v>
      </c>
      <c r="M8" s="181">
        <f t="shared" si="7"/>
        <v>0.81106203259073206</v>
      </c>
      <c r="N8" s="181">
        <f t="shared" si="7"/>
        <v>0.62212406518146435</v>
      </c>
      <c r="O8" s="226">
        <v>-2</v>
      </c>
      <c r="P8" s="261">
        <v>14.2</v>
      </c>
      <c r="Q8" s="128">
        <v>12.7</v>
      </c>
      <c r="R8" s="128">
        <v>11.7</v>
      </c>
    </row>
    <row r="9" spans="1:18">
      <c r="A9" s="153" t="s">
        <v>533</v>
      </c>
      <c r="B9" s="197">
        <v>1.4325308718611008E-2</v>
      </c>
      <c r="C9" s="257">
        <f t="shared" si="0"/>
        <v>14.9</v>
      </c>
      <c r="D9" s="258">
        <f t="shared" si="1"/>
        <v>7.9684867359421426E-3</v>
      </c>
      <c r="E9" s="197">
        <v>1.2992409367648658E-2</v>
      </c>
      <c r="F9" s="259">
        <f t="shared" si="2"/>
        <v>11.5</v>
      </c>
      <c r="G9" s="258">
        <f t="shared" si="3"/>
        <v>8.9970416855206532E-3</v>
      </c>
      <c r="H9" s="197">
        <v>2.9610218792187296E-2</v>
      </c>
      <c r="I9" s="257">
        <f t="shared" si="4"/>
        <v>11.8</v>
      </c>
      <c r="J9" s="258">
        <f t="shared" si="5"/>
        <v>2.1893898400183163E-2</v>
      </c>
      <c r="K9" s="260">
        <f t="shared" si="6"/>
        <v>8.9970416855206532E-3</v>
      </c>
      <c r="M9" s="181">
        <f t="shared" si="7"/>
        <v>0.99495570619040685</v>
      </c>
      <c r="N9" s="181">
        <f t="shared" si="7"/>
        <v>0.98991141238081348</v>
      </c>
      <c r="O9" s="257"/>
      <c r="P9" s="261">
        <v>14.9</v>
      </c>
      <c r="Q9" s="128">
        <v>11.5</v>
      </c>
      <c r="R9" s="128">
        <v>11.8</v>
      </c>
    </row>
    <row r="10" spans="1:18">
      <c r="A10" s="153" t="s">
        <v>550</v>
      </c>
      <c r="B10" s="156">
        <f t="shared" ref="B10:H10" si="8">SUM(B3:B9)</f>
        <v>1</v>
      </c>
      <c r="C10" s="262">
        <f>SUM(C3:C9)-$O$10</f>
        <v>838.30000000000007</v>
      </c>
      <c r="D10" s="263">
        <f t="shared" si="1"/>
        <v>9.8868664149113546E-3</v>
      </c>
      <c r="E10" s="156">
        <f t="shared" si="8"/>
        <v>1</v>
      </c>
      <c r="F10" s="262">
        <f>SUM(F3:F9)-$O$10</f>
        <v>819.59999999999991</v>
      </c>
      <c r="G10" s="263">
        <f t="shared" si="3"/>
        <v>9.7164121265559747E-3</v>
      </c>
      <c r="H10" s="156">
        <f t="shared" si="8"/>
        <v>1</v>
      </c>
      <c r="I10" s="262">
        <f>SUM(I3:I9)-$O$10</f>
        <v>810.3</v>
      </c>
      <c r="J10" s="263">
        <f t="shared" si="5"/>
        <v>1.0767568674928106E-2</v>
      </c>
      <c r="K10" s="260">
        <f t="shared" si="6"/>
        <v>9.8868664149113546E-3</v>
      </c>
      <c r="M10" s="181">
        <f t="shared" si="7"/>
        <v>1.0191822967289803</v>
      </c>
      <c r="N10" s="181">
        <f t="shared" si="7"/>
        <v>1.0383645934579606</v>
      </c>
      <c r="O10" s="153">
        <f t="shared" ref="O10:R10" si="9">SUM(O3:O9)</f>
        <v>-13</v>
      </c>
      <c r="P10" s="153">
        <f t="shared" si="9"/>
        <v>838.30000000000007</v>
      </c>
      <c r="Q10" s="153">
        <f t="shared" si="9"/>
        <v>819.59999999999991</v>
      </c>
      <c r="R10" s="153">
        <f t="shared" si="9"/>
        <v>810.3</v>
      </c>
    </row>
    <row r="11" spans="1:18">
      <c r="A11" s="153" t="s">
        <v>551</v>
      </c>
      <c r="B11" s="264">
        <f>B12</f>
        <v>8.2881601156201903</v>
      </c>
      <c r="C11" s="153"/>
      <c r="D11" s="153"/>
      <c r="E11" s="264">
        <f>E12</f>
        <v>7.9635713789252769</v>
      </c>
      <c r="F11" s="153"/>
      <c r="G11" s="153"/>
      <c r="H11" s="264">
        <f>H12</f>
        <v>8.7249608972942436</v>
      </c>
      <c r="I11" s="153"/>
      <c r="J11" s="153" t="s">
        <v>552</v>
      </c>
      <c r="K11" s="260">
        <v>9.1823148615766004E-3</v>
      </c>
      <c r="M11" s="181">
        <f>M$1*$K11/$K$11+1-M$1</f>
        <v>1</v>
      </c>
      <c r="N11" s="181">
        <f>N$1*$K11/$K$11+1-N$1</f>
        <v>1</v>
      </c>
      <c r="P11" s="47">
        <v>838.3</v>
      </c>
      <c r="Q11" s="47">
        <v>819.6</v>
      </c>
      <c r="R11" s="47">
        <v>810.3</v>
      </c>
    </row>
    <row r="12" spans="1:18">
      <c r="A12" s="34" t="s">
        <v>253</v>
      </c>
      <c r="B12" s="47">
        <v>8.2881601156201903</v>
      </c>
      <c r="C12" s="47">
        <v>838.3</v>
      </c>
      <c r="D12" s="64">
        <v>9.8868664149113564E-3</v>
      </c>
      <c r="E12" s="47">
        <v>7.9635713789252769</v>
      </c>
      <c r="F12" s="47">
        <v>819.6</v>
      </c>
      <c r="G12" s="64">
        <v>9.7164121265559747E-3</v>
      </c>
      <c r="H12" s="47">
        <v>8.7249608972942436</v>
      </c>
      <c r="I12" s="47">
        <v>810.3</v>
      </c>
      <c r="J12" s="64">
        <v>1.0767568674928106E-2</v>
      </c>
      <c r="K12" s="64">
        <v>9.8868664149113564E-3</v>
      </c>
    </row>
    <row r="13" spans="1:18">
      <c r="K13" s="80"/>
    </row>
    <row r="14" spans="1:18">
      <c r="D14" s="5"/>
      <c r="E14" s="5" t="s">
        <v>553</v>
      </c>
      <c r="F14" s="5"/>
      <c r="G14" s="5"/>
      <c r="H14" s="5"/>
      <c r="I14" s="5"/>
      <c r="K14" s="358" t="s">
        <v>554</v>
      </c>
      <c r="L14" s="358"/>
      <c r="M14" s="358" t="s">
        <v>555</v>
      </c>
      <c r="N14" s="358"/>
    </row>
    <row r="15" spans="1:18">
      <c r="A15" s="5" t="s">
        <v>556</v>
      </c>
      <c r="B15" s="5"/>
      <c r="C15" s="5"/>
      <c r="E15" s="153"/>
      <c r="F15" s="298" t="s">
        <v>557</v>
      </c>
      <c r="G15" s="299"/>
      <c r="H15" s="290" t="s">
        <v>558</v>
      </c>
      <c r="I15" s="290"/>
      <c r="K15" s="359"/>
      <c r="L15" s="359"/>
      <c r="M15" s="359"/>
      <c r="N15" s="359"/>
    </row>
    <row r="16" spans="1:18" s="10" customFormat="1">
      <c r="A16" s="151"/>
      <c r="B16" s="151" t="s">
        <v>526</v>
      </c>
      <c r="C16" s="152" t="s">
        <v>66</v>
      </c>
      <c r="E16" s="151"/>
      <c r="F16" s="151" t="s">
        <v>526</v>
      </c>
      <c r="G16" s="152" t="s">
        <v>66</v>
      </c>
      <c r="H16" s="151" t="s">
        <v>526</v>
      </c>
      <c r="I16" s="152" t="s">
        <v>66</v>
      </c>
      <c r="K16" s="151" t="s">
        <v>526</v>
      </c>
      <c r="L16" s="152" t="s">
        <v>66</v>
      </c>
      <c r="M16" s="151" t="s">
        <v>526</v>
      </c>
      <c r="N16" s="152" t="s">
        <v>66</v>
      </c>
    </row>
    <row r="17" spans="1:14">
      <c r="A17" s="153" t="s">
        <v>173</v>
      </c>
      <c r="B17" s="128">
        <v>0</v>
      </c>
      <c r="C17" s="265">
        <f t="shared" ref="C17:C24" si="10">B17/B$25</f>
        <v>0</v>
      </c>
      <c r="E17" s="153" t="s">
        <v>173</v>
      </c>
      <c r="F17" s="266">
        <v>659892.2200948142</v>
      </c>
      <c r="G17" s="265">
        <f>F17/(F$25-F$24)</f>
        <v>0.23370720888574176</v>
      </c>
      <c r="H17" s="205">
        <v>1013399.0788594554</v>
      </c>
      <c r="I17" s="265">
        <f>H17/(H$25-H$24)</f>
        <v>0.27464992564283519</v>
      </c>
      <c r="K17" s="266">
        <v>835014.70817997097</v>
      </c>
      <c r="L17" s="265">
        <f>K17/(K$25-K$24)</f>
        <v>0.26042229487169649</v>
      </c>
      <c r="M17" s="266">
        <v>659892.2200948142</v>
      </c>
      <c r="N17" s="265">
        <f>M17/(M$25-M$24)</f>
        <v>0.23370720888574176</v>
      </c>
    </row>
    <row r="18" spans="1:14">
      <c r="A18" s="153" t="s">
        <v>174</v>
      </c>
      <c r="B18" s="128">
        <v>0</v>
      </c>
      <c r="C18" s="265">
        <f t="shared" si="10"/>
        <v>0</v>
      </c>
      <c r="E18" s="153" t="s">
        <v>174</v>
      </c>
      <c r="F18" s="266">
        <v>1244304.6034430873</v>
      </c>
      <c r="G18" s="265">
        <f t="shared" ref="G18:I23" si="11">F18/(F$25-F$24)</f>
        <v>0.44068250392856684</v>
      </c>
      <c r="H18" s="205">
        <v>2147000.5800490985</v>
      </c>
      <c r="I18" s="265">
        <f t="shared" si="11"/>
        <v>0.5818769347306546</v>
      </c>
      <c r="K18" s="266">
        <v>1721288.270882789</v>
      </c>
      <c r="L18" s="265">
        <f t="shared" ref="L18:L23" si="12">K18/(K$25-K$24)</f>
        <v>0.53683107285149312</v>
      </c>
      <c r="M18" s="266">
        <v>1244304.6034430873</v>
      </c>
      <c r="N18" s="265">
        <f t="shared" ref="N18:N23" si="13">M18/(M$25-M$24)</f>
        <v>0.44068250392856684</v>
      </c>
    </row>
    <row r="19" spans="1:14">
      <c r="A19" s="153" t="s">
        <v>175</v>
      </c>
      <c r="B19" s="128">
        <v>0</v>
      </c>
      <c r="C19" s="265">
        <f t="shared" si="10"/>
        <v>0</v>
      </c>
      <c r="E19" s="153" t="s">
        <v>175</v>
      </c>
      <c r="F19" s="266">
        <v>256369.99415254855</v>
      </c>
      <c r="G19" s="265">
        <f t="shared" si="11"/>
        <v>9.079591174273477E-2</v>
      </c>
      <c r="H19" s="205">
        <v>63300.792185225699</v>
      </c>
      <c r="I19" s="265">
        <f t="shared" si="11"/>
        <v>1.7155687457671293E-2</v>
      </c>
      <c r="K19" s="266">
        <v>127452.78065994114</v>
      </c>
      <c r="L19" s="265">
        <f t="shared" si="12"/>
        <v>3.9749653870871773E-2</v>
      </c>
      <c r="M19" s="266">
        <v>256369.99415254855</v>
      </c>
      <c r="N19" s="265">
        <f t="shared" si="13"/>
        <v>9.079591174273477E-2</v>
      </c>
    </row>
    <row r="20" spans="1:14">
      <c r="A20" s="153" t="s">
        <v>176</v>
      </c>
      <c r="B20" s="128">
        <v>0</v>
      </c>
      <c r="C20" s="265">
        <f t="shared" si="10"/>
        <v>0</v>
      </c>
      <c r="E20" s="153" t="s">
        <v>176</v>
      </c>
      <c r="F20" s="266">
        <v>77479.240066803657</v>
      </c>
      <c r="G20" s="265">
        <f t="shared" si="11"/>
        <v>2.7440021856901586E-2</v>
      </c>
      <c r="H20" s="205">
        <v>28948.253309278345</v>
      </c>
      <c r="I20" s="265">
        <f t="shared" si="11"/>
        <v>7.8455129718801517E-3</v>
      </c>
      <c r="K20" s="266">
        <v>49770.927823563725</v>
      </c>
      <c r="L20" s="265">
        <f t="shared" si="12"/>
        <v>1.5522432257459647E-2</v>
      </c>
      <c r="M20" s="266">
        <v>77479.240066803657</v>
      </c>
      <c r="N20" s="265">
        <f t="shared" si="13"/>
        <v>2.7440021856901586E-2</v>
      </c>
    </row>
    <row r="21" spans="1:14">
      <c r="A21" s="153" t="s">
        <v>177</v>
      </c>
      <c r="B21" s="128">
        <v>0</v>
      </c>
      <c r="C21" s="265">
        <f t="shared" si="10"/>
        <v>0</v>
      </c>
      <c r="E21" s="153" t="s">
        <v>177</v>
      </c>
      <c r="F21" s="266">
        <v>414769.5922774176</v>
      </c>
      <c r="G21" s="265">
        <f t="shared" si="11"/>
        <v>0.1468946606582279</v>
      </c>
      <c r="H21" s="205">
        <v>237947.57421712464</v>
      </c>
      <c r="I21" s="265">
        <f t="shared" si="11"/>
        <v>6.4488201073932244E-2</v>
      </c>
      <c r="K21" s="266">
        <v>293091.16455067531</v>
      </c>
      <c r="L21" s="265">
        <f t="shared" si="12"/>
        <v>9.1408537994822958E-2</v>
      </c>
      <c r="M21" s="266">
        <v>414769.5922774176</v>
      </c>
      <c r="N21" s="265">
        <f t="shared" si="13"/>
        <v>0.1468946606582279</v>
      </c>
    </row>
    <row r="22" spans="1:14">
      <c r="A22" s="153" t="s">
        <v>178</v>
      </c>
      <c r="B22" s="128">
        <v>0</v>
      </c>
      <c r="C22" s="265">
        <f t="shared" si="10"/>
        <v>0</v>
      </c>
      <c r="E22" s="153" t="s">
        <v>178</v>
      </c>
      <c r="F22" s="266">
        <v>28733.698829287663</v>
      </c>
      <c r="G22" s="265">
        <f t="shared" si="11"/>
        <v>1.017631720736375E-2</v>
      </c>
      <c r="H22" s="205">
        <v>27519.988003600578</v>
      </c>
      <c r="I22" s="265">
        <f t="shared" si="11"/>
        <v>7.4584266125318393E-3</v>
      </c>
      <c r="K22" s="205">
        <v>29280.615461116926</v>
      </c>
      <c r="L22" s="265">
        <f t="shared" si="12"/>
        <v>9.1319649809045739E-3</v>
      </c>
      <c r="M22" s="205">
        <v>28733.698829287663</v>
      </c>
      <c r="N22" s="265">
        <f t="shared" si="13"/>
        <v>1.017631720736375E-2</v>
      </c>
    </row>
    <row r="23" spans="1:14">
      <c r="A23" s="153" t="s">
        <v>179</v>
      </c>
      <c r="B23" s="128">
        <v>0</v>
      </c>
      <c r="C23" s="265">
        <f t="shared" si="10"/>
        <v>0</v>
      </c>
      <c r="E23" s="153" t="s">
        <v>179</v>
      </c>
      <c r="F23" s="266">
        <v>142035.86804491325</v>
      </c>
      <c r="G23" s="265">
        <f t="shared" si="11"/>
        <v>5.0303375720463436E-2</v>
      </c>
      <c r="H23" s="205">
        <v>171668.38009524345</v>
      </c>
      <c r="I23" s="265">
        <f t="shared" si="11"/>
        <v>4.652531151049473E-2</v>
      </c>
      <c r="K23" s="205">
        <v>150488.71442788461</v>
      </c>
      <c r="L23" s="265">
        <f t="shared" si="12"/>
        <v>4.6934043172751308E-2</v>
      </c>
      <c r="M23" s="205">
        <v>142035.86804491325</v>
      </c>
      <c r="N23" s="265">
        <f t="shared" si="13"/>
        <v>5.0303375720463436E-2</v>
      </c>
    </row>
    <row r="24" spans="1:14" ht="15.75" customHeight="1">
      <c r="A24" s="153" t="s">
        <v>559</v>
      </c>
      <c r="B24" s="128">
        <v>0</v>
      </c>
      <c r="C24" s="265">
        <f t="shared" si="10"/>
        <v>0</v>
      </c>
      <c r="E24" s="153" t="s">
        <v>559</v>
      </c>
      <c r="F24" s="266">
        <v>24015.974598318491</v>
      </c>
      <c r="G24" s="265"/>
      <c r="H24" s="205">
        <v>39751.10875175985</v>
      </c>
      <c r="I24" s="265"/>
      <c r="K24" s="205">
        <v>32207.716363792133</v>
      </c>
      <c r="L24" s="265"/>
      <c r="M24" s="205">
        <v>24015.974598318491</v>
      </c>
      <c r="N24" s="265"/>
    </row>
    <row r="25" spans="1:14">
      <c r="A25" s="153" t="s">
        <v>203</v>
      </c>
      <c r="B25" s="153">
        <f>MAX(SUM(B17:B24),1)</f>
        <v>1</v>
      </c>
      <c r="C25" s="265">
        <f>SUM(C17:C24)</f>
        <v>0</v>
      </c>
      <c r="E25" s="153" t="s">
        <v>203</v>
      </c>
      <c r="F25" s="267">
        <f>SUM(F17:F24)</f>
        <v>2847601.1915071905</v>
      </c>
      <c r="G25" s="265">
        <f>SUM(G17:G24)</f>
        <v>1</v>
      </c>
      <c r="H25" s="267">
        <f>SUM(H17:H24)</f>
        <v>3729535.7554707862</v>
      </c>
      <c r="I25" s="265">
        <f>SUM(I17:I24)</f>
        <v>1</v>
      </c>
      <c r="K25" s="268">
        <f>SUM(K17:K24)</f>
        <v>3238594.8983497345</v>
      </c>
      <c r="L25" s="265">
        <f>SUM(L17:L24)</f>
        <v>1</v>
      </c>
      <c r="M25" s="268">
        <f>SUM(M17:M24)</f>
        <v>2847601.1915071905</v>
      </c>
      <c r="N25" s="265">
        <f>SUM(N17:N24)</f>
        <v>1</v>
      </c>
    </row>
    <row r="26" spans="1:14">
      <c r="A26" s="1" t="s">
        <v>560</v>
      </c>
      <c r="E26" s="34" t="s">
        <v>253</v>
      </c>
      <c r="F26" s="67">
        <v>3231795.9264816935</v>
      </c>
      <c r="G26" s="46"/>
      <c r="H26" s="40">
        <v>3729736.0860277861</v>
      </c>
      <c r="I26" s="46"/>
      <c r="K26" s="67">
        <v>3231795.9264816935</v>
      </c>
    </row>
    <row r="28" spans="1:14">
      <c r="A28" s="285" t="s">
        <v>561</v>
      </c>
      <c r="B28" s="285"/>
      <c r="C28" s="285"/>
      <c r="D28" s="285"/>
      <c r="E28" s="285"/>
      <c r="F28" s="285"/>
    </row>
    <row r="29" spans="1:14">
      <c r="A29" s="360" t="s">
        <v>562</v>
      </c>
      <c r="B29" s="360"/>
      <c r="C29" s="360"/>
      <c r="D29" s="360"/>
      <c r="E29" s="360"/>
      <c r="F29" s="360"/>
    </row>
    <row r="30" spans="1:14">
      <c r="A30" s="153"/>
      <c r="B30" s="290" t="s">
        <v>563</v>
      </c>
      <c r="C30" s="290"/>
      <c r="D30" s="290" t="s">
        <v>564</v>
      </c>
      <c r="E30" s="290"/>
      <c r="F30" s="290" t="s">
        <v>565</v>
      </c>
      <c r="G30" s="290"/>
    </row>
    <row r="31" spans="1:14" s="24" customFormat="1">
      <c r="A31" s="151"/>
      <c r="B31" s="151" t="s">
        <v>526</v>
      </c>
      <c r="C31" s="152" t="s">
        <v>66</v>
      </c>
      <c r="D31" s="151" t="s">
        <v>526</v>
      </c>
      <c r="E31" s="152" t="s">
        <v>66</v>
      </c>
      <c r="F31" s="151" t="s">
        <v>526</v>
      </c>
      <c r="G31" s="152" t="s">
        <v>66</v>
      </c>
    </row>
    <row r="32" spans="1:14">
      <c r="A32" s="153" t="s">
        <v>173</v>
      </c>
      <c r="B32" s="269">
        <v>6747.9529999999977</v>
      </c>
      <c r="C32" s="265">
        <f t="shared" ref="C32:C37" si="14">B32/B$38</f>
        <v>0.56761306654716537</v>
      </c>
      <c r="D32" s="269">
        <v>2234.1000000000004</v>
      </c>
      <c r="E32" s="265">
        <f t="shared" ref="E32:E37" si="15">D32/D$38</f>
        <v>0.35364232120809197</v>
      </c>
      <c r="F32" s="269">
        <v>1321</v>
      </c>
      <c r="G32" s="265">
        <f t="shared" ref="G32:G37" si="16">F32/F$38</f>
        <v>0.64360535931790497</v>
      </c>
    </row>
    <row r="33" spans="1:7">
      <c r="A33" s="153" t="s">
        <v>174</v>
      </c>
      <c r="B33" s="269">
        <v>2110.2575000000006</v>
      </c>
      <c r="C33" s="265">
        <f t="shared" si="14"/>
        <v>0.17750712412774</v>
      </c>
      <c r="D33" s="269">
        <v>1246.3999999999996</v>
      </c>
      <c r="E33" s="265">
        <f t="shared" si="15"/>
        <v>0.19729635609586216</v>
      </c>
      <c r="F33" s="269">
        <v>731.5</v>
      </c>
      <c r="G33" s="265">
        <f t="shared" si="16"/>
        <v>0.35639464068209503</v>
      </c>
    </row>
    <row r="34" spans="1:7">
      <c r="A34" s="153" t="s">
        <v>175</v>
      </c>
      <c r="B34" s="269">
        <v>812.30000000000007</v>
      </c>
      <c r="C34" s="265">
        <f t="shared" si="14"/>
        <v>6.8327697889458125E-2</v>
      </c>
      <c r="D34" s="269">
        <v>799.9</v>
      </c>
      <c r="E34" s="265">
        <f t="shared" si="15"/>
        <v>0.12661854560420424</v>
      </c>
      <c r="F34" s="269">
        <v>0</v>
      </c>
      <c r="G34" s="265">
        <f t="shared" si="16"/>
        <v>0</v>
      </c>
    </row>
    <row r="35" spans="1:7">
      <c r="A35" s="153" t="s">
        <v>176</v>
      </c>
      <c r="B35" s="269">
        <v>579</v>
      </c>
      <c r="C35" s="265">
        <f t="shared" si="14"/>
        <v>4.8703357230082789E-2</v>
      </c>
      <c r="D35" s="269">
        <v>575.79999999999995</v>
      </c>
      <c r="E35" s="265">
        <f t="shared" si="15"/>
        <v>9.114509133504288E-2</v>
      </c>
      <c r="F35" s="269">
        <v>0</v>
      </c>
      <c r="G35" s="265">
        <f t="shared" si="16"/>
        <v>0</v>
      </c>
    </row>
    <row r="36" spans="1:7">
      <c r="A36" s="153" t="s">
        <v>177</v>
      </c>
      <c r="B36" s="269">
        <v>1560.7229999999995</v>
      </c>
      <c r="C36" s="265">
        <f t="shared" si="14"/>
        <v>0.13128229672919944</v>
      </c>
      <c r="D36" s="269">
        <v>1395.6000000000001</v>
      </c>
      <c r="E36" s="265">
        <f t="shared" si="15"/>
        <v>0.22091366701491119</v>
      </c>
      <c r="F36" s="269">
        <v>0</v>
      </c>
      <c r="G36" s="265">
        <f t="shared" si="16"/>
        <v>0</v>
      </c>
    </row>
    <row r="37" spans="1:7">
      <c r="A37" s="153" t="s">
        <v>178</v>
      </c>
      <c r="B37" s="269">
        <v>78.063999999999993</v>
      </c>
      <c r="C37" s="265">
        <f t="shared" si="14"/>
        <v>6.5664574763543739E-3</v>
      </c>
      <c r="D37" s="269">
        <v>65.599999999999994</v>
      </c>
      <c r="E37" s="265">
        <f t="shared" si="15"/>
        <v>1.0384018741887484E-2</v>
      </c>
      <c r="F37" s="269">
        <v>0</v>
      </c>
      <c r="G37" s="265">
        <f t="shared" si="16"/>
        <v>0</v>
      </c>
    </row>
    <row r="38" spans="1:7">
      <c r="A38" s="153" t="s">
        <v>203</v>
      </c>
      <c r="B38" s="270">
        <f t="shared" ref="B38:G38" si="17">SUM(B32:B37)</f>
        <v>11888.297499999997</v>
      </c>
      <c r="C38" s="265">
        <f t="shared" si="17"/>
        <v>1.0000000000000002</v>
      </c>
      <c r="D38" s="270">
        <f t="shared" si="17"/>
        <v>6317.4000000000005</v>
      </c>
      <c r="E38" s="265">
        <f t="shared" si="17"/>
        <v>1</v>
      </c>
      <c r="F38" s="270">
        <f t="shared" si="17"/>
        <v>2052.5</v>
      </c>
      <c r="G38" s="265">
        <f t="shared" si="17"/>
        <v>1</v>
      </c>
    </row>
    <row r="39" spans="1:7">
      <c r="A39" s="34" t="s">
        <v>253</v>
      </c>
      <c r="B39" s="46">
        <v>11888.297500000002</v>
      </c>
      <c r="C39" s="45"/>
      <c r="D39" s="46">
        <v>6317.3999999999987</v>
      </c>
      <c r="E39" s="46"/>
      <c r="F39" s="46">
        <v>2052.5</v>
      </c>
      <c r="G39" s="46"/>
    </row>
    <row r="46" spans="1:7">
      <c r="A46" s="285" t="s">
        <v>566</v>
      </c>
      <c r="B46" s="285"/>
      <c r="C46" s="285"/>
      <c r="D46" s="285"/>
      <c r="E46" s="285"/>
      <c r="F46" s="285"/>
    </row>
    <row r="47" spans="1:7" ht="31.15">
      <c r="A47" s="271"/>
      <c r="B47" s="171" t="s">
        <v>567</v>
      </c>
      <c r="C47" s="129" t="s">
        <v>66</v>
      </c>
      <c r="D47" s="33"/>
      <c r="E47" s="33"/>
      <c r="F47" s="33"/>
    </row>
    <row r="48" spans="1:7">
      <c r="A48" s="271" t="s">
        <v>568</v>
      </c>
      <c r="B48" s="272">
        <f>INT(0.5+C48*33.4%*2000000)</f>
        <v>87708</v>
      </c>
      <c r="C48" s="273">
        <v>0.1312987402519496</v>
      </c>
      <c r="D48" s="7" t="s">
        <v>569</v>
      </c>
      <c r="E48" s="33"/>
      <c r="F48" s="33"/>
    </row>
    <row r="49" spans="1:9">
      <c r="A49" s="271" t="s">
        <v>570</v>
      </c>
      <c r="B49" s="272">
        <f>INT(0.6+C49*33.3%*2000000)</f>
        <v>25231</v>
      </c>
      <c r="C49" s="273">
        <v>3.7884378843788438E-2</v>
      </c>
      <c r="D49" s="7" t="s">
        <v>571</v>
      </c>
      <c r="E49" s="33"/>
      <c r="F49" s="33"/>
    </row>
    <row r="50" spans="1:9">
      <c r="A50" s="271" t="s">
        <v>572</v>
      </c>
      <c r="B50" s="272">
        <f>INT(0.6+C50*33.3%*2000000)</f>
        <v>48242</v>
      </c>
      <c r="C50" s="273">
        <v>7.2435720210118876E-2</v>
      </c>
      <c r="D50" s="7" t="s">
        <v>573</v>
      </c>
      <c r="E50" s="33"/>
      <c r="F50" s="33"/>
    </row>
    <row r="51" spans="1:9">
      <c r="A51" s="33"/>
      <c r="B51" s="33"/>
      <c r="C51" s="33"/>
      <c r="D51" s="33"/>
      <c r="E51" s="33"/>
      <c r="F51" s="33"/>
    </row>
    <row r="52" spans="1:9" s="5" customFormat="1">
      <c r="A52" s="153"/>
      <c r="B52" s="290" t="s">
        <v>568</v>
      </c>
      <c r="C52" s="290"/>
      <c r="D52" s="290" t="s">
        <v>574</v>
      </c>
      <c r="E52" s="290"/>
      <c r="F52" s="290" t="s">
        <v>575</v>
      </c>
      <c r="G52" s="290"/>
      <c r="H52" s="353" t="s">
        <v>576</v>
      </c>
      <c r="I52" s="354" t="s">
        <v>66</v>
      </c>
    </row>
    <row r="53" spans="1:9" s="10" customFormat="1" ht="31.15">
      <c r="A53" s="151"/>
      <c r="B53" s="184" t="str">
        <f>"počet 
k 31.10."&amp;Rok-2</f>
        <v>počet 
k 31.10.2021</v>
      </c>
      <c r="C53" s="151" t="s">
        <v>322</v>
      </c>
      <c r="D53" s="184" t="str">
        <f>"počet za AR "&amp;Rok-3&amp;"/"&amp;Rok-2</f>
        <v>počet za AR 2020/2021</v>
      </c>
      <c r="E53" s="151" t="s">
        <v>322</v>
      </c>
      <c r="F53" s="184" t="str">
        <f>"počet za AR "&amp;Rok-3&amp;"/"&amp;Rok-2</f>
        <v>počet za AR 2020/2021</v>
      </c>
      <c r="G53" s="151" t="s">
        <v>322</v>
      </c>
      <c r="H53" s="353"/>
      <c r="I53" s="354"/>
    </row>
    <row r="54" spans="1:9">
      <c r="A54" s="153" t="s">
        <v>173</v>
      </c>
      <c r="B54" s="128">
        <v>1336</v>
      </c>
      <c r="C54" s="197">
        <f t="shared" ref="C54:C59" si="18">B54/B$60</f>
        <v>0.76299257567104517</v>
      </c>
      <c r="D54" s="128">
        <v>15.2</v>
      </c>
      <c r="E54" s="197">
        <f t="shared" ref="E54:E59" si="19">D54/D$60</f>
        <v>0.32900432900432897</v>
      </c>
      <c r="F54" s="128">
        <v>27.3</v>
      </c>
      <c r="G54" s="131">
        <f t="shared" ref="G54:G59" si="20">F54/F$60</f>
        <v>0.5209923664122138</v>
      </c>
      <c r="H54" s="274">
        <f>C54*$B$48+E54*$B$49+G54*$B$50</f>
        <v>100355.37479252227</v>
      </c>
      <c r="I54" s="275">
        <f>H54/H$60</f>
        <v>0.62262533916852636</v>
      </c>
    </row>
    <row r="55" spans="1:9">
      <c r="A55" s="153" t="s">
        <v>174</v>
      </c>
      <c r="B55" s="128">
        <v>81</v>
      </c>
      <c r="C55" s="197">
        <f t="shared" si="18"/>
        <v>4.6259280411193607E-2</v>
      </c>
      <c r="D55" s="128">
        <v>5</v>
      </c>
      <c r="E55" s="197">
        <f t="shared" si="19"/>
        <v>0.10822510822510822</v>
      </c>
      <c r="F55" s="128">
        <v>15</v>
      </c>
      <c r="G55" s="131">
        <f t="shared" si="20"/>
        <v>0.28625954198473286</v>
      </c>
      <c r="H55" s="274">
        <f t="shared" ref="H55:H59" si="21">C55*$B$48+E55*$B$49+G55*$B$50</f>
        <v>20597.669496360159</v>
      </c>
      <c r="I55" s="275">
        <f t="shared" ref="I55:I59" si="22">H55/H$60</f>
        <v>0.1277921684091807</v>
      </c>
    </row>
    <row r="56" spans="1:9">
      <c r="A56" s="153" t="s">
        <v>175</v>
      </c>
      <c r="B56" s="128">
        <v>9</v>
      </c>
      <c r="C56" s="197">
        <f t="shared" si="18"/>
        <v>5.1399200456881781E-3</v>
      </c>
      <c r="D56" s="128">
        <v>3</v>
      </c>
      <c r="E56" s="197">
        <f t="shared" si="19"/>
        <v>6.4935064935064929E-2</v>
      </c>
      <c r="F56" s="128">
        <v>5.0999999999999996</v>
      </c>
      <c r="G56" s="131">
        <f t="shared" si="20"/>
        <v>9.7328244274809156E-2</v>
      </c>
      <c r="H56" s="274">
        <f t="shared" si="21"/>
        <v>6784.4978910491855</v>
      </c>
      <c r="I56" s="275">
        <f t="shared" si="22"/>
        <v>4.2092417164859286E-2</v>
      </c>
    </row>
    <row r="57" spans="1:9">
      <c r="A57" s="153" t="s">
        <v>176</v>
      </c>
      <c r="B57" s="128">
        <v>152</v>
      </c>
      <c r="C57" s="197">
        <f t="shared" si="18"/>
        <v>8.6807538549400348E-2</v>
      </c>
      <c r="D57" s="128">
        <v>8</v>
      </c>
      <c r="E57" s="197">
        <f t="shared" si="19"/>
        <v>0.17316017316017315</v>
      </c>
      <c r="F57" s="128">
        <v>1</v>
      </c>
      <c r="G57" s="131">
        <f t="shared" si="20"/>
        <v>1.9083969465648856E-2</v>
      </c>
      <c r="H57" s="274">
        <f t="shared" si="21"/>
        <v>12903.368775056966</v>
      </c>
      <c r="I57" s="275">
        <f t="shared" si="22"/>
        <v>8.0055147784521524E-2</v>
      </c>
    </row>
    <row r="58" spans="1:9">
      <c r="A58" s="153" t="s">
        <v>177</v>
      </c>
      <c r="B58" s="128">
        <v>157</v>
      </c>
      <c r="C58" s="197">
        <f t="shared" si="18"/>
        <v>8.9663049685893781E-2</v>
      </c>
      <c r="D58" s="128">
        <v>15</v>
      </c>
      <c r="E58" s="197">
        <f t="shared" si="19"/>
        <v>0.32467532467532467</v>
      </c>
      <c r="F58" s="128">
        <v>4</v>
      </c>
      <c r="G58" s="131">
        <f t="shared" si="20"/>
        <v>7.6335877862595422E-2</v>
      </c>
      <c r="H58" s="274">
        <f t="shared" si="21"/>
        <v>19738.645298580814</v>
      </c>
      <c r="I58" s="275">
        <f t="shared" si="22"/>
        <v>0.12246260600555159</v>
      </c>
    </row>
    <row r="59" spans="1:9">
      <c r="A59" s="153" t="s">
        <v>178</v>
      </c>
      <c r="B59" s="128">
        <v>16</v>
      </c>
      <c r="C59" s="197">
        <f t="shared" si="18"/>
        <v>9.1376356367789836E-3</v>
      </c>
      <c r="D59" s="128">
        <v>0</v>
      </c>
      <c r="E59" s="197">
        <f t="shared" si="19"/>
        <v>0</v>
      </c>
      <c r="F59" s="128">
        <v>0</v>
      </c>
      <c r="G59" s="131">
        <f t="shared" si="20"/>
        <v>0</v>
      </c>
      <c r="H59" s="274">
        <f t="shared" si="21"/>
        <v>801.4437464306111</v>
      </c>
      <c r="I59" s="275">
        <f t="shared" si="22"/>
        <v>4.9723214673603649E-3</v>
      </c>
    </row>
    <row r="60" spans="1:9">
      <c r="A60" s="153" t="s">
        <v>203</v>
      </c>
      <c r="B60" s="153">
        <f t="shared" ref="B60:I60" si="23">SUM(B54:B59)</f>
        <v>1751</v>
      </c>
      <c r="C60" s="156">
        <f t="shared" si="23"/>
        <v>1.0000000000000002</v>
      </c>
      <c r="D60" s="153">
        <f t="shared" si="23"/>
        <v>46.2</v>
      </c>
      <c r="E60" s="156">
        <f t="shared" si="23"/>
        <v>1</v>
      </c>
      <c r="F60" s="153">
        <f t="shared" si="23"/>
        <v>52.4</v>
      </c>
      <c r="G60" s="156">
        <f t="shared" si="23"/>
        <v>1</v>
      </c>
      <c r="H60" s="276">
        <f>SUM(H54:H59)</f>
        <v>161181.00000000003</v>
      </c>
      <c r="I60" s="265">
        <f t="shared" si="23"/>
        <v>0.99999999999999989</v>
      </c>
    </row>
    <row r="61" spans="1:9">
      <c r="A61" s="34" t="s">
        <v>253</v>
      </c>
      <c r="B61" s="46">
        <v>1751</v>
      </c>
      <c r="C61" s="61"/>
      <c r="D61" s="53">
        <v>46.2</v>
      </c>
      <c r="E61" s="61"/>
      <c r="F61" s="53">
        <v>52.4</v>
      </c>
      <c r="G61" s="61"/>
      <c r="H61" s="87">
        <v>161181</v>
      </c>
    </row>
    <row r="62" spans="1:9">
      <c r="B62" s="4" t="s">
        <v>577</v>
      </c>
      <c r="C62" s="4"/>
      <c r="D62" s="4" t="s">
        <v>578</v>
      </c>
      <c r="E62" s="4"/>
      <c r="F62" s="4" t="s">
        <v>578</v>
      </c>
      <c r="H62" s="1" t="s">
        <v>579</v>
      </c>
    </row>
    <row r="64" spans="1:9">
      <c r="A64" s="285" t="s">
        <v>580</v>
      </c>
      <c r="B64" s="285"/>
      <c r="C64" s="285"/>
      <c r="D64" s="285"/>
      <c r="E64" s="285"/>
      <c r="F64" s="285"/>
      <c r="G64" s="285"/>
      <c r="H64" s="285"/>
    </row>
    <row r="65" spans="1:3" s="6" customFormat="1" ht="31.15">
      <c r="A65" s="184"/>
      <c r="B65" s="184" t="s">
        <v>581</v>
      </c>
      <c r="C65" s="194" t="s">
        <v>66</v>
      </c>
    </row>
    <row r="66" spans="1:3">
      <c r="A66" s="153" t="s">
        <v>173</v>
      </c>
      <c r="B66" s="128">
        <v>480</v>
      </c>
      <c r="C66" s="265">
        <f t="shared" ref="C66:C72" si="24">B66/B$73</f>
        <v>0.24935064935064935</v>
      </c>
    </row>
    <row r="67" spans="1:3">
      <c r="A67" s="153" t="s">
        <v>174</v>
      </c>
      <c r="B67" s="128">
        <v>933</v>
      </c>
      <c r="C67" s="265">
        <f t="shared" si="24"/>
        <v>0.48467532467532465</v>
      </c>
    </row>
    <row r="68" spans="1:3">
      <c r="A68" s="153" t="s">
        <v>175</v>
      </c>
      <c r="B68" s="128">
        <v>91</v>
      </c>
      <c r="C68" s="265">
        <f t="shared" si="24"/>
        <v>4.7272727272727272E-2</v>
      </c>
    </row>
    <row r="69" spans="1:3">
      <c r="A69" s="153" t="s">
        <v>176</v>
      </c>
      <c r="B69" s="128">
        <v>47</v>
      </c>
      <c r="C69" s="265">
        <f t="shared" si="24"/>
        <v>2.4415584415584415E-2</v>
      </c>
    </row>
    <row r="70" spans="1:3">
      <c r="A70" s="153" t="s">
        <v>177</v>
      </c>
      <c r="B70" s="128">
        <v>374</v>
      </c>
      <c r="C70" s="265">
        <f t="shared" si="24"/>
        <v>0.19428571428571428</v>
      </c>
    </row>
    <row r="71" spans="1:3">
      <c r="A71" s="153" t="s">
        <v>178</v>
      </c>
      <c r="B71" s="128"/>
      <c r="C71" s="265">
        <f t="shared" si="24"/>
        <v>0</v>
      </c>
    </row>
    <row r="72" spans="1:3">
      <c r="A72" s="153" t="s">
        <v>179</v>
      </c>
      <c r="B72" s="128"/>
      <c r="C72" s="265">
        <f t="shared" si="24"/>
        <v>0</v>
      </c>
    </row>
    <row r="73" spans="1:3">
      <c r="A73" s="153" t="s">
        <v>203</v>
      </c>
      <c r="B73" s="153">
        <f>SUM(B66:B72)</f>
        <v>1925</v>
      </c>
      <c r="C73" s="265">
        <f>SUM(C66:C72)</f>
        <v>1</v>
      </c>
    </row>
    <row r="74" spans="1:3">
      <c r="A74" s="1" t="s">
        <v>253</v>
      </c>
      <c r="B74" s="1">
        <v>1925</v>
      </c>
    </row>
    <row r="79" spans="1:3">
      <c r="A79" s="41" t="s">
        <v>582</v>
      </c>
    </row>
  </sheetData>
  <mergeCells count="16">
    <mergeCell ref="M14:N15"/>
    <mergeCell ref="H52:H53"/>
    <mergeCell ref="K14:L15"/>
    <mergeCell ref="A64:H64"/>
    <mergeCell ref="B52:C52"/>
    <mergeCell ref="D52:E52"/>
    <mergeCell ref="F52:G52"/>
    <mergeCell ref="I52:I53"/>
    <mergeCell ref="A46:F46"/>
    <mergeCell ref="F15:G15"/>
    <mergeCell ref="H15:I15"/>
    <mergeCell ref="A28:F28"/>
    <mergeCell ref="B30:C30"/>
    <mergeCell ref="D30:E30"/>
    <mergeCell ref="F30:G30"/>
    <mergeCell ref="A29:F29"/>
  </mergeCells>
  <conditionalFormatting sqref="B74 B39 D39:G39">
    <cfRule type="cellIs" dxfId="12" priority="28" operator="between">
      <formula>B38-0.9</formula>
      <formula>B38+0.9</formula>
    </cfRule>
  </conditionalFormatting>
  <conditionalFormatting sqref="G26:I26">
    <cfRule type="cellIs" dxfId="11" priority="22" operator="between">
      <formula>G25-0.9</formula>
      <formula>G25+0.9</formula>
    </cfRule>
  </conditionalFormatting>
  <conditionalFormatting sqref="B61">
    <cfRule type="cellIs" dxfId="10" priority="21" operator="between">
      <formula>B60-0.9</formula>
      <formula>B60+0.9</formula>
    </cfRule>
  </conditionalFormatting>
  <conditionalFormatting sqref="D61">
    <cfRule type="cellIs" dxfId="9" priority="20" operator="between">
      <formula>D60-0.9</formula>
      <formula>D60+0.9</formula>
    </cfRule>
  </conditionalFormatting>
  <conditionalFormatting sqref="F61">
    <cfRule type="cellIs" dxfId="8" priority="19" operator="between">
      <formula>F60-0.9</formula>
      <formula>F60+0.9</formula>
    </cfRule>
  </conditionalFormatting>
  <conditionalFormatting sqref="K26">
    <cfRule type="cellIs" dxfId="7" priority="18" operator="between">
      <formula>K25-0.9</formula>
      <formula>K25+0.9</formula>
    </cfRule>
  </conditionalFormatting>
  <conditionalFormatting sqref="H12:I12 B12:C12 K12 E12:F12">
    <cfRule type="cellIs" dxfId="6" priority="60" operator="between">
      <formula>B10-0.9</formula>
      <formula>B10+0.9</formula>
    </cfRule>
  </conditionalFormatting>
  <conditionalFormatting sqref="J12">
    <cfRule type="cellIs" dxfId="5" priority="10" operator="between">
      <formula>J10-0.01</formula>
      <formula>J10+0.01</formula>
    </cfRule>
  </conditionalFormatting>
  <conditionalFormatting sqref="G12">
    <cfRule type="cellIs" dxfId="4" priority="9" operator="between">
      <formula>G10-0.9</formula>
      <formula>G10+0.9</formula>
    </cfRule>
  </conditionalFormatting>
  <conditionalFormatting sqref="D12">
    <cfRule type="cellIs" dxfId="3" priority="8" operator="between">
      <formula>D10-0.9</formula>
      <formula>D10+0.9</formula>
    </cfRule>
  </conditionalFormatting>
  <conditionalFormatting sqref="H61">
    <cfRule type="cellIs" dxfId="2" priority="7" operator="between">
      <formula>H60-0.9</formula>
      <formula>H60+0.9</formula>
    </cfRule>
  </conditionalFormatting>
  <conditionalFormatting sqref="P11:R11">
    <cfRule type="cellIs" dxfId="1" priority="2" operator="between">
      <formula>P10-0.9</formula>
      <formula>P10+0.9</formula>
    </cfRule>
  </conditionalFormatting>
  <conditionalFormatting sqref="F26">
    <cfRule type="cellIs" dxfId="0" priority="1" operator="between">
      <formula>F25-0.9</formula>
      <formula>F25+0.9</formula>
    </cfRule>
  </conditionalFormatting>
  <pageMargins left="0.31496062992125984" right="0.31496062992125984" top="0.74803149606299213" bottom="0.55118110236220474" header="0.31496062992125984" footer="0.31496062992125984"/>
  <pageSetup paperSize="9" scale="70" fitToHeight="0" orientation="landscape" r:id="rId1"/>
  <headerFooter scaleWithDoc="0">
    <oddHeader>&amp;R&amp;A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01B41-0242-4D96-B339-C4E536F2CD19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05EA5-D947-4956-8C88-480395DEBD72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AB7D1-C4EB-402F-B361-B66CA1174B23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9"/>
  <sheetViews>
    <sheetView workbookViewId="0">
      <selection activeCell="A9" sqref="A9:A10"/>
    </sheetView>
  </sheetViews>
  <sheetFormatPr defaultColWidth="9.140625" defaultRowHeight="14.45"/>
  <cols>
    <col min="1" max="1" width="13.140625" style="69" customWidth="1"/>
    <col min="2" max="2" width="14.42578125" style="68" bestFit="1" customWidth="1"/>
    <col min="3" max="3" width="1.42578125" style="68" customWidth="1"/>
    <col min="4" max="4" width="60.7109375" style="78" customWidth="1"/>
    <col min="5" max="16384" width="9.140625" style="44"/>
  </cols>
  <sheetData>
    <row r="1" spans="1:4">
      <c r="A1" s="124" t="s">
        <v>16</v>
      </c>
      <c r="B1" s="125" t="s">
        <v>17</v>
      </c>
      <c r="C1" s="125" t="s">
        <v>18</v>
      </c>
      <c r="D1" s="126" t="s">
        <v>19</v>
      </c>
    </row>
    <row r="2" spans="1:4">
      <c r="A2" s="127" t="s">
        <v>20</v>
      </c>
      <c r="B2" s="125" t="s">
        <v>21</v>
      </c>
      <c r="C2" s="125">
        <v>1</v>
      </c>
      <c r="D2" s="126" t="s">
        <v>22</v>
      </c>
    </row>
    <row r="3" spans="1:4">
      <c r="A3" s="127" t="s">
        <v>20</v>
      </c>
      <c r="B3" s="125" t="s">
        <v>21</v>
      </c>
      <c r="C3" s="125">
        <v>1</v>
      </c>
      <c r="D3" s="126" t="s">
        <v>23</v>
      </c>
    </row>
    <row r="4" spans="1:4">
      <c r="A4" s="127" t="s">
        <v>20</v>
      </c>
      <c r="B4" s="125" t="s">
        <v>24</v>
      </c>
      <c r="C4" s="125">
        <v>2</v>
      </c>
      <c r="D4" s="126" t="s">
        <v>22</v>
      </c>
    </row>
    <row r="5" spans="1:4">
      <c r="A5" s="127" t="s">
        <v>20</v>
      </c>
      <c r="B5" s="125" t="s">
        <v>5</v>
      </c>
      <c r="C5" s="125">
        <v>3</v>
      </c>
      <c r="D5" s="126" t="s">
        <v>22</v>
      </c>
    </row>
    <row r="6" spans="1:4">
      <c r="A6" s="127" t="s">
        <v>20</v>
      </c>
      <c r="B6" s="125" t="s">
        <v>5</v>
      </c>
      <c r="C6" s="125">
        <v>3</v>
      </c>
      <c r="D6" s="126" t="s">
        <v>25</v>
      </c>
    </row>
    <row r="7" spans="1:4">
      <c r="A7" s="127" t="s">
        <v>20</v>
      </c>
      <c r="B7" s="125" t="s">
        <v>8</v>
      </c>
      <c r="C7" s="125">
        <v>4</v>
      </c>
      <c r="D7" s="126" t="s">
        <v>26</v>
      </c>
    </row>
    <row r="8" spans="1:4" ht="28.9">
      <c r="A8" s="127" t="s">
        <v>20</v>
      </c>
      <c r="B8" s="125" t="s">
        <v>8</v>
      </c>
      <c r="C8" s="125">
        <v>4</v>
      </c>
      <c r="D8" s="126" t="s">
        <v>27</v>
      </c>
    </row>
    <row r="9" spans="1:4">
      <c r="A9" s="127" t="s">
        <v>20</v>
      </c>
      <c r="B9" s="125" t="s">
        <v>8</v>
      </c>
      <c r="C9" s="125">
        <v>4</v>
      </c>
      <c r="D9" s="126" t="s">
        <v>28</v>
      </c>
    </row>
    <row r="10" spans="1:4">
      <c r="A10" s="127" t="s">
        <v>20</v>
      </c>
      <c r="B10" s="125" t="s">
        <v>29</v>
      </c>
      <c r="C10" s="125">
        <v>5</v>
      </c>
      <c r="D10" s="126" t="s">
        <v>30</v>
      </c>
    </row>
    <row r="11" spans="1:4">
      <c r="A11" s="127" t="s">
        <v>20</v>
      </c>
      <c r="B11" s="125" t="s">
        <v>29</v>
      </c>
      <c r="C11" s="125">
        <v>5</v>
      </c>
      <c r="D11" s="126" t="s">
        <v>31</v>
      </c>
    </row>
    <row r="12" spans="1:4">
      <c r="A12" s="127" t="s">
        <v>20</v>
      </c>
      <c r="B12" s="125" t="s">
        <v>32</v>
      </c>
      <c r="C12" s="125">
        <v>7</v>
      </c>
      <c r="D12" s="126" t="s">
        <v>33</v>
      </c>
    </row>
    <row r="13" spans="1:4">
      <c r="A13" s="127" t="s">
        <v>20</v>
      </c>
      <c r="B13" s="125" t="s">
        <v>12</v>
      </c>
      <c r="C13" s="125">
        <v>8</v>
      </c>
      <c r="D13" s="126" t="s">
        <v>34</v>
      </c>
    </row>
    <row r="14" spans="1:4">
      <c r="A14" s="127" t="s">
        <v>20</v>
      </c>
      <c r="B14" s="125" t="s">
        <v>12</v>
      </c>
      <c r="C14" s="125">
        <v>8</v>
      </c>
      <c r="D14" s="126" t="s">
        <v>35</v>
      </c>
    </row>
    <row r="15" spans="1:4" ht="28.9">
      <c r="A15" s="127" t="s">
        <v>20</v>
      </c>
      <c r="B15" s="125" t="s">
        <v>12</v>
      </c>
      <c r="C15" s="125">
        <v>8</v>
      </c>
      <c r="D15" s="126" t="s">
        <v>36</v>
      </c>
    </row>
    <row r="16" spans="1:4">
      <c r="A16" s="127" t="s">
        <v>20</v>
      </c>
      <c r="B16" s="125" t="s">
        <v>37</v>
      </c>
      <c r="C16" s="125">
        <v>9</v>
      </c>
      <c r="D16" s="126" t="s">
        <v>38</v>
      </c>
    </row>
    <row r="17" spans="1:4">
      <c r="A17" s="127" t="s">
        <v>20</v>
      </c>
      <c r="B17" s="125" t="s">
        <v>37</v>
      </c>
      <c r="C17" s="125">
        <v>9</v>
      </c>
      <c r="D17" s="126" t="s">
        <v>39</v>
      </c>
    </row>
    <row r="18" spans="1:4">
      <c r="A18" s="127" t="s">
        <v>20</v>
      </c>
      <c r="B18" s="125" t="s">
        <v>14</v>
      </c>
      <c r="C18" s="125">
        <v>10</v>
      </c>
      <c r="D18" s="126" t="s">
        <v>40</v>
      </c>
    </row>
    <row r="19" spans="1:4">
      <c r="A19" s="127" t="s">
        <v>20</v>
      </c>
      <c r="B19" s="125" t="s">
        <v>14</v>
      </c>
      <c r="C19" s="125">
        <v>10</v>
      </c>
      <c r="D19" s="126" t="s">
        <v>41</v>
      </c>
    </row>
    <row r="20" spans="1:4">
      <c r="A20" s="127"/>
      <c r="B20" s="125" t="s">
        <v>14</v>
      </c>
      <c r="C20" s="125">
        <v>10</v>
      </c>
      <c r="D20" s="126" t="s">
        <v>42</v>
      </c>
    </row>
    <row r="21" spans="1:4">
      <c r="A21" s="127" t="s">
        <v>20</v>
      </c>
      <c r="B21" s="125" t="s">
        <v>43</v>
      </c>
      <c r="C21" s="125">
        <v>11</v>
      </c>
      <c r="D21" s="126" t="s">
        <v>44</v>
      </c>
    </row>
    <row r="22" spans="1:4">
      <c r="A22" s="127" t="s">
        <v>20</v>
      </c>
      <c r="B22" s="125" t="s">
        <v>43</v>
      </c>
      <c r="C22" s="125">
        <v>11</v>
      </c>
      <c r="D22" s="126" t="s">
        <v>45</v>
      </c>
    </row>
    <row r="23" spans="1:4">
      <c r="A23" s="127" t="s">
        <v>20</v>
      </c>
      <c r="B23" s="125" t="s">
        <v>46</v>
      </c>
      <c r="C23" s="125">
        <v>12</v>
      </c>
      <c r="D23" s="126" t="s">
        <v>47</v>
      </c>
    </row>
    <row r="24" spans="1:4">
      <c r="A24" s="127" t="s">
        <v>20</v>
      </c>
      <c r="B24" s="125" t="s">
        <v>46</v>
      </c>
      <c r="C24" s="125">
        <v>12</v>
      </c>
      <c r="D24" s="126" t="s">
        <v>48</v>
      </c>
    </row>
    <row r="25" spans="1:4">
      <c r="A25" s="127" t="s">
        <v>20</v>
      </c>
      <c r="B25" s="125" t="s">
        <v>46</v>
      </c>
      <c r="C25" s="125">
        <v>12</v>
      </c>
      <c r="D25" s="126" t="s">
        <v>49</v>
      </c>
    </row>
    <row r="26" spans="1:4">
      <c r="A26" s="127" t="s">
        <v>20</v>
      </c>
      <c r="B26" s="125" t="s">
        <v>46</v>
      </c>
      <c r="C26" s="125">
        <v>12</v>
      </c>
      <c r="D26" s="126" t="s">
        <v>50</v>
      </c>
    </row>
    <row r="27" spans="1:4">
      <c r="A27" s="127" t="s">
        <v>20</v>
      </c>
      <c r="B27" s="125" t="s">
        <v>51</v>
      </c>
      <c r="C27" s="125">
        <v>12</v>
      </c>
      <c r="D27" s="126" t="s">
        <v>52</v>
      </c>
    </row>
    <row r="28" spans="1:4">
      <c r="A28" s="127" t="s">
        <v>20</v>
      </c>
      <c r="B28" s="125" t="s">
        <v>51</v>
      </c>
      <c r="C28" s="125">
        <v>12</v>
      </c>
      <c r="D28" s="126" t="s">
        <v>53</v>
      </c>
    </row>
    <row r="29" spans="1:4">
      <c r="A29" s="127" t="s">
        <v>20</v>
      </c>
      <c r="B29" s="125" t="s">
        <v>51</v>
      </c>
      <c r="C29" s="125">
        <v>12</v>
      </c>
      <c r="D29" s="126" t="s">
        <v>54</v>
      </c>
    </row>
  </sheetData>
  <autoFilter ref="A1:D29" xr:uid="{00000000-0009-0000-0000-000001000000}"/>
  <conditionalFormatting sqref="A2:A29">
    <cfRule type="cellIs" dxfId="107" priority="1" operator="notEqual">
      <formula>"ok"</formula>
    </cfRule>
    <cfRule type="cellIs" dxfId="106" priority="2" operator="equal">
      <formula>"ok"</formula>
    </cfRule>
  </conditionalFormatting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7"/>
  <sheetViews>
    <sheetView workbookViewId="0">
      <selection activeCell="B3" sqref="B3"/>
    </sheetView>
  </sheetViews>
  <sheetFormatPr defaultColWidth="14.28515625" defaultRowHeight="15.6"/>
  <cols>
    <col min="1" max="1" width="67.7109375" style="1" customWidth="1"/>
    <col min="2" max="3" width="15.7109375" style="1" bestFit="1" customWidth="1"/>
    <col min="4" max="5" width="14.28515625" style="1"/>
    <col min="6" max="6" width="30.42578125" style="1" bestFit="1" customWidth="1"/>
    <col min="7" max="7" width="17.5703125" style="1" bestFit="1" customWidth="1"/>
    <col min="8" max="8" width="15.7109375" style="1" bestFit="1" customWidth="1"/>
    <col min="9" max="9" width="15.7109375" style="1" customWidth="1"/>
    <col min="10" max="10" width="15.7109375" style="1" bestFit="1" customWidth="1"/>
    <col min="11" max="11" width="14.28515625" style="1"/>
    <col min="12" max="12" width="12" style="56" bestFit="1" customWidth="1"/>
    <col min="13" max="16384" width="14.28515625" style="1"/>
  </cols>
  <sheetData>
    <row r="1" spans="1:12">
      <c r="A1" s="1" t="s">
        <v>55</v>
      </c>
      <c r="B1" s="1">
        <v>2023</v>
      </c>
      <c r="L1" s="1"/>
    </row>
    <row r="2" spans="1:12">
      <c r="A2" s="1" t="s">
        <v>56</v>
      </c>
      <c r="B2" s="2">
        <v>44945</v>
      </c>
      <c r="L2" s="1"/>
    </row>
    <row r="3" spans="1:12">
      <c r="A3" s="1" t="s">
        <v>57</v>
      </c>
      <c r="B3" s="45">
        <v>1</v>
      </c>
      <c r="K3" s="10">
        <v>1</v>
      </c>
      <c r="L3" s="1"/>
    </row>
    <row r="4" spans="1:12">
      <c r="H4" s="10">
        <v>0</v>
      </c>
      <c r="I4" s="10">
        <v>1</v>
      </c>
      <c r="J4" s="10">
        <v>2</v>
      </c>
      <c r="K4" s="10">
        <v>0</v>
      </c>
      <c r="L4" s="56" t="s">
        <v>58</v>
      </c>
    </row>
    <row r="5" spans="1:12">
      <c r="A5" s="285" t="s">
        <v>59</v>
      </c>
      <c r="B5" s="285"/>
      <c r="C5" s="285"/>
      <c r="D5" s="285"/>
      <c r="F5" s="1" t="str">
        <f>"T1-RD"&amp;Rok&amp;"_RD_"&amp;Rok-1</f>
        <v>T1-RD2023_RD_2022</v>
      </c>
      <c r="G5" s="1" t="s">
        <v>60</v>
      </c>
      <c r="H5" s="1" t="s">
        <v>61</v>
      </c>
      <c r="I5" s="1" t="s">
        <v>62</v>
      </c>
      <c r="J5" s="1" t="s">
        <v>63</v>
      </c>
      <c r="K5" s="1" t="s">
        <v>64</v>
      </c>
      <c r="L5" s="56">
        <v>2</v>
      </c>
    </row>
    <row r="6" spans="1:12">
      <c r="A6" s="128" t="s">
        <v>65</v>
      </c>
      <c r="B6" s="129" t="str">
        <f>"Rok "&amp;Rok</f>
        <v>Rok 2023</v>
      </c>
      <c r="C6" s="129" t="str">
        <f>"Rok "&amp;Rok-1</f>
        <v>Rok 2022</v>
      </c>
      <c r="D6" s="129" t="s">
        <v>64</v>
      </c>
      <c r="E6" s="129" t="s">
        <v>66</v>
      </c>
      <c r="F6" s="10" t="s">
        <v>67</v>
      </c>
      <c r="K6" s="3"/>
      <c r="L6" s="56">
        <f>L5+1</f>
        <v>3</v>
      </c>
    </row>
    <row r="7" spans="1:12">
      <c r="A7" s="128" t="s">
        <v>68</v>
      </c>
      <c r="B7" s="130">
        <f>B8+B10+B11+B13</f>
        <v>36495200.289999999</v>
      </c>
      <c r="C7" s="130">
        <v>35934311</v>
      </c>
      <c r="D7" s="130">
        <f t="shared" ref="D7:D13" si="0">B7-C7</f>
        <v>560889.28999999911</v>
      </c>
      <c r="E7" s="131">
        <f t="shared" ref="E7:E13" si="1">B7/C7</f>
        <v>1.015608739235323</v>
      </c>
      <c r="H7" s="130">
        <f>H8+H10+H11+H13</f>
        <v>36495969.289999999</v>
      </c>
      <c r="I7" s="130">
        <f>I8+I10+I11+I13</f>
        <v>36495200.289999999</v>
      </c>
      <c r="J7" s="130">
        <f>J8+J10+J11+J13</f>
        <v>0</v>
      </c>
      <c r="K7" s="3">
        <f>HLOOKUP(K$3,H$4:J7,L7)-HLOOKUP(K$4,H$4:J7,L7)</f>
        <v>-769</v>
      </c>
      <c r="L7" s="56">
        <f t="shared" ref="L7:L55" si="2">L6+1</f>
        <v>4</v>
      </c>
    </row>
    <row r="8" spans="1:12">
      <c r="A8" s="132" t="s">
        <v>69</v>
      </c>
      <c r="B8" s="130">
        <f>HLOOKUP(verzia,H$4:J8,L8)</f>
        <v>14448030</v>
      </c>
      <c r="C8" s="130">
        <v>14789402</v>
      </c>
      <c r="D8" s="130">
        <f t="shared" si="0"/>
        <v>-341372</v>
      </c>
      <c r="E8" s="131">
        <f t="shared" si="1"/>
        <v>0.97691779559443981</v>
      </c>
      <c r="F8" s="286" t="str">
        <f>zdroj&amp;" - I5"</f>
        <v>T1-RD2023_RD_2022 - I5</v>
      </c>
      <c r="G8" s="27">
        <f>B8-B33-SUM(B44:B46)</f>
        <v>0.34757271222770214</v>
      </c>
      <c r="H8" s="130">
        <f>17823560-H9</f>
        <v>14448599</v>
      </c>
      <c r="I8" s="130">
        <v>14448030</v>
      </c>
      <c r="J8" s="130"/>
      <c r="K8" s="3">
        <f>HLOOKUP(K$3,H$4:J8,L8)-HLOOKUP(K$4,H$4:J8,L8)</f>
        <v>-569</v>
      </c>
      <c r="L8" s="56">
        <f t="shared" si="2"/>
        <v>5</v>
      </c>
    </row>
    <row r="9" spans="1:12">
      <c r="A9" s="133" t="s">
        <v>70</v>
      </c>
      <c r="B9" s="130">
        <f>HLOOKUP(verzia,H$4:J9,L9)</f>
        <v>3374961</v>
      </c>
      <c r="C9" s="130"/>
      <c r="D9" s="130">
        <f t="shared" si="0"/>
        <v>3374961</v>
      </c>
      <c r="E9" s="131"/>
      <c r="F9" s="286"/>
      <c r="G9" s="27"/>
      <c r="H9" s="130">
        <v>3374961</v>
      </c>
      <c r="I9" s="130">
        <v>3374961</v>
      </c>
      <c r="J9" s="130"/>
      <c r="K9" s="3">
        <f>HLOOKUP(K$3,H$4:J9,L9)-HLOOKUP(K$4,H$4:J9,L9)</f>
        <v>0</v>
      </c>
      <c r="L9" s="56">
        <f t="shared" si="2"/>
        <v>6</v>
      </c>
    </row>
    <row r="10" spans="1:12">
      <c r="A10" s="132" t="s">
        <v>71</v>
      </c>
      <c r="B10" s="130">
        <f>HLOOKUP(verzia,H$4:J10,L10)</f>
        <v>6273693</v>
      </c>
      <c r="C10" s="130">
        <v>5205870</v>
      </c>
      <c r="D10" s="130">
        <f t="shared" si="0"/>
        <v>1067823</v>
      </c>
      <c r="E10" s="131">
        <f t="shared" si="1"/>
        <v>1.2051190290960012</v>
      </c>
      <c r="F10" s="1" t="str">
        <f>zdroj&amp;" - J5"</f>
        <v>T1-RD2023_RD_2022 - J5</v>
      </c>
      <c r="H10" s="130">
        <v>6273893</v>
      </c>
      <c r="I10" s="130">
        <v>6273693</v>
      </c>
      <c r="J10" s="130"/>
      <c r="K10" s="3">
        <f>HLOOKUP(K$3,H$4:J10,L10)-HLOOKUP(K$4,H$4:J10,L10)</f>
        <v>-200</v>
      </c>
      <c r="L10" s="56">
        <f t="shared" si="2"/>
        <v>7</v>
      </c>
    </row>
    <row r="11" spans="1:12">
      <c r="A11" s="132" t="s">
        <v>72</v>
      </c>
      <c r="B11" s="130">
        <f>HLOOKUP(verzia,H$4:J11,L11)</f>
        <v>3815686</v>
      </c>
      <c r="C11" s="130">
        <v>3398034</v>
      </c>
      <c r="D11" s="130">
        <f t="shared" si="0"/>
        <v>417652</v>
      </c>
      <c r="E11" s="131">
        <f t="shared" si="1"/>
        <v>1.1229098943683318</v>
      </c>
      <c r="F11" s="1" t="str">
        <f>zdroj&amp;" - K5"</f>
        <v>T1-RD2023_RD_2022 - K5</v>
      </c>
      <c r="H11" s="130">
        <v>3815686</v>
      </c>
      <c r="I11" s="130">
        <v>3815686</v>
      </c>
      <c r="J11" s="130"/>
      <c r="K11" s="3">
        <f>HLOOKUP(K$3,H$4:J11,L11)-HLOOKUP(K$4,H$4:J11,L11)</f>
        <v>0</v>
      </c>
      <c r="L11" s="56">
        <f t="shared" si="2"/>
        <v>8</v>
      </c>
    </row>
    <row r="12" spans="1:12">
      <c r="A12" s="132" t="s">
        <v>73</v>
      </c>
      <c r="B12" s="130">
        <f>HLOOKUP(verzia,H$4:J12,L12)</f>
        <v>890353</v>
      </c>
      <c r="C12" s="130">
        <v>716192</v>
      </c>
      <c r="D12" s="130">
        <f t="shared" si="0"/>
        <v>174161</v>
      </c>
      <c r="E12" s="131">
        <f t="shared" si="1"/>
        <v>1.2431764107948706</v>
      </c>
      <c r="F12" s="1" t="str">
        <f>zdroj&amp;" - L5"</f>
        <v>T1-RD2023_RD_2022 - L5</v>
      </c>
      <c r="H12" s="130">
        <v>716192</v>
      </c>
      <c r="I12" s="130">
        <v>890353</v>
      </c>
      <c r="J12" s="130"/>
      <c r="K12" s="3">
        <f>HLOOKUP(K$3,H$4:J12,L12)-HLOOKUP(K$4,H$4:J12,L12)</f>
        <v>174161</v>
      </c>
      <c r="L12" s="56">
        <f t="shared" si="2"/>
        <v>9</v>
      </c>
    </row>
    <row r="13" spans="1:12">
      <c r="A13" s="132" t="s">
        <v>74</v>
      </c>
      <c r="B13" s="130">
        <f>B14+B15+B16</f>
        <v>11957791.289999999</v>
      </c>
      <c r="C13" s="130">
        <v>12541005</v>
      </c>
      <c r="D13" s="130">
        <f t="shared" si="0"/>
        <v>-583213.71000000089</v>
      </c>
      <c r="E13" s="131">
        <f t="shared" si="1"/>
        <v>0.95349545670382874</v>
      </c>
      <c r="F13" s="1" t="str">
        <f>zdroj&amp;" - M5"</f>
        <v>T1-RD2023_RD_2022 - M5</v>
      </c>
      <c r="H13" s="130">
        <f>H14+H15+H16</f>
        <v>11957791.289999999</v>
      </c>
      <c r="I13" s="130">
        <f>I14+I15+I16</f>
        <v>11957791.289999999</v>
      </c>
      <c r="J13" s="130">
        <f>J14+J15+J16</f>
        <v>0</v>
      </c>
      <c r="K13" s="3">
        <f>HLOOKUP(K$3,H$4:J13,L13)-HLOOKUP(K$4,H$4:J13,L13)</f>
        <v>0</v>
      </c>
      <c r="L13" s="56">
        <f t="shared" si="2"/>
        <v>10</v>
      </c>
    </row>
    <row r="14" spans="1:12">
      <c r="A14" s="132" t="s">
        <v>75</v>
      </c>
      <c r="B14" s="130">
        <f>HLOOKUP(verzia,H$4:J14,L14)</f>
        <v>11149651</v>
      </c>
      <c r="C14" s="130">
        <v>11408481</v>
      </c>
      <c r="D14" s="130">
        <f t="shared" ref="D14:D15" si="3">B14-C14</f>
        <v>-258830</v>
      </c>
      <c r="E14" s="131">
        <f t="shared" ref="E14:E15" si="4">B14/C14</f>
        <v>0.97731249234670248</v>
      </c>
      <c r="F14" s="1" t="str">
        <f>zdroj&amp;" - N5"</f>
        <v>T1-RD2023_RD_2022 - N5</v>
      </c>
      <c r="G14" s="27">
        <f>B14+B15-SUM(B47:B55)</f>
        <v>-9.75810457020998E-2</v>
      </c>
      <c r="H14" s="130">
        <v>11149651</v>
      </c>
      <c r="I14" s="130">
        <v>11149651</v>
      </c>
      <c r="J14" s="130"/>
      <c r="K14" s="3">
        <f>HLOOKUP(K$3,H$4:J14,L14)-HLOOKUP(K$4,H$4:J14,L14)</f>
        <v>0</v>
      </c>
      <c r="L14" s="56">
        <f t="shared" si="2"/>
        <v>11</v>
      </c>
    </row>
    <row r="15" spans="1:12">
      <c r="A15" s="132" t="s">
        <v>76</v>
      </c>
      <c r="B15" s="130">
        <f>HLOOKUP(verzia,H$4:J15,L15)</f>
        <v>733140.29</v>
      </c>
      <c r="C15" s="130">
        <v>978499</v>
      </c>
      <c r="D15" s="130">
        <f t="shared" si="3"/>
        <v>-245358.70999999996</v>
      </c>
      <c r="E15" s="131">
        <f t="shared" si="4"/>
        <v>0.74924991236577665</v>
      </c>
      <c r="F15" s="1" t="str">
        <f>"T14-VVZ - AD6"</f>
        <v>T14-VVZ - AD6</v>
      </c>
      <c r="H15" s="134">
        <f>KA!I49</f>
        <v>733140.29</v>
      </c>
      <c r="I15" s="134">
        <f>KA!I49</f>
        <v>733140.29</v>
      </c>
      <c r="J15" s="130"/>
      <c r="K15" s="3">
        <f>HLOOKUP(K$3,H$4:J15,L15)-HLOOKUP(K$4,H$4:J15,L15)</f>
        <v>0</v>
      </c>
      <c r="L15" s="56">
        <f t="shared" si="2"/>
        <v>12</v>
      </c>
    </row>
    <row r="16" spans="1:12" ht="15.75" customHeight="1">
      <c r="A16" s="132" t="s">
        <v>77</v>
      </c>
      <c r="B16" s="130">
        <f>HLOOKUP(verzia,H$4:J16,L16)</f>
        <v>75000</v>
      </c>
      <c r="C16" s="130">
        <v>154025</v>
      </c>
      <c r="D16" s="130">
        <f t="shared" ref="D16:D18" si="5">B16-C16</f>
        <v>-79025</v>
      </c>
      <c r="E16" s="131">
        <f t="shared" ref="E16" si="6">B16/C16</f>
        <v>0.48693393929556888</v>
      </c>
      <c r="F16" s="1" t="str">
        <f>"T14-VVZ - AC6"</f>
        <v>T14-VVZ - AC6</v>
      </c>
      <c r="H16" s="130">
        <v>75000</v>
      </c>
      <c r="I16" s="130">
        <v>75000</v>
      </c>
      <c r="J16" s="130"/>
      <c r="K16" s="3">
        <f>HLOOKUP(K$3,H$4:J16,L16)-HLOOKUP(K$4,H$4:J16,L16)</f>
        <v>0</v>
      </c>
      <c r="L16" s="56">
        <f t="shared" si="2"/>
        <v>13</v>
      </c>
    </row>
    <row r="17" spans="1:12" ht="15.75" customHeight="1">
      <c r="A17" s="133" t="s">
        <v>78</v>
      </c>
      <c r="B17" s="130">
        <f>HLOOKUP(verzia,H$4:J17,L17)</f>
        <v>617268</v>
      </c>
      <c r="C17" s="130"/>
      <c r="D17" s="130">
        <f t="shared" si="5"/>
        <v>617268</v>
      </c>
      <c r="E17" s="131"/>
      <c r="H17" s="130">
        <f>1247522-H18</f>
        <v>617268</v>
      </c>
      <c r="I17" s="130">
        <v>617268</v>
      </c>
      <c r="J17" s="130"/>
      <c r="K17" s="3"/>
      <c r="L17" s="56">
        <f t="shared" si="2"/>
        <v>14</v>
      </c>
    </row>
    <row r="18" spans="1:12" ht="15.75" customHeight="1">
      <c r="A18" s="133" t="s">
        <v>79</v>
      </c>
      <c r="B18" s="130">
        <f>HLOOKUP(verzia,H$4:J18,L18)</f>
        <v>630254</v>
      </c>
      <c r="C18" s="130"/>
      <c r="D18" s="130">
        <f t="shared" si="5"/>
        <v>630254</v>
      </c>
      <c r="E18" s="131"/>
      <c r="H18" s="130">
        <v>630254</v>
      </c>
      <c r="I18" s="130">
        <v>630254</v>
      </c>
      <c r="J18" s="130"/>
      <c r="K18" s="3">
        <f>HLOOKUP(K$3,H$4:J18,L18)-HLOOKUP(K$4,H$4:J18,L18)</f>
        <v>0</v>
      </c>
      <c r="L18" s="56">
        <f t="shared" si="2"/>
        <v>15</v>
      </c>
    </row>
    <row r="19" spans="1:12" ht="15.75" customHeight="1">
      <c r="A19" s="128" t="s">
        <v>80</v>
      </c>
      <c r="B19" s="130">
        <f>HLOOKUP(verzia,H$4:J19,L19)</f>
        <v>0</v>
      </c>
      <c r="C19" s="130">
        <v>0</v>
      </c>
      <c r="D19" s="130">
        <f>B19-C19</f>
        <v>0</v>
      </c>
      <c r="E19" s="131"/>
      <c r="F19" s="1" t="str">
        <f>zdroj&amp;" - P5"</f>
        <v>T1-RD2023_RD_2022 - P5</v>
      </c>
      <c r="H19" s="130">
        <v>0</v>
      </c>
      <c r="I19" s="130">
        <v>0</v>
      </c>
      <c r="J19" s="130"/>
      <c r="K19" s="3">
        <f>HLOOKUP(K$3,H$4:J19,L19)-HLOOKUP(K$4,H$4:J19,L19)</f>
        <v>0</v>
      </c>
      <c r="L19" s="56">
        <f t="shared" si="2"/>
        <v>16</v>
      </c>
    </row>
    <row r="20" spans="1:12" ht="15.75" customHeight="1">
      <c r="B20" s="38"/>
      <c r="C20" s="38"/>
      <c r="D20" s="3"/>
      <c r="H20" s="130"/>
      <c r="I20" s="130"/>
      <c r="J20" s="130"/>
      <c r="K20" s="3"/>
      <c r="L20" s="56">
        <f t="shared" si="2"/>
        <v>17</v>
      </c>
    </row>
    <row r="21" spans="1:12" ht="15.75" customHeight="1">
      <c r="A21" s="1" t="s">
        <v>81</v>
      </c>
      <c r="B21" s="39"/>
      <c r="C21" s="39"/>
      <c r="H21" s="130"/>
      <c r="I21" s="130"/>
      <c r="J21" s="130"/>
      <c r="K21" s="3"/>
      <c r="L21" s="56">
        <f t="shared" si="2"/>
        <v>18</v>
      </c>
    </row>
    <row r="22" spans="1:12" ht="15.75" customHeight="1">
      <c r="A22" s="128" t="s">
        <v>82</v>
      </c>
      <c r="B22" s="130">
        <f>HLOOKUP(verzia,H$4:J22,L22)</f>
        <v>264565</v>
      </c>
      <c r="C22" s="130">
        <v>283077</v>
      </c>
      <c r="D22" s="130">
        <f>B22-C22</f>
        <v>-18512</v>
      </c>
      <c r="E22" s="131">
        <f>B22/C22</f>
        <v>0.93460436559663973</v>
      </c>
      <c r="F22" s="1" t="str">
        <f>zdroj&amp;" - R5"</f>
        <v>T1-RD2023_RD_2022 - R5</v>
      </c>
      <c r="H22" s="130">
        <v>264565</v>
      </c>
      <c r="I22" s="130">
        <v>264565</v>
      </c>
      <c r="J22" s="130"/>
      <c r="K22" s="3">
        <f>HLOOKUP(K$3,H$4:J22,L22)-HLOOKUP(K$4,H$4:J22,L22)</f>
        <v>0</v>
      </c>
      <c r="L22" s="56">
        <f t="shared" si="2"/>
        <v>19</v>
      </c>
    </row>
    <row r="23" spans="1:12" ht="15.75" customHeight="1">
      <c r="A23" s="128" t="s">
        <v>83</v>
      </c>
      <c r="B23" s="130">
        <f>HLOOKUP(verzia,H$4:J23,L23)</f>
        <v>143370</v>
      </c>
      <c r="C23" s="130">
        <v>132840</v>
      </c>
      <c r="D23" s="130">
        <f t="shared" ref="D23:D30" si="7">B23-C23</f>
        <v>10530</v>
      </c>
      <c r="E23" s="131">
        <f t="shared" ref="E23:E30" si="8">B23/C23</f>
        <v>1.0792682926829269</v>
      </c>
      <c r="F23" s="1" t="str">
        <f>zdroj&amp;" - S5"</f>
        <v>T1-RD2023_RD_2022 - S5</v>
      </c>
      <c r="H23" s="130">
        <v>143370</v>
      </c>
      <c r="I23" s="130">
        <v>143370</v>
      </c>
      <c r="J23" s="130"/>
      <c r="K23" s="3">
        <f>HLOOKUP(K$3,H$4:J23,L23)-HLOOKUP(K$4,H$4:J23,L23)</f>
        <v>0</v>
      </c>
      <c r="L23" s="56">
        <f t="shared" si="2"/>
        <v>20</v>
      </c>
    </row>
    <row r="24" spans="1:12" ht="15.75" customHeight="1">
      <c r="A24" s="128" t="s">
        <v>84</v>
      </c>
      <c r="B24" s="130">
        <f>HLOOKUP(verzia,H$4:J24,L24)</f>
        <v>328200</v>
      </c>
      <c r="C24" s="130">
        <v>318500</v>
      </c>
      <c r="D24" s="130">
        <f t="shared" si="7"/>
        <v>9700</v>
      </c>
      <c r="E24" s="131">
        <f t="shared" si="8"/>
        <v>1.0304552590266876</v>
      </c>
      <c r="F24" s="1" t="str">
        <f>zdroj&amp;" - T5"</f>
        <v>T1-RD2023_RD_2022 - T5</v>
      </c>
      <c r="H24" s="130">
        <v>328200</v>
      </c>
      <c r="I24" s="130">
        <v>328200</v>
      </c>
      <c r="J24" s="130"/>
      <c r="K24" s="3">
        <f>HLOOKUP(K$3,H$4:J24,L24)-HLOOKUP(K$4,H$4:J24,L24)</f>
        <v>0</v>
      </c>
      <c r="L24" s="56">
        <f t="shared" si="2"/>
        <v>21</v>
      </c>
    </row>
    <row r="25" spans="1:12" ht="15.75" customHeight="1">
      <c r="A25" s="128" t="s">
        <v>85</v>
      </c>
      <c r="B25" s="130">
        <f>HLOOKUP(verzia,H$4:J25,L25)</f>
        <v>528701</v>
      </c>
      <c r="C25" s="130">
        <v>494727</v>
      </c>
      <c r="D25" s="130">
        <f t="shared" si="7"/>
        <v>33974</v>
      </c>
      <c r="E25" s="131">
        <f t="shared" si="8"/>
        <v>1.0686722172026188</v>
      </c>
      <c r="F25" s="1" t="str">
        <f>zdroj&amp;" - V5"</f>
        <v>T1-RD2023_RD_2022 - V5</v>
      </c>
      <c r="H25" s="130">
        <v>528701</v>
      </c>
      <c r="I25" s="130">
        <v>528701</v>
      </c>
      <c r="J25" s="130"/>
      <c r="K25" s="3">
        <f>HLOOKUP(K$3,H$4:J25,L25)-HLOOKUP(K$4,H$4:J25,L25)</f>
        <v>0</v>
      </c>
      <c r="L25" s="56">
        <f t="shared" si="2"/>
        <v>22</v>
      </c>
    </row>
    <row r="26" spans="1:12" ht="15.75" customHeight="1">
      <c r="A26" s="128" t="s">
        <v>86</v>
      </c>
      <c r="B26" s="130">
        <f>HLOOKUP(verzia,H$4:J26,L26)</f>
        <v>186103</v>
      </c>
      <c r="C26" s="130">
        <v>174144</v>
      </c>
      <c r="D26" s="130">
        <f t="shared" si="7"/>
        <v>11959</v>
      </c>
      <c r="E26" s="131">
        <f t="shared" si="8"/>
        <v>1.0686730521866961</v>
      </c>
      <c r="F26" s="1" t="str">
        <f>zdroj&amp;" - W5"</f>
        <v>T1-RD2023_RD_2022 - W5</v>
      </c>
      <c r="H26" s="130">
        <v>186103</v>
      </c>
      <c r="I26" s="130">
        <v>186103</v>
      </c>
      <c r="J26" s="130"/>
      <c r="K26" s="3">
        <f>HLOOKUP(K$3,H$4:J26,L26)-HLOOKUP(K$4,H$4:J26,L26)</f>
        <v>0</v>
      </c>
      <c r="L26" s="56">
        <f t="shared" si="2"/>
        <v>23</v>
      </c>
    </row>
    <row r="27" spans="1:12" ht="15.75" customHeight="1">
      <c r="A27" s="128" t="s">
        <v>87</v>
      </c>
      <c r="B27" s="130">
        <f>HLOOKUP(verzia,H$4:J27,L27)</f>
        <v>369520</v>
      </c>
      <c r="C27" s="130">
        <v>309012</v>
      </c>
      <c r="D27" s="130">
        <f t="shared" si="7"/>
        <v>60508</v>
      </c>
      <c r="E27" s="131">
        <f t="shared" si="8"/>
        <v>1.1958111659094146</v>
      </c>
      <c r="F27" s="1" t="str">
        <f>zdroj&amp;" - X5"</f>
        <v>T1-RD2023_RD_2022 - X5</v>
      </c>
      <c r="H27" s="130">
        <v>369520</v>
      </c>
      <c r="I27" s="130">
        <v>369520</v>
      </c>
      <c r="J27" s="130"/>
      <c r="K27" s="3">
        <f>HLOOKUP(K$3,H$4:J27,L27)-HLOOKUP(K$4,H$4:J27,L27)</f>
        <v>0</v>
      </c>
      <c r="L27" s="56">
        <f t="shared" si="2"/>
        <v>24</v>
      </c>
    </row>
    <row r="28" spans="1:12" ht="15.75" customHeight="1">
      <c r="A28" s="128" t="s">
        <v>88</v>
      </c>
      <c r="B28" s="130">
        <f>HLOOKUP(verzia,H$4:J28,L28)</f>
        <v>274387</v>
      </c>
      <c r="C28" s="130">
        <v>119370</v>
      </c>
      <c r="D28" s="130">
        <f t="shared" si="7"/>
        <v>155017</v>
      </c>
      <c r="E28" s="131">
        <f t="shared" si="8"/>
        <v>2.2986261204657787</v>
      </c>
      <c r="F28" s="1" t="str">
        <f>zdroj&amp;" - Y5"</f>
        <v>T1-RD2023_RD_2022 - Y5</v>
      </c>
      <c r="H28" s="130">
        <v>274387</v>
      </c>
      <c r="I28" s="130">
        <v>274387</v>
      </c>
      <c r="J28" s="130"/>
      <c r="K28" s="3">
        <f>HLOOKUP(K$3,H$4:J28,L28)-HLOOKUP(K$4,H$4:J28,L28)</f>
        <v>0</v>
      </c>
      <c r="L28" s="56">
        <f t="shared" si="2"/>
        <v>25</v>
      </c>
    </row>
    <row r="29" spans="1:12" ht="15.75" customHeight="1">
      <c r="A29" s="128" t="s">
        <v>89</v>
      </c>
      <c r="B29" s="130">
        <f>HLOOKUP(verzia,H$4:J29,L29)</f>
        <v>35817</v>
      </c>
      <c r="C29" s="130">
        <v>34776</v>
      </c>
      <c r="D29" s="130">
        <f t="shared" si="7"/>
        <v>1041</v>
      </c>
      <c r="E29" s="131">
        <f t="shared" si="8"/>
        <v>1.0299344375431332</v>
      </c>
      <c r="F29" s="1" t="str">
        <f>zdroj&amp;" - Z5"</f>
        <v>T1-RD2023_RD_2022 - Z5</v>
      </c>
      <c r="H29" s="130">
        <v>35817</v>
      </c>
      <c r="I29" s="130">
        <v>35817</v>
      </c>
      <c r="J29" s="130"/>
      <c r="K29" s="3">
        <f>HLOOKUP(K$3,H$4:J29,L29)-HLOOKUP(K$4,H$4:J29,L29)</f>
        <v>0</v>
      </c>
      <c r="L29" s="56">
        <f t="shared" si="2"/>
        <v>26</v>
      </c>
    </row>
    <row r="30" spans="1:12" ht="15.75" customHeight="1">
      <c r="A30" s="128" t="s">
        <v>90</v>
      </c>
      <c r="B30" s="130">
        <f>HLOOKUP(verzia,H$4:J30,L30)</f>
        <v>16996</v>
      </c>
      <c r="C30" s="130">
        <v>20793</v>
      </c>
      <c r="D30" s="130">
        <f t="shared" si="7"/>
        <v>-3797</v>
      </c>
      <c r="E30" s="131">
        <f t="shared" si="8"/>
        <v>0.81739046794594339</v>
      </c>
      <c r="F30" s="1" t="str">
        <f>zdroj&amp;" - AA5"</f>
        <v>T1-RD2023_RD_2022 - AA5</v>
      </c>
      <c r="H30" s="130">
        <v>16996</v>
      </c>
      <c r="I30" s="130">
        <v>16996</v>
      </c>
      <c r="J30" s="130"/>
      <c r="K30" s="3">
        <f>HLOOKUP(K$3,H$4:J30,L30)-HLOOKUP(K$4,H$4:J30,L30)</f>
        <v>0</v>
      </c>
      <c r="L30" s="56">
        <f t="shared" si="2"/>
        <v>27</v>
      </c>
    </row>
    <row r="31" spans="1:12" ht="15.75" customHeight="1">
      <c r="B31" s="38"/>
      <c r="C31" s="38"/>
      <c r="D31" s="3"/>
      <c r="H31" s="130"/>
      <c r="I31" s="130"/>
      <c r="J31" s="130"/>
      <c r="K31" s="3"/>
      <c r="L31" s="56">
        <f t="shared" si="2"/>
        <v>28</v>
      </c>
    </row>
    <row r="32" spans="1:12" ht="15.75" customHeight="1">
      <c r="A32" s="1" t="s">
        <v>91</v>
      </c>
      <c r="B32" s="39"/>
      <c r="C32" s="39"/>
      <c r="H32" s="130"/>
      <c r="I32" s="130"/>
      <c r="J32" s="130"/>
      <c r="K32" s="3"/>
      <c r="L32" s="56">
        <f t="shared" si="2"/>
        <v>29</v>
      </c>
    </row>
    <row r="33" spans="1:12" ht="15.75" customHeight="1">
      <c r="A33" s="128" t="s">
        <v>92</v>
      </c>
      <c r="B33" s="130">
        <f>B34+B35</f>
        <v>175748.05</v>
      </c>
      <c r="C33" s="130">
        <v>175748.05</v>
      </c>
      <c r="D33" s="130">
        <f t="shared" ref="D33" si="9">B33-C33</f>
        <v>0</v>
      </c>
      <c r="E33" s="131">
        <f t="shared" ref="E33" si="10">B33/C33</f>
        <v>1</v>
      </c>
      <c r="F33" s="1" t="s">
        <v>93</v>
      </c>
      <c r="H33" s="130">
        <f>H34+H35</f>
        <v>175748.05</v>
      </c>
      <c r="I33" s="130">
        <f>I34+I35</f>
        <v>175748.05</v>
      </c>
      <c r="J33" s="130">
        <f>J34+J35</f>
        <v>0</v>
      </c>
      <c r="K33" s="3">
        <f>HLOOKUP(K$3,H$4:J33,L33)-HLOOKUP(K$4,H$4:J33,L33)</f>
        <v>0</v>
      </c>
      <c r="L33" s="56">
        <f t="shared" si="2"/>
        <v>30</v>
      </c>
    </row>
    <row r="34" spans="1:12" ht="15.75" customHeight="1">
      <c r="A34" s="128" t="s">
        <v>94</v>
      </c>
      <c r="B34" s="130">
        <f>HLOOKUP(verzia,H$4:J34,L34)</f>
        <v>168548.05</v>
      </c>
      <c r="C34" s="130">
        <v>168548.05</v>
      </c>
      <c r="D34" s="130">
        <f t="shared" ref="D34:D40" si="11">B34-C34</f>
        <v>0</v>
      </c>
      <c r="E34" s="131">
        <f t="shared" ref="E34:E39" si="12">B34/C34</f>
        <v>1</v>
      </c>
      <c r="F34" s="1" t="s">
        <v>95</v>
      </c>
      <c r="H34" s="130">
        <v>168548.05</v>
      </c>
      <c r="I34" s="130">
        <v>168548.05</v>
      </c>
      <c r="J34" s="130"/>
      <c r="K34" s="3">
        <f>HLOOKUP(K$3,H$4:J34,L34)-HLOOKUP(K$4,H$4:J34,L34)</f>
        <v>0</v>
      </c>
      <c r="L34" s="56">
        <f t="shared" si="2"/>
        <v>31</v>
      </c>
    </row>
    <row r="35" spans="1:12" ht="15.75" customHeight="1">
      <c r="A35" s="128" t="s">
        <v>96</v>
      </c>
      <c r="B35" s="130">
        <f>HLOOKUP(verzia,H$4:J35,L35)</f>
        <v>7200</v>
      </c>
      <c r="C35" s="130">
        <v>7200</v>
      </c>
      <c r="D35" s="130">
        <f t="shared" si="11"/>
        <v>0</v>
      </c>
      <c r="E35" s="131">
        <f t="shared" si="12"/>
        <v>1</v>
      </c>
      <c r="F35" s="1" t="s">
        <v>97</v>
      </c>
      <c r="H35" s="130">
        <v>7200</v>
      </c>
      <c r="I35" s="130">
        <v>7200</v>
      </c>
      <c r="J35" s="130"/>
      <c r="K35" s="3">
        <f>HLOOKUP(K$3,H$4:J35,L35)-HLOOKUP(K$4,H$4:J35,L35)</f>
        <v>0</v>
      </c>
      <c r="L35" s="56">
        <f t="shared" si="2"/>
        <v>32</v>
      </c>
    </row>
    <row r="36" spans="1:12" ht="15.75" customHeight="1">
      <c r="A36" s="128" t="s">
        <v>98</v>
      </c>
      <c r="B36" s="130">
        <f>SUM(B37:B40)</f>
        <v>324695</v>
      </c>
      <c r="C36" s="130">
        <v>253986</v>
      </c>
      <c r="D36" s="130">
        <f t="shared" ref="D36" si="13">B36-C36</f>
        <v>70709</v>
      </c>
      <c r="E36" s="131">
        <f t="shared" ref="E36" si="14">B36/C36</f>
        <v>1.2783972344932397</v>
      </c>
      <c r="F36" s="1" t="s">
        <v>93</v>
      </c>
      <c r="H36" s="130">
        <f>SUM(H37:H40)</f>
        <v>324695</v>
      </c>
      <c r="I36" s="130">
        <f>SUM(I37:I40)</f>
        <v>324695</v>
      </c>
      <c r="J36" s="130">
        <f>SUM(J37:J40)</f>
        <v>0</v>
      </c>
      <c r="K36" s="3">
        <f>HLOOKUP(K$3,H$4:J36,L36)-HLOOKUP(K$4,H$4:J36,L36)</f>
        <v>0</v>
      </c>
      <c r="L36" s="56">
        <f t="shared" si="2"/>
        <v>33</v>
      </c>
    </row>
    <row r="37" spans="1:12" ht="15.75" customHeight="1">
      <c r="A37" s="128" t="s">
        <v>99</v>
      </c>
      <c r="B37" s="130">
        <f>HLOOKUP(verzia,H$4:J37,L37)</f>
        <v>174600</v>
      </c>
      <c r="C37" s="130">
        <v>174600</v>
      </c>
      <c r="D37" s="130">
        <f t="shared" si="11"/>
        <v>0</v>
      </c>
      <c r="E37" s="131">
        <f t="shared" si="12"/>
        <v>1</v>
      </c>
      <c r="F37" s="1" t="s">
        <v>100</v>
      </c>
      <c r="H37" s="130">
        <v>174600</v>
      </c>
      <c r="I37" s="130">
        <v>174600</v>
      </c>
      <c r="J37" s="130"/>
      <c r="K37" s="3">
        <f>HLOOKUP(K$3,H$4:J37,L37)-HLOOKUP(K$4,H$4:J37,L37)</f>
        <v>0</v>
      </c>
      <c r="L37" s="56">
        <f t="shared" si="2"/>
        <v>34</v>
      </c>
    </row>
    <row r="38" spans="1:12" ht="15.75" customHeight="1">
      <c r="A38" s="128" t="s">
        <v>101</v>
      </c>
      <c r="B38" s="130">
        <f>HLOOKUP(verzia,H$4:J38,L38)</f>
        <v>91369</v>
      </c>
      <c r="C38" s="130">
        <v>43228</v>
      </c>
      <c r="D38" s="130">
        <f t="shared" si="11"/>
        <v>48141</v>
      </c>
      <c r="E38" s="131">
        <f t="shared" si="12"/>
        <v>2.1136531877486813</v>
      </c>
      <c r="F38" s="1" t="s">
        <v>102</v>
      </c>
      <c r="H38" s="130">
        <v>91369</v>
      </c>
      <c r="I38" s="130">
        <v>91369</v>
      </c>
      <c r="J38" s="130"/>
      <c r="K38" s="3">
        <f>HLOOKUP(K$3,H$4:J38,L38)-HLOOKUP(K$4,H$4:J38,L38)</f>
        <v>0</v>
      </c>
      <c r="L38" s="56">
        <f t="shared" si="2"/>
        <v>35</v>
      </c>
    </row>
    <row r="39" spans="1:12" ht="15.75" customHeight="1">
      <c r="A39" s="128" t="s">
        <v>103</v>
      </c>
      <c r="B39" s="130">
        <f>HLOOKUP(verzia,H$4:J39,L39)</f>
        <v>4161</v>
      </c>
      <c r="C39" s="130">
        <v>746</v>
      </c>
      <c r="D39" s="130">
        <f t="shared" si="11"/>
        <v>3415</v>
      </c>
      <c r="E39" s="131">
        <f t="shared" si="12"/>
        <v>5.5777479892761397</v>
      </c>
      <c r="F39" s="1" t="s">
        <v>104</v>
      </c>
      <c r="H39" s="130">
        <v>4161</v>
      </c>
      <c r="I39" s="130">
        <v>4161</v>
      </c>
      <c r="J39" s="130"/>
      <c r="K39" s="3">
        <f>HLOOKUP(K$3,H$4:J39,L39)-HLOOKUP(K$4,H$4:J39,L39)</f>
        <v>0</v>
      </c>
      <c r="L39" s="56">
        <f t="shared" si="2"/>
        <v>36</v>
      </c>
    </row>
    <row r="40" spans="1:12" ht="15.75" customHeight="1">
      <c r="A40" s="128" t="s">
        <v>105</v>
      </c>
      <c r="B40" s="130">
        <f>HLOOKUP(verzia,H$4:J40,L40)</f>
        <v>54565</v>
      </c>
      <c r="C40" s="130">
        <v>35412</v>
      </c>
      <c r="D40" s="130">
        <f t="shared" si="11"/>
        <v>19153</v>
      </c>
      <c r="E40" s="131">
        <f>B40/C40</f>
        <v>1.5408618547385067</v>
      </c>
      <c r="F40" s="1" t="s">
        <v>106</v>
      </c>
      <c r="H40" s="130">
        <v>54565</v>
      </c>
      <c r="I40" s="130">
        <v>54565</v>
      </c>
      <c r="J40" s="130"/>
      <c r="K40" s="3">
        <f>HLOOKUP(K$3,H$4:J40,L40)-HLOOKUP(K$4,H$4:J40,L40)</f>
        <v>0</v>
      </c>
      <c r="L40" s="56">
        <f t="shared" si="2"/>
        <v>37</v>
      </c>
    </row>
    <row r="41" spans="1:12" ht="15.75" customHeight="1">
      <c r="A41" s="74"/>
      <c r="B41" s="3"/>
      <c r="C41" s="75"/>
      <c r="D41" s="3"/>
      <c r="E41" s="3"/>
      <c r="H41" s="130"/>
      <c r="I41" s="130"/>
      <c r="J41" s="130"/>
      <c r="K41" s="3"/>
      <c r="L41" s="56">
        <f t="shared" si="2"/>
        <v>38</v>
      </c>
    </row>
    <row r="42" spans="1:12" ht="15.75" customHeight="1">
      <c r="H42" s="130"/>
      <c r="I42" s="130"/>
      <c r="J42" s="130"/>
      <c r="K42" s="3"/>
      <c r="L42" s="56">
        <f t="shared" si="2"/>
        <v>39</v>
      </c>
    </row>
    <row r="43" spans="1:12" ht="15.75" customHeight="1">
      <c r="A43" s="1" t="s">
        <v>107</v>
      </c>
      <c r="B43" s="39"/>
      <c r="C43" s="39"/>
      <c r="H43" s="130"/>
      <c r="I43" s="130"/>
      <c r="J43" s="130"/>
      <c r="K43" s="3"/>
      <c r="L43" s="56">
        <f t="shared" si="2"/>
        <v>40</v>
      </c>
    </row>
    <row r="44" spans="1:12" ht="15.75" customHeight="1">
      <c r="A44" s="128" t="s">
        <v>108</v>
      </c>
      <c r="B44" s="130">
        <f>HLOOKUP(verzia,H$4:J44,L44)</f>
        <v>11881900</v>
      </c>
      <c r="C44" s="130">
        <v>12017561</v>
      </c>
      <c r="D44" s="130">
        <f t="shared" ref="D44:D55" si="15">B44-C44</f>
        <v>-135661</v>
      </c>
      <c r="E44" s="131">
        <f t="shared" ref="E44:E54" si="16">B44/C44</f>
        <v>0.98871143653857885</v>
      </c>
      <c r="F44" s="1" t="s">
        <v>109</v>
      </c>
      <c r="H44" s="130">
        <v>11882469</v>
      </c>
      <c r="I44" s="130">
        <v>11881900</v>
      </c>
      <c r="J44" s="130"/>
      <c r="K44" s="3">
        <f>HLOOKUP(K$3,H$4:J44,L44)-HLOOKUP(K$4,H$4:J44,L44)</f>
        <v>-569</v>
      </c>
      <c r="L44" s="56">
        <f t="shared" si="2"/>
        <v>41</v>
      </c>
    </row>
    <row r="45" spans="1:12" ht="15.75" customHeight="1">
      <c r="A45" s="128" t="s">
        <v>110</v>
      </c>
      <c r="B45" s="130">
        <f>HLOOKUP(verzia,H$4:J45,L45)</f>
        <v>2390381.6024272875</v>
      </c>
      <c r="C45" s="130">
        <v>2596092.7041823398</v>
      </c>
      <c r="D45" s="115">
        <f>B45+B46-C45</f>
        <v>-205711.10175505234</v>
      </c>
      <c r="E45" s="116">
        <f t="shared" si="16"/>
        <v>0.92076126502584099</v>
      </c>
      <c r="F45" s="1" t="s">
        <v>111</v>
      </c>
      <c r="H45" s="130">
        <v>2390381.6024272875</v>
      </c>
      <c r="I45" s="130">
        <v>2390381.6024272875</v>
      </c>
      <c r="J45" s="130"/>
      <c r="K45" s="3">
        <f>HLOOKUP(K$3,H$4:J45,L45)-HLOOKUP(K$4,H$4:J45,L45)</f>
        <v>0</v>
      </c>
      <c r="L45" s="56">
        <f t="shared" si="2"/>
        <v>42</v>
      </c>
    </row>
    <row r="46" spans="1:12" ht="15.75" customHeight="1">
      <c r="A46" s="128" t="s">
        <v>112</v>
      </c>
      <c r="B46" s="130">
        <f>HLOOKUP(verzia,H$4:J46,L46)</f>
        <v>0</v>
      </c>
      <c r="C46" s="130">
        <v>0</v>
      </c>
      <c r="D46" s="115">
        <f>B46-C46</f>
        <v>0</v>
      </c>
      <c r="E46" s="116"/>
      <c r="F46" s="1" t="s">
        <v>113</v>
      </c>
      <c r="H46" s="130">
        <v>0</v>
      </c>
      <c r="I46" s="130">
        <v>0</v>
      </c>
      <c r="J46" s="130"/>
      <c r="K46" s="3">
        <f>HLOOKUP(K$3,H$4:J46,L46)-HLOOKUP(K$4,H$4:J46,L46)</f>
        <v>0</v>
      </c>
      <c r="L46" s="56">
        <f t="shared" si="2"/>
        <v>43</v>
      </c>
    </row>
    <row r="47" spans="1:12">
      <c r="A47" s="132" t="s">
        <v>114</v>
      </c>
      <c r="B47" s="130">
        <f>HLOOKUP(verzia,H$4:J47,L47)</f>
        <v>733140.29</v>
      </c>
      <c r="C47" s="130">
        <v>978499</v>
      </c>
      <c r="D47" s="130">
        <f t="shared" si="15"/>
        <v>-245358.70999999996</v>
      </c>
      <c r="E47" s="131">
        <f t="shared" si="16"/>
        <v>0.74924991236577665</v>
      </c>
      <c r="F47" s="1" t="s">
        <v>115</v>
      </c>
      <c r="H47" s="134">
        <f>KA!I49</f>
        <v>733140.29</v>
      </c>
      <c r="I47" s="134">
        <f>KA!I49</f>
        <v>733140.29</v>
      </c>
      <c r="J47" s="130"/>
      <c r="K47" s="3">
        <f>HLOOKUP(K$3,H$4:J47,L47)-HLOOKUP(K$4,H$4:J47,L47)</f>
        <v>0</v>
      </c>
      <c r="L47" s="56">
        <f t="shared" si="2"/>
        <v>44</v>
      </c>
    </row>
    <row r="48" spans="1:12">
      <c r="A48" s="128" t="s">
        <v>116</v>
      </c>
      <c r="B48" s="130">
        <f>HLOOKUP(verzia,H$4:J48,L48)</f>
        <v>0</v>
      </c>
      <c r="C48" s="130">
        <v>602452.57351657352</v>
      </c>
      <c r="D48" s="281">
        <f>B48+B49-C48-C49</f>
        <v>85383.382060825359</v>
      </c>
      <c r="E48" s="283">
        <f>(B48+B49)/(C48+C49)</f>
        <v>1.021169628645987</v>
      </c>
      <c r="F48" s="1" t="s">
        <v>117</v>
      </c>
      <c r="H48" s="130">
        <v>0</v>
      </c>
      <c r="I48" s="130">
        <v>0</v>
      </c>
      <c r="J48" s="130"/>
      <c r="K48" s="3">
        <f>HLOOKUP(K$3,H$4:J48,L48)-HLOOKUP(K$4,H$4:J48,L48)</f>
        <v>0</v>
      </c>
      <c r="L48" s="56">
        <f t="shared" si="2"/>
        <v>45</v>
      </c>
    </row>
    <row r="49" spans="1:12">
      <c r="A49" s="132" t="s">
        <v>118</v>
      </c>
      <c r="B49" s="130">
        <f>HLOOKUP(verzia,H$4:J49,L49)</f>
        <v>4118679.5484067164</v>
      </c>
      <c r="C49" s="130">
        <v>3430843.5928293173</v>
      </c>
      <c r="D49" s="282"/>
      <c r="E49" s="284"/>
      <c r="F49" s="1" t="s">
        <v>119</v>
      </c>
      <c r="H49" s="130">
        <v>4118679.5484067164</v>
      </c>
      <c r="I49" s="130">
        <v>4118679.5484067164</v>
      </c>
      <c r="J49" s="130"/>
      <c r="K49" s="3">
        <f>HLOOKUP(K$3,H$4:J49,L49)-HLOOKUP(K$4,H$4:J49,L49)</f>
        <v>0</v>
      </c>
      <c r="L49" s="56">
        <f t="shared" si="2"/>
        <v>46</v>
      </c>
    </row>
    <row r="50" spans="1:12">
      <c r="A50" s="128" t="s">
        <v>120</v>
      </c>
      <c r="B50" s="130">
        <f>HLOOKUP(verzia,H$4:J50,L50)</f>
        <v>1183474.0828816469</v>
      </c>
      <c r="C50" s="130">
        <v>1103153.6094954095</v>
      </c>
      <c r="D50" s="115">
        <f t="shared" ref="D50:D51" si="17">B50-C50</f>
        <v>80320.473386237398</v>
      </c>
      <c r="E50" s="116">
        <f>B50/C50</f>
        <v>1.072809872256119</v>
      </c>
      <c r="F50" s="1" t="s">
        <v>121</v>
      </c>
      <c r="H50" s="130">
        <v>1183474.0828816469</v>
      </c>
      <c r="I50" s="130">
        <v>1183474.0828816469</v>
      </c>
      <c r="J50" s="130"/>
      <c r="K50" s="3">
        <f>HLOOKUP(K$3,H$4:J50,L50)-HLOOKUP(K$4,H$4:J50,L50)</f>
        <v>0</v>
      </c>
      <c r="L50" s="56">
        <f t="shared" si="2"/>
        <v>47</v>
      </c>
    </row>
    <row r="51" spans="1:12">
      <c r="A51" s="128" t="s">
        <v>122</v>
      </c>
      <c r="B51" s="130">
        <f>HLOOKUP(verzia,H$4:J51,L51)</f>
        <v>63359.577064366946</v>
      </c>
      <c r="C51" s="130">
        <v>63996.637926564115</v>
      </c>
      <c r="D51" s="115">
        <f t="shared" si="17"/>
        <v>-637.06086219716963</v>
      </c>
      <c r="E51" s="131">
        <f t="shared" si="16"/>
        <v>0.9900454010892229</v>
      </c>
      <c r="F51" s="1" t="s">
        <v>123</v>
      </c>
      <c r="H51" s="130">
        <v>63359.577064366946</v>
      </c>
      <c r="I51" s="130">
        <v>63359.577064366946</v>
      </c>
      <c r="J51" s="130"/>
      <c r="K51" s="3">
        <f>HLOOKUP(K$3,H$4:J51,L51)-HLOOKUP(K$4,H$4:J51,L51)</f>
        <v>0</v>
      </c>
      <c r="L51" s="56">
        <f t="shared" si="2"/>
        <v>48</v>
      </c>
    </row>
    <row r="52" spans="1:12">
      <c r="A52" s="128" t="s">
        <v>124</v>
      </c>
      <c r="B52" s="130">
        <f>HLOOKUP(verzia,H$4:J52,L52)</f>
        <v>632720.64994057047</v>
      </c>
      <c r="C52" s="130">
        <v>697934.46456489037</v>
      </c>
      <c r="D52" s="130">
        <f t="shared" si="15"/>
        <v>-65213.814624319901</v>
      </c>
      <c r="E52" s="131">
        <f t="shared" si="16"/>
        <v>0.90656169320284852</v>
      </c>
      <c r="F52" s="1" t="s">
        <v>125</v>
      </c>
      <c r="H52" s="130">
        <v>632720.64994057047</v>
      </c>
      <c r="I52" s="130">
        <v>632720.64994057047</v>
      </c>
      <c r="J52" s="130"/>
      <c r="K52" s="3">
        <f>HLOOKUP(K$3,H$4:J52,L52)-HLOOKUP(K$4,H$4:J52,L52)</f>
        <v>0</v>
      </c>
      <c r="L52" s="56">
        <f t="shared" si="2"/>
        <v>49</v>
      </c>
    </row>
    <row r="53" spans="1:12">
      <c r="A53" s="128" t="s">
        <v>126</v>
      </c>
      <c r="B53" s="130">
        <f>HLOOKUP(verzia,H$4:J53,L53)</f>
        <v>1421681.1427094105</v>
      </c>
      <c r="C53" s="130">
        <v>1454753.3682027871</v>
      </c>
      <c r="D53" s="130">
        <f t="shared" si="15"/>
        <v>-33072.225493376609</v>
      </c>
      <c r="E53" s="131">
        <f t="shared" si="16"/>
        <v>0.97726609457228186</v>
      </c>
      <c r="F53" s="1" t="s">
        <v>127</v>
      </c>
      <c r="H53" s="130">
        <v>1421681.1427094105</v>
      </c>
      <c r="I53" s="130">
        <v>1421681.1427094105</v>
      </c>
      <c r="J53" s="130"/>
      <c r="K53" s="3">
        <f>HLOOKUP(K$3,H$4:J53,L53)-HLOOKUP(K$4,H$4:J53,L53)</f>
        <v>0</v>
      </c>
      <c r="L53" s="56">
        <f t="shared" si="2"/>
        <v>50</v>
      </c>
    </row>
    <row r="54" spans="1:12">
      <c r="A54" s="128" t="s">
        <v>128</v>
      </c>
      <c r="B54" s="130">
        <f>HLOOKUP(verzia,H$4:J54,L54)</f>
        <v>3729736.0965783326</v>
      </c>
      <c r="C54" s="130">
        <v>4055346.7504729708</v>
      </c>
      <c r="D54" s="130">
        <f t="shared" si="15"/>
        <v>-325610.65389463818</v>
      </c>
      <c r="E54" s="131">
        <f t="shared" si="16"/>
        <v>0.91970830759252276</v>
      </c>
      <c r="F54" s="1" t="s">
        <v>129</v>
      </c>
      <c r="H54" s="130">
        <v>3729736.0965783326</v>
      </c>
      <c r="I54" s="130">
        <v>3729736.0965783326</v>
      </c>
      <c r="J54" s="130"/>
      <c r="K54" s="3">
        <f>HLOOKUP(K$3,H$4:J54,L54)-HLOOKUP(K$4,H$4:J54,L54)</f>
        <v>0</v>
      </c>
      <c r="L54" s="56">
        <f t="shared" si="2"/>
        <v>51</v>
      </c>
    </row>
    <row r="55" spans="1:12">
      <c r="A55" s="128" t="s">
        <v>130</v>
      </c>
      <c r="B55" s="130">
        <f>HLOOKUP(verzia,H$4:J55,L55)</f>
        <v>0</v>
      </c>
      <c r="C55" s="130">
        <v>0</v>
      </c>
      <c r="D55" s="130">
        <f t="shared" si="15"/>
        <v>0</v>
      </c>
      <c r="E55" s="131"/>
      <c r="F55" s="1" t="s">
        <v>131</v>
      </c>
      <c r="H55" s="130">
        <v>0</v>
      </c>
      <c r="I55" s="130">
        <v>0</v>
      </c>
      <c r="J55" s="130"/>
      <c r="K55" s="3">
        <f>HLOOKUP(K$3,H$4:J55,L55)-HLOOKUP(K$4,H$4:J55,L55)</f>
        <v>0</v>
      </c>
      <c r="L55" s="56">
        <f t="shared" si="2"/>
        <v>52</v>
      </c>
    </row>
    <row r="57" spans="1:12">
      <c r="B57" s="3"/>
      <c r="C57" s="3"/>
    </row>
  </sheetData>
  <mergeCells count="4">
    <mergeCell ref="D48:D49"/>
    <mergeCell ref="E48:E49"/>
    <mergeCell ref="A5:D5"/>
    <mergeCell ref="F8:F9"/>
  </mergeCells>
  <conditionalFormatting sqref="D25:D31 D34:D39 D44:D46 D50:D55 D41 D8:D19">
    <cfRule type="cellIs" dxfId="105" priority="77" operator="greaterThan">
      <formula>0</formula>
    </cfRule>
    <cfRule type="cellIs" dxfId="104" priority="78" operator="lessThan">
      <formula>0</formula>
    </cfRule>
  </conditionalFormatting>
  <conditionalFormatting sqref="E22 E34:E39 E44:E46 E50:E55 E25:E30 E8:E19">
    <cfRule type="cellIs" dxfId="103" priority="75" operator="lessThan">
      <formula>1</formula>
    </cfRule>
    <cfRule type="cellIs" dxfId="102" priority="76" operator="greaterThan">
      <formula>1</formula>
    </cfRule>
  </conditionalFormatting>
  <conditionalFormatting sqref="D22:D24">
    <cfRule type="cellIs" dxfId="101" priority="73" operator="greaterThan">
      <formula>0</formula>
    </cfRule>
    <cfRule type="cellIs" dxfId="100" priority="74" operator="lessThan">
      <formula>0</formula>
    </cfRule>
  </conditionalFormatting>
  <conditionalFormatting sqref="E23:E24">
    <cfRule type="cellIs" dxfId="99" priority="71" operator="lessThan">
      <formula>1</formula>
    </cfRule>
    <cfRule type="cellIs" dxfId="98" priority="72" operator="greaterThan">
      <formula>1</formula>
    </cfRule>
  </conditionalFormatting>
  <conditionalFormatting sqref="D7">
    <cfRule type="cellIs" dxfId="97" priority="65" operator="greaterThan">
      <formula>0</formula>
    </cfRule>
    <cfRule type="cellIs" dxfId="96" priority="66" operator="lessThan">
      <formula>0</formula>
    </cfRule>
  </conditionalFormatting>
  <conditionalFormatting sqref="E7">
    <cfRule type="cellIs" dxfId="95" priority="63" operator="lessThan">
      <formula>1</formula>
    </cfRule>
    <cfRule type="cellIs" dxfId="94" priority="64" operator="greaterThan">
      <formula>1</formula>
    </cfRule>
  </conditionalFormatting>
  <conditionalFormatting sqref="D20">
    <cfRule type="cellIs" dxfId="93" priority="55" operator="greaterThan">
      <formula>0</formula>
    </cfRule>
    <cfRule type="cellIs" dxfId="92" priority="56" operator="lessThan">
      <formula>0</formula>
    </cfRule>
  </conditionalFormatting>
  <conditionalFormatting sqref="D40">
    <cfRule type="cellIs" dxfId="91" priority="45" operator="greaterThan">
      <formula>0</formula>
    </cfRule>
    <cfRule type="cellIs" dxfId="90" priority="46" operator="lessThan">
      <formula>0</formula>
    </cfRule>
  </conditionalFormatting>
  <conditionalFormatting sqref="E40">
    <cfRule type="cellIs" dxfId="89" priority="43" operator="lessThan">
      <formula>1</formula>
    </cfRule>
    <cfRule type="cellIs" dxfId="88" priority="44" operator="greaterThan">
      <formula>1</formula>
    </cfRule>
  </conditionalFormatting>
  <conditionalFormatting sqref="E33">
    <cfRule type="cellIs" dxfId="87" priority="21" operator="lessThan">
      <formula>1</formula>
    </cfRule>
    <cfRule type="cellIs" dxfId="86" priority="22" operator="greaterThan">
      <formula>1</formula>
    </cfRule>
  </conditionalFormatting>
  <conditionalFormatting sqref="E41">
    <cfRule type="cellIs" dxfId="85" priority="25" operator="greaterThan">
      <formula>0</formula>
    </cfRule>
    <cfRule type="cellIs" dxfId="84" priority="26" operator="lessThan">
      <formula>0</formula>
    </cfRule>
  </conditionalFormatting>
  <conditionalFormatting sqref="D33">
    <cfRule type="cellIs" dxfId="83" priority="23" operator="greaterThan">
      <formula>0</formula>
    </cfRule>
    <cfRule type="cellIs" dxfId="82" priority="24" operator="lessThan">
      <formula>0</formula>
    </cfRule>
  </conditionalFormatting>
  <conditionalFormatting sqref="G4:G1048576">
    <cfRule type="cellIs" dxfId="81" priority="19" operator="notEqual">
      <formula>0</formula>
    </cfRule>
  </conditionalFormatting>
  <conditionalFormatting sqref="D47">
    <cfRule type="cellIs" dxfId="80" priority="7" operator="greaterThan">
      <formula>0</formula>
    </cfRule>
    <cfRule type="cellIs" dxfId="79" priority="8" operator="lessThan">
      <formula>0</formula>
    </cfRule>
  </conditionalFormatting>
  <conditionalFormatting sqref="D48">
    <cfRule type="cellIs" dxfId="78" priority="5" operator="greaterThan">
      <formula>0</formula>
    </cfRule>
    <cfRule type="cellIs" dxfId="77" priority="6" operator="lessThan">
      <formula>0</formula>
    </cfRule>
  </conditionalFormatting>
  <conditionalFormatting sqref="E47">
    <cfRule type="cellIs" dxfId="76" priority="3" operator="lessThan">
      <formula>1</formula>
    </cfRule>
    <cfRule type="cellIs" dxfId="75" priority="4" operator="greaterThan">
      <formula>1</formula>
    </cfRule>
  </conditionalFormatting>
  <conditionalFormatting sqref="E48">
    <cfRule type="cellIs" dxfId="74" priority="1" operator="lessThan">
      <formula>1</formula>
    </cfRule>
    <cfRule type="cellIs" dxfId="73" priority="2" operator="greaterThan">
      <formula>1</formula>
    </cfRule>
  </conditionalFormatting>
  <pageMargins left="0.31496062992125984" right="0.31496062992125984" top="0.74803149606299213" bottom="0.55118110236220474" header="0.31496062992125984" footer="0.31496062992125984"/>
  <pageSetup paperSize="9" scale="89" fitToHeight="0" orientation="landscape" r:id="rId1"/>
  <headerFooter scaleWithDoc="0"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7"/>
  <sheetViews>
    <sheetView workbookViewId="0">
      <selection activeCell="B15" sqref="B15"/>
    </sheetView>
  </sheetViews>
  <sheetFormatPr defaultColWidth="14.28515625" defaultRowHeight="15.6"/>
  <cols>
    <col min="1" max="1" width="72.42578125" style="4" bestFit="1" customWidth="1"/>
    <col min="2" max="3" width="14.28515625" style="4" customWidth="1"/>
    <col min="4" max="16384" width="14.28515625" style="4"/>
  </cols>
  <sheetData>
    <row r="1" spans="1:5">
      <c r="A1" s="287" t="s">
        <v>132</v>
      </c>
      <c r="B1" s="287"/>
      <c r="C1" s="287"/>
      <c r="D1" s="287"/>
    </row>
    <row r="2" spans="1:5">
      <c r="A2" s="135"/>
      <c r="B2" s="136" t="str">
        <f>"Rok "&amp;Rok</f>
        <v>Rok 2023</v>
      </c>
      <c r="C2" s="136" t="str">
        <f>"Rok "&amp;Rok-1</f>
        <v>Rok 2022</v>
      </c>
      <c r="D2" s="136" t="s">
        <v>64</v>
      </c>
      <c r="E2" s="136" t="s">
        <v>66</v>
      </c>
    </row>
    <row r="3" spans="1:5">
      <c r="A3" s="135" t="s">
        <v>133</v>
      </c>
      <c r="B3" s="137">
        <v>0.108</v>
      </c>
      <c r="C3" s="137">
        <v>0.108</v>
      </c>
      <c r="D3" s="138">
        <f t="shared" ref="D3:D22" si="0">B3-C3</f>
        <v>0</v>
      </c>
      <c r="E3" s="138">
        <f t="shared" ref="E3:E35" si="1">B3/C3</f>
        <v>1</v>
      </c>
    </row>
    <row r="4" spans="1:5">
      <c r="A4" s="135" t="s">
        <v>134</v>
      </c>
      <c r="B4" s="137">
        <v>2.5000000000000001E-2</v>
      </c>
      <c r="C4" s="137">
        <v>2.5000000000000001E-2</v>
      </c>
      <c r="D4" s="138">
        <f t="shared" si="0"/>
        <v>0</v>
      </c>
      <c r="E4" s="138">
        <f t="shared" si="1"/>
        <v>1</v>
      </c>
    </row>
    <row r="5" spans="1:5">
      <c r="A5" s="139" t="s">
        <v>135</v>
      </c>
      <c r="B5" s="140">
        <v>200</v>
      </c>
      <c r="C5" s="137"/>
      <c r="D5" s="141">
        <f t="shared" ref="D5:D8" si="2">B5-C5</f>
        <v>200</v>
      </c>
      <c r="E5" s="138"/>
    </row>
    <row r="6" spans="1:5">
      <c r="A6" s="139" t="s">
        <v>136</v>
      </c>
      <c r="B6" s="140">
        <v>300</v>
      </c>
      <c r="C6" s="137"/>
      <c r="D6" s="141">
        <f t="shared" si="2"/>
        <v>300</v>
      </c>
      <c r="E6" s="138"/>
    </row>
    <row r="7" spans="1:5">
      <c r="A7" s="139" t="s">
        <v>137</v>
      </c>
      <c r="B7" s="140">
        <v>400</v>
      </c>
      <c r="C7" s="137"/>
      <c r="D7" s="141">
        <f t="shared" si="2"/>
        <v>400</v>
      </c>
      <c r="E7" s="138"/>
    </row>
    <row r="8" spans="1:5">
      <c r="A8" s="139" t="s">
        <v>138</v>
      </c>
      <c r="B8" s="140">
        <v>500</v>
      </c>
      <c r="C8" s="137"/>
      <c r="D8" s="141">
        <f t="shared" si="2"/>
        <v>500</v>
      </c>
      <c r="E8" s="138"/>
    </row>
    <row r="9" spans="1:5">
      <c r="A9" s="139" t="s">
        <v>139</v>
      </c>
      <c r="B9" s="140">
        <v>50000</v>
      </c>
      <c r="C9" s="137"/>
      <c r="D9" s="141">
        <f>B9-C9</f>
        <v>50000</v>
      </c>
      <c r="E9" s="138"/>
    </row>
    <row r="10" spans="1:5">
      <c r="A10" s="142" t="s">
        <v>140</v>
      </c>
      <c r="B10" s="143">
        <v>0.92</v>
      </c>
      <c r="C10" s="137">
        <v>0.95</v>
      </c>
      <c r="D10" s="138">
        <f t="shared" ref="D10" si="3">B10-C10</f>
        <v>-2.9999999999999916E-2</v>
      </c>
      <c r="E10" s="138">
        <f t="shared" si="1"/>
        <v>0.96842105263157907</v>
      </c>
    </row>
    <row r="11" spans="1:5">
      <c r="A11" s="142" t="s">
        <v>141</v>
      </c>
      <c r="B11" s="144">
        <v>0.5</v>
      </c>
      <c r="C11" s="137">
        <v>0.5</v>
      </c>
      <c r="D11" s="138">
        <f t="shared" ref="D11" si="4">B11-C11</f>
        <v>0</v>
      </c>
      <c r="E11" s="138">
        <f t="shared" ref="E11" si="5">B11/C11</f>
        <v>1</v>
      </c>
    </row>
    <row r="12" spans="1:5">
      <c r="A12" s="142" t="str">
        <f>"07711 - TaS - presun z úpravy bežnej dotácie z roku "&amp;Rok-1</f>
        <v>07711 - TaS - presun z úpravy bežnej dotácie z roku 2022</v>
      </c>
      <c r="B12" s="145">
        <v>44422</v>
      </c>
      <c r="C12" s="146">
        <v>73724</v>
      </c>
      <c r="D12" s="141">
        <f t="shared" si="0"/>
        <v>-29302</v>
      </c>
      <c r="E12" s="138">
        <f>B12/C12</f>
        <v>0.60254462590201296</v>
      </c>
    </row>
    <row r="13" spans="1:5">
      <c r="A13" s="135" t="s">
        <v>142</v>
      </c>
      <c r="B13" s="137">
        <v>0.05</v>
      </c>
      <c r="C13" s="137">
        <v>0.05</v>
      </c>
      <c r="D13" s="138">
        <f>B13-C13</f>
        <v>0</v>
      </c>
      <c r="E13" s="138">
        <f>B13/C13</f>
        <v>1</v>
      </c>
    </row>
    <row r="14" spans="1:5">
      <c r="A14" s="135" t="s">
        <v>143</v>
      </c>
      <c r="B14" s="137">
        <v>0.15</v>
      </c>
      <c r="C14" s="137">
        <v>0.15</v>
      </c>
      <c r="D14" s="138">
        <f t="shared" si="0"/>
        <v>0</v>
      </c>
      <c r="E14" s="138">
        <f t="shared" si="1"/>
        <v>1</v>
      </c>
    </row>
    <row r="15" spans="1:5">
      <c r="A15" s="135" t="s">
        <v>144</v>
      </c>
      <c r="B15" s="147">
        <v>1450000</v>
      </c>
      <c r="C15" s="141">
        <v>1450000</v>
      </c>
      <c r="D15" s="141">
        <f t="shared" si="0"/>
        <v>0</v>
      </c>
      <c r="E15" s="138">
        <f>B15/C15</f>
        <v>1</v>
      </c>
    </row>
    <row r="16" spans="1:5">
      <c r="A16" s="135" t="s">
        <v>145</v>
      </c>
      <c r="B16" s="147">
        <v>0</v>
      </c>
      <c r="C16" s="141">
        <v>0</v>
      </c>
      <c r="D16" s="141">
        <f>B16-C16</f>
        <v>0</v>
      </c>
      <c r="E16" s="138"/>
    </row>
    <row r="17" spans="1:5">
      <c r="A17" s="135" t="s">
        <v>146</v>
      </c>
      <c r="B17" s="147">
        <v>500000</v>
      </c>
      <c r="C17" s="141">
        <v>500000</v>
      </c>
      <c r="D17" s="141">
        <f t="shared" si="0"/>
        <v>0</v>
      </c>
      <c r="E17" s="138">
        <f t="shared" si="1"/>
        <v>1</v>
      </c>
    </row>
    <row r="18" spans="1:5">
      <c r="A18" s="135" t="s">
        <v>147</v>
      </c>
      <c r="B18" s="148">
        <f>B17/VstupySR!B14</f>
        <v>4.4844452978842118E-2</v>
      </c>
      <c r="C18" s="137">
        <v>4.4844452742600571E-2</v>
      </c>
      <c r="D18" s="138">
        <f>B18-C18</f>
        <v>2.3624154715795598E-10</v>
      </c>
      <c r="E18" s="138">
        <f>B18/C18</f>
        <v>1.0000000052680216</v>
      </c>
    </row>
    <row r="19" spans="1:5">
      <c r="A19" s="135" t="s">
        <v>148</v>
      </c>
      <c r="B19" s="147">
        <v>250000</v>
      </c>
      <c r="C19" s="141">
        <v>250000</v>
      </c>
      <c r="D19" s="141">
        <f t="shared" si="0"/>
        <v>0</v>
      </c>
      <c r="E19" s="138">
        <f t="shared" si="1"/>
        <v>1</v>
      </c>
    </row>
    <row r="20" spans="1:5">
      <c r="A20" s="135" t="s">
        <v>149</v>
      </c>
      <c r="B20" s="148">
        <f>B19/B17</f>
        <v>0.5</v>
      </c>
      <c r="C20" s="137">
        <v>0.5</v>
      </c>
      <c r="D20" s="138">
        <f t="shared" si="0"/>
        <v>0</v>
      </c>
      <c r="E20" s="138">
        <f t="shared" si="1"/>
        <v>1</v>
      </c>
    </row>
    <row r="22" spans="1:5">
      <c r="A22" s="135" t="s">
        <v>150</v>
      </c>
      <c r="B22" s="147">
        <v>30000</v>
      </c>
      <c r="C22" s="141">
        <v>30000</v>
      </c>
      <c r="D22" s="141">
        <f t="shared" si="0"/>
        <v>0</v>
      </c>
      <c r="E22" s="138">
        <f t="shared" si="1"/>
        <v>1</v>
      </c>
    </row>
    <row r="23" spans="1:5">
      <c r="A23" s="135" t="s">
        <v>149</v>
      </c>
      <c r="B23" s="148">
        <f>B22/B17</f>
        <v>0.06</v>
      </c>
      <c r="C23" s="137">
        <v>0.06</v>
      </c>
      <c r="D23" s="138">
        <f t="shared" ref="D23:D37" si="6">B23-C23</f>
        <v>0</v>
      </c>
      <c r="E23" s="138">
        <f>B23/C23</f>
        <v>1</v>
      </c>
    </row>
    <row r="24" spans="1:5">
      <c r="A24" s="142" t="str">
        <f>"07712 - TaS - presun z úpravy dotácie z roku "&amp;Rok-1</f>
        <v>07712 - TaS - presun z úpravy dotácie z roku 2022</v>
      </c>
      <c r="B24" s="146">
        <v>0</v>
      </c>
      <c r="C24" s="146">
        <v>0</v>
      </c>
      <c r="D24" s="141">
        <f t="shared" si="6"/>
        <v>0</v>
      </c>
      <c r="E24" s="138"/>
    </row>
    <row r="25" spans="1:5">
      <c r="A25" s="139" t="str">
        <f>"07712 - štipendiá doktorandi 2+ - zostatok z roku "&amp;Rok-1</f>
        <v>07712 - štipendiá doktorandi 2+ - zostatok z roku 2022</v>
      </c>
      <c r="B25" s="149">
        <v>375000</v>
      </c>
      <c r="C25" s="146">
        <v>480000</v>
      </c>
      <c r="D25" s="141">
        <f t="shared" si="6"/>
        <v>-105000</v>
      </c>
      <c r="E25" s="138">
        <f>B25/C25</f>
        <v>0.78125</v>
      </c>
    </row>
    <row r="26" spans="1:5">
      <c r="A26" s="135" t="s">
        <v>151</v>
      </c>
      <c r="B26" s="147">
        <f>'07712-DoktStip'!D28+B29-B28-B25</f>
        <v>2520597.5</v>
      </c>
      <c r="C26" s="141">
        <v>2594751</v>
      </c>
      <c r="D26" s="141">
        <f t="shared" si="6"/>
        <v>-74153.5</v>
      </c>
      <c r="E26" s="138">
        <f t="shared" si="1"/>
        <v>0.97142172794229587</v>
      </c>
    </row>
    <row r="27" spans="1:5">
      <c r="A27" s="135" t="s">
        <v>152</v>
      </c>
      <c r="B27" s="147">
        <f>'07712-DoktStip'!E5</f>
        <v>323000</v>
      </c>
      <c r="C27" s="141">
        <v>323000</v>
      </c>
      <c r="D27" s="141">
        <f t="shared" si="6"/>
        <v>0</v>
      </c>
      <c r="E27" s="138">
        <f t="shared" si="1"/>
        <v>1</v>
      </c>
    </row>
    <row r="28" spans="1:5">
      <c r="A28" s="139" t="s">
        <v>153</v>
      </c>
      <c r="B28" s="149">
        <f>VstupySR!B18</f>
        <v>630254</v>
      </c>
      <c r="C28" s="141">
        <v>0</v>
      </c>
      <c r="D28" s="141">
        <f t="shared" si="6"/>
        <v>630254</v>
      </c>
      <c r="E28" s="138"/>
    </row>
    <row r="29" spans="1:5">
      <c r="A29" s="139" t="s">
        <v>154</v>
      </c>
      <c r="B29" s="149">
        <f>'07712-DoktStip'!E37</f>
        <v>591415.5</v>
      </c>
      <c r="C29" s="141">
        <v>0</v>
      </c>
      <c r="D29" s="141">
        <f t="shared" si="6"/>
        <v>591415.5</v>
      </c>
      <c r="E29" s="138"/>
    </row>
    <row r="30" spans="1:5">
      <c r="A30" s="139" t="s">
        <v>155</v>
      </c>
      <c r="B30" s="143">
        <v>0.25</v>
      </c>
      <c r="C30" s="137">
        <v>0.5</v>
      </c>
      <c r="D30" s="138">
        <f t="shared" si="6"/>
        <v>-0.25</v>
      </c>
      <c r="E30" s="138">
        <f t="shared" ref="E30" si="7">B30/C30</f>
        <v>0.5</v>
      </c>
    </row>
    <row r="31" spans="1:5">
      <c r="A31" s="139" t="str">
        <f>"07712 - presun z úpravy dotácie roku "&amp;Rok-1</f>
        <v>07712 - presun z úpravy dotácie roku 2022</v>
      </c>
      <c r="B31" s="149">
        <v>531196</v>
      </c>
      <c r="C31" s="141">
        <v>194612</v>
      </c>
      <c r="D31" s="141">
        <f>B31-C31</f>
        <v>336584</v>
      </c>
      <c r="E31" s="138">
        <f t="shared" si="1"/>
        <v>2.7295130824409592</v>
      </c>
    </row>
    <row r="32" spans="1:5">
      <c r="A32" s="139" t="s">
        <v>156</v>
      </c>
      <c r="B32" s="149">
        <f>ROUND(B31/1.352,0)</f>
        <v>392896</v>
      </c>
      <c r="C32" s="141">
        <v>143944</v>
      </c>
      <c r="D32" s="141">
        <f t="shared" ref="D32:D33" si="8">B32-C32</f>
        <v>248952</v>
      </c>
      <c r="E32" s="138">
        <f t="shared" si="1"/>
        <v>2.7295059189684876</v>
      </c>
    </row>
    <row r="33" spans="1:5">
      <c r="A33" s="139" t="s">
        <v>157</v>
      </c>
      <c r="B33" s="149">
        <f>B31-B32</f>
        <v>138300</v>
      </c>
      <c r="C33" s="141">
        <v>50668</v>
      </c>
      <c r="D33" s="141">
        <f t="shared" si="8"/>
        <v>87632</v>
      </c>
      <c r="E33" s="138">
        <f t="shared" si="1"/>
        <v>2.729533433330702</v>
      </c>
    </row>
    <row r="34" spans="1:5">
      <c r="A34" s="135" t="s">
        <v>158</v>
      </c>
      <c r="B34" s="137">
        <f>B3</f>
        <v>0.108</v>
      </c>
      <c r="C34" s="137">
        <v>0.108</v>
      </c>
      <c r="D34" s="138">
        <f t="shared" si="6"/>
        <v>0</v>
      </c>
      <c r="E34" s="138">
        <f t="shared" si="1"/>
        <v>1</v>
      </c>
    </row>
    <row r="35" spans="1:5">
      <c r="A35" s="135" t="s">
        <v>159</v>
      </c>
      <c r="B35" s="137">
        <f>B4</f>
        <v>2.5000000000000001E-2</v>
      </c>
      <c r="C35" s="137">
        <v>2.5000000000000001E-2</v>
      </c>
      <c r="D35" s="138">
        <f t="shared" si="6"/>
        <v>0</v>
      </c>
      <c r="E35" s="138">
        <f t="shared" si="1"/>
        <v>1</v>
      </c>
    </row>
    <row r="36" spans="1:5">
      <c r="A36" s="139" t="s">
        <v>160</v>
      </c>
      <c r="B36" s="150">
        <v>2</v>
      </c>
      <c r="C36" s="137"/>
      <c r="D36" s="138"/>
      <c r="E36" s="137"/>
    </row>
    <row r="37" spans="1:5">
      <c r="A37" s="135" t="s">
        <v>161</v>
      </c>
      <c r="B37" s="137">
        <v>0.15</v>
      </c>
      <c r="C37" s="137">
        <v>0.15</v>
      </c>
      <c r="D37" s="138">
        <f t="shared" si="6"/>
        <v>0</v>
      </c>
      <c r="E37" s="138">
        <f>B37/C37</f>
        <v>1</v>
      </c>
    </row>
  </sheetData>
  <mergeCells count="1">
    <mergeCell ref="A1:D1"/>
  </mergeCells>
  <conditionalFormatting sqref="D17:D18 D34:D37 D26:D29 D3:D15">
    <cfRule type="cellIs" dxfId="72" priority="45" operator="lessThan">
      <formula>0</formula>
    </cfRule>
    <cfRule type="cellIs" dxfId="71" priority="46" operator="greaterThan">
      <formula>0</formula>
    </cfRule>
  </conditionalFormatting>
  <conditionalFormatting sqref="E22 E26:E27 E31:E35 E37 E3:E8 E10:E20">
    <cfRule type="cellIs" dxfId="70" priority="43" operator="greaterThan">
      <formula>1</formula>
    </cfRule>
    <cfRule type="cellIs" dxfId="69" priority="44" operator="lessThan">
      <formula>1</formula>
    </cfRule>
  </conditionalFormatting>
  <conditionalFormatting sqref="D19 D22">
    <cfRule type="cellIs" dxfId="68" priority="37" operator="lessThan">
      <formula>0</formula>
    </cfRule>
    <cfRule type="cellIs" dxfId="67" priority="38" operator="greaterThan">
      <formula>0</formula>
    </cfRule>
  </conditionalFormatting>
  <conditionalFormatting sqref="D20">
    <cfRule type="cellIs" dxfId="66" priority="35" operator="lessThan">
      <formula>0</formula>
    </cfRule>
    <cfRule type="cellIs" dxfId="65" priority="36" operator="greaterThan">
      <formula>0</formula>
    </cfRule>
  </conditionalFormatting>
  <conditionalFormatting sqref="D23">
    <cfRule type="cellIs" dxfId="64" priority="31" operator="lessThan">
      <formula>0</formula>
    </cfRule>
    <cfRule type="cellIs" dxfId="63" priority="32" operator="greaterThan">
      <formula>0</formula>
    </cfRule>
  </conditionalFormatting>
  <conditionalFormatting sqref="E23:E24">
    <cfRule type="cellIs" dxfId="62" priority="29" operator="greaterThan">
      <formula>1</formula>
    </cfRule>
    <cfRule type="cellIs" dxfId="61" priority="30" operator="lessThan">
      <formula>1</formula>
    </cfRule>
  </conditionalFormatting>
  <conditionalFormatting sqref="D16">
    <cfRule type="cellIs" dxfId="60" priority="25" operator="lessThan">
      <formula>0</formula>
    </cfRule>
    <cfRule type="cellIs" dxfId="59" priority="26" operator="greaterThan">
      <formula>0</formula>
    </cfRule>
  </conditionalFormatting>
  <conditionalFormatting sqref="D24:D25">
    <cfRule type="cellIs" dxfId="58" priority="23" operator="lessThan">
      <formula>0</formula>
    </cfRule>
    <cfRule type="cellIs" dxfId="57" priority="24" operator="greaterThan">
      <formula>0</formula>
    </cfRule>
  </conditionalFormatting>
  <conditionalFormatting sqref="D31:D33">
    <cfRule type="cellIs" dxfId="56" priority="19" operator="lessThan">
      <formula>0</formula>
    </cfRule>
    <cfRule type="cellIs" dxfId="55" priority="20" operator="greaterThan">
      <formula>0</formula>
    </cfRule>
  </conditionalFormatting>
  <conditionalFormatting sqref="E25">
    <cfRule type="cellIs" dxfId="54" priority="17" operator="greaterThan">
      <formula>1</formula>
    </cfRule>
    <cfRule type="cellIs" dxfId="53" priority="18" operator="lessThan">
      <formula>1</formula>
    </cfRule>
  </conditionalFormatting>
  <conditionalFormatting sqref="E28:E29">
    <cfRule type="cellIs" dxfId="52" priority="15" operator="greaterThan">
      <formula>1</formula>
    </cfRule>
    <cfRule type="cellIs" dxfId="51" priority="16" operator="lessThan">
      <formula>1</formula>
    </cfRule>
  </conditionalFormatting>
  <conditionalFormatting sqref="D30">
    <cfRule type="cellIs" dxfId="50" priority="9" operator="lessThan">
      <formula>0</formula>
    </cfRule>
    <cfRule type="cellIs" dxfId="49" priority="10" operator="greaterThan">
      <formula>0</formula>
    </cfRule>
  </conditionalFormatting>
  <conditionalFormatting sqref="E30">
    <cfRule type="cellIs" dxfId="48" priority="7" operator="greaterThan">
      <formula>1</formula>
    </cfRule>
    <cfRule type="cellIs" dxfId="47" priority="8" operator="lessThan">
      <formula>1</formula>
    </cfRule>
  </conditionalFormatting>
  <conditionalFormatting sqref="E9">
    <cfRule type="cellIs" dxfId="46" priority="1" operator="greaterThan">
      <formula>1</formula>
    </cfRule>
    <cfRule type="cellIs" dxfId="45" priority="2" operator="lessThan">
      <formula>1</formula>
    </cfRule>
  </conditionalFormatting>
  <pageMargins left="0.31496062992125984" right="0.31496062992125984" top="0.74803149606299213" bottom="0.55118110236220474" header="0.31496062992125984" footer="0.31496062992125984"/>
  <pageSetup paperSize="9" scale="88" orientation="landscape" r:id="rId1"/>
  <headerFooter scaleWithDoc="0"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84"/>
  <sheetViews>
    <sheetView workbookViewId="0">
      <selection activeCell="K20" sqref="K20"/>
    </sheetView>
  </sheetViews>
  <sheetFormatPr defaultColWidth="14.28515625" defaultRowHeight="15.6"/>
  <cols>
    <col min="1" max="9" width="16.42578125" style="1" customWidth="1"/>
    <col min="10" max="10" width="1.42578125" style="1" customWidth="1"/>
    <col min="11" max="12" width="16.42578125" style="1" customWidth="1"/>
    <col min="13" max="13" width="1.42578125" style="1" customWidth="1"/>
    <col min="14" max="15" width="16.42578125" style="1" customWidth="1"/>
    <col min="16" max="16" width="1.42578125" style="1" customWidth="1"/>
    <col min="17" max="18" width="16.42578125" style="1" customWidth="1"/>
    <col min="19" max="19" width="1.42578125" style="1" customWidth="1"/>
    <col min="20" max="21" width="16.42578125" style="1" customWidth="1"/>
    <col min="22" max="22" width="2.42578125" style="1" customWidth="1"/>
    <col min="23" max="16384" width="14.28515625" style="1"/>
  </cols>
  <sheetData>
    <row r="1" spans="1:18">
      <c r="B1" s="56" t="s">
        <v>162</v>
      </c>
      <c r="C1" s="56">
        <f>F1</f>
        <v>0</v>
      </c>
      <c r="E1" s="56" t="s">
        <v>162</v>
      </c>
      <c r="F1" s="56">
        <v>0</v>
      </c>
      <c r="K1" s="296" t="str">
        <f>"Valorizácia 07711, 07712, projekty ("&amp;Rok&amp;")"</f>
        <v>Valorizácia 07711, 07712, projekty (2023)</v>
      </c>
      <c r="L1" s="296" t="str">
        <f>"Valorizácia potreba aj projekty ("&amp;Rok&amp;")"</f>
        <v>Valorizácia potreba aj projekty (2023)</v>
      </c>
    </row>
    <row r="2" spans="1:18" s="5" customFormat="1" ht="15.6" customHeight="1">
      <c r="A2" s="291" t="s">
        <v>163</v>
      </c>
      <c r="B2" s="290" t="str">
        <f>"Rok "&amp;Rok&amp;IF(C1=0," (bez valorizácie)"," (s valorizáciou)")</f>
        <v>Rok 2023 (bez valorizácie)</v>
      </c>
      <c r="C2" s="290"/>
      <c r="D2" s="290"/>
      <c r="E2" s="290" t="str">
        <f>"Rok "&amp;Rok-1&amp;IF(F1=0," (bez valorizácie)"," (s valorizáciou)")</f>
        <v>Rok 2022 (bez valorizácie)</v>
      </c>
      <c r="F2" s="290"/>
      <c r="G2" s="290"/>
      <c r="H2" s="290" t="s">
        <v>164</v>
      </c>
      <c r="I2" s="290"/>
      <c r="K2" s="296"/>
      <c r="L2" s="296"/>
      <c r="N2" s="295" t="str">
        <f>"Valorizácia 07711 ("&amp;Rok-1&amp;")"</f>
        <v>Valorizácia 07711 (2022)</v>
      </c>
      <c r="O2" s="295" t="str">
        <f>"Valorizácia 07712 ("&amp;Rok-1&amp;")"</f>
        <v>Valorizácia 07712 (2022)</v>
      </c>
      <c r="Q2" s="295" t="str">
        <f>"Bez valor 07711 ("&amp;Rok-1&amp;")"</f>
        <v>Bez valor 07711 (2022)</v>
      </c>
      <c r="R2" s="295" t="str">
        <f>"Bez valor 07712 ("&amp;Rok-1&amp;")"</f>
        <v>Bez valor 07712 (2022)</v>
      </c>
    </row>
    <row r="3" spans="1:18" s="24" customFormat="1">
      <c r="A3" s="292"/>
      <c r="B3" s="151" t="s">
        <v>165</v>
      </c>
      <c r="C3" s="151" t="s">
        <v>166</v>
      </c>
      <c r="D3" s="152" t="s">
        <v>167</v>
      </c>
      <c r="E3" s="151" t="s">
        <v>165</v>
      </c>
      <c r="F3" s="151" t="s">
        <v>166</v>
      </c>
      <c r="G3" s="151" t="s">
        <v>167</v>
      </c>
      <c r="H3" s="151" t="s">
        <v>168</v>
      </c>
      <c r="I3" s="151" t="s">
        <v>169</v>
      </c>
      <c r="K3" s="296"/>
      <c r="L3" s="296"/>
      <c r="N3" s="295"/>
      <c r="O3" s="295"/>
      <c r="Q3" s="295"/>
      <c r="R3" s="295"/>
    </row>
    <row r="4" spans="1:18">
      <c r="A4" s="153" t="s">
        <v>170</v>
      </c>
      <c r="B4" s="130">
        <f>ROUND('07711-mzdy'!E8,0)+C$1*K4</f>
        <v>1541406</v>
      </c>
      <c r="C4" s="130">
        <f>ROUND('07712-mzdy'!E12,0)</f>
        <v>724558</v>
      </c>
      <c r="D4" s="154">
        <f t="shared" ref="D4:D13" si="0">B4+C4</f>
        <v>2265964</v>
      </c>
      <c r="E4" s="130">
        <f t="shared" ref="E4:E13" si="1">Q4+$F$1*N4</f>
        <v>1578275</v>
      </c>
      <c r="F4" s="130">
        <f t="shared" ref="F4:F13" si="2">R4+$F$1*O4</f>
        <v>716477</v>
      </c>
      <c r="G4" s="130">
        <f t="shared" ref="G4:G13" si="3">E4+F4</f>
        <v>2294752</v>
      </c>
      <c r="H4" s="155">
        <f t="shared" ref="H4:H13" si="4">D4-G4</f>
        <v>-28788</v>
      </c>
      <c r="I4" s="156">
        <f t="shared" ref="I4:I14" si="5">D4/G4</f>
        <v>0.98745485350922457</v>
      </c>
      <c r="K4" s="157">
        <f>ROUND(L4*(1+L$15)/2,0)</f>
        <v>641847</v>
      </c>
      <c r="L4" s="157">
        <v>617687.29999999993</v>
      </c>
      <c r="N4" s="158"/>
      <c r="O4" s="158"/>
      <c r="Q4" s="158">
        <v>1578275</v>
      </c>
      <c r="R4" s="158">
        <v>716477</v>
      </c>
    </row>
    <row r="5" spans="1:18">
      <c r="A5" s="153" t="s">
        <v>171</v>
      </c>
      <c r="B5" s="130">
        <f>ROUND('07711-mzdy'!E7,0)+'07711-mzdy'!E10+C$1*K5</f>
        <v>356807</v>
      </c>
      <c r="C5" s="130">
        <f>ROUND('07712-mzdy'!E10+'07712-mzdy'!E11,0)</f>
        <v>167722</v>
      </c>
      <c r="D5" s="154">
        <f t="shared" si="0"/>
        <v>524529</v>
      </c>
      <c r="E5" s="130">
        <f t="shared" si="1"/>
        <v>141308.20000000001</v>
      </c>
      <c r="F5" s="130">
        <f t="shared" si="2"/>
        <v>119823.8</v>
      </c>
      <c r="G5" s="130">
        <f t="shared" si="3"/>
        <v>261132</v>
      </c>
      <c r="H5" s="155">
        <f t="shared" si="4"/>
        <v>263397</v>
      </c>
      <c r="I5" s="156"/>
      <c r="K5" s="157">
        <f>ROUND(L14*(L$15-1)/2,0)</f>
        <v>137179</v>
      </c>
      <c r="L5" s="157"/>
      <c r="N5" s="158"/>
      <c r="O5" s="158"/>
      <c r="Q5" s="158">
        <v>141308.20000000001</v>
      </c>
      <c r="R5" s="158">
        <v>119823.8</v>
      </c>
    </row>
    <row r="6" spans="1:18">
      <c r="A6" s="159" t="s">
        <v>172</v>
      </c>
      <c r="B6" s="160">
        <f>'07711-mzdy'!E9</f>
        <v>1017600</v>
      </c>
      <c r="C6" s="130"/>
      <c r="D6" s="154">
        <f t="shared" si="0"/>
        <v>1017600</v>
      </c>
      <c r="E6" s="130"/>
      <c r="F6" s="130"/>
      <c r="G6" s="130">
        <f t="shared" si="3"/>
        <v>0</v>
      </c>
      <c r="H6" s="155">
        <f t="shared" si="4"/>
        <v>1017600</v>
      </c>
      <c r="I6" s="156"/>
      <c r="K6" s="157"/>
      <c r="L6" s="157"/>
      <c r="N6" s="158"/>
      <c r="O6" s="158"/>
      <c r="Q6" s="158"/>
      <c r="R6" s="158"/>
    </row>
    <row r="7" spans="1:18">
      <c r="A7" s="153" t="s">
        <v>173</v>
      </c>
      <c r="B7" s="130">
        <f>ROUND('07711-mzdy'!I46+'07711-mzdy'!D61,0)+C$1*K7</f>
        <v>5284475</v>
      </c>
      <c r="C7" s="130">
        <f>ROUND('07712-mzdy'!K38,0)</f>
        <v>1578245</v>
      </c>
      <c r="D7" s="154">
        <f t="shared" si="0"/>
        <v>6862720</v>
      </c>
      <c r="E7" s="130">
        <f t="shared" si="1"/>
        <v>6058865</v>
      </c>
      <c r="F7" s="130">
        <f t="shared" si="2"/>
        <v>1416596</v>
      </c>
      <c r="G7" s="130">
        <f t="shared" si="3"/>
        <v>7475461</v>
      </c>
      <c r="H7" s="155">
        <f t="shared" si="4"/>
        <v>-612741</v>
      </c>
      <c r="I7" s="156">
        <f t="shared" si="5"/>
        <v>0.91803301495386036</v>
      </c>
      <c r="K7" s="157">
        <f>ROUND(L7*(1+L$15)/2,0)</f>
        <v>1521480</v>
      </c>
      <c r="L7" s="161">
        <v>1464209.4</v>
      </c>
      <c r="N7" s="162"/>
      <c r="O7" s="162"/>
      <c r="Q7" s="162">
        <v>6058865</v>
      </c>
      <c r="R7" s="162">
        <v>1416596</v>
      </c>
    </row>
    <row r="8" spans="1:18">
      <c r="A8" s="153" t="s">
        <v>174</v>
      </c>
      <c r="B8" s="130">
        <f>ROUND('07711-mzdy'!I47+'07711-mzdy'!D62,0)+C$1*K8</f>
        <v>3048568</v>
      </c>
      <c r="C8" s="130">
        <f>ROUND('07712-mzdy'!K39,0)</f>
        <v>3074568</v>
      </c>
      <c r="D8" s="154">
        <f t="shared" si="0"/>
        <v>6123136</v>
      </c>
      <c r="E8" s="130">
        <f t="shared" si="1"/>
        <v>3583812</v>
      </c>
      <c r="F8" s="130">
        <f t="shared" si="2"/>
        <v>3235100</v>
      </c>
      <c r="G8" s="130">
        <f t="shared" si="3"/>
        <v>6818912</v>
      </c>
      <c r="H8" s="155">
        <f t="shared" si="4"/>
        <v>-695776</v>
      </c>
      <c r="I8" s="156">
        <f t="shared" si="5"/>
        <v>0.89796378073217542</v>
      </c>
      <c r="K8" s="157">
        <f>ROUND(L8*(1+L$15)/2,0)</f>
        <v>742073</v>
      </c>
      <c r="L8" s="161">
        <v>714140.2</v>
      </c>
      <c r="N8" s="162"/>
      <c r="O8" s="162"/>
      <c r="Q8" s="162">
        <v>3583812</v>
      </c>
      <c r="R8" s="162">
        <v>3235100</v>
      </c>
    </row>
    <row r="9" spans="1:18">
      <c r="A9" s="153" t="s">
        <v>175</v>
      </c>
      <c r="B9" s="130">
        <f>ROUND('07711-mzdy'!I48+'07711-mzdy'!D63,0)+C$1*K9</f>
        <v>698642</v>
      </c>
      <c r="C9" s="130">
        <f>ROUND('07712-mzdy'!K40,0)</f>
        <v>211702</v>
      </c>
      <c r="D9" s="154">
        <f t="shared" si="0"/>
        <v>910344</v>
      </c>
      <c r="E9" s="130">
        <f t="shared" si="1"/>
        <v>765858.6</v>
      </c>
      <c r="F9" s="130">
        <f t="shared" si="2"/>
        <v>264457.40000000002</v>
      </c>
      <c r="G9" s="130">
        <f t="shared" si="3"/>
        <v>1030316</v>
      </c>
      <c r="H9" s="155">
        <f t="shared" si="4"/>
        <v>-119972</v>
      </c>
      <c r="I9" s="156">
        <f t="shared" si="5"/>
        <v>0.88355805403390808</v>
      </c>
      <c r="K9" s="157">
        <f>ROUND(L9*(1+L$15)/2,0)</f>
        <v>210074</v>
      </c>
      <c r="L9" s="161">
        <v>202166.8</v>
      </c>
      <c r="N9" s="162"/>
      <c r="O9" s="162"/>
      <c r="Q9" s="162">
        <v>765858.6</v>
      </c>
      <c r="R9" s="162">
        <v>264457.40000000002</v>
      </c>
    </row>
    <row r="10" spans="1:18">
      <c r="A10" s="153" t="s">
        <v>176</v>
      </c>
      <c r="B10" s="130">
        <f>ROUND('07711-mzdy'!I49+'07711-mzdy'!D64,0)+C$1*K10</f>
        <v>395575</v>
      </c>
      <c r="C10" s="130">
        <f>ROUND('07712-mzdy'!K41,0)</f>
        <v>59692</v>
      </c>
      <c r="D10" s="154">
        <f t="shared" si="0"/>
        <v>455267</v>
      </c>
      <c r="E10" s="130">
        <f t="shared" si="1"/>
        <v>491726.4</v>
      </c>
      <c r="F10" s="130">
        <f t="shared" si="2"/>
        <v>115521.60000000001</v>
      </c>
      <c r="G10" s="130">
        <f t="shared" si="3"/>
        <v>607248</v>
      </c>
      <c r="H10" s="155">
        <f t="shared" si="4"/>
        <v>-151981</v>
      </c>
      <c r="I10" s="156">
        <f t="shared" si="5"/>
        <v>0.74972169525465704</v>
      </c>
      <c r="K10" s="157">
        <f>ROUND(L10*(1+L$15)/2,0)</f>
        <v>117882</v>
      </c>
      <c r="L10" s="161">
        <v>113444.90000000002</v>
      </c>
      <c r="N10" s="162"/>
      <c r="O10" s="162"/>
      <c r="Q10" s="162">
        <v>491726.4</v>
      </c>
      <c r="R10" s="162">
        <v>115521.60000000001</v>
      </c>
    </row>
    <row r="11" spans="1:18">
      <c r="A11" s="153" t="s">
        <v>177</v>
      </c>
      <c r="B11" s="130">
        <f>ROUND('07711-mzdy'!I50+'07711-mzdy'!D65,0)+C$1*K11</f>
        <v>1540751</v>
      </c>
      <c r="C11" s="130">
        <f>ROUND('07712-mzdy'!K42,0)</f>
        <v>570389</v>
      </c>
      <c r="D11" s="154">
        <f t="shared" si="0"/>
        <v>2111140</v>
      </c>
      <c r="E11" s="130">
        <f t="shared" si="1"/>
        <v>1668174.7</v>
      </c>
      <c r="F11" s="130">
        <f t="shared" si="2"/>
        <v>619963.30000000005</v>
      </c>
      <c r="G11" s="130">
        <f t="shared" si="3"/>
        <v>2288138</v>
      </c>
      <c r="H11" s="155">
        <f t="shared" si="4"/>
        <v>-176998</v>
      </c>
      <c r="I11" s="156">
        <f t="shared" si="5"/>
        <v>0.92264539988409788</v>
      </c>
      <c r="K11" s="157">
        <f>ROUND(L11*(1+L$15)/2,0)</f>
        <v>410984</v>
      </c>
      <c r="L11" s="161">
        <v>395513.8</v>
      </c>
      <c r="N11" s="162"/>
      <c r="O11" s="162"/>
      <c r="Q11" s="162">
        <v>1668174.7</v>
      </c>
      <c r="R11" s="162">
        <v>619963.30000000005</v>
      </c>
    </row>
    <row r="12" spans="1:18">
      <c r="A12" s="153" t="s">
        <v>178</v>
      </c>
      <c r="B12" s="130">
        <f>ROUND('07711-mzdy'!I51+'07711-mzdy'!D66,0)+C$1*K12</f>
        <v>292777</v>
      </c>
      <c r="C12" s="130">
        <f>ROUND('07712-mzdy'!K43,0)</f>
        <v>19399</v>
      </c>
      <c r="D12" s="154">
        <f t="shared" si="0"/>
        <v>312176</v>
      </c>
      <c r="E12" s="130">
        <f t="shared" si="1"/>
        <v>234901.3</v>
      </c>
      <c r="F12" s="130">
        <f t="shared" si="2"/>
        <v>45240.7</v>
      </c>
      <c r="G12" s="130">
        <f t="shared" si="3"/>
        <v>280142</v>
      </c>
      <c r="H12" s="155">
        <f t="shared" si="4"/>
        <v>32034</v>
      </c>
      <c r="I12" s="156">
        <f t="shared" si="5"/>
        <v>1.1143491515017383</v>
      </c>
      <c r="K12" s="161"/>
      <c r="L12" s="161"/>
      <c r="N12" s="162"/>
      <c r="O12" s="162"/>
      <c r="Q12" s="162">
        <v>234901.3</v>
      </c>
      <c r="R12" s="162">
        <v>45240.7</v>
      </c>
    </row>
    <row r="13" spans="1:18">
      <c r="A13" s="153" t="s">
        <v>179</v>
      </c>
      <c r="B13" s="130">
        <f>ROUND('07711-mzdy'!I52+'07711-mzdy'!D67,0)+C$1*K13</f>
        <v>95678</v>
      </c>
      <c r="C13" s="130">
        <f>ROUND('07712-mzdy'!K44,0)</f>
        <v>302593</v>
      </c>
      <c r="D13" s="154">
        <f t="shared" si="0"/>
        <v>398271</v>
      </c>
      <c r="E13" s="130">
        <f t="shared" si="1"/>
        <v>90732</v>
      </c>
      <c r="F13" s="130">
        <f t="shared" si="2"/>
        <v>244809</v>
      </c>
      <c r="G13" s="130">
        <f t="shared" si="3"/>
        <v>335541</v>
      </c>
      <c r="H13" s="155">
        <f t="shared" si="4"/>
        <v>62730</v>
      </c>
      <c r="I13" s="156">
        <f t="shared" si="5"/>
        <v>1.1869518181086662</v>
      </c>
      <c r="K13" s="161"/>
      <c r="L13" s="161"/>
      <c r="N13" s="162"/>
      <c r="O13" s="162"/>
      <c r="Q13" s="162">
        <v>90732</v>
      </c>
      <c r="R13" s="162">
        <v>244809</v>
      </c>
    </row>
    <row r="14" spans="1:18">
      <c r="A14" s="153" t="s">
        <v>180</v>
      </c>
      <c r="B14" s="155">
        <f t="shared" ref="B14:H14" si="6">SUM(B4:B13)</f>
        <v>14272279</v>
      </c>
      <c r="C14" s="155">
        <f t="shared" si="6"/>
        <v>6708868</v>
      </c>
      <c r="D14" s="154">
        <f t="shared" si="6"/>
        <v>20981147</v>
      </c>
      <c r="E14" s="155">
        <f t="shared" si="6"/>
        <v>14613653.199999999</v>
      </c>
      <c r="F14" s="155">
        <f t="shared" si="6"/>
        <v>6777988.7999999998</v>
      </c>
      <c r="G14" s="155">
        <f t="shared" si="6"/>
        <v>21391642</v>
      </c>
      <c r="H14" s="155">
        <f t="shared" si="6"/>
        <v>-410495</v>
      </c>
      <c r="I14" s="156">
        <f t="shared" si="5"/>
        <v>0.98081049598717107</v>
      </c>
      <c r="K14" s="163">
        <f>SUM(K4:K13)</f>
        <v>3781519</v>
      </c>
      <c r="L14" s="163">
        <f>SUM(L4:L13)</f>
        <v>3507162.399999999</v>
      </c>
      <c r="N14" s="163">
        <f>SUM(N4:N13)</f>
        <v>0</v>
      </c>
      <c r="O14" s="163">
        <f>SUM(O4:O13)</f>
        <v>0</v>
      </c>
      <c r="Q14" s="163">
        <f>SUM(Q4:Q13)</f>
        <v>14613653.199999999</v>
      </c>
      <c r="R14" s="163">
        <f>SUM(R4:R13)</f>
        <v>6777988.7999999998</v>
      </c>
    </row>
    <row r="15" spans="1:18">
      <c r="A15" s="92" t="s">
        <v>181</v>
      </c>
      <c r="B15" s="93">
        <f>'07711-mzdy'!E6-B14</f>
        <v>2.6024272870272398</v>
      </c>
      <c r="C15" s="93">
        <f>'07712-mzdy'!E9-C14</f>
        <v>0</v>
      </c>
      <c r="D15" s="93">
        <f>B15+C15</f>
        <v>2.6024272870272398</v>
      </c>
      <c r="I15" s="278" t="s">
        <v>182</v>
      </c>
      <c r="K15" s="277">
        <f>VstupySR!B9+VstupySR!B17/1.352-K14</f>
        <v>50001.171597633045</v>
      </c>
      <c r="L15" s="94">
        <f>(VstupySR!B9+VstupySR!B17/1.352-VstupyUPJS!B9)/L14</f>
        <v>1.0782278492714321</v>
      </c>
      <c r="M15" s="52"/>
      <c r="N15" s="52"/>
      <c r="O15" s="52"/>
      <c r="Q15" s="300" t="s">
        <v>183</v>
      </c>
      <c r="R15" s="300"/>
    </row>
    <row r="16" spans="1:18">
      <c r="A16" s="49"/>
      <c r="B16" s="110"/>
      <c r="C16" s="110"/>
      <c r="H16" s="27"/>
      <c r="K16" s="1" t="s">
        <v>184</v>
      </c>
      <c r="L16" s="50"/>
      <c r="M16" s="50"/>
      <c r="N16" s="50"/>
      <c r="O16" s="50"/>
    </row>
    <row r="17" spans="1:19">
      <c r="A17" s="49"/>
      <c r="B17" s="110"/>
      <c r="C17" s="110"/>
      <c r="E17" s="49" t="str">
        <f>"Pozor, v rozpise na 07712 je aj "&amp;VstupyUPJS!B32&amp;" EUR z roku "&amp;Rok-1&amp;" (napr. rektorát)"</f>
        <v>Pozor, v rozpise na 07712 je aj 392896 EUR z roku 2022 (napr. rektorát)</v>
      </c>
      <c r="H17" s="27"/>
      <c r="L17" s="50"/>
      <c r="M17" s="50"/>
      <c r="N17" s="50"/>
      <c r="O17" s="50"/>
    </row>
    <row r="18" spans="1:19">
      <c r="A18" s="79" t="s">
        <v>185</v>
      </c>
      <c r="B18" s="90">
        <f>VstupyUPJS!B10</f>
        <v>0.92</v>
      </c>
      <c r="E18" s="49" t="str">
        <f>"na 07711 je aj SFb vo výške "&amp;'07711-mzdy'!G79&amp;" EUR z RF roku "&amp;Rok-1&amp;""</f>
        <v>na 07711 je aj SFb vo výške 350000 EUR z RF roku 2022</v>
      </c>
      <c r="G18" s="59"/>
      <c r="H18" s="59"/>
      <c r="I18" s="59"/>
    </row>
    <row r="19" spans="1:19">
      <c r="A19" s="291" t="s">
        <v>163</v>
      </c>
      <c r="B19" s="291" t="s">
        <v>186</v>
      </c>
      <c r="C19" s="291" t="s">
        <v>187</v>
      </c>
      <c r="D19" s="301" t="s">
        <v>188</v>
      </c>
      <c r="E19" s="290" t="str">
        <f>B2</f>
        <v>Rok 2023 (bez valorizácie)</v>
      </c>
      <c r="F19" s="290"/>
      <c r="G19" s="290"/>
      <c r="H19" s="290"/>
      <c r="I19" s="290"/>
    </row>
    <row r="20" spans="1:19">
      <c r="A20" s="292"/>
      <c r="B20" s="292"/>
      <c r="C20" s="292"/>
      <c r="D20" s="302"/>
      <c r="E20" s="151" t="s">
        <v>165</v>
      </c>
      <c r="F20" s="151" t="s">
        <v>166</v>
      </c>
      <c r="G20" s="152" t="s">
        <v>189</v>
      </c>
      <c r="H20" s="152" t="s">
        <v>168</v>
      </c>
      <c r="I20" s="152" t="s">
        <v>190</v>
      </c>
    </row>
    <row r="21" spans="1:19">
      <c r="A21" s="153" t="s">
        <v>170</v>
      </c>
      <c r="B21" s="128"/>
      <c r="C21" s="128"/>
      <c r="D21" s="159"/>
      <c r="E21" s="130">
        <f>B4</f>
        <v>1541406</v>
      </c>
      <c r="F21" s="130">
        <f>C4</f>
        <v>724558</v>
      </c>
      <c r="G21" s="154">
        <f t="shared" ref="G21:G30" si="7">E21+F21</f>
        <v>2265964</v>
      </c>
      <c r="H21" s="155">
        <f>G21-G4</f>
        <v>-28788</v>
      </c>
      <c r="I21" s="156">
        <f>G21/G4</f>
        <v>0.98745485350922457</v>
      </c>
      <c r="J21" s="57"/>
      <c r="K21" s="52"/>
      <c r="L21" s="57"/>
      <c r="M21" s="81"/>
    </row>
    <row r="22" spans="1:19">
      <c r="A22" s="153" t="s">
        <v>171</v>
      </c>
      <c r="B22" s="128"/>
      <c r="C22" s="130">
        <f>-SUM(C24:C30)</f>
        <v>-305915</v>
      </c>
      <c r="D22" s="159"/>
      <c r="E22" s="130">
        <f>ROUND(B5+$C22*B$5/$D$5,1)</f>
        <v>148710.6</v>
      </c>
      <c r="F22" s="130">
        <f>ROUND(C5+$C22*C$5/$D$5,1)</f>
        <v>69903.399999999994</v>
      </c>
      <c r="G22" s="154">
        <f t="shared" si="7"/>
        <v>218614</v>
      </c>
      <c r="H22" s="155">
        <f>G22-G5</f>
        <v>-42518</v>
      </c>
      <c r="I22" s="156"/>
      <c r="J22" s="57"/>
      <c r="K22" s="52"/>
      <c r="L22" s="57"/>
      <c r="M22" s="81"/>
    </row>
    <row r="23" spans="1:19">
      <c r="A23" s="159" t="s">
        <v>191</v>
      </c>
      <c r="B23" s="128"/>
      <c r="C23" s="130"/>
      <c r="D23" s="157">
        <f>-B6</f>
        <v>-1017600</v>
      </c>
      <c r="E23" s="130"/>
      <c r="F23" s="130"/>
      <c r="G23" s="154"/>
      <c r="H23" s="155"/>
      <c r="I23" s="156"/>
      <c r="J23" s="57"/>
      <c r="K23" s="52"/>
      <c r="L23" s="57"/>
      <c r="M23" s="81"/>
    </row>
    <row r="24" spans="1:19">
      <c r="A24" s="153" t="s">
        <v>173</v>
      </c>
      <c r="B24" s="130">
        <f t="shared" ref="B24:B30" si="8">ROUND(B$18*G7,0)</f>
        <v>6877424</v>
      </c>
      <c r="C24" s="130">
        <f t="shared" ref="C24:C30" si="9">MAX(0,B24-D7)</f>
        <v>14704</v>
      </c>
      <c r="D24" s="164">
        <f>'07711-mzdy'!F72+'07711-mzdy'!G72</f>
        <v>351600</v>
      </c>
      <c r="E24" s="130">
        <f t="shared" ref="E24:E30" si="10">ROUND(B7+D24+$C24*B$5/$D$5,1)</f>
        <v>5646077.2999999998</v>
      </c>
      <c r="F24" s="130">
        <f t="shared" ref="F24:F30" si="11">ROUND(C7+$C24*C$5/$D$5,1)</f>
        <v>1582946.7</v>
      </c>
      <c r="G24" s="154">
        <f t="shared" si="7"/>
        <v>7229024</v>
      </c>
      <c r="H24" s="155">
        <f t="shared" ref="H24:H30" si="12">G24-G7</f>
        <v>-246437</v>
      </c>
      <c r="I24" s="156">
        <f t="shared" ref="I24:I31" si="13">G24/G7</f>
        <v>0.96703387255983275</v>
      </c>
      <c r="J24" s="57"/>
      <c r="K24" s="52"/>
      <c r="L24" s="57"/>
      <c r="M24" s="81"/>
    </row>
    <row r="25" spans="1:19">
      <c r="A25" s="153" t="s">
        <v>174</v>
      </c>
      <c r="B25" s="130">
        <f t="shared" si="8"/>
        <v>6273399</v>
      </c>
      <c r="C25" s="130">
        <f t="shared" si="9"/>
        <v>150263</v>
      </c>
      <c r="D25" s="164">
        <f>'07711-mzdy'!F73+'07711-mzdy'!G73</f>
        <v>318000</v>
      </c>
      <c r="E25" s="130">
        <f t="shared" si="10"/>
        <v>3468783.3</v>
      </c>
      <c r="F25" s="130">
        <f t="shared" si="11"/>
        <v>3122615.7</v>
      </c>
      <c r="G25" s="154">
        <f t="shared" si="7"/>
        <v>6591399</v>
      </c>
      <c r="H25" s="155">
        <f t="shared" si="12"/>
        <v>-227513</v>
      </c>
      <c r="I25" s="156">
        <f t="shared" si="13"/>
        <v>0.96663499983575096</v>
      </c>
      <c r="J25" s="57"/>
      <c r="K25" s="52"/>
      <c r="L25" s="57"/>
      <c r="M25" s="81"/>
    </row>
    <row r="26" spans="1:19">
      <c r="A26" s="153" t="s">
        <v>175</v>
      </c>
      <c r="B26" s="130">
        <f t="shared" si="8"/>
        <v>947891</v>
      </c>
      <c r="C26" s="130">
        <f t="shared" si="9"/>
        <v>37547</v>
      </c>
      <c r="D26" s="164">
        <f>'07711-mzdy'!F74+'07711-mzdy'!G74</f>
        <v>284000</v>
      </c>
      <c r="E26" s="130">
        <f t="shared" si="10"/>
        <v>1008183.1</v>
      </c>
      <c r="F26" s="130">
        <f t="shared" si="11"/>
        <v>223707.9</v>
      </c>
      <c r="G26" s="154">
        <f t="shared" si="7"/>
        <v>1231891</v>
      </c>
      <c r="H26" s="155">
        <f t="shared" si="12"/>
        <v>201575</v>
      </c>
      <c r="I26" s="156">
        <f t="shared" si="13"/>
        <v>1.1956438607184592</v>
      </c>
      <c r="J26" s="57"/>
      <c r="K26" s="52"/>
      <c r="L26" s="57"/>
      <c r="M26" s="81"/>
    </row>
    <row r="27" spans="1:19">
      <c r="A27" s="153" t="s">
        <v>176</v>
      </c>
      <c r="B27" s="130">
        <f t="shared" si="8"/>
        <v>558668</v>
      </c>
      <c r="C27" s="130">
        <f t="shared" si="9"/>
        <v>103401</v>
      </c>
      <c r="D27" s="164">
        <f>'07711-mzdy'!F75+'07711-mzdy'!G75</f>
        <v>143200</v>
      </c>
      <c r="E27" s="130">
        <f t="shared" si="10"/>
        <v>609112.80000000005</v>
      </c>
      <c r="F27" s="130">
        <f t="shared" si="11"/>
        <v>92755.199999999997</v>
      </c>
      <c r="G27" s="154">
        <f t="shared" si="7"/>
        <v>701868</v>
      </c>
      <c r="H27" s="155">
        <f t="shared" si="12"/>
        <v>94620</v>
      </c>
      <c r="I27" s="156">
        <f t="shared" si="13"/>
        <v>1.1558177219192158</v>
      </c>
      <c r="J27" s="57"/>
      <c r="K27" s="52"/>
      <c r="L27" s="57"/>
      <c r="M27" s="81"/>
    </row>
    <row r="28" spans="1:19">
      <c r="A28" s="153" t="s">
        <v>177</v>
      </c>
      <c r="B28" s="130">
        <f t="shared" si="8"/>
        <v>2105087</v>
      </c>
      <c r="C28" s="130">
        <f t="shared" si="9"/>
        <v>0</v>
      </c>
      <c r="D28" s="164">
        <f>'07711-mzdy'!F76+'07711-mzdy'!G76</f>
        <v>244400</v>
      </c>
      <c r="E28" s="130">
        <f t="shared" si="10"/>
        <v>1785151</v>
      </c>
      <c r="F28" s="130">
        <f t="shared" si="11"/>
        <v>570389</v>
      </c>
      <c r="G28" s="154">
        <f t="shared" si="7"/>
        <v>2355540</v>
      </c>
      <c r="H28" s="155">
        <f t="shared" si="12"/>
        <v>67402</v>
      </c>
      <c r="I28" s="156">
        <f t="shared" si="13"/>
        <v>1.0294571393858238</v>
      </c>
      <c r="J28" s="57"/>
      <c r="K28" s="52"/>
      <c r="L28" s="57"/>
      <c r="M28" s="81"/>
    </row>
    <row r="29" spans="1:19">
      <c r="A29" s="153" t="s">
        <v>178</v>
      </c>
      <c r="B29" s="130">
        <f t="shared" si="8"/>
        <v>257731</v>
      </c>
      <c r="C29" s="130">
        <f t="shared" si="9"/>
        <v>0</v>
      </c>
      <c r="D29" s="164">
        <f>'07711-mzdy'!F77+'07711-mzdy'!G77</f>
        <v>14400</v>
      </c>
      <c r="E29" s="130">
        <f t="shared" si="10"/>
        <v>307177</v>
      </c>
      <c r="F29" s="130">
        <f t="shared" si="11"/>
        <v>19399</v>
      </c>
      <c r="G29" s="154">
        <f t="shared" si="7"/>
        <v>326576</v>
      </c>
      <c r="H29" s="155">
        <f t="shared" si="12"/>
        <v>46434</v>
      </c>
      <c r="I29" s="156">
        <f t="shared" si="13"/>
        <v>1.1657516545180657</v>
      </c>
      <c r="J29" s="57"/>
      <c r="K29" s="52"/>
      <c r="L29" s="57"/>
      <c r="M29" s="81"/>
    </row>
    <row r="30" spans="1:19">
      <c r="A30" s="153" t="s">
        <v>179</v>
      </c>
      <c r="B30" s="130">
        <f t="shared" si="8"/>
        <v>308698</v>
      </c>
      <c r="C30" s="130">
        <f t="shared" si="9"/>
        <v>0</v>
      </c>
      <c r="D30" s="164">
        <f>'07711-mzdy'!F78+'07711-mzdy'!G78</f>
        <v>12000</v>
      </c>
      <c r="E30" s="130">
        <f t="shared" si="10"/>
        <v>107678</v>
      </c>
      <c r="F30" s="130">
        <f t="shared" si="11"/>
        <v>302593</v>
      </c>
      <c r="G30" s="154">
        <f t="shared" si="7"/>
        <v>410271</v>
      </c>
      <c r="H30" s="155">
        <f t="shared" si="12"/>
        <v>74730</v>
      </c>
      <c r="I30" s="156">
        <f t="shared" si="13"/>
        <v>1.2227149588276842</v>
      </c>
      <c r="J30" s="57"/>
      <c r="K30" s="52"/>
      <c r="L30" s="57"/>
      <c r="M30" s="81"/>
    </row>
    <row r="31" spans="1:19">
      <c r="A31" s="153" t="s">
        <v>180</v>
      </c>
      <c r="B31" s="128"/>
      <c r="C31" s="128"/>
      <c r="D31" s="157">
        <f>SUM(D21:D30)</f>
        <v>350000</v>
      </c>
      <c r="E31" s="155">
        <f>SUM(E21:E30)</f>
        <v>14622279.1</v>
      </c>
      <c r="F31" s="155">
        <f>SUM(F21:F30)</f>
        <v>6708867.9000000013</v>
      </c>
      <c r="G31" s="154">
        <f>SUM(G21:G30)</f>
        <v>21331147</v>
      </c>
      <c r="H31" s="155">
        <f>SUM(H21:H30)</f>
        <v>-60495</v>
      </c>
      <c r="I31" s="156">
        <f t="shared" si="13"/>
        <v>0.99717202634561664</v>
      </c>
      <c r="J31" s="57"/>
      <c r="K31" s="52"/>
      <c r="L31" s="57"/>
      <c r="M31" s="82"/>
    </row>
    <row r="32" spans="1:19">
      <c r="A32" s="92" t="s">
        <v>181</v>
      </c>
      <c r="B32" s="92"/>
      <c r="C32" s="94"/>
      <c r="D32" s="94"/>
      <c r="E32" s="95">
        <f>'07711-mzdy'!E6-E31</f>
        <v>-349997.4975727126</v>
      </c>
      <c r="F32" s="95">
        <f>'07712-mzdy'!E9-F31</f>
        <v>9.9999998696148396E-2</v>
      </c>
      <c r="G32" s="95">
        <f>E32+F32</f>
        <v>-349997.3975727139</v>
      </c>
      <c r="H32" s="58"/>
      <c r="L32" s="57"/>
      <c r="M32" s="59"/>
      <c r="N32" s="59"/>
      <c r="O32" s="59"/>
      <c r="P32" s="59"/>
      <c r="R32" s="82"/>
      <c r="S32" s="82"/>
    </row>
    <row r="33" spans="1:18">
      <c r="B33" s="58"/>
      <c r="C33" s="58"/>
      <c r="D33" s="58"/>
      <c r="E33" s="58"/>
      <c r="F33" s="58"/>
      <c r="G33" s="58"/>
      <c r="K33" s="57"/>
      <c r="L33" s="59"/>
      <c r="M33" s="59"/>
      <c r="N33" s="59"/>
      <c r="O33" s="59"/>
    </row>
    <row r="34" spans="1:18">
      <c r="A34" s="288" t="s">
        <v>192</v>
      </c>
      <c r="B34" s="298" t="s">
        <v>166</v>
      </c>
      <c r="C34" s="299"/>
      <c r="D34" s="290" t="s">
        <v>164</v>
      </c>
      <c r="E34" s="290"/>
      <c r="F34" s="156" t="s">
        <v>193</v>
      </c>
      <c r="G34" s="165" t="s">
        <v>194</v>
      </c>
      <c r="H34" s="165" t="s">
        <v>195</v>
      </c>
      <c r="I34" s="165" t="s">
        <v>196</v>
      </c>
      <c r="J34" s="59"/>
      <c r="K34" s="59"/>
    </row>
    <row r="35" spans="1:18">
      <c r="A35" s="289"/>
      <c r="B35" s="151" t="str">
        <f>"Rok "&amp;Rok</f>
        <v>Rok 2023</v>
      </c>
      <c r="C35" s="151" t="str">
        <f>"Rok "&amp;Rok-1</f>
        <v>Rok 2022</v>
      </c>
      <c r="D35" s="151" t="s">
        <v>168</v>
      </c>
      <c r="E35" s="151" t="s">
        <v>169</v>
      </c>
      <c r="F35" s="131" t="s">
        <v>197</v>
      </c>
      <c r="G35" s="166" t="s">
        <v>174</v>
      </c>
      <c r="H35" s="167"/>
      <c r="I35" s="167">
        <v>19253</v>
      </c>
      <c r="J35" s="59"/>
      <c r="K35" s="59"/>
    </row>
    <row r="36" spans="1:18">
      <c r="A36" s="153" t="s">
        <v>173</v>
      </c>
      <c r="B36" s="154">
        <f>SUMIFS(H$35:H$40,$G$35:$G$40,$A36)</f>
        <v>0</v>
      </c>
      <c r="C36" s="130">
        <f>SUMIFS(I$35:I$40,$G$35:$G$40,$A36)</f>
        <v>19253</v>
      </c>
      <c r="D36" s="155">
        <f>B36-C36</f>
        <v>-19253</v>
      </c>
      <c r="E36" s="156">
        <f>B36/C36</f>
        <v>0</v>
      </c>
      <c r="F36" s="131" t="s">
        <v>198</v>
      </c>
      <c r="G36" s="166" t="s">
        <v>173</v>
      </c>
      <c r="H36" s="167"/>
      <c r="I36" s="167">
        <v>19253</v>
      </c>
      <c r="J36" s="59"/>
      <c r="K36" s="59"/>
    </row>
    <row r="37" spans="1:18">
      <c r="A37" s="153" t="s">
        <v>174</v>
      </c>
      <c r="B37" s="154">
        <f t="shared" ref="B37:C40" si="14">SUMIFS(H$35:H$40,$G$35:$G$40,$A37)</f>
        <v>55000</v>
      </c>
      <c r="C37" s="130">
        <f t="shared" si="14"/>
        <v>115519</v>
      </c>
      <c r="D37" s="155">
        <f t="shared" ref="D37:D40" si="15">B37-C37</f>
        <v>-60519</v>
      </c>
      <c r="E37" s="156">
        <f t="shared" ref="E37:E41" si="16">B37/C37</f>
        <v>0.47611215471048052</v>
      </c>
      <c r="F37" s="131" t="s">
        <v>199</v>
      </c>
      <c r="G37" s="166" t="s">
        <v>174</v>
      </c>
      <c r="H37" s="167"/>
      <c r="I37" s="167">
        <v>33693</v>
      </c>
      <c r="J37" s="59"/>
      <c r="K37" s="59"/>
    </row>
    <row r="38" spans="1:18">
      <c r="A38" s="153" t="s">
        <v>175</v>
      </c>
      <c r="B38" s="154">
        <f t="shared" si="14"/>
        <v>0</v>
      </c>
      <c r="C38" s="130">
        <f t="shared" si="14"/>
        <v>0</v>
      </c>
      <c r="D38" s="155">
        <f t="shared" si="15"/>
        <v>0</v>
      </c>
      <c r="E38" s="156"/>
      <c r="F38" s="131" t="s">
        <v>200</v>
      </c>
      <c r="G38" s="166" t="s">
        <v>174</v>
      </c>
      <c r="H38" s="167">
        <v>25000</v>
      </c>
      <c r="I38" s="167">
        <v>33693</v>
      </c>
      <c r="J38" s="59"/>
      <c r="K38" s="59"/>
    </row>
    <row r="39" spans="1:18">
      <c r="A39" s="153" t="s">
        <v>176</v>
      </c>
      <c r="B39" s="154">
        <f t="shared" si="14"/>
        <v>0</v>
      </c>
      <c r="C39" s="130">
        <f t="shared" si="14"/>
        <v>0</v>
      </c>
      <c r="D39" s="155">
        <f t="shared" si="15"/>
        <v>0</v>
      </c>
      <c r="E39" s="156"/>
      <c r="F39" s="131" t="s">
        <v>201</v>
      </c>
      <c r="G39" s="166" t="s">
        <v>177</v>
      </c>
      <c r="H39" s="167">
        <v>20000</v>
      </c>
      <c r="I39" s="167">
        <v>19253</v>
      </c>
      <c r="J39" s="59"/>
      <c r="K39" s="59"/>
    </row>
    <row r="40" spans="1:18">
      <c r="A40" s="153" t="s">
        <v>177</v>
      </c>
      <c r="B40" s="154">
        <f t="shared" si="14"/>
        <v>20000</v>
      </c>
      <c r="C40" s="130">
        <f t="shared" si="14"/>
        <v>19253</v>
      </c>
      <c r="D40" s="155">
        <f t="shared" si="15"/>
        <v>747</v>
      </c>
      <c r="E40" s="156">
        <f t="shared" si="16"/>
        <v>1.0387991481846985</v>
      </c>
      <c r="F40" s="131" t="s">
        <v>202</v>
      </c>
      <c r="G40" s="166" t="s">
        <v>174</v>
      </c>
      <c r="H40" s="167">
        <v>30000</v>
      </c>
      <c r="I40" s="167">
        <v>28880</v>
      </c>
      <c r="J40" s="59"/>
      <c r="K40" s="59"/>
    </row>
    <row r="41" spans="1:18">
      <c r="A41" s="153" t="s">
        <v>180</v>
      </c>
      <c r="B41" s="154">
        <f t="shared" ref="B41:D41" si="17">SUM(B36:B40)</f>
        <v>75000</v>
      </c>
      <c r="C41" s="155">
        <f t="shared" si="17"/>
        <v>154025</v>
      </c>
      <c r="D41" s="155">
        <f t="shared" si="17"/>
        <v>-79025</v>
      </c>
      <c r="E41" s="156">
        <f t="shared" si="16"/>
        <v>0.48693393929556888</v>
      </c>
      <c r="F41" s="293" t="s">
        <v>203</v>
      </c>
      <c r="G41" s="294"/>
      <c r="H41" s="168">
        <f>SUM(H35:H40)</f>
        <v>75000</v>
      </c>
      <c r="I41" s="168">
        <f>SUM(I35:I40)</f>
        <v>154025</v>
      </c>
      <c r="J41" s="59"/>
      <c r="K41" s="59"/>
    </row>
    <row r="42" spans="1:18">
      <c r="A42" s="92" t="s">
        <v>181</v>
      </c>
      <c r="B42" s="95">
        <f>VstupySR!B16-B41</f>
        <v>0</v>
      </c>
      <c r="C42" s="58"/>
      <c r="D42" s="58"/>
      <c r="E42" s="58"/>
      <c r="F42" s="58"/>
      <c r="G42" s="58"/>
      <c r="K42" s="57"/>
      <c r="L42" s="59"/>
      <c r="M42" s="59"/>
      <c r="N42" s="59"/>
      <c r="O42" s="59"/>
    </row>
    <row r="43" spans="1:18">
      <c r="A43" s="92"/>
      <c r="B43" s="95"/>
      <c r="C43" s="58"/>
      <c r="D43" s="58"/>
      <c r="E43" s="58"/>
      <c r="F43" s="58"/>
      <c r="G43" s="58"/>
      <c r="K43" s="57"/>
      <c r="L43" s="59"/>
      <c r="M43" s="59"/>
      <c r="N43" s="59"/>
      <c r="O43" s="59"/>
    </row>
    <row r="44" spans="1:18">
      <c r="B44" s="56"/>
      <c r="C44" s="56"/>
      <c r="E44" s="56" t="s">
        <v>204</v>
      </c>
      <c r="F44" s="56">
        <v>0</v>
      </c>
      <c r="K44" s="57"/>
      <c r="L44" s="59"/>
      <c r="M44" s="59"/>
      <c r="N44" s="59"/>
      <c r="O44" s="59"/>
    </row>
    <row r="45" spans="1:18">
      <c r="A45" s="291" t="s">
        <v>205</v>
      </c>
      <c r="B45" s="290" t="str">
        <f>"Rok "&amp;Rok</f>
        <v>Rok 2023</v>
      </c>
      <c r="C45" s="290"/>
      <c r="D45" s="290"/>
      <c r="E45" s="290" t="str">
        <f>"Rok "&amp;Rok-1</f>
        <v>Rok 2022</v>
      </c>
      <c r="F45" s="290"/>
      <c r="G45" s="290"/>
      <c r="H45" s="290" t="s">
        <v>164</v>
      </c>
      <c r="I45" s="290"/>
      <c r="K45" s="296" t="str">
        <f>"Úprava 07711 ("&amp;Rok&amp;")"</f>
        <v>Úprava 07711 (2023)</v>
      </c>
      <c r="L45" s="296" t="str">
        <f>"Úprava 07712 ("&amp;Rok&amp;")"</f>
        <v>Úprava 07712 (2023)</v>
      </c>
      <c r="N45" s="296" t="str">
        <f>"Úprava 07711 ("&amp;Rok-1&amp;")"</f>
        <v>Úprava 07711 (2022)</v>
      </c>
      <c r="O45" s="296" t="str">
        <f>"Úprava 07712 ("&amp;Rok-1&amp;")"</f>
        <v>Úprava 07712 (2022)</v>
      </c>
      <c r="Q45" s="295" t="str">
        <f>"Bez úpravy 07711 ("&amp;Rok-1&amp;")"</f>
        <v>Bez úpravy 07711 (2022)</v>
      </c>
      <c r="R45" s="295" t="str">
        <f>"Bez úpravy 07712 ("&amp;Rok-1&amp;")"</f>
        <v>Bez úpravy 07712 (2022)</v>
      </c>
    </row>
    <row r="46" spans="1:18" ht="15.75" customHeight="1">
      <c r="A46" s="292"/>
      <c r="B46" s="151" t="s">
        <v>206</v>
      </c>
      <c r="C46" s="151" t="s">
        <v>207</v>
      </c>
      <c r="D46" s="152" t="s">
        <v>208</v>
      </c>
      <c r="E46" s="151" t="s">
        <v>206</v>
      </c>
      <c r="F46" s="151" t="s">
        <v>207</v>
      </c>
      <c r="G46" s="151" t="s">
        <v>208</v>
      </c>
      <c r="H46" s="151" t="s">
        <v>168</v>
      </c>
      <c r="I46" s="151" t="s">
        <v>169</v>
      </c>
      <c r="K46" s="296"/>
      <c r="L46" s="296"/>
      <c r="N46" s="296"/>
      <c r="O46" s="296"/>
      <c r="Q46" s="295"/>
      <c r="R46" s="295"/>
    </row>
    <row r="47" spans="1:18">
      <c r="A47" s="153" t="s">
        <v>170</v>
      </c>
      <c r="B47" s="130">
        <f>'07711-TaS'!E10</f>
        <v>108096</v>
      </c>
      <c r="C47" s="130">
        <f>'07712-TaS'!D8</f>
        <v>0</v>
      </c>
      <c r="D47" s="154">
        <f t="shared" ref="D47:D58" si="18">B47+C47</f>
        <v>108096</v>
      </c>
      <c r="E47" s="130">
        <f t="shared" ref="E47:E58" si="19">Q47+$F$44*N47</f>
        <v>120282</v>
      </c>
      <c r="F47" s="130">
        <f t="shared" ref="F47:F58" si="20">R47+$F$44*O47</f>
        <v>0</v>
      </c>
      <c r="G47" s="130">
        <f t="shared" ref="G47:G58" si="21">E47+F47</f>
        <v>120282</v>
      </c>
      <c r="H47" s="155">
        <f t="shared" ref="H47:H58" si="22">D47-G47</f>
        <v>-12186</v>
      </c>
      <c r="I47" s="156">
        <f t="shared" ref="I47:I59" si="23">D47/G47</f>
        <v>0.89868808300493841</v>
      </c>
      <c r="K47" s="160"/>
      <c r="L47" s="160"/>
      <c r="N47" s="160"/>
      <c r="O47" s="160"/>
      <c r="Q47" s="130">
        <v>120282</v>
      </c>
      <c r="R47" s="130">
        <v>0</v>
      </c>
    </row>
    <row r="48" spans="1:18">
      <c r="A48" s="153" t="s">
        <v>209</v>
      </c>
      <c r="B48" s="130">
        <f>'07711-TaS'!E7</f>
        <v>1450000</v>
      </c>
      <c r="C48" s="130">
        <f>VstupyUPJS!B16</f>
        <v>0</v>
      </c>
      <c r="D48" s="154">
        <f t="shared" si="18"/>
        <v>1450000</v>
      </c>
      <c r="E48" s="130">
        <f t="shared" si="19"/>
        <v>1200000</v>
      </c>
      <c r="F48" s="130">
        <f t="shared" si="20"/>
        <v>0</v>
      </c>
      <c r="G48" s="130">
        <f t="shared" si="21"/>
        <v>1200000</v>
      </c>
      <c r="H48" s="155">
        <f>D48-G48</f>
        <v>250000</v>
      </c>
      <c r="I48" s="156">
        <f>D48/G48</f>
        <v>1.2083333333333333</v>
      </c>
      <c r="K48" s="160"/>
      <c r="L48" s="160"/>
      <c r="N48" s="160"/>
      <c r="O48" s="160"/>
      <c r="Q48" s="130">
        <v>1200000</v>
      </c>
      <c r="R48" s="130">
        <v>0</v>
      </c>
    </row>
    <row r="49" spans="1:18">
      <c r="A49" s="153" t="s">
        <v>210</v>
      </c>
      <c r="B49" s="130">
        <f>'07711-TaS'!E8</f>
        <v>1188000</v>
      </c>
      <c r="C49" s="130">
        <v>0</v>
      </c>
      <c r="D49" s="154">
        <f t="shared" si="18"/>
        <v>1188000</v>
      </c>
      <c r="E49" s="130">
        <f t="shared" si="19"/>
        <v>1055000</v>
      </c>
      <c r="F49" s="130">
        <f t="shared" si="20"/>
        <v>0</v>
      </c>
      <c r="G49" s="130">
        <f>E49+F49</f>
        <v>1055000</v>
      </c>
      <c r="H49" s="155">
        <f t="shared" si="22"/>
        <v>133000</v>
      </c>
      <c r="I49" s="156">
        <f t="shared" si="23"/>
        <v>1.1260663507109006</v>
      </c>
      <c r="K49" s="160"/>
      <c r="L49" s="160"/>
      <c r="N49" s="160"/>
      <c r="O49" s="160"/>
      <c r="Q49" s="130">
        <v>1055000</v>
      </c>
      <c r="R49" s="130">
        <v>0</v>
      </c>
    </row>
    <row r="50" spans="1:18">
      <c r="A50" s="153" t="s">
        <v>211</v>
      </c>
      <c r="B50" s="130">
        <f>'07711-TaS'!E6</f>
        <v>176771</v>
      </c>
      <c r="C50" s="130">
        <f>'07712-TaS'!D7</f>
        <v>30000</v>
      </c>
      <c r="D50" s="154">
        <f t="shared" si="18"/>
        <v>206771</v>
      </c>
      <c r="E50" s="130">
        <f t="shared" si="19"/>
        <v>160889</v>
      </c>
      <c r="F50" s="130">
        <f t="shared" si="20"/>
        <v>30000</v>
      </c>
      <c r="G50" s="130">
        <f t="shared" si="21"/>
        <v>190889</v>
      </c>
      <c r="H50" s="155">
        <f>D50-G50</f>
        <v>15882</v>
      </c>
      <c r="I50" s="156">
        <f>D50/G50</f>
        <v>1.0832001844003583</v>
      </c>
      <c r="K50" s="160"/>
      <c r="L50" s="160"/>
      <c r="N50" s="160"/>
      <c r="O50" s="160"/>
      <c r="Q50" s="130">
        <v>160889</v>
      </c>
      <c r="R50" s="130">
        <v>30000</v>
      </c>
    </row>
    <row r="51" spans="1:18">
      <c r="A51" s="153" t="s">
        <v>212</v>
      </c>
      <c r="B51" s="130">
        <v>0</v>
      </c>
      <c r="C51" s="130">
        <f>'07712-TaS'!D6</f>
        <v>250000</v>
      </c>
      <c r="D51" s="154">
        <f t="shared" si="18"/>
        <v>250000</v>
      </c>
      <c r="E51" s="130">
        <f t="shared" si="19"/>
        <v>0</v>
      </c>
      <c r="F51" s="130">
        <f t="shared" si="20"/>
        <v>250000</v>
      </c>
      <c r="G51" s="130">
        <f t="shared" si="21"/>
        <v>250000</v>
      </c>
      <c r="H51" s="155">
        <f t="shared" si="22"/>
        <v>0</v>
      </c>
      <c r="I51" s="156">
        <f t="shared" si="23"/>
        <v>1</v>
      </c>
      <c r="K51" s="160"/>
      <c r="L51" s="160"/>
      <c r="N51" s="160"/>
      <c r="O51" s="160"/>
      <c r="Q51" s="130">
        <v>0</v>
      </c>
      <c r="R51" s="130">
        <v>250000</v>
      </c>
    </row>
    <row r="52" spans="1:18">
      <c r="A52" s="153" t="s">
        <v>173</v>
      </c>
      <c r="B52" s="130">
        <f>ROUND('07711-TaS'!H60,0)</f>
        <v>259682</v>
      </c>
      <c r="C52" s="130">
        <f>'07712-TaS'!C13</f>
        <v>59694</v>
      </c>
      <c r="D52" s="154">
        <f t="shared" si="18"/>
        <v>319376</v>
      </c>
      <c r="E52" s="130">
        <f t="shared" si="19"/>
        <v>298700</v>
      </c>
      <c r="F52" s="130">
        <f t="shared" si="20"/>
        <v>48331</v>
      </c>
      <c r="G52" s="130">
        <f t="shared" si="21"/>
        <v>347031</v>
      </c>
      <c r="H52" s="155">
        <f t="shared" si="22"/>
        <v>-27655</v>
      </c>
      <c r="I52" s="156">
        <f t="shared" si="23"/>
        <v>0.9203097129651242</v>
      </c>
      <c r="K52" s="160"/>
      <c r="L52" s="160"/>
      <c r="N52" s="160"/>
      <c r="O52" s="160"/>
      <c r="Q52" s="130">
        <v>298700</v>
      </c>
      <c r="R52" s="130">
        <v>48331</v>
      </c>
    </row>
    <row r="53" spans="1:18">
      <c r="A53" s="153" t="s">
        <v>174</v>
      </c>
      <c r="B53" s="130">
        <f>ROUND('07711-TaS'!H61,0)</f>
        <v>126119</v>
      </c>
      <c r="C53" s="130">
        <f>'07712-TaS'!C14</f>
        <v>116289</v>
      </c>
      <c r="D53" s="154">
        <f t="shared" si="18"/>
        <v>242408</v>
      </c>
      <c r="E53" s="130">
        <f t="shared" si="19"/>
        <v>143882</v>
      </c>
      <c r="F53" s="130">
        <f t="shared" si="20"/>
        <v>131712</v>
      </c>
      <c r="G53" s="130">
        <f t="shared" si="21"/>
        <v>275594</v>
      </c>
      <c r="H53" s="155">
        <f t="shared" si="22"/>
        <v>-33186</v>
      </c>
      <c r="I53" s="156">
        <f t="shared" si="23"/>
        <v>0.87958373549496727</v>
      </c>
      <c r="K53" s="160"/>
      <c r="L53" s="160"/>
      <c r="N53" s="160"/>
      <c r="O53" s="160"/>
      <c r="Q53" s="130">
        <v>143882</v>
      </c>
      <c r="R53" s="130">
        <v>131712</v>
      </c>
    </row>
    <row r="54" spans="1:18" ht="15.6" customHeight="1">
      <c r="A54" s="153" t="s">
        <v>175</v>
      </c>
      <c r="B54" s="130">
        <f>ROUND('07711-TaS'!H62,0)</f>
        <v>62449</v>
      </c>
      <c r="C54" s="130">
        <f>'07712-TaS'!C15</f>
        <v>8007</v>
      </c>
      <c r="D54" s="154">
        <f t="shared" si="18"/>
        <v>70456</v>
      </c>
      <c r="E54" s="130">
        <f t="shared" si="19"/>
        <v>67207</v>
      </c>
      <c r="F54" s="130">
        <f t="shared" si="20"/>
        <v>6791</v>
      </c>
      <c r="G54" s="130">
        <f t="shared" si="21"/>
        <v>73998</v>
      </c>
      <c r="H54" s="155">
        <f t="shared" si="22"/>
        <v>-3542</v>
      </c>
      <c r="I54" s="156">
        <f t="shared" si="23"/>
        <v>0.95213384145517443</v>
      </c>
      <c r="K54" s="160"/>
      <c r="L54" s="160"/>
      <c r="N54" s="160"/>
      <c r="O54" s="160"/>
      <c r="Q54" s="130">
        <v>67207</v>
      </c>
      <c r="R54" s="130">
        <v>6791</v>
      </c>
    </row>
    <row r="55" spans="1:18">
      <c r="A55" s="153" t="s">
        <v>176</v>
      </c>
      <c r="B55" s="130">
        <f>ROUND('07711-TaS'!H63,0)</f>
        <v>53198</v>
      </c>
      <c r="C55" s="130">
        <f>'07712-TaS'!C16</f>
        <v>2258</v>
      </c>
      <c r="D55" s="154">
        <f t="shared" si="18"/>
        <v>55456</v>
      </c>
      <c r="E55" s="130">
        <f t="shared" si="19"/>
        <v>54109</v>
      </c>
      <c r="F55" s="130">
        <f t="shared" si="20"/>
        <v>2158</v>
      </c>
      <c r="G55" s="130">
        <f t="shared" si="21"/>
        <v>56267</v>
      </c>
      <c r="H55" s="155">
        <f t="shared" si="22"/>
        <v>-811</v>
      </c>
      <c r="I55" s="156">
        <f t="shared" si="23"/>
        <v>0.98558657827856466</v>
      </c>
      <c r="K55" s="160"/>
      <c r="L55" s="160"/>
      <c r="N55" s="160"/>
      <c r="O55" s="160"/>
      <c r="Q55" s="130">
        <v>54109</v>
      </c>
      <c r="R55" s="130">
        <v>2158</v>
      </c>
    </row>
    <row r="56" spans="1:18">
      <c r="A56" s="153" t="s">
        <v>177</v>
      </c>
      <c r="B56" s="130">
        <f>ROUND('07711-TaS'!H64,0)</f>
        <v>97432</v>
      </c>
      <c r="C56" s="130">
        <f>'07712-TaS'!C17</f>
        <v>21574</v>
      </c>
      <c r="D56" s="154">
        <f t="shared" si="18"/>
        <v>119006</v>
      </c>
      <c r="E56" s="130">
        <f t="shared" si="19"/>
        <v>103766</v>
      </c>
      <c r="F56" s="130">
        <f t="shared" si="20"/>
        <v>20216</v>
      </c>
      <c r="G56" s="130">
        <f t="shared" si="21"/>
        <v>123982</v>
      </c>
      <c r="H56" s="155">
        <f t="shared" si="22"/>
        <v>-4976</v>
      </c>
      <c r="I56" s="156">
        <f t="shared" si="23"/>
        <v>0.95986514171411974</v>
      </c>
      <c r="K56" s="160"/>
      <c r="L56" s="160"/>
      <c r="N56" s="160"/>
      <c r="O56" s="160"/>
      <c r="Q56" s="130">
        <v>103766</v>
      </c>
      <c r="R56" s="130">
        <v>20216</v>
      </c>
    </row>
    <row r="57" spans="1:18">
      <c r="A57" s="153" t="s">
        <v>178</v>
      </c>
      <c r="B57" s="130">
        <f>ROUND('07711-TaS'!H65,0)</f>
        <v>13665</v>
      </c>
      <c r="C57" s="130">
        <f>'07712-TaS'!C18</f>
        <v>734</v>
      </c>
      <c r="D57" s="154">
        <f t="shared" si="18"/>
        <v>14399</v>
      </c>
      <c r="E57" s="130">
        <f t="shared" si="19"/>
        <v>13937</v>
      </c>
      <c r="F57" s="130">
        <f t="shared" si="20"/>
        <v>592</v>
      </c>
      <c r="G57" s="130">
        <f t="shared" si="21"/>
        <v>14529</v>
      </c>
      <c r="H57" s="155">
        <f t="shared" si="22"/>
        <v>-130</v>
      </c>
      <c r="I57" s="156">
        <f t="shared" si="23"/>
        <v>0.99105237800261547</v>
      </c>
      <c r="K57" s="160"/>
      <c r="L57" s="160"/>
      <c r="N57" s="160"/>
      <c r="O57" s="160"/>
      <c r="Q57" s="130">
        <v>13937</v>
      </c>
      <c r="R57" s="130">
        <v>592</v>
      </c>
    </row>
    <row r="58" spans="1:18">
      <c r="A58" s="153" t="s">
        <v>179</v>
      </c>
      <c r="B58" s="130"/>
      <c r="C58" s="130">
        <f>'07712-TaS'!C19</f>
        <v>11445</v>
      </c>
      <c r="D58" s="154">
        <f t="shared" si="18"/>
        <v>11445</v>
      </c>
      <c r="E58" s="130">
        <f t="shared" si="19"/>
        <v>0</v>
      </c>
      <c r="F58" s="130">
        <f t="shared" si="20"/>
        <v>10200</v>
      </c>
      <c r="G58" s="130">
        <f t="shared" si="21"/>
        <v>10200</v>
      </c>
      <c r="H58" s="155">
        <f t="shared" si="22"/>
        <v>1245</v>
      </c>
      <c r="I58" s="156">
        <f t="shared" si="23"/>
        <v>1.1220588235294118</v>
      </c>
      <c r="K58" s="160"/>
      <c r="L58" s="160"/>
      <c r="N58" s="160"/>
      <c r="O58" s="160"/>
      <c r="Q58" s="130"/>
      <c r="R58" s="130">
        <v>10200</v>
      </c>
    </row>
    <row r="59" spans="1:18">
      <c r="A59" s="153" t="s">
        <v>180</v>
      </c>
      <c r="B59" s="155">
        <f t="shared" ref="B59:H59" si="24">SUM(B47:B58)</f>
        <v>3535412</v>
      </c>
      <c r="C59" s="155">
        <f t="shared" si="24"/>
        <v>500001</v>
      </c>
      <c r="D59" s="154">
        <f t="shared" si="24"/>
        <v>4035413</v>
      </c>
      <c r="E59" s="155">
        <f t="shared" si="24"/>
        <v>3217772</v>
      </c>
      <c r="F59" s="155">
        <f t="shared" si="24"/>
        <v>500000</v>
      </c>
      <c r="G59" s="155">
        <f t="shared" si="24"/>
        <v>3717772</v>
      </c>
      <c r="H59" s="155">
        <f t="shared" si="24"/>
        <v>317641</v>
      </c>
      <c r="I59" s="156">
        <f t="shared" si="23"/>
        <v>1.08543853684411</v>
      </c>
      <c r="K59" s="157">
        <f>SUM(K47:K58)</f>
        <v>0</v>
      </c>
      <c r="L59" s="157">
        <f>SUM(L47:L58)</f>
        <v>0</v>
      </c>
      <c r="N59" s="157">
        <f>SUM(N47:N58)</f>
        <v>0</v>
      </c>
      <c r="O59" s="157">
        <f>SUM(O47:O58)</f>
        <v>0</v>
      </c>
      <c r="Q59" s="155">
        <f t="shared" ref="Q59:R59" si="25">SUM(Q47:Q58)</f>
        <v>3217772</v>
      </c>
      <c r="R59" s="155">
        <f t="shared" si="25"/>
        <v>500000</v>
      </c>
    </row>
    <row r="60" spans="1:18">
      <c r="A60" s="92" t="s">
        <v>181</v>
      </c>
      <c r="B60" s="93">
        <f>'07711-TaS'!E5-Sumare!B59</f>
        <v>1</v>
      </c>
      <c r="C60" s="93">
        <f>'07712-TaS'!D3+'07712-TaS'!D4+VstupyUPJS!B16-Sumare!C59</f>
        <v>-1</v>
      </c>
      <c r="D60" s="93">
        <f>B60+C60</f>
        <v>0</v>
      </c>
    </row>
    <row r="61" spans="1:18">
      <c r="B61" s="27"/>
      <c r="C61" s="27"/>
      <c r="D61" s="27"/>
    </row>
    <row r="62" spans="1:18">
      <c r="A62" s="49" t="str">
        <f>"Pozor, tu je aj "&amp;VstupyUPJS!B25/1000&amp;" tis. EUR z roku "&amp;Rok-1&amp;". Sumy by sa mali upraviť podľa zostatkov. Zároveň sa použije prebytok z valorizácie doktorandov vo výške "&amp;K71&amp;" EUR"</f>
        <v>Pozor, tu je aj 375 tis. EUR z roku 2022. Sumy by sa mali upraviť podľa zostatkov. Zároveň sa použije prebytok z valorizácie doktorandov vo výške 38838,5 EUR</v>
      </c>
    </row>
    <row r="63" spans="1:18">
      <c r="A63" s="288" t="s">
        <v>213</v>
      </c>
      <c r="B63" s="290" t="str">
        <f>"Rok "&amp;Rok</f>
        <v>Rok 2023</v>
      </c>
      <c r="C63" s="290"/>
      <c r="D63" s="290"/>
      <c r="E63" s="290" t="str">
        <f>"Rok "&amp;Rok-1</f>
        <v>Rok 2022</v>
      </c>
      <c r="F63" s="290"/>
      <c r="G63" s="290"/>
      <c r="H63" s="290" t="s">
        <v>164</v>
      </c>
      <c r="I63" s="290"/>
      <c r="K63" s="296" t="str">
        <f>"Valorizácia 07712 ("&amp;Rok&amp;")"</f>
        <v>Valorizácia 07712 (2023)</v>
      </c>
      <c r="L63" s="297" t="str">
        <f>"Spolu "&amp;Rok</f>
        <v>Spolu 2023</v>
      </c>
    </row>
    <row r="64" spans="1:18">
      <c r="A64" s="289"/>
      <c r="B64" s="151" t="s">
        <v>214</v>
      </c>
      <c r="C64" s="151" t="s">
        <v>215</v>
      </c>
      <c r="D64" s="152" t="s">
        <v>216</v>
      </c>
      <c r="E64" s="151" t="s">
        <v>214</v>
      </c>
      <c r="F64" s="151" t="s">
        <v>215</v>
      </c>
      <c r="G64" s="151" t="s">
        <v>216</v>
      </c>
      <c r="H64" s="151" t="s">
        <v>168</v>
      </c>
      <c r="I64" s="151" t="s">
        <v>169</v>
      </c>
      <c r="K64" s="296"/>
      <c r="L64" s="297"/>
    </row>
    <row r="65" spans="1:14">
      <c r="A65" s="153" t="s">
        <v>173</v>
      </c>
      <c r="B65" s="130">
        <f>'07712-DoktStip'!D22</f>
        <v>684218.5</v>
      </c>
      <c r="C65" s="130">
        <f>'07712-DoktStip'!I9</f>
        <v>83980</v>
      </c>
      <c r="D65" s="154">
        <f>B65+C65</f>
        <v>768198.5</v>
      </c>
      <c r="E65" s="130">
        <v>669864</v>
      </c>
      <c r="F65" s="130">
        <v>71060</v>
      </c>
      <c r="G65" s="130">
        <f>E65+F65</f>
        <v>740924</v>
      </c>
      <c r="H65" s="155">
        <f>D65-G65</f>
        <v>27274.5</v>
      </c>
      <c r="I65" s="156">
        <f t="shared" ref="I65:I70" si="26">D65/G65</f>
        <v>1.0368114678428557</v>
      </c>
      <c r="K65" s="169">
        <f>'07712-DoktStip'!E32</f>
        <v>138040.5</v>
      </c>
      <c r="L65" s="170">
        <f>D65+K65</f>
        <v>906239</v>
      </c>
      <c r="N65" s="57"/>
    </row>
    <row r="66" spans="1:14">
      <c r="A66" s="153" t="s">
        <v>174</v>
      </c>
      <c r="B66" s="130">
        <f>'07712-DoktStip'!D23</f>
        <v>1441948</v>
      </c>
      <c r="C66" s="130">
        <f>'07712-DoktStip'!I10</f>
        <v>155040</v>
      </c>
      <c r="D66" s="154">
        <f>B66+C66</f>
        <v>1596988</v>
      </c>
      <c r="E66" s="130">
        <v>1511497.5</v>
      </c>
      <c r="F66" s="130">
        <v>167960</v>
      </c>
      <c r="G66" s="130">
        <f>E66+F66</f>
        <v>1679457.5</v>
      </c>
      <c r="H66" s="155">
        <f>D66-G66</f>
        <v>-82469.5</v>
      </c>
      <c r="I66" s="156">
        <f t="shared" si="26"/>
        <v>0.9508951551319399</v>
      </c>
      <c r="K66" s="169">
        <f>'07712-DoktStip'!E33</f>
        <v>291690</v>
      </c>
      <c r="L66" s="170">
        <f t="shared" ref="L66:L69" si="27">D66+K66</f>
        <v>1888678</v>
      </c>
      <c r="N66" s="57"/>
    </row>
    <row r="67" spans="1:14">
      <c r="A67" s="153" t="s">
        <v>175</v>
      </c>
      <c r="B67" s="130">
        <f>'07712-DoktStip'!D24</f>
        <v>320112</v>
      </c>
      <c r="C67" s="130">
        <f>'07712-DoktStip'!I11</f>
        <v>32300</v>
      </c>
      <c r="D67" s="154">
        <f>B67+C67</f>
        <v>352412</v>
      </c>
      <c r="E67" s="130">
        <v>312198.5</v>
      </c>
      <c r="F67" s="130">
        <v>32300</v>
      </c>
      <c r="G67" s="130">
        <f>E67+F67</f>
        <v>344498.5</v>
      </c>
      <c r="H67" s="155">
        <f>D67-G67</f>
        <v>7913.5</v>
      </c>
      <c r="I67" s="156">
        <f t="shared" si="26"/>
        <v>1.0229710724429859</v>
      </c>
      <c r="K67" s="169">
        <f>'07712-DoktStip'!E34</f>
        <v>63409.5</v>
      </c>
      <c r="L67" s="170">
        <f t="shared" si="27"/>
        <v>415821.5</v>
      </c>
      <c r="N67" s="57"/>
    </row>
    <row r="68" spans="1:14">
      <c r="A68" s="153" t="s">
        <v>176</v>
      </c>
      <c r="B68" s="130">
        <f>'07712-DoktStip'!D25</f>
        <v>78403.5</v>
      </c>
      <c r="C68" s="130">
        <f>'07712-DoktStip'!I12</f>
        <v>6460</v>
      </c>
      <c r="D68" s="154">
        <f>B68+C68</f>
        <v>84863.5</v>
      </c>
      <c r="E68" s="130">
        <v>77833.5</v>
      </c>
      <c r="F68" s="130">
        <v>6460</v>
      </c>
      <c r="G68" s="130">
        <f>E68+F68</f>
        <v>84293.5</v>
      </c>
      <c r="H68" s="155">
        <f>D68-G68</f>
        <v>570</v>
      </c>
      <c r="I68" s="156">
        <f t="shared" si="26"/>
        <v>1.0067620872309253</v>
      </c>
      <c r="K68" s="169">
        <f>'07712-DoktStip'!E35</f>
        <v>15315.5</v>
      </c>
      <c r="L68" s="170">
        <f t="shared" si="27"/>
        <v>100179</v>
      </c>
      <c r="N68" s="57"/>
    </row>
    <row r="69" spans="1:14">
      <c r="A69" s="153" t="s">
        <v>177</v>
      </c>
      <c r="B69" s="130">
        <f>'07712-DoktStip'!D26</f>
        <v>409754</v>
      </c>
      <c r="C69" s="130">
        <f>'07712-DoktStip'!I13</f>
        <v>45220</v>
      </c>
      <c r="D69" s="154">
        <f>B69+C69</f>
        <v>454974</v>
      </c>
      <c r="E69" s="130">
        <v>503357.5</v>
      </c>
      <c r="F69" s="130">
        <v>45220</v>
      </c>
      <c r="G69" s="130">
        <f>E69+F69</f>
        <v>548577.5</v>
      </c>
      <c r="H69" s="155">
        <f>D69-G69</f>
        <v>-93603.5</v>
      </c>
      <c r="I69" s="156">
        <f t="shared" si="26"/>
        <v>0.82937050826911418</v>
      </c>
      <c r="K69" s="169">
        <f>'07712-DoktStip'!E36</f>
        <v>82960</v>
      </c>
      <c r="L69" s="170">
        <f t="shared" si="27"/>
        <v>537934</v>
      </c>
      <c r="N69" s="57"/>
    </row>
    <row r="70" spans="1:14">
      <c r="A70" s="153" t="s">
        <v>180</v>
      </c>
      <c r="B70" s="155">
        <f t="shared" ref="B70:H70" si="28">SUM(B65:B69)</f>
        <v>2934436</v>
      </c>
      <c r="C70" s="155">
        <f t="shared" si="28"/>
        <v>323000</v>
      </c>
      <c r="D70" s="154">
        <f t="shared" si="28"/>
        <v>3257436</v>
      </c>
      <c r="E70" s="155">
        <f t="shared" si="28"/>
        <v>3074751</v>
      </c>
      <c r="F70" s="155">
        <f t="shared" si="28"/>
        <v>323000</v>
      </c>
      <c r="G70" s="155">
        <f t="shared" si="28"/>
        <v>3397751</v>
      </c>
      <c r="H70" s="155">
        <f t="shared" si="28"/>
        <v>-140315</v>
      </c>
      <c r="I70" s="156">
        <f t="shared" si="26"/>
        <v>0.95870356597643558</v>
      </c>
      <c r="K70" s="169">
        <f>SUM(K65:K69)</f>
        <v>591415.5</v>
      </c>
      <c r="L70" s="170">
        <f>SUM(L65:L69)</f>
        <v>3848851.5</v>
      </c>
      <c r="N70" s="57"/>
    </row>
    <row r="71" spans="1:14">
      <c r="A71" s="92" t="s">
        <v>181</v>
      </c>
      <c r="B71" s="96">
        <f>VstupyUPJS!B26-B70</f>
        <v>-413838.5</v>
      </c>
      <c r="C71" s="96">
        <f>VstupyUPJS!B27-C70</f>
        <v>0</v>
      </c>
      <c r="K71" s="96">
        <f>VstupyUPJS!B28-K70</f>
        <v>38838.5</v>
      </c>
      <c r="L71" s="5"/>
    </row>
    <row r="73" spans="1:14">
      <c r="A73" s="288" t="s">
        <v>217</v>
      </c>
      <c r="B73" s="290" t="str">
        <f>"Rok "&amp;Rok</f>
        <v>Rok 2023</v>
      </c>
      <c r="C73" s="290"/>
      <c r="D73" s="290"/>
      <c r="E73" s="290" t="str">
        <f>"Rok "&amp;Rok-1</f>
        <v>Rok 2022</v>
      </c>
      <c r="F73" s="290"/>
      <c r="G73" s="290"/>
      <c r="H73" s="290" t="s">
        <v>164</v>
      </c>
      <c r="I73" s="290"/>
    </row>
    <row r="74" spans="1:14">
      <c r="A74" s="289"/>
      <c r="B74" s="151" t="s">
        <v>218</v>
      </c>
      <c r="C74" s="151" t="s">
        <v>219</v>
      </c>
      <c r="D74" s="152" t="s">
        <v>216</v>
      </c>
      <c r="E74" s="151" t="s">
        <v>218</v>
      </c>
      <c r="F74" s="151" t="s">
        <v>219</v>
      </c>
      <c r="G74" s="151" t="s">
        <v>216</v>
      </c>
      <c r="H74" s="151" t="s">
        <v>168</v>
      </c>
      <c r="I74" s="151" t="s">
        <v>169</v>
      </c>
    </row>
    <row r="75" spans="1:14">
      <c r="A75" s="36" t="s">
        <v>220</v>
      </c>
      <c r="B75" s="130">
        <f>'07715-Stip'!E4</f>
        <v>49230</v>
      </c>
      <c r="C75" s="130">
        <v>0</v>
      </c>
      <c r="D75" s="154">
        <f t="shared" ref="D75:D81" si="29">B75+C75</f>
        <v>49230</v>
      </c>
      <c r="E75" s="130">
        <v>47775</v>
      </c>
      <c r="F75" s="130">
        <v>0</v>
      </c>
      <c r="G75" s="130">
        <f>E75+F75</f>
        <v>47775</v>
      </c>
      <c r="H75" s="155">
        <f t="shared" ref="H75:H81" si="30">D75-G75</f>
        <v>1455</v>
      </c>
      <c r="I75" s="156">
        <f>D75/G75</f>
        <v>1.0304552590266876</v>
      </c>
    </row>
    <row r="76" spans="1:14">
      <c r="A76" s="153" t="s">
        <v>173</v>
      </c>
      <c r="B76" s="130">
        <f>'07715-Stip'!C13</f>
        <v>132388</v>
      </c>
      <c r="C76" s="130">
        <f>'07715-Stip'!E13</f>
        <v>12420</v>
      </c>
      <c r="D76" s="154">
        <f t="shared" si="29"/>
        <v>144808</v>
      </c>
      <c r="E76" s="130">
        <v>130900</v>
      </c>
      <c r="F76" s="130">
        <v>11160</v>
      </c>
      <c r="G76" s="130">
        <f t="shared" ref="G76:G81" si="31">E76+F76</f>
        <v>142060</v>
      </c>
      <c r="H76" s="155">
        <f t="shared" si="30"/>
        <v>2748</v>
      </c>
      <c r="I76" s="156">
        <f t="shared" ref="I76:I82" si="32">D76/G76</f>
        <v>1.0193439391806278</v>
      </c>
    </row>
    <row r="77" spans="1:14">
      <c r="A77" s="153" t="s">
        <v>174</v>
      </c>
      <c r="B77" s="130">
        <f>'07715-Stip'!C14</f>
        <v>32959</v>
      </c>
      <c r="C77" s="130">
        <f>'07715-Stip'!E14</f>
        <v>113850</v>
      </c>
      <c r="D77" s="154">
        <f t="shared" si="29"/>
        <v>146809</v>
      </c>
      <c r="E77" s="130">
        <v>32343</v>
      </c>
      <c r="F77" s="130">
        <v>102780</v>
      </c>
      <c r="G77" s="130">
        <f t="shared" si="31"/>
        <v>135123</v>
      </c>
      <c r="H77" s="155">
        <f t="shared" si="30"/>
        <v>11686</v>
      </c>
      <c r="I77" s="156">
        <f t="shared" si="32"/>
        <v>1.0864841662781317</v>
      </c>
    </row>
    <row r="78" spans="1:14">
      <c r="A78" s="153" t="s">
        <v>175</v>
      </c>
      <c r="B78" s="130">
        <f>'07715-Stip'!C15</f>
        <v>30090</v>
      </c>
      <c r="C78" s="130">
        <f>'07715-Stip'!E15</f>
        <v>0</v>
      </c>
      <c r="D78" s="154">
        <f t="shared" si="29"/>
        <v>30090</v>
      </c>
      <c r="E78" s="130">
        <v>29453</v>
      </c>
      <c r="F78" s="130">
        <v>0</v>
      </c>
      <c r="G78" s="130">
        <f t="shared" si="31"/>
        <v>29453</v>
      </c>
      <c r="H78" s="155">
        <f t="shared" si="30"/>
        <v>637</v>
      </c>
      <c r="I78" s="156">
        <f t="shared" si="32"/>
        <v>1.0216276779954503</v>
      </c>
    </row>
    <row r="79" spans="1:14">
      <c r="A79" s="153" t="s">
        <v>176</v>
      </c>
      <c r="B79" s="130">
        <f>'07715-Stip'!C16</f>
        <v>24098</v>
      </c>
      <c r="C79" s="130">
        <f>'07715-Stip'!E16</f>
        <v>0</v>
      </c>
      <c r="D79" s="154">
        <f t="shared" si="29"/>
        <v>24098</v>
      </c>
      <c r="E79" s="130">
        <v>22440</v>
      </c>
      <c r="F79" s="130">
        <v>0</v>
      </c>
      <c r="G79" s="130">
        <f t="shared" si="31"/>
        <v>22440</v>
      </c>
      <c r="H79" s="155">
        <f t="shared" si="30"/>
        <v>1658</v>
      </c>
      <c r="I79" s="156">
        <f t="shared" si="32"/>
        <v>1.0738859180035651</v>
      </c>
    </row>
    <row r="80" spans="1:14">
      <c r="A80" s="153" t="s">
        <v>177</v>
      </c>
      <c r="B80" s="130">
        <f>'07715-Stip'!C17</f>
        <v>55824</v>
      </c>
      <c r="C80" s="130">
        <f>'07715-Stip'!E17</f>
        <v>17100</v>
      </c>
      <c r="D80" s="154">
        <f t="shared" si="29"/>
        <v>72924</v>
      </c>
      <c r="E80" s="130">
        <v>51978</v>
      </c>
      <c r="F80" s="130">
        <v>18900</v>
      </c>
      <c r="G80" s="130">
        <f t="shared" si="31"/>
        <v>70878</v>
      </c>
      <c r="H80" s="155">
        <f t="shared" si="30"/>
        <v>2046</v>
      </c>
      <c r="I80" s="156">
        <f t="shared" si="32"/>
        <v>1.0288665030051638</v>
      </c>
    </row>
    <row r="81" spans="1:9">
      <c r="A81" s="153" t="s">
        <v>178</v>
      </c>
      <c r="B81" s="130">
        <f>'07715-Stip'!C18</f>
        <v>3613</v>
      </c>
      <c r="C81" s="130">
        <f>'07715-Stip'!E18</f>
        <v>0</v>
      </c>
      <c r="D81" s="154">
        <f t="shared" si="29"/>
        <v>3613</v>
      </c>
      <c r="E81" s="130">
        <v>3613</v>
      </c>
      <c r="F81" s="130">
        <v>0</v>
      </c>
      <c r="G81" s="130">
        <f t="shared" si="31"/>
        <v>3613</v>
      </c>
      <c r="H81" s="155">
        <f t="shared" si="30"/>
        <v>0</v>
      </c>
      <c r="I81" s="156">
        <f>D81/G81</f>
        <v>1</v>
      </c>
    </row>
    <row r="82" spans="1:9">
      <c r="A82" s="153" t="s">
        <v>180</v>
      </c>
      <c r="B82" s="155">
        <f t="shared" ref="B82:H82" si="33">SUM(B75:B81)</f>
        <v>328202</v>
      </c>
      <c r="C82" s="155">
        <f t="shared" si="33"/>
        <v>143370</v>
      </c>
      <c r="D82" s="154">
        <f t="shared" si="33"/>
        <v>471572</v>
      </c>
      <c r="E82" s="155">
        <f t="shared" si="33"/>
        <v>318502</v>
      </c>
      <c r="F82" s="155">
        <f t="shared" si="33"/>
        <v>132840</v>
      </c>
      <c r="G82" s="155">
        <f t="shared" si="33"/>
        <v>451342</v>
      </c>
      <c r="H82" s="155">
        <f t="shared" si="33"/>
        <v>20230</v>
      </c>
      <c r="I82" s="156">
        <f t="shared" si="32"/>
        <v>1.0448218867289107</v>
      </c>
    </row>
    <row r="83" spans="1:9">
      <c r="A83" s="92" t="s">
        <v>181</v>
      </c>
      <c r="B83" s="96">
        <f>VstupySR!B24-B82</f>
        <v>-2</v>
      </c>
      <c r="C83" s="96">
        <f>VstupySR!B23-C82</f>
        <v>0</v>
      </c>
      <c r="D83" s="92"/>
    </row>
    <row r="84" spans="1:9">
      <c r="C84" s="49" t="s">
        <v>221</v>
      </c>
    </row>
  </sheetData>
  <mergeCells count="40">
    <mergeCell ref="Q2:Q3"/>
    <mergeCell ref="A19:A20"/>
    <mergeCell ref="A34:A35"/>
    <mergeCell ref="D34:E34"/>
    <mergeCell ref="B34:C34"/>
    <mergeCell ref="Q15:R15"/>
    <mergeCell ref="R2:R3"/>
    <mergeCell ref="H2:I2"/>
    <mergeCell ref="N2:N3"/>
    <mergeCell ref="O2:O3"/>
    <mergeCell ref="E19:I19"/>
    <mergeCell ref="K1:K3"/>
    <mergeCell ref="L1:L3"/>
    <mergeCell ref="D19:D20"/>
    <mergeCell ref="Q45:Q46"/>
    <mergeCell ref="R45:R46"/>
    <mergeCell ref="K63:K64"/>
    <mergeCell ref="L63:L64"/>
    <mergeCell ref="H63:I63"/>
    <mergeCell ref="L45:L46"/>
    <mergeCell ref="K45:K46"/>
    <mergeCell ref="H45:I45"/>
    <mergeCell ref="O45:O46"/>
    <mergeCell ref="N45:N46"/>
    <mergeCell ref="A73:A74"/>
    <mergeCell ref="B73:D73"/>
    <mergeCell ref="E73:G73"/>
    <mergeCell ref="H73:I73"/>
    <mergeCell ref="A2:A3"/>
    <mergeCell ref="A45:A46"/>
    <mergeCell ref="A63:A64"/>
    <mergeCell ref="B63:D63"/>
    <mergeCell ref="E63:G63"/>
    <mergeCell ref="B2:D2"/>
    <mergeCell ref="E2:G2"/>
    <mergeCell ref="B45:D45"/>
    <mergeCell ref="B19:B20"/>
    <mergeCell ref="C19:C20"/>
    <mergeCell ref="F41:G41"/>
    <mergeCell ref="E45:G45"/>
  </mergeCells>
  <pageMargins left="0.31496062992125984" right="0.31496062992125984" top="0.74803149606299213" bottom="0.55118110236220474" header="0.31496062992125984" footer="0.31496062992125984"/>
  <pageSetup paperSize="9" scale="77" fitToHeight="0" orientation="landscape" r:id="rId1"/>
  <headerFooter scaleWithDoc="0"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80"/>
  <sheetViews>
    <sheetView workbookViewId="0">
      <selection activeCell="A10" sqref="A10:F10"/>
    </sheetView>
  </sheetViews>
  <sheetFormatPr defaultColWidth="14.28515625" defaultRowHeight="15.6"/>
  <cols>
    <col min="1" max="4" width="14.28515625" style="1"/>
    <col min="5" max="5" width="14.5703125" style="1" bestFit="1" customWidth="1"/>
    <col min="6" max="6" width="14.28515625" style="1" customWidth="1"/>
    <col min="7" max="7" width="14.28515625" style="1"/>
    <col min="8" max="10" width="14.28515625" style="1" customWidth="1"/>
    <col min="11" max="16384" width="14.28515625" style="1"/>
  </cols>
  <sheetData>
    <row r="1" spans="1:10">
      <c r="A1" s="304" t="s">
        <v>222</v>
      </c>
      <c r="B1" s="304"/>
      <c r="C1" s="304"/>
      <c r="D1" s="304"/>
    </row>
    <row r="2" spans="1:10" s="6" customFormat="1">
      <c r="A2" s="305"/>
      <c r="B2" s="306"/>
      <c r="C2" s="306"/>
      <c r="D2" s="307"/>
      <c r="E2" s="171"/>
      <c r="F2" s="171"/>
    </row>
    <row r="3" spans="1:10">
      <c r="A3" s="311" t="s">
        <v>223</v>
      </c>
      <c r="B3" s="311"/>
      <c r="C3" s="311"/>
      <c r="D3" s="311"/>
      <c r="E3" s="172">
        <f>VstupySR!B33</f>
        <v>175748.05</v>
      </c>
      <c r="F3" s="173"/>
    </row>
    <row r="4" spans="1:10">
      <c r="A4" s="310" t="s">
        <v>224</v>
      </c>
      <c r="B4" s="310"/>
      <c r="C4" s="310"/>
      <c r="D4" s="310"/>
      <c r="E4" s="167">
        <f>VstupySR!B44</f>
        <v>11881900</v>
      </c>
      <c r="F4" s="128"/>
    </row>
    <row r="5" spans="1:10">
      <c r="A5" s="310" t="s">
        <v>225</v>
      </c>
      <c r="B5" s="310"/>
      <c r="C5" s="310"/>
      <c r="D5" s="310"/>
      <c r="E5" s="167">
        <f>VstupySR!B45+VstupySR!B46</f>
        <v>2390381.6024272875</v>
      </c>
      <c r="F5" s="128"/>
    </row>
    <row r="6" spans="1:10">
      <c r="A6" s="310" t="s">
        <v>226</v>
      </c>
      <c r="B6" s="310"/>
      <c r="C6" s="310"/>
      <c r="D6" s="310"/>
      <c r="E6" s="167">
        <f>SUM(E4:E5)</f>
        <v>14272281.602427287</v>
      </c>
      <c r="F6" s="128"/>
    </row>
    <row r="7" spans="1:10">
      <c r="A7" s="312" t="s">
        <v>227</v>
      </c>
      <c r="B7" s="312"/>
      <c r="C7" s="312"/>
      <c r="D7" s="312"/>
      <c r="E7" s="172">
        <f>E$6*$F7</f>
        <v>356807.04006068222</v>
      </c>
      <c r="F7" s="174">
        <f>VstupyUPJS!B4</f>
        <v>2.5000000000000001E-2</v>
      </c>
    </row>
    <row r="8" spans="1:10">
      <c r="A8" s="312" t="s">
        <v>170</v>
      </c>
      <c r="B8" s="312"/>
      <c r="C8" s="312"/>
      <c r="D8" s="312"/>
      <c r="E8" s="172">
        <f>E$6*$F8</f>
        <v>1541406.4130621471</v>
      </c>
      <c r="F8" s="174">
        <f>VstupyUPJS!B3</f>
        <v>0.108</v>
      </c>
    </row>
    <row r="9" spans="1:10">
      <c r="A9" s="303" t="s">
        <v>228</v>
      </c>
      <c r="B9" s="303"/>
      <c r="C9" s="303"/>
      <c r="D9" s="303"/>
      <c r="E9" s="175">
        <f>F79</f>
        <v>1017600</v>
      </c>
      <c r="F9" s="176">
        <f>E9/E5</f>
        <v>0.42570608766679302</v>
      </c>
    </row>
    <row r="10" spans="1:10">
      <c r="A10" s="313"/>
      <c r="B10" s="314"/>
      <c r="C10" s="314"/>
      <c r="D10" s="315"/>
      <c r="E10" s="175"/>
      <c r="F10" s="176"/>
      <c r="H10" s="129" t="s">
        <v>229</v>
      </c>
      <c r="I10" s="129" t="s">
        <v>230</v>
      </c>
      <c r="J10" s="129" t="s">
        <v>231</v>
      </c>
    </row>
    <row r="11" spans="1:10">
      <c r="A11" s="310" t="s">
        <v>232</v>
      </c>
      <c r="B11" s="310"/>
      <c r="C11" s="310"/>
      <c r="D11" s="310"/>
      <c r="E11" s="167">
        <f>E6-SUM(E7:E10)</f>
        <v>11356468.149304457</v>
      </c>
      <c r="F11" s="128"/>
      <c r="H11" s="177">
        <v>0.35645574233896243</v>
      </c>
      <c r="I11" s="177">
        <v>0.45786612010727762</v>
      </c>
      <c r="J11" s="177">
        <v>0.18567813755375995</v>
      </c>
    </row>
    <row r="12" spans="1:10">
      <c r="A12" s="309" t="s">
        <v>233</v>
      </c>
      <c r="B12" s="309"/>
      <c r="C12" s="309"/>
      <c r="D12" s="309"/>
      <c r="E12" s="117">
        <f>(E4)*(E$11/E$6)</f>
        <v>9454439.2173618544</v>
      </c>
      <c r="F12" s="118"/>
      <c r="H12" s="178">
        <f>H11*$E12</f>
        <v>3370089.149623319</v>
      </c>
      <c r="I12" s="178">
        <f>I11*$E12</f>
        <v>4328867.4022435583</v>
      </c>
      <c r="J12" s="178">
        <f>J11*$E12</f>
        <v>1755482.665494977</v>
      </c>
    </row>
    <row r="13" spans="1:10">
      <c r="A13" s="310" t="s">
        <v>234</v>
      </c>
      <c r="B13" s="310"/>
      <c r="C13" s="310"/>
      <c r="D13" s="310"/>
      <c r="E13" s="117">
        <f>(E5)*(E$11/E$6)</f>
        <v>1902028.9319426036</v>
      </c>
      <c r="F13" s="128"/>
    </row>
    <row r="14" spans="1:10">
      <c r="A14" s="7"/>
      <c r="B14" s="7"/>
      <c r="C14" s="7"/>
      <c r="D14" s="7"/>
      <c r="E14" s="8"/>
      <c r="F14" s="8"/>
      <c r="G14" s="8"/>
    </row>
    <row r="15" spans="1:10" s="6" customFormat="1" ht="31.15">
      <c r="A15" s="308" t="s">
        <v>235</v>
      </c>
      <c r="B15" s="308"/>
      <c r="C15" s="308"/>
      <c r="D15" s="308"/>
      <c r="E15" s="179" t="s">
        <v>236</v>
      </c>
      <c r="F15" s="171" t="s">
        <v>237</v>
      </c>
      <c r="G15" s="179" t="s">
        <v>238</v>
      </c>
      <c r="H15" s="171" t="s">
        <v>239</v>
      </c>
    </row>
    <row r="16" spans="1:10">
      <c r="A16" s="310" t="s">
        <v>240</v>
      </c>
      <c r="B16" s="310"/>
      <c r="C16" s="310"/>
      <c r="D16" s="310"/>
      <c r="E16" s="180">
        <v>0.92</v>
      </c>
      <c r="F16" s="181">
        <f>H16*E16</f>
        <v>8.4637784122535091</v>
      </c>
      <c r="G16" s="167">
        <f>E$13*F16/(F$16+F$17)</f>
        <v>1902028.9319426036</v>
      </c>
      <c r="H16" s="182">
        <v>9.1997591437538144</v>
      </c>
      <c r="I16" s="1" t="s">
        <v>241</v>
      </c>
    </row>
    <row r="17" spans="1:9">
      <c r="A17" s="310" t="s">
        <v>242</v>
      </c>
      <c r="B17" s="310"/>
      <c r="C17" s="310"/>
      <c r="D17" s="310"/>
      <c r="E17" s="180">
        <f>1-E16</f>
        <v>7.999999999999996E-2</v>
      </c>
      <c r="F17" s="181">
        <f>E17*H17</f>
        <v>0</v>
      </c>
      <c r="G17" s="167">
        <f>E$13*F17/(F$16+F$17)</f>
        <v>0</v>
      </c>
      <c r="H17" s="183">
        <v>0</v>
      </c>
      <c r="I17" s="1" t="s">
        <v>243</v>
      </c>
    </row>
    <row r="18" spans="1:9">
      <c r="A18" s="7"/>
      <c r="B18" s="7"/>
      <c r="C18" s="7"/>
      <c r="D18" s="7"/>
      <c r="E18" s="9" t="s">
        <v>244</v>
      </c>
      <c r="F18" s="29"/>
      <c r="G18" s="8"/>
      <c r="H18" s="30"/>
    </row>
    <row r="19" spans="1:9">
      <c r="A19" s="7"/>
      <c r="B19" s="7"/>
      <c r="C19" s="7"/>
      <c r="D19" s="7"/>
      <c r="E19" s="9"/>
      <c r="F19" s="29"/>
      <c r="G19" s="8"/>
      <c r="H19" s="30"/>
    </row>
    <row r="20" spans="1:9">
      <c r="A20" s="285" t="s">
        <v>245</v>
      </c>
      <c r="B20" s="285"/>
      <c r="C20" s="285"/>
      <c r="D20" s="285"/>
      <c r="F20" s="29"/>
      <c r="G20" s="8"/>
      <c r="H20" s="30"/>
    </row>
    <row r="21" spans="1:9" ht="78">
      <c r="A21" s="151" t="s">
        <v>194</v>
      </c>
      <c r="B21" s="184" t="s">
        <v>246</v>
      </c>
      <c r="C21" s="184" t="s">
        <v>247</v>
      </c>
      <c r="D21" s="184" t="s">
        <v>248</v>
      </c>
      <c r="E21" s="184" t="s">
        <v>249</v>
      </c>
      <c r="F21" s="184" t="s">
        <v>250</v>
      </c>
      <c r="G21" s="184" t="s">
        <v>251</v>
      </c>
      <c r="H21" s="184" t="s">
        <v>252</v>
      </c>
    </row>
    <row r="22" spans="1:9">
      <c r="A22" s="153" t="s">
        <v>173</v>
      </c>
      <c r="B22" s="185">
        <v>2563.9846259287929</v>
      </c>
      <c r="C22" s="185">
        <v>-318.20668947579526</v>
      </c>
      <c r="D22" s="185">
        <v>9.3204222222222217</v>
      </c>
      <c r="E22" s="186">
        <v>1</v>
      </c>
      <c r="F22" s="187">
        <f>SUM(B22:D22)*E22</f>
        <v>2255.0983586752195</v>
      </c>
      <c r="G22" s="131">
        <f>F22/F$29</f>
        <v>0.46804771308620313</v>
      </c>
      <c r="H22" s="188">
        <f>G22*$H$12</f>
        <v>1577362.5193778216</v>
      </c>
    </row>
    <row r="23" spans="1:9">
      <c r="A23" s="153" t="s">
        <v>174</v>
      </c>
      <c r="B23" s="185">
        <v>586.76932263814604</v>
      </c>
      <c r="C23" s="185">
        <v>-41.95595151515154</v>
      </c>
      <c r="D23" s="185">
        <v>64.148367162022765</v>
      </c>
      <c r="E23" s="186">
        <v>1</v>
      </c>
      <c r="F23" s="187">
        <f t="shared" ref="F23:F28" si="0">SUM(B23:D23)*E23</f>
        <v>608.96173828501719</v>
      </c>
      <c r="G23" s="131">
        <f t="shared" ref="G23:G28" si="1">F23/F$29</f>
        <v>0.12639056201909571</v>
      </c>
      <c r="H23" s="188">
        <f t="shared" ref="H23:H28" si="2">G23*$H$12</f>
        <v>425947.46167534764</v>
      </c>
    </row>
    <row r="24" spans="1:9">
      <c r="A24" s="153" t="s">
        <v>175</v>
      </c>
      <c r="B24" s="185">
        <v>399.64313725490194</v>
      </c>
      <c r="C24" s="185">
        <v>-31.460179738562104</v>
      </c>
      <c r="D24" s="185">
        <v>1.7615462426118773</v>
      </c>
      <c r="E24" s="186">
        <v>1</v>
      </c>
      <c r="F24" s="187">
        <f t="shared" si="0"/>
        <v>369.94450375895173</v>
      </c>
      <c r="G24" s="131">
        <f t="shared" si="1"/>
        <v>7.6782317847505041E-2</v>
      </c>
      <c r="H24" s="188">
        <f t="shared" si="2"/>
        <v>258763.25626080565</v>
      </c>
    </row>
    <row r="25" spans="1:9">
      <c r="A25" s="153" t="s">
        <v>176</v>
      </c>
      <c r="B25" s="185">
        <v>333.76220113851997</v>
      </c>
      <c r="C25" s="185">
        <v>-39.818705882352937</v>
      </c>
      <c r="D25" s="185">
        <v>0.47864705882352943</v>
      </c>
      <c r="E25" s="186">
        <v>1</v>
      </c>
      <c r="F25" s="187">
        <f t="shared" si="0"/>
        <v>294.42214231499054</v>
      </c>
      <c r="G25" s="131">
        <f t="shared" si="1"/>
        <v>6.1107583118204252E-2</v>
      </c>
      <c r="H25" s="188">
        <f t="shared" si="2"/>
        <v>205938.00282636526</v>
      </c>
    </row>
    <row r="26" spans="1:9">
      <c r="A26" s="153" t="s">
        <v>177</v>
      </c>
      <c r="B26" s="185">
        <v>854.20573973168212</v>
      </c>
      <c r="C26" s="185">
        <v>-80.773407285861779</v>
      </c>
      <c r="D26" s="185">
        <v>164.52307915662172</v>
      </c>
      <c r="E26" s="186">
        <v>1</v>
      </c>
      <c r="F26" s="187">
        <f t="shared" si="0"/>
        <v>937.95541160244204</v>
      </c>
      <c r="G26" s="131">
        <f t="shared" si="1"/>
        <v>0.19467349780488113</v>
      </c>
      <c r="H26" s="188">
        <f t="shared" si="2"/>
        <v>656067.0426714489</v>
      </c>
    </row>
    <row r="27" spans="1:9">
      <c r="A27" s="153" t="s">
        <v>178</v>
      </c>
      <c r="B27" s="185">
        <v>79.72999999999999</v>
      </c>
      <c r="C27" s="185">
        <v>-13.60765</v>
      </c>
      <c r="D27" s="185">
        <v>285.5905220554215</v>
      </c>
      <c r="E27" s="186">
        <v>1</v>
      </c>
      <c r="F27" s="187">
        <f t="shared" si="0"/>
        <v>351.71287205542149</v>
      </c>
      <c r="G27" s="131">
        <f t="shared" si="1"/>
        <v>7.2998326124110682E-2</v>
      </c>
      <c r="H27" s="188">
        <f t="shared" si="2"/>
        <v>246010.86681152988</v>
      </c>
    </row>
    <row r="28" spans="1:9">
      <c r="A28" s="153" t="s">
        <v>179</v>
      </c>
      <c r="B28" s="185"/>
      <c r="C28" s="185">
        <v>0</v>
      </c>
      <c r="D28" s="185">
        <v>0</v>
      </c>
      <c r="E28" s="186">
        <v>1</v>
      </c>
      <c r="F28" s="187">
        <f t="shared" si="0"/>
        <v>0</v>
      </c>
      <c r="G28" s="131">
        <f t="shared" si="1"/>
        <v>0</v>
      </c>
      <c r="H28" s="188">
        <f t="shared" si="2"/>
        <v>0</v>
      </c>
    </row>
    <row r="29" spans="1:9">
      <c r="A29" s="153" t="s">
        <v>203</v>
      </c>
      <c r="B29" s="189">
        <f>SUM(B22:B28)</f>
        <v>4818.0950266920427</v>
      </c>
      <c r="C29" s="190">
        <f>SUM(C22:C28)</f>
        <v>-525.82258389772369</v>
      </c>
      <c r="D29" s="190">
        <f>SUM(D22:D28)</f>
        <v>525.82258389772358</v>
      </c>
      <c r="E29" s="191">
        <v>1</v>
      </c>
      <c r="F29" s="190">
        <f>SUM(F22:F28)</f>
        <v>4818.0950266920427</v>
      </c>
      <c r="G29" s="156">
        <f>SUM(G22:G28)</f>
        <v>1</v>
      </c>
      <c r="H29" s="188">
        <f t="shared" ref="H29" si="3">SUM(H22:H28)</f>
        <v>3370089.149623319</v>
      </c>
    </row>
    <row r="30" spans="1:9">
      <c r="A30" s="34" t="s">
        <v>253</v>
      </c>
      <c r="B30" s="60">
        <f>C30+D30</f>
        <v>4818.0950266920427</v>
      </c>
      <c r="C30" s="88">
        <v>4701.580753211204</v>
      </c>
      <c r="D30" s="88">
        <v>116.51427348083851</v>
      </c>
      <c r="F30" s="29"/>
      <c r="G30" s="8"/>
      <c r="H30" s="30"/>
    </row>
    <row r="31" spans="1:9">
      <c r="A31" s="34"/>
      <c r="B31" s="65" t="s">
        <v>216</v>
      </c>
      <c r="C31" s="89" t="s">
        <v>254</v>
      </c>
      <c r="D31" s="89" t="s">
        <v>255</v>
      </c>
      <c r="E31" s="1" t="s">
        <v>256</v>
      </c>
      <c r="F31" s="29"/>
      <c r="G31" s="8"/>
      <c r="H31" s="30"/>
    </row>
    <row r="32" spans="1:9">
      <c r="A32" s="34"/>
      <c r="B32" s="65"/>
      <c r="C32" s="89"/>
      <c r="D32" s="89"/>
      <c r="F32" s="29"/>
      <c r="G32" s="8"/>
      <c r="H32" s="30"/>
    </row>
    <row r="33" spans="1:9" ht="78">
      <c r="A33" s="151" t="s">
        <v>194</v>
      </c>
      <c r="B33" s="184" t="s">
        <v>257</v>
      </c>
      <c r="C33" s="184" t="s">
        <v>258</v>
      </c>
      <c r="D33" s="184" t="s">
        <v>259</v>
      </c>
      <c r="E33" s="184" t="s">
        <v>260</v>
      </c>
      <c r="F33" s="184" t="s">
        <v>261</v>
      </c>
      <c r="G33" s="184" t="s">
        <v>262</v>
      </c>
      <c r="H33" s="184" t="s">
        <v>263</v>
      </c>
    </row>
    <row r="34" spans="1:9">
      <c r="A34" s="153" t="s">
        <v>173</v>
      </c>
      <c r="B34" s="185">
        <v>4325.6883617338544</v>
      </c>
      <c r="C34" s="185">
        <v>-29.713027277869195</v>
      </c>
      <c r="D34" s="185">
        <v>9.7135802469135797</v>
      </c>
      <c r="E34" s="192">
        <f>Vykony!M3</f>
        <v>0.92952592984072457</v>
      </c>
      <c r="F34" s="187">
        <f>SUM(B34:D34)*E34</f>
        <v>4002.2494920441122</v>
      </c>
      <c r="G34" s="131">
        <f>F34/F$41</f>
        <v>0.68209226194359629</v>
      </c>
      <c r="H34" s="188">
        <f>G34*$I$12</f>
        <v>2952686.9580502082</v>
      </c>
    </row>
    <row r="35" spans="1:9">
      <c r="A35" s="153" t="s">
        <v>174</v>
      </c>
      <c r="B35" s="185">
        <v>702.47847897479824</v>
      </c>
      <c r="C35" s="185">
        <v>-46.740328066621444</v>
      </c>
      <c r="D35" s="185">
        <v>21.215506375718405</v>
      </c>
      <c r="E35" s="192">
        <f>Vykony!M4</f>
        <v>1.3096570582075338</v>
      </c>
      <c r="F35" s="187">
        <f t="shared" ref="F35:F40" si="4">SUM(B35:D35)*E35</f>
        <v>886.57713534125708</v>
      </c>
      <c r="G35" s="131">
        <f t="shared" ref="G35:G40" si="5">F35/F$41</f>
        <v>0.15109687810180292</v>
      </c>
      <c r="H35" s="188">
        <f t="shared" ref="H35:H40" si="6">G35*$I$12</f>
        <v>654078.35019566317</v>
      </c>
    </row>
    <row r="36" spans="1:9">
      <c r="A36" s="153" t="s">
        <v>175</v>
      </c>
      <c r="B36" s="185">
        <v>284.44444444444446</v>
      </c>
      <c r="C36" s="185">
        <v>-2.3111111111111109</v>
      </c>
      <c r="D36" s="185">
        <v>1.2710555555555556</v>
      </c>
      <c r="E36" s="192">
        <f>Vykony!M5</f>
        <v>0.93045875680353052</v>
      </c>
      <c r="F36" s="187">
        <f t="shared" si="4"/>
        <v>263.69609535821985</v>
      </c>
      <c r="G36" s="131">
        <f t="shared" si="5"/>
        <v>4.4940992935629809E-2</v>
      </c>
      <c r="H36" s="188">
        <f t="shared" si="6"/>
        <v>194543.59934350592</v>
      </c>
    </row>
    <row r="37" spans="1:9">
      <c r="A37" s="153" t="s">
        <v>176</v>
      </c>
      <c r="B37" s="185">
        <v>205.5</v>
      </c>
      <c r="C37" s="185">
        <v>-9.7141666666666673</v>
      </c>
      <c r="D37" s="185">
        <v>2.653746031746032</v>
      </c>
      <c r="E37" s="192">
        <f>Vykony!M6</f>
        <v>0.84252028332534734</v>
      </c>
      <c r="F37" s="187">
        <f t="shared" si="4"/>
        <v>167.18937062962942</v>
      </c>
      <c r="G37" s="131">
        <f t="shared" si="5"/>
        <v>2.8493619953574165E-2</v>
      </c>
      <c r="H37" s="188">
        <f t="shared" si="6"/>
        <v>123345.10258894382</v>
      </c>
    </row>
    <row r="38" spans="1:9">
      <c r="A38" s="153" t="s">
        <v>177</v>
      </c>
      <c r="B38" s="185">
        <v>507.52958712236676</v>
      </c>
      <c r="C38" s="185">
        <v>-35.010476954858277</v>
      </c>
      <c r="D38" s="185">
        <v>44.997121287751668</v>
      </c>
      <c r="E38" s="192">
        <f>Vykony!M7</f>
        <v>0.9903108449166198</v>
      </c>
      <c r="F38" s="187">
        <f t="shared" si="4"/>
        <v>512.50193643052364</v>
      </c>
      <c r="G38" s="131">
        <f t="shared" si="5"/>
        <v>8.7344281201177071E-2</v>
      </c>
      <c r="H38" s="188">
        <f t="shared" si="6"/>
        <v>378101.81166417024</v>
      </c>
    </row>
    <row r="39" spans="1:9">
      <c r="A39" s="153" t="s">
        <v>178</v>
      </c>
      <c r="B39" s="185">
        <v>0</v>
      </c>
      <c r="C39" s="185">
        <v>0</v>
      </c>
      <c r="D39" s="185">
        <v>43.638100579441449</v>
      </c>
      <c r="E39" s="192">
        <f>Vykony!M8</f>
        <v>0.81106203259073206</v>
      </c>
      <c r="F39" s="187">
        <f t="shared" si="4"/>
        <v>35.393206554360582</v>
      </c>
      <c r="G39" s="131">
        <f t="shared" si="5"/>
        <v>6.0319658642197013E-3</v>
      </c>
      <c r="H39" s="188">
        <f t="shared" si="6"/>
        <v>26111.58040106656</v>
      </c>
    </row>
    <row r="40" spans="1:9">
      <c r="A40" s="153" t="s">
        <v>179</v>
      </c>
      <c r="B40" s="185"/>
      <c r="C40" s="185">
        <v>0</v>
      </c>
      <c r="D40" s="185">
        <v>0</v>
      </c>
      <c r="E40" s="192">
        <f>Vykony!M9</f>
        <v>0.99495570619040685</v>
      </c>
      <c r="F40" s="187">
        <f t="shared" si="4"/>
        <v>0</v>
      </c>
      <c r="G40" s="131">
        <f t="shared" si="5"/>
        <v>0</v>
      </c>
      <c r="H40" s="188">
        <f t="shared" si="6"/>
        <v>0</v>
      </c>
    </row>
    <row r="41" spans="1:9">
      <c r="A41" s="153" t="s">
        <v>203</v>
      </c>
      <c r="B41" s="189">
        <f>SUM(B34:B40)</f>
        <v>6025.6408722754641</v>
      </c>
      <c r="C41" s="190">
        <f>SUM(C34:C40)</f>
        <v>-123.4891100771267</v>
      </c>
      <c r="D41" s="190">
        <f>SUM(D34:D40)</f>
        <v>123.4891100771267</v>
      </c>
      <c r="E41" s="193">
        <f>Vykony!M10</f>
        <v>1.0191822967289803</v>
      </c>
      <c r="F41" s="190">
        <f>SUM(F34:F40)</f>
        <v>5867.6072363581034</v>
      </c>
      <c r="G41" s="156">
        <f>SUM(G34:G40)</f>
        <v>1</v>
      </c>
      <c r="H41" s="188">
        <f t="shared" ref="H41" si="7">SUM(H34:H40)</f>
        <v>4328867.4022435574</v>
      </c>
    </row>
    <row r="42" spans="1:9">
      <c r="A42" s="34" t="s">
        <v>253</v>
      </c>
      <c r="B42" s="60">
        <f>C42+D42</f>
        <v>6025.6408722754613</v>
      </c>
      <c r="C42" s="88">
        <v>4580.7788357946029</v>
      </c>
      <c r="D42" s="88">
        <v>1444.8620364808587</v>
      </c>
      <c r="F42" s="29"/>
      <c r="G42" s="8"/>
      <c r="H42" s="30"/>
    </row>
    <row r="43" spans="1:9">
      <c r="A43" s="7"/>
      <c r="B43" s="65" t="s">
        <v>216</v>
      </c>
      <c r="C43" s="89" t="s">
        <v>254</v>
      </c>
      <c r="D43" s="89" t="s">
        <v>255</v>
      </c>
      <c r="E43" s="1" t="s">
        <v>264</v>
      </c>
      <c r="F43" s="29"/>
      <c r="G43" s="8"/>
      <c r="H43" s="30"/>
    </row>
    <row r="44" spans="1:9">
      <c r="A44" s="285"/>
      <c r="B44" s="285"/>
      <c r="C44" s="285"/>
      <c r="D44" s="285"/>
      <c r="H44" s="97"/>
    </row>
    <row r="45" spans="1:9" ht="78">
      <c r="A45" s="151" t="s">
        <v>194</v>
      </c>
      <c r="B45" s="184" t="s">
        <v>265</v>
      </c>
      <c r="C45" s="184" t="s">
        <v>266</v>
      </c>
      <c r="D45" s="184" t="s">
        <v>267</v>
      </c>
      <c r="E45" s="184" t="s">
        <v>268</v>
      </c>
      <c r="F45" s="184" t="s">
        <v>269</v>
      </c>
      <c r="G45" s="184" t="s">
        <v>270</v>
      </c>
      <c r="H45" s="184" t="s">
        <v>271</v>
      </c>
      <c r="I45" s="194" t="s">
        <v>272</v>
      </c>
    </row>
    <row r="46" spans="1:9">
      <c r="A46" s="153" t="s">
        <v>173</v>
      </c>
      <c r="B46" s="185">
        <v>780.16700000000003</v>
      </c>
      <c r="C46" s="185">
        <v>-108.65864000000002</v>
      </c>
      <c r="D46" s="185">
        <v>0.42599999999999999</v>
      </c>
      <c r="E46" s="186">
        <f>Vykony!N3</f>
        <v>0.85905185968144915</v>
      </c>
      <c r="F46" s="187">
        <f>SUM(B46:D46)*E46</f>
        <v>577.22646154186441</v>
      </c>
      <c r="G46" s="131">
        <f>F46/F$53</f>
        <v>0.17653690860464333</v>
      </c>
      <c r="H46" s="188">
        <f>G46*$J$12</f>
        <v>309907.4828755224</v>
      </c>
      <c r="I46" s="195">
        <f>H22+H34+H46</f>
        <v>4839956.9603035524</v>
      </c>
    </row>
    <row r="47" spans="1:9">
      <c r="A47" s="153" t="s">
        <v>174</v>
      </c>
      <c r="B47" s="185">
        <v>1336.2524999999998</v>
      </c>
      <c r="C47" s="185">
        <v>-36.092975000000003</v>
      </c>
      <c r="D47" s="185">
        <v>0</v>
      </c>
      <c r="E47" s="186">
        <f>Vykony!N4</f>
        <v>1.6193141164150675</v>
      </c>
      <c r="F47" s="187">
        <f t="shared" ref="F47:F52" si="8">SUM(B47:D47)*E47</f>
        <v>2105.3666724240084</v>
      </c>
      <c r="G47" s="131">
        <f t="shared" ref="G47:G51" si="9">F47/F$53</f>
        <v>0.64389793017488473</v>
      </c>
      <c r="H47" s="188">
        <f t="shared" ref="H47:H52" si="10">G47*$J$12</f>
        <v>1130351.6547701051</v>
      </c>
      <c r="I47" s="195">
        <f t="shared" ref="I47:I52" si="11">H23+H35+H47</f>
        <v>2210377.466641116</v>
      </c>
    </row>
    <row r="48" spans="1:9">
      <c r="A48" s="153" t="s">
        <v>175</v>
      </c>
      <c r="B48" s="185">
        <v>162.80000000000001</v>
      </c>
      <c r="C48" s="185">
        <v>-5.6466666666666665</v>
      </c>
      <c r="D48" s="185">
        <v>0</v>
      </c>
      <c r="E48" s="186">
        <f>Vykony!N5</f>
        <v>0.86091751360706104</v>
      </c>
      <c r="F48" s="187">
        <f t="shared" si="8"/>
        <v>135.29605698839501</v>
      </c>
      <c r="G48" s="131">
        <f t="shared" si="9"/>
        <v>4.1378469696848122E-2</v>
      </c>
      <c r="H48" s="188">
        <f t="shared" si="10"/>
        <v>72639.186277526082</v>
      </c>
      <c r="I48" s="195">
        <f t="shared" si="11"/>
        <v>525946.04188183765</v>
      </c>
    </row>
    <row r="49" spans="1:9">
      <c r="A49" s="153" t="s">
        <v>176</v>
      </c>
      <c r="B49" s="185">
        <v>39.6</v>
      </c>
      <c r="C49" s="185">
        <v>-2.8233333333333333</v>
      </c>
      <c r="D49" s="185">
        <v>1.5620000000000003</v>
      </c>
      <c r="E49" s="186">
        <f>Vykony!N6</f>
        <v>0.68504056665069468</v>
      </c>
      <c r="F49" s="187">
        <f t="shared" si="8"/>
        <v>26.263541937965435</v>
      </c>
      <c r="G49" s="131">
        <f t="shared" si="9"/>
        <v>8.0323491933339784E-3</v>
      </c>
      <c r="H49" s="188">
        <f t="shared" si="10"/>
        <v>14100.649772100362</v>
      </c>
      <c r="I49" s="195">
        <f t="shared" si="11"/>
        <v>343383.75518740946</v>
      </c>
    </row>
    <row r="50" spans="1:9">
      <c r="A50" s="153" t="s">
        <v>177</v>
      </c>
      <c r="B50" s="185">
        <v>284.16666666666669</v>
      </c>
      <c r="C50" s="185">
        <v>-0.58666666666666667</v>
      </c>
      <c r="D50" s="185">
        <v>147.93028166666667</v>
      </c>
      <c r="E50" s="186">
        <f>Vykony!N7</f>
        <v>0.98062168983323961</v>
      </c>
      <c r="F50" s="187">
        <f t="shared" si="8"/>
        <v>423.14834158838391</v>
      </c>
      <c r="G50" s="131">
        <f t="shared" si="9"/>
        <v>0.12941419890151221</v>
      </c>
      <c r="H50" s="188">
        <f t="shared" si="10"/>
        <v>227184.38284052379</v>
      </c>
      <c r="I50" s="195">
        <f t="shared" si="11"/>
        <v>1261353.2371761429</v>
      </c>
    </row>
    <row r="51" spans="1:9">
      <c r="A51" s="153" t="s">
        <v>178</v>
      </c>
      <c r="B51" s="185">
        <v>0</v>
      </c>
      <c r="C51" s="185">
        <v>0</v>
      </c>
      <c r="D51" s="185">
        <v>3.8899999999999997</v>
      </c>
      <c r="E51" s="186">
        <f>Vykony!N8</f>
        <v>0.62212406518146435</v>
      </c>
      <c r="F51" s="187">
        <f t="shared" si="8"/>
        <v>2.420062613555896</v>
      </c>
      <c r="G51" s="131">
        <f t="shared" si="9"/>
        <v>7.40143428777729E-4</v>
      </c>
      <c r="H51" s="188">
        <f t="shared" si="10"/>
        <v>1299.3089591993194</v>
      </c>
      <c r="I51" s="195">
        <f t="shared" si="11"/>
        <v>273421.75617179577</v>
      </c>
    </row>
    <row r="52" spans="1:9">
      <c r="A52" s="153" t="s">
        <v>179</v>
      </c>
      <c r="B52" s="185"/>
      <c r="C52" s="185">
        <v>0</v>
      </c>
      <c r="D52" s="185">
        <v>0</v>
      </c>
      <c r="E52" s="186">
        <f>Vykony!N9</f>
        <v>0.98991141238081348</v>
      </c>
      <c r="F52" s="187">
        <f t="shared" si="8"/>
        <v>0</v>
      </c>
      <c r="G52" s="131"/>
      <c r="H52" s="188">
        <f t="shared" si="10"/>
        <v>0</v>
      </c>
      <c r="I52" s="195">
        <f t="shared" si="11"/>
        <v>0</v>
      </c>
    </row>
    <row r="53" spans="1:9">
      <c r="A53" s="153" t="s">
        <v>203</v>
      </c>
      <c r="B53" s="189">
        <f>SUM(B46:B52)</f>
        <v>2602.9861666666666</v>
      </c>
      <c r="C53" s="190">
        <f>SUM(C46:C52)</f>
        <v>-153.80828166666669</v>
      </c>
      <c r="D53" s="190">
        <f>SUM(D46:D52)</f>
        <v>153.80828166666666</v>
      </c>
      <c r="E53" s="193">
        <f>Vykony!N10</f>
        <v>1.0383645934579606</v>
      </c>
      <c r="F53" s="189">
        <f t="shared" ref="F53:H53" si="12">SUM(F46:F52)</f>
        <v>3269.7211370941727</v>
      </c>
      <c r="G53" s="196">
        <f t="shared" si="12"/>
        <v>1</v>
      </c>
      <c r="H53" s="188">
        <f t="shared" si="12"/>
        <v>1755482.6654949773</v>
      </c>
      <c r="I53" s="195">
        <f t="shared" ref="I53" si="13">SUM(I46:I52)</f>
        <v>9454439.2173618544</v>
      </c>
    </row>
    <row r="54" spans="1:9">
      <c r="A54" s="34" t="s">
        <v>253</v>
      </c>
      <c r="B54" s="60">
        <f>C54+D54</f>
        <v>2602.9861666666666</v>
      </c>
      <c r="C54" s="88">
        <v>1973.0828333333336</v>
      </c>
      <c r="D54" s="88">
        <v>629.90333333333319</v>
      </c>
      <c r="E54" s="60"/>
    </row>
    <row r="55" spans="1:9">
      <c r="A55" s="34"/>
      <c r="B55" s="65" t="s">
        <v>216</v>
      </c>
      <c r="C55" s="89" t="s">
        <v>254</v>
      </c>
      <c r="D55" s="89" t="s">
        <v>255</v>
      </c>
      <c r="E55" s="1" t="s">
        <v>273</v>
      </c>
    </row>
    <row r="56" spans="1:9">
      <c r="A56" s="316" t="s">
        <v>274</v>
      </c>
      <c r="B56" s="316"/>
      <c r="C56" s="316"/>
      <c r="D56" s="1" t="str">
        <f>"na základe výkonov v AiS2 za kalendárny rok "&amp;Rok-2&amp;" (pozri samostatný súbor)"</f>
        <v>na základe výkonov v AiS2 za kalendárny rok 2021 (pozri samostatný súbor)</v>
      </c>
      <c r="F56" s="49"/>
    </row>
    <row r="58" spans="1:9">
      <c r="A58" s="7"/>
      <c r="B58" s="7"/>
    </row>
    <row r="59" spans="1:9">
      <c r="A59" s="285" t="s">
        <v>275</v>
      </c>
      <c r="B59" s="285"/>
      <c r="C59" s="285"/>
      <c r="D59" s="285"/>
    </row>
    <row r="60" spans="1:9" ht="31.15">
      <c r="A60" s="151" t="s">
        <v>194</v>
      </c>
      <c r="B60" s="151" t="s">
        <v>276</v>
      </c>
      <c r="C60" s="151" t="s">
        <v>277</v>
      </c>
      <c r="D60" s="194" t="s">
        <v>278</v>
      </c>
    </row>
    <row r="61" spans="1:9">
      <c r="A61" s="153" t="s">
        <v>173</v>
      </c>
      <c r="B61" s="197">
        <f>Vykony!G17</f>
        <v>0.23370720888574176</v>
      </c>
      <c r="C61" s="197">
        <f>Vykony!C17</f>
        <v>0</v>
      </c>
      <c r="D61" s="195">
        <f t="shared" ref="D61:D67" si="14">B61*G$16+C61*G$17</f>
        <v>444517.87290423433</v>
      </c>
    </row>
    <row r="62" spans="1:9">
      <c r="A62" s="153" t="s">
        <v>174</v>
      </c>
      <c r="B62" s="197">
        <f>Vykony!G18</f>
        <v>0.44068250392856684</v>
      </c>
      <c r="C62" s="197">
        <f>Vykony!C18</f>
        <v>0</v>
      </c>
      <c r="D62" s="195">
        <f t="shared" si="14"/>
        <v>838190.8722730442</v>
      </c>
    </row>
    <row r="63" spans="1:9">
      <c r="A63" s="153" t="s">
        <v>175</v>
      </c>
      <c r="B63" s="197">
        <f>Vykony!G19</f>
        <v>9.079591174273477E-2</v>
      </c>
      <c r="C63" s="197">
        <f>Vykony!C19</f>
        <v>0</v>
      </c>
      <c r="D63" s="195">
        <f t="shared" si="14"/>
        <v>172696.4510367887</v>
      </c>
    </row>
    <row r="64" spans="1:9">
      <c r="A64" s="153" t="s">
        <v>176</v>
      </c>
      <c r="B64" s="197">
        <f>Vykony!G20</f>
        <v>2.7440021856901586E-2</v>
      </c>
      <c r="C64" s="197">
        <f>Vykony!C20</f>
        <v>0</v>
      </c>
      <c r="D64" s="195">
        <f t="shared" si="14"/>
        <v>52191.715464964218</v>
      </c>
    </row>
    <row r="65" spans="1:7">
      <c r="A65" s="153" t="s">
        <v>177</v>
      </c>
      <c r="B65" s="197">
        <f>Vykony!G21</f>
        <v>0.1468946606582279</v>
      </c>
      <c r="C65" s="197">
        <f>Vykony!C21</f>
        <v>0</v>
      </c>
      <c r="D65" s="195">
        <f t="shared" si="14"/>
        <v>279397.89451984037</v>
      </c>
    </row>
    <row r="66" spans="1:7">
      <c r="A66" s="153" t="s">
        <v>178</v>
      </c>
      <c r="B66" s="197">
        <f>Vykony!G22</f>
        <v>1.017631720736375E-2</v>
      </c>
      <c r="C66" s="197">
        <f>Vykony!C22</f>
        <v>0</v>
      </c>
      <c r="D66" s="195">
        <f t="shared" si="14"/>
        <v>19355.64974903121</v>
      </c>
    </row>
    <row r="67" spans="1:7">
      <c r="A67" s="153" t="s">
        <v>179</v>
      </c>
      <c r="B67" s="197">
        <f>Vykony!G23</f>
        <v>5.0303375720463436E-2</v>
      </c>
      <c r="C67" s="197">
        <f>Vykony!C24</f>
        <v>0</v>
      </c>
      <c r="D67" s="195">
        <f t="shared" si="14"/>
        <v>95678.475994700566</v>
      </c>
    </row>
    <row r="68" spans="1:7">
      <c r="A68" s="153" t="s">
        <v>203</v>
      </c>
      <c r="B68" s="198">
        <f>SUM(B61:B67)</f>
        <v>1</v>
      </c>
      <c r="C68" s="198">
        <f>SUM(C61:C67)</f>
        <v>0</v>
      </c>
      <c r="D68" s="199">
        <f>SUM(D61:D67)</f>
        <v>1902028.9319426038</v>
      </c>
    </row>
    <row r="70" spans="1:7">
      <c r="A70" s="79" t="s">
        <v>279</v>
      </c>
      <c r="B70" s="79"/>
      <c r="C70" s="79"/>
      <c r="D70" s="79"/>
      <c r="G70" s="79" t="s">
        <v>280</v>
      </c>
    </row>
    <row r="71" spans="1:7">
      <c r="A71" s="200" t="s">
        <v>194</v>
      </c>
      <c r="B71" s="200" t="s">
        <v>281</v>
      </c>
      <c r="C71" s="200" t="s">
        <v>282</v>
      </c>
      <c r="D71" s="200" t="s">
        <v>283</v>
      </c>
      <c r="E71" s="200" t="s">
        <v>284</v>
      </c>
      <c r="F71" s="201" t="s">
        <v>285</v>
      </c>
      <c r="G71" s="201" t="s">
        <v>285</v>
      </c>
    </row>
    <row r="72" spans="1:7">
      <c r="A72" s="159" t="s">
        <v>173</v>
      </c>
      <c r="B72" s="202">
        <v>3</v>
      </c>
      <c r="C72" s="202">
        <v>40</v>
      </c>
      <c r="D72" s="202"/>
      <c r="E72" s="202">
        <v>59</v>
      </c>
      <c r="F72" s="203">
        <f>SUMPRODUCT(B72:E72,B$80:E$80)*12</f>
        <v>351600</v>
      </c>
      <c r="G72" s="203"/>
    </row>
    <row r="73" spans="1:7">
      <c r="A73" s="159" t="s">
        <v>174</v>
      </c>
      <c r="B73" s="202">
        <v>12</v>
      </c>
      <c r="C73" s="202">
        <v>17</v>
      </c>
      <c r="D73" s="202">
        <v>1</v>
      </c>
      <c r="E73" s="202">
        <v>67</v>
      </c>
      <c r="F73" s="203">
        <f t="shared" ref="F73:F79" si="15">SUMPRODUCT(B73:E73,B$80:E$80)*12</f>
        <v>318000</v>
      </c>
      <c r="G73" s="203"/>
    </row>
    <row r="74" spans="1:7">
      <c r="A74" s="159" t="s">
        <v>175</v>
      </c>
      <c r="B74" s="202"/>
      <c r="C74" s="202">
        <v>8</v>
      </c>
      <c r="D74" s="202"/>
      <c r="E74" s="202">
        <v>19</v>
      </c>
      <c r="F74" s="203">
        <f t="shared" si="15"/>
        <v>84000</v>
      </c>
      <c r="G74" s="203">
        <v>200000</v>
      </c>
    </row>
    <row r="75" spans="1:7">
      <c r="A75" s="159" t="s">
        <v>176</v>
      </c>
      <c r="B75" s="202"/>
      <c r="C75" s="202">
        <v>3</v>
      </c>
      <c r="D75" s="202"/>
      <c r="E75" s="202">
        <v>12</v>
      </c>
      <c r="F75" s="203">
        <f t="shared" si="15"/>
        <v>43200</v>
      </c>
      <c r="G75" s="203">
        <v>100000</v>
      </c>
    </row>
    <row r="76" spans="1:7">
      <c r="A76" s="159" t="s">
        <v>177</v>
      </c>
      <c r="B76" s="202">
        <v>3</v>
      </c>
      <c r="C76" s="202">
        <v>18</v>
      </c>
      <c r="D76" s="202">
        <v>1</v>
      </c>
      <c r="E76" s="202">
        <v>36</v>
      </c>
      <c r="F76" s="203">
        <f t="shared" si="15"/>
        <v>194400</v>
      </c>
      <c r="G76" s="203">
        <v>50000</v>
      </c>
    </row>
    <row r="77" spans="1:7">
      <c r="A77" s="159" t="s">
        <v>178</v>
      </c>
      <c r="B77" s="202"/>
      <c r="C77" s="202">
        <v>1</v>
      </c>
      <c r="D77" s="202"/>
      <c r="E77" s="202">
        <v>4</v>
      </c>
      <c r="F77" s="203">
        <f t="shared" si="15"/>
        <v>14400</v>
      </c>
      <c r="G77" s="203"/>
    </row>
    <row r="78" spans="1:7">
      <c r="A78" s="159" t="s">
        <v>179</v>
      </c>
      <c r="B78" s="202">
        <v>2</v>
      </c>
      <c r="C78" s="202"/>
      <c r="D78" s="202"/>
      <c r="E78" s="202"/>
      <c r="F78" s="203">
        <f t="shared" si="15"/>
        <v>12000</v>
      </c>
      <c r="G78" s="203"/>
    </row>
    <row r="79" spans="1:7">
      <c r="A79" s="159" t="s">
        <v>203</v>
      </c>
      <c r="B79" s="202">
        <f>SUM(B72:B78)</f>
        <v>20</v>
      </c>
      <c r="C79" s="202">
        <f t="shared" ref="C79:E79" si="16">SUM(C72:C78)</f>
        <v>87</v>
      </c>
      <c r="D79" s="202">
        <f t="shared" si="16"/>
        <v>2</v>
      </c>
      <c r="E79" s="202">
        <f t="shared" si="16"/>
        <v>197</v>
      </c>
      <c r="F79" s="203">
        <f t="shared" si="15"/>
        <v>1017600</v>
      </c>
      <c r="G79" s="203">
        <f>SUM(G72:G78)</f>
        <v>350000</v>
      </c>
    </row>
    <row r="80" spans="1:7">
      <c r="A80" s="49"/>
      <c r="B80" s="110">
        <f>VstupyUPJS!B8</f>
        <v>500</v>
      </c>
      <c r="C80" s="110">
        <f>VstupyUPJS!B7</f>
        <v>400</v>
      </c>
      <c r="D80" s="110">
        <f>VstupyUPJS!B6</f>
        <v>300</v>
      </c>
      <c r="E80" s="110">
        <f>VstupyUPJS!B5</f>
        <v>200</v>
      </c>
      <c r="F80" s="110"/>
      <c r="G80" s="49"/>
    </row>
  </sheetData>
  <sortState xmlns:xlrd2="http://schemas.microsoft.com/office/spreadsheetml/2017/richdata2" ref="A50:F55">
    <sortCondition ref="A50:A55"/>
  </sortState>
  <mergeCells count="20">
    <mergeCell ref="A59:D59"/>
    <mergeCell ref="A16:D16"/>
    <mergeCell ref="A17:D17"/>
    <mergeCell ref="A44:D44"/>
    <mergeCell ref="A56:C56"/>
    <mergeCell ref="A20:D20"/>
    <mergeCell ref="A9:D9"/>
    <mergeCell ref="A1:D1"/>
    <mergeCell ref="A2:D2"/>
    <mergeCell ref="A15:D15"/>
    <mergeCell ref="A12:D12"/>
    <mergeCell ref="A13:D13"/>
    <mergeCell ref="A3:D3"/>
    <mergeCell ref="A4:D4"/>
    <mergeCell ref="A7:D7"/>
    <mergeCell ref="A8:D8"/>
    <mergeCell ref="A11:D11"/>
    <mergeCell ref="A5:D5"/>
    <mergeCell ref="A6:D6"/>
    <mergeCell ref="A10:D10"/>
  </mergeCells>
  <conditionalFormatting sqref="E54">
    <cfRule type="cellIs" dxfId="44" priority="24" operator="between">
      <formula>E53-0.9</formula>
      <formula>E53+0.9</formula>
    </cfRule>
  </conditionalFormatting>
  <conditionalFormatting sqref="B54">
    <cfRule type="cellIs" dxfId="43" priority="25" operator="between">
      <formula>B53-0.9</formula>
      <formula>B53+0.9</formula>
    </cfRule>
  </conditionalFormatting>
  <conditionalFormatting sqref="B55">
    <cfRule type="cellIs" dxfId="42" priority="22" operator="between">
      <formula>B54-0.9</formula>
      <formula>B54+0.9</formula>
    </cfRule>
  </conditionalFormatting>
  <conditionalFormatting sqref="C54">
    <cfRule type="cellIs" dxfId="41" priority="17" operator="between">
      <formula>C53-0.9</formula>
      <formula>C53+0.9</formula>
    </cfRule>
  </conditionalFormatting>
  <conditionalFormatting sqref="D54">
    <cfRule type="cellIs" dxfId="40" priority="16" operator="between">
      <formula>D53-0.9</formula>
      <formula>D53+0.9</formula>
    </cfRule>
  </conditionalFormatting>
  <conditionalFormatting sqref="B31:B32">
    <cfRule type="cellIs" dxfId="39" priority="8" operator="between">
      <formula>B30-0.9</formula>
      <formula>B30+0.9</formula>
    </cfRule>
  </conditionalFormatting>
  <conditionalFormatting sqref="B30">
    <cfRule type="cellIs" dxfId="38" priority="7" operator="between">
      <formula>B29-0.9</formula>
      <formula>B29+0.9</formula>
    </cfRule>
  </conditionalFormatting>
  <conditionalFormatting sqref="C30">
    <cfRule type="cellIs" dxfId="37" priority="6" operator="between">
      <formula>C29-0.9</formula>
      <formula>C29+0.9</formula>
    </cfRule>
  </conditionalFormatting>
  <conditionalFormatting sqref="D30">
    <cfRule type="cellIs" dxfId="36" priority="5" operator="between">
      <formula>D29-0.9</formula>
      <formula>D29+0.9</formula>
    </cfRule>
  </conditionalFormatting>
  <conditionalFormatting sqref="B43">
    <cfRule type="cellIs" dxfId="35" priority="4" operator="between">
      <formula>B42-0.9</formula>
      <formula>B42+0.9</formula>
    </cfRule>
  </conditionalFormatting>
  <conditionalFormatting sqref="B42">
    <cfRule type="cellIs" dxfId="34" priority="3" operator="between">
      <formula>B41-0.9</formula>
      <formula>B41+0.9</formula>
    </cfRule>
  </conditionalFormatting>
  <conditionalFormatting sqref="C42">
    <cfRule type="cellIs" dxfId="33" priority="2" operator="between">
      <formula>C41-0.9</formula>
      <formula>C41+0.9</formula>
    </cfRule>
  </conditionalFormatting>
  <conditionalFormatting sqref="D42">
    <cfRule type="cellIs" dxfId="32" priority="1" operator="between">
      <formula>D41-0.9</formula>
      <formula>D41+0.9</formula>
    </cfRule>
  </conditionalFormatting>
  <pageMargins left="0.31496062992125984" right="0.31496062992125984" top="0.74803149606299213" bottom="0.55118110236220474" header="0.31496062992125984" footer="0.31496062992125984"/>
  <pageSetup paperSize="9" scale="61" orientation="portrait" r:id="rId1"/>
  <headerFooter scaleWithDoc="0"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66"/>
  <sheetViews>
    <sheetView topLeftCell="A43" zoomScaleNormal="100" workbookViewId="0">
      <selection activeCell="E35" sqref="E35"/>
    </sheetView>
  </sheetViews>
  <sheetFormatPr defaultColWidth="14.28515625" defaultRowHeight="15.6"/>
  <cols>
    <col min="1" max="8" width="17.140625" style="1" customWidth="1"/>
    <col min="9" max="16384" width="14.28515625" style="1"/>
  </cols>
  <sheetData>
    <row r="1" spans="1:7">
      <c r="A1" s="304" t="s">
        <v>286</v>
      </c>
      <c r="B1" s="304"/>
      <c r="C1" s="304"/>
      <c r="D1" s="304"/>
    </row>
    <row r="2" spans="1:7">
      <c r="A2" s="329" t="s">
        <v>287</v>
      </c>
      <c r="B2" s="329"/>
      <c r="C2" s="329"/>
      <c r="D2" s="329"/>
      <c r="E2" s="178">
        <f>VstupySR!B11</f>
        <v>3815686</v>
      </c>
      <c r="F2" s="171"/>
    </row>
    <row r="3" spans="1:7">
      <c r="A3" s="329" t="str">
        <f>"Zvýšenie o úpravu bežnej dotácie z decembra "&amp;Rok-1</f>
        <v>Zvýšenie o úpravu bežnej dotácie z decembra 2022</v>
      </c>
      <c r="B3" s="329"/>
      <c r="C3" s="329"/>
      <c r="D3" s="329"/>
      <c r="E3" s="204">
        <f>VstupyUPJS!B12</f>
        <v>44422</v>
      </c>
      <c r="F3" s="171"/>
    </row>
    <row r="4" spans="1:7">
      <c r="A4" s="312" t="s">
        <v>288</v>
      </c>
      <c r="B4" s="312"/>
      <c r="C4" s="312"/>
      <c r="D4" s="312"/>
      <c r="E4" s="199">
        <f>VstupySR!B36</f>
        <v>324695</v>
      </c>
      <c r="F4" s="173"/>
    </row>
    <row r="5" spans="1:7">
      <c r="A5" s="330" t="s">
        <v>289</v>
      </c>
      <c r="B5" s="331"/>
      <c r="C5" s="331"/>
      <c r="D5" s="332"/>
      <c r="E5" s="168">
        <f>E2+E3-SUM(E4:E4)</f>
        <v>3535413</v>
      </c>
      <c r="F5" s="198"/>
    </row>
    <row r="6" spans="1:7">
      <c r="A6" s="312" t="s">
        <v>290</v>
      </c>
      <c r="B6" s="312"/>
      <c r="C6" s="312"/>
      <c r="D6" s="312"/>
      <c r="E6" s="195">
        <f>ROUND(E5*F6,0)</f>
        <v>176771</v>
      </c>
      <c r="F6" s="174">
        <f>VstupyUPJS!B13</f>
        <v>0.05</v>
      </c>
    </row>
    <row r="7" spans="1:7">
      <c r="A7" s="312" t="s">
        <v>209</v>
      </c>
      <c r="B7" s="312"/>
      <c r="C7" s="312"/>
      <c r="D7" s="312"/>
      <c r="E7" s="203">
        <v>1450000</v>
      </c>
      <c r="F7" s="174"/>
    </row>
    <row r="8" spans="1:7">
      <c r="A8" s="310" t="s">
        <v>291</v>
      </c>
      <c r="B8" s="310"/>
      <c r="C8" s="310"/>
      <c r="D8" s="310"/>
      <c r="E8" s="205">
        <f>E13</f>
        <v>1188000</v>
      </c>
      <c r="F8" s="198"/>
    </row>
    <row r="9" spans="1:7">
      <c r="A9" s="310" t="s">
        <v>292</v>
      </c>
      <c r="B9" s="310"/>
      <c r="C9" s="310"/>
      <c r="D9" s="310"/>
      <c r="E9" s="205">
        <f>E5-SUM(E6:E8)</f>
        <v>720642</v>
      </c>
      <c r="F9" s="198"/>
    </row>
    <row r="10" spans="1:7">
      <c r="A10" s="312" t="s">
        <v>293</v>
      </c>
      <c r="B10" s="312"/>
      <c r="C10" s="312"/>
      <c r="D10" s="312"/>
      <c r="E10" s="195">
        <f>ROUND(E9*F10,0)</f>
        <v>108096</v>
      </c>
      <c r="F10" s="174">
        <f>VstupyUPJS!B14</f>
        <v>0.15</v>
      </c>
    </row>
    <row r="11" spans="1:7">
      <c r="A11" s="310" t="s">
        <v>294</v>
      </c>
      <c r="B11" s="310"/>
      <c r="C11" s="310"/>
      <c r="D11" s="310"/>
      <c r="E11" s="205">
        <f>E9-E10</f>
        <v>612546</v>
      </c>
      <c r="F11" s="198"/>
    </row>
    <row r="12" spans="1:7">
      <c r="G12" s="1" t="s">
        <v>295</v>
      </c>
    </row>
    <row r="13" spans="1:7">
      <c r="A13" s="334" t="s">
        <v>291</v>
      </c>
      <c r="B13" s="334"/>
      <c r="C13" s="334"/>
      <c r="D13" s="334"/>
      <c r="E13" s="168">
        <f>SUM(E14:E40)</f>
        <v>1188000</v>
      </c>
      <c r="G13" s="168">
        <f>SUM(G14:G40)</f>
        <v>1055000</v>
      </c>
    </row>
    <row r="14" spans="1:7" s="44" customFormat="1" ht="14.45">
      <c r="A14" s="320" t="s">
        <v>296</v>
      </c>
      <c r="B14" s="320"/>
      <c r="C14" s="320"/>
      <c r="D14" s="320"/>
      <c r="E14" s="206">
        <v>30000</v>
      </c>
      <c r="G14" s="207">
        <v>30000</v>
      </c>
    </row>
    <row r="15" spans="1:7" s="44" customFormat="1" ht="14.45">
      <c r="A15" s="320" t="s">
        <v>297</v>
      </c>
      <c r="B15" s="320"/>
      <c r="C15" s="320"/>
      <c r="D15" s="320"/>
      <c r="E15" s="206">
        <v>7000</v>
      </c>
      <c r="G15" s="207">
        <v>7000</v>
      </c>
    </row>
    <row r="16" spans="1:7" s="44" customFormat="1" ht="14.45">
      <c r="A16" s="320" t="s">
        <v>298</v>
      </c>
      <c r="B16" s="320"/>
      <c r="C16" s="320"/>
      <c r="D16" s="320"/>
      <c r="E16" s="206">
        <v>94000</v>
      </c>
      <c r="G16" s="207">
        <v>94000</v>
      </c>
    </row>
    <row r="17" spans="1:7" s="44" customFormat="1" ht="45" customHeight="1">
      <c r="A17" s="321" t="s">
        <v>299</v>
      </c>
      <c r="B17" s="322"/>
      <c r="C17" s="322"/>
      <c r="D17" s="323"/>
      <c r="E17" s="206">
        <v>73000</v>
      </c>
      <c r="G17" s="207">
        <v>73000</v>
      </c>
    </row>
    <row r="18" spans="1:7" s="44" customFormat="1" ht="14.45">
      <c r="A18" s="320" t="s">
        <v>300</v>
      </c>
      <c r="B18" s="320"/>
      <c r="C18" s="320"/>
      <c r="D18" s="320"/>
      <c r="E18" s="206">
        <v>22000</v>
      </c>
      <c r="G18" s="207">
        <v>22000</v>
      </c>
    </row>
    <row r="19" spans="1:7" s="44" customFormat="1" ht="14.45">
      <c r="A19" s="320" t="s">
        <v>301</v>
      </c>
      <c r="B19" s="320"/>
      <c r="C19" s="320"/>
      <c r="D19" s="320"/>
      <c r="E19" s="206">
        <v>100000</v>
      </c>
      <c r="G19" s="207">
        <v>100000</v>
      </c>
    </row>
    <row r="20" spans="1:7" s="44" customFormat="1" ht="30.75" customHeight="1">
      <c r="A20" s="333" t="s">
        <v>302</v>
      </c>
      <c r="B20" s="333"/>
      <c r="C20" s="333"/>
      <c r="D20" s="333"/>
      <c r="E20" s="208">
        <v>35000</v>
      </c>
      <c r="G20" s="207">
        <v>21000</v>
      </c>
    </row>
    <row r="21" spans="1:7" s="44" customFormat="1" ht="14.45">
      <c r="A21" s="320" t="s">
        <v>303</v>
      </c>
      <c r="B21" s="320"/>
      <c r="C21" s="320"/>
      <c r="D21" s="320"/>
      <c r="E21" s="206">
        <v>4000</v>
      </c>
      <c r="G21" s="207">
        <v>4000</v>
      </c>
    </row>
    <row r="22" spans="1:7" s="44" customFormat="1" ht="14.45">
      <c r="A22" s="320" t="s">
        <v>304</v>
      </c>
      <c r="B22" s="320"/>
      <c r="C22" s="320"/>
      <c r="D22" s="320"/>
      <c r="E22" s="206">
        <v>8000</v>
      </c>
      <c r="G22" s="207">
        <v>8000</v>
      </c>
    </row>
    <row r="23" spans="1:7" s="44" customFormat="1" ht="14.45">
      <c r="A23" s="320" t="s">
        <v>305</v>
      </c>
      <c r="B23" s="320"/>
      <c r="C23" s="320"/>
      <c r="D23" s="320"/>
      <c r="E23" s="206">
        <v>4500</v>
      </c>
      <c r="G23" s="207">
        <v>4500</v>
      </c>
    </row>
    <row r="24" spans="1:7" s="44" customFormat="1" ht="14.45">
      <c r="A24" s="320" t="s">
        <v>306</v>
      </c>
      <c r="B24" s="320"/>
      <c r="C24" s="320"/>
      <c r="D24" s="320"/>
      <c r="E24" s="208">
        <v>45000</v>
      </c>
      <c r="G24" s="207">
        <v>41000</v>
      </c>
    </row>
    <row r="25" spans="1:7" s="44" customFormat="1" ht="14.45">
      <c r="A25" s="320" t="s">
        <v>307</v>
      </c>
      <c r="B25" s="320"/>
      <c r="C25" s="320"/>
      <c r="D25" s="320"/>
      <c r="E25" s="208">
        <v>0</v>
      </c>
      <c r="G25" s="207">
        <v>18000</v>
      </c>
    </row>
    <row r="26" spans="1:7" s="44" customFormat="1" ht="14.45">
      <c r="A26" s="327" t="s">
        <v>308</v>
      </c>
      <c r="B26" s="327"/>
      <c r="C26" s="327"/>
      <c r="D26" s="327"/>
      <c r="E26" s="208">
        <v>15000</v>
      </c>
      <c r="G26" s="207">
        <v>0</v>
      </c>
    </row>
    <row r="27" spans="1:7" s="44" customFormat="1" ht="14.45" customHeight="1">
      <c r="A27" s="321" t="s">
        <v>309</v>
      </c>
      <c r="B27" s="318"/>
      <c r="C27" s="318"/>
      <c r="D27" s="319"/>
      <c r="E27" s="206">
        <v>12500</v>
      </c>
      <c r="G27" s="207">
        <v>12500</v>
      </c>
    </row>
    <row r="28" spans="1:7" s="44" customFormat="1" ht="14.45">
      <c r="A28" s="320" t="s">
        <v>310</v>
      </c>
      <c r="B28" s="320"/>
      <c r="C28" s="320"/>
      <c r="D28" s="320"/>
      <c r="E28" s="206">
        <v>40000</v>
      </c>
      <c r="G28" s="207">
        <v>40000</v>
      </c>
    </row>
    <row r="29" spans="1:7" s="44" customFormat="1" ht="14.45">
      <c r="A29" s="320" t="s">
        <v>311</v>
      </c>
      <c r="B29" s="320"/>
      <c r="C29" s="320"/>
      <c r="D29" s="320"/>
      <c r="E29" s="206">
        <v>15000</v>
      </c>
      <c r="G29" s="207">
        <v>15000</v>
      </c>
    </row>
    <row r="30" spans="1:7" s="44" customFormat="1" ht="14.45">
      <c r="A30" s="320" t="s">
        <v>312</v>
      </c>
      <c r="B30" s="320"/>
      <c r="C30" s="320"/>
      <c r="D30" s="320"/>
      <c r="E30" s="206">
        <v>10000</v>
      </c>
      <c r="G30" s="207">
        <v>10000</v>
      </c>
    </row>
    <row r="31" spans="1:7" s="44" customFormat="1" ht="14.45">
      <c r="A31" s="320" t="s">
        <v>313</v>
      </c>
      <c r="B31" s="320"/>
      <c r="C31" s="320"/>
      <c r="D31" s="320"/>
      <c r="E31" s="206">
        <v>20000</v>
      </c>
      <c r="G31" s="207">
        <v>20000</v>
      </c>
    </row>
    <row r="32" spans="1:7" s="44" customFormat="1" ht="14.45">
      <c r="A32" s="320" t="s">
        <v>314</v>
      </c>
      <c r="B32" s="320"/>
      <c r="C32" s="320"/>
      <c r="D32" s="320"/>
      <c r="E32" s="206">
        <v>60000</v>
      </c>
      <c r="G32" s="207">
        <v>60000</v>
      </c>
    </row>
    <row r="33" spans="1:8" s="44" customFormat="1" ht="14.45">
      <c r="A33" s="320" t="s">
        <v>315</v>
      </c>
      <c r="B33" s="320"/>
      <c r="C33" s="320"/>
      <c r="D33" s="320"/>
      <c r="E33" s="206">
        <v>50000</v>
      </c>
      <c r="G33" s="207">
        <v>50000</v>
      </c>
    </row>
    <row r="34" spans="1:8" s="44" customFormat="1" ht="14.45">
      <c r="A34" s="317" t="s">
        <v>316</v>
      </c>
      <c r="B34" s="318"/>
      <c r="C34" s="318"/>
      <c r="D34" s="319"/>
      <c r="E34" s="206">
        <v>60000</v>
      </c>
      <c r="F34" s="66"/>
      <c r="G34" s="207">
        <v>60000</v>
      </c>
    </row>
    <row r="35" spans="1:8" s="44" customFormat="1" ht="14.45">
      <c r="A35" s="317" t="s">
        <v>317</v>
      </c>
      <c r="B35" s="318"/>
      <c r="C35" s="318"/>
      <c r="D35" s="319"/>
      <c r="E35" s="206">
        <v>300000</v>
      </c>
      <c r="F35" s="66"/>
      <c r="G35" s="207">
        <v>300000</v>
      </c>
    </row>
    <row r="36" spans="1:8" s="44" customFormat="1" ht="14.45">
      <c r="A36" s="317" t="s">
        <v>318</v>
      </c>
      <c r="B36" s="318"/>
      <c r="C36" s="318"/>
      <c r="D36" s="319"/>
      <c r="E36" s="208">
        <v>0</v>
      </c>
      <c r="F36" s="66"/>
      <c r="G36" s="207">
        <v>50000</v>
      </c>
    </row>
    <row r="37" spans="1:8" s="44" customFormat="1" ht="14.45">
      <c r="A37" s="324" t="s">
        <v>319</v>
      </c>
      <c r="B37" s="325"/>
      <c r="C37" s="325"/>
      <c r="D37" s="326"/>
      <c r="E37" s="208">
        <v>168000</v>
      </c>
      <c r="F37" s="66"/>
      <c r="G37" s="207">
        <v>0</v>
      </c>
    </row>
    <row r="38" spans="1:8" s="44" customFormat="1" ht="14.45">
      <c r="A38" s="317" t="s">
        <v>320</v>
      </c>
      <c r="B38" s="318"/>
      <c r="C38" s="318"/>
      <c r="D38" s="319"/>
      <c r="E38" s="206">
        <v>15000</v>
      </c>
      <c r="G38" s="207">
        <v>15000</v>
      </c>
    </row>
    <row r="39" spans="1:8" s="44" customFormat="1" ht="14.45"/>
    <row r="40" spans="1:8">
      <c r="A40" s="42"/>
      <c r="B40" s="42"/>
      <c r="C40" s="42"/>
      <c r="D40" s="42"/>
      <c r="E40" s="43"/>
    </row>
    <row r="41" spans="1:8">
      <c r="A41" s="308" t="s">
        <v>321</v>
      </c>
      <c r="B41" s="308"/>
      <c r="C41" s="308"/>
      <c r="D41" s="308"/>
      <c r="E41" s="178">
        <f>E11</f>
        <v>612546</v>
      </c>
      <c r="F41" s="129" t="s">
        <v>322</v>
      </c>
      <c r="G41" s="129" t="s">
        <v>239</v>
      </c>
    </row>
    <row r="42" spans="1:8">
      <c r="A42" s="310" t="s">
        <v>323</v>
      </c>
      <c r="B42" s="310"/>
      <c r="C42" s="310"/>
      <c r="D42" s="310"/>
      <c r="E42" s="205">
        <f>(E$41)*F42</f>
        <v>6777.6784133788951</v>
      </c>
      <c r="F42" s="131">
        <f>G42/SUM(G$42:G$46)</f>
        <v>1.1064766423058668E-2</v>
      </c>
      <c r="G42" s="205">
        <v>38627</v>
      </c>
      <c r="H42" s="1" t="s">
        <v>324</v>
      </c>
    </row>
    <row r="43" spans="1:8">
      <c r="A43" s="310" t="s">
        <v>325</v>
      </c>
      <c r="B43" s="310"/>
      <c r="C43" s="310"/>
      <c r="D43" s="310"/>
      <c r="E43" s="205">
        <f>(E$41)*F43</f>
        <v>28281.590192011379</v>
      </c>
      <c r="F43" s="131">
        <f>G43/SUM(G$42:G$46)</f>
        <v>4.6170557300205015E-2</v>
      </c>
      <c r="G43" s="205">
        <v>161181</v>
      </c>
      <c r="H43" s="1" t="s">
        <v>326</v>
      </c>
    </row>
    <row r="44" spans="1:8">
      <c r="A44" s="310" t="s">
        <v>327</v>
      </c>
      <c r="B44" s="310"/>
      <c r="C44" s="310"/>
      <c r="D44" s="310"/>
      <c r="E44" s="205">
        <f>(E$41)*F44</f>
        <v>74236.520349092854</v>
      </c>
      <c r="F44" s="131">
        <f>G44/SUM(G$42:G$46)</f>
        <v>0.12119338033240418</v>
      </c>
      <c r="G44" s="205">
        <v>423085</v>
      </c>
      <c r="H44" s="1" t="s">
        <v>328</v>
      </c>
    </row>
    <row r="45" spans="1:8">
      <c r="A45" s="329" t="s">
        <v>329</v>
      </c>
      <c r="B45" s="310"/>
      <c r="C45" s="310"/>
      <c r="D45" s="310"/>
      <c r="E45" s="205">
        <f>(E$41)*F45</f>
        <v>146400.8015374431</v>
      </c>
      <c r="F45" s="131">
        <f>G45/SUM(G$42:G$46)</f>
        <v>0.23900376712515156</v>
      </c>
      <c r="G45" s="205">
        <v>834360</v>
      </c>
      <c r="H45" s="1" t="s">
        <v>330</v>
      </c>
    </row>
    <row r="46" spans="1:8">
      <c r="A46" s="310" t="s">
        <v>331</v>
      </c>
      <c r="B46" s="310"/>
      <c r="C46" s="310"/>
      <c r="D46" s="310"/>
      <c r="E46" s="205">
        <f>(E$41)*F46</f>
        <v>356849.40950807382</v>
      </c>
      <c r="F46" s="131">
        <f>G46/SUM(G$42:G$46)</f>
        <v>0.58256752881918061</v>
      </c>
      <c r="G46" s="205">
        <f>G47+G48</f>
        <v>2033738</v>
      </c>
      <c r="H46" s="1" t="s">
        <v>332</v>
      </c>
    </row>
    <row r="47" spans="1:8">
      <c r="A47" s="310" t="s">
        <v>333</v>
      </c>
      <c r="B47" s="310"/>
      <c r="C47" s="310"/>
      <c r="D47" s="310"/>
      <c r="E47" s="205">
        <v>110000</v>
      </c>
      <c r="F47" s="128"/>
      <c r="G47" s="205">
        <v>120000</v>
      </c>
      <c r="H47" s="1" t="s">
        <v>334</v>
      </c>
    </row>
    <row r="48" spans="1:8">
      <c r="A48" s="310" t="s">
        <v>335</v>
      </c>
      <c r="B48" s="310"/>
      <c r="C48" s="310"/>
      <c r="D48" s="310"/>
      <c r="E48" s="205">
        <f>E46-E47</f>
        <v>246849.40950807382</v>
      </c>
      <c r="F48" s="128"/>
      <c r="G48" s="205">
        <v>1913738</v>
      </c>
      <c r="H48" s="1" t="s">
        <v>336</v>
      </c>
    </row>
    <row r="50" spans="1:8">
      <c r="A50" s="285" t="s">
        <v>337</v>
      </c>
      <c r="B50" s="285"/>
      <c r="C50" s="285"/>
      <c r="D50" s="285"/>
    </row>
    <row r="51" spans="1:8" s="11" customFormat="1" ht="62.45">
      <c r="A51" s="184" t="s">
        <v>194</v>
      </c>
      <c r="B51" s="184" t="s">
        <v>338</v>
      </c>
      <c r="C51" s="184" t="s">
        <v>339</v>
      </c>
      <c r="D51" s="184" t="s">
        <v>340</v>
      </c>
      <c r="E51" s="184" t="s">
        <v>341</v>
      </c>
      <c r="F51" s="184" t="s">
        <v>342</v>
      </c>
      <c r="G51" s="184" t="s">
        <v>343</v>
      </c>
    </row>
    <row r="52" spans="1:8">
      <c r="A52" s="153" t="s">
        <v>173</v>
      </c>
      <c r="B52" s="205">
        <v>20000</v>
      </c>
      <c r="C52" s="197">
        <f>Granty!M18</f>
        <v>0.57524417073102452</v>
      </c>
      <c r="D52" s="197">
        <f>Vykony!I54</f>
        <v>0.62262533916852636</v>
      </c>
      <c r="E52" s="197">
        <f>Vykony!G32</f>
        <v>0.64360535931790497</v>
      </c>
      <c r="F52" s="197">
        <f>Vykony!C32</f>
        <v>0.56761306654716537</v>
      </c>
      <c r="G52" s="197">
        <f>Vykony!E32</f>
        <v>0.35364232120809197</v>
      </c>
    </row>
    <row r="53" spans="1:8">
      <c r="A53" s="153" t="s">
        <v>174</v>
      </c>
      <c r="B53" s="205">
        <v>20000</v>
      </c>
      <c r="C53" s="197">
        <f>Granty!M19</f>
        <v>0.20033035725330797</v>
      </c>
      <c r="D53" s="197">
        <f>Vykony!I55</f>
        <v>0.1277921684091807</v>
      </c>
      <c r="E53" s="197">
        <f>Vykony!G33</f>
        <v>0.35639464068209503</v>
      </c>
      <c r="F53" s="197">
        <f>Vykony!C33</f>
        <v>0.17750712412774</v>
      </c>
      <c r="G53" s="197">
        <f>Vykony!E33</f>
        <v>0.19729635609586216</v>
      </c>
    </row>
    <row r="54" spans="1:8">
      <c r="A54" s="153" t="s">
        <v>175</v>
      </c>
      <c r="B54" s="205">
        <v>20000</v>
      </c>
      <c r="C54" s="197">
        <f>Granty!M20</f>
        <v>0</v>
      </c>
      <c r="D54" s="197">
        <f>Vykony!I56</f>
        <v>4.2092417164859286E-2</v>
      </c>
      <c r="E54" s="197">
        <f>Vykony!G34</f>
        <v>0</v>
      </c>
      <c r="F54" s="197">
        <f>Vykony!C34</f>
        <v>6.8327697889458125E-2</v>
      </c>
      <c r="G54" s="197">
        <f>Vykony!E34</f>
        <v>0.12661854560420424</v>
      </c>
    </row>
    <row r="55" spans="1:8">
      <c r="A55" s="153" t="s">
        <v>176</v>
      </c>
      <c r="B55" s="205">
        <v>20000</v>
      </c>
      <c r="C55" s="197">
        <f>Granty!M21</f>
        <v>0.1925226233517133</v>
      </c>
      <c r="D55" s="197">
        <f>Vykony!I57</f>
        <v>8.0055147784521524E-2</v>
      </c>
      <c r="E55" s="197">
        <f>Vykony!G35</f>
        <v>0</v>
      </c>
      <c r="F55" s="197">
        <f>Vykony!C35</f>
        <v>4.8703357230082789E-2</v>
      </c>
      <c r="G55" s="197">
        <f>Vykony!E35</f>
        <v>9.114509133504288E-2</v>
      </c>
    </row>
    <row r="56" spans="1:8">
      <c r="A56" s="153" t="s">
        <v>177</v>
      </c>
      <c r="B56" s="205">
        <v>20000</v>
      </c>
      <c r="C56" s="197">
        <f>Granty!M22</f>
        <v>3.1902848663954278E-2</v>
      </c>
      <c r="D56" s="197">
        <f>Vykony!I58</f>
        <v>0.12246260600555159</v>
      </c>
      <c r="E56" s="197">
        <f>Vykony!G36</f>
        <v>0</v>
      </c>
      <c r="F56" s="197">
        <f>Vykony!C36</f>
        <v>0.13128229672919944</v>
      </c>
      <c r="G56" s="197">
        <f>Vykony!E36</f>
        <v>0.22091366701491119</v>
      </c>
    </row>
    <row r="57" spans="1:8">
      <c r="A57" s="153" t="s">
        <v>178</v>
      </c>
      <c r="B57" s="205">
        <v>10000</v>
      </c>
      <c r="C57" s="197">
        <f>Granty!M23</f>
        <v>0</v>
      </c>
      <c r="D57" s="197">
        <f>Vykony!I59</f>
        <v>4.9723214673603649E-3</v>
      </c>
      <c r="E57" s="197">
        <f>Vykony!G37</f>
        <v>0</v>
      </c>
      <c r="F57" s="197">
        <f>Vykony!C37</f>
        <v>6.5664574763543739E-3</v>
      </c>
      <c r="G57" s="197">
        <f>Vykony!E37</f>
        <v>1.0384018741887484E-2</v>
      </c>
    </row>
    <row r="58" spans="1:8">
      <c r="A58" s="153" t="s">
        <v>203</v>
      </c>
      <c r="B58" s="205">
        <f t="shared" ref="B58:G58" si="0">SUM(B52:B57)</f>
        <v>110000</v>
      </c>
      <c r="C58" s="197">
        <f t="shared" si="0"/>
        <v>1</v>
      </c>
      <c r="D58" s="197">
        <f t="shared" si="0"/>
        <v>0.99999999999999989</v>
      </c>
      <c r="E58" s="197">
        <f t="shared" si="0"/>
        <v>1</v>
      </c>
      <c r="F58" s="197">
        <f t="shared" si="0"/>
        <v>1.0000000000000002</v>
      </c>
      <c r="G58" s="197">
        <f t="shared" si="0"/>
        <v>1</v>
      </c>
    </row>
    <row r="59" spans="1:8">
      <c r="A59" s="328" t="s">
        <v>344</v>
      </c>
      <c r="B59" s="328"/>
      <c r="C59" s="328"/>
      <c r="D59" s="328"/>
      <c r="E59" s="328"/>
      <c r="F59" s="328"/>
      <c r="G59" s="294"/>
      <c r="H59" s="194" t="s">
        <v>203</v>
      </c>
    </row>
    <row r="60" spans="1:8">
      <c r="A60" s="153" t="s">
        <v>173</v>
      </c>
      <c r="B60" s="205">
        <v>20000</v>
      </c>
      <c r="C60" s="178">
        <f t="shared" ref="C60:C65" si="1">C52*$E$42</f>
        <v>3898.8199983857085</v>
      </c>
      <c r="D60" s="178">
        <f t="shared" ref="D60:D65" si="2">D52*$E$43</f>
        <v>17608.834685526355</v>
      </c>
      <c r="E60" s="178">
        <f t="shared" ref="E60:E65" si="3">E52*$E$44</f>
        <v>47779.022353788867</v>
      </c>
      <c r="F60" s="178">
        <f t="shared" ref="F60:F65" si="4">F52*$E$45</f>
        <v>83099.007905631035</v>
      </c>
      <c r="G60" s="178">
        <f t="shared" ref="G60:G65" si="5">G52*$E$48</f>
        <v>87296.398167282066</v>
      </c>
      <c r="H60" s="199">
        <f t="shared" ref="H60:H65" si="6">SUM(B60:G60)</f>
        <v>259682.08311061404</v>
      </c>
    </row>
    <row r="61" spans="1:8">
      <c r="A61" s="153" t="s">
        <v>174</v>
      </c>
      <c r="B61" s="205">
        <v>20000</v>
      </c>
      <c r="C61" s="178">
        <f t="shared" si="1"/>
        <v>1357.7747379002276</v>
      </c>
      <c r="D61" s="178">
        <f t="shared" si="2"/>
        <v>3614.1657366969512</v>
      </c>
      <c r="E61" s="178">
        <f t="shared" si="3"/>
        <v>26457.497995303984</v>
      </c>
      <c r="F61" s="178">
        <f t="shared" si="4"/>
        <v>25987.18525090754</v>
      </c>
      <c r="G61" s="178">
        <f t="shared" si="5"/>
        <v>48702.489000358233</v>
      </c>
      <c r="H61" s="199">
        <f t="shared" si="6"/>
        <v>126119.11272116695</v>
      </c>
    </row>
    <row r="62" spans="1:8">
      <c r="A62" s="153" t="s">
        <v>175</v>
      </c>
      <c r="B62" s="205">
        <v>20000</v>
      </c>
      <c r="C62" s="178">
        <f t="shared" si="1"/>
        <v>0</v>
      </c>
      <c r="D62" s="178">
        <f t="shared" si="2"/>
        <v>1190.4404924477358</v>
      </c>
      <c r="E62" s="178">
        <f t="shared" si="3"/>
        <v>0</v>
      </c>
      <c r="F62" s="178">
        <f t="shared" si="4"/>
        <v>10003.229738224929</v>
      </c>
      <c r="G62" s="178">
        <f t="shared" si="5"/>
        <v>31255.713215168933</v>
      </c>
      <c r="H62" s="199">
        <f t="shared" si="6"/>
        <v>62449.383445841595</v>
      </c>
    </row>
    <row r="63" spans="1:8">
      <c r="A63" s="153" t="s">
        <v>176</v>
      </c>
      <c r="B63" s="205">
        <v>20000</v>
      </c>
      <c r="C63" s="178">
        <f t="shared" si="1"/>
        <v>1304.8564283779829</v>
      </c>
      <c r="D63" s="178">
        <f t="shared" si="2"/>
        <v>2264.0868824027452</v>
      </c>
      <c r="E63" s="178">
        <f t="shared" si="3"/>
        <v>0</v>
      </c>
      <c r="F63" s="178">
        <f t="shared" si="4"/>
        <v>7130.2105360485448</v>
      </c>
      <c r="G63" s="178">
        <f t="shared" si="5"/>
        <v>22499.111975614789</v>
      </c>
      <c r="H63" s="199">
        <f t="shared" si="6"/>
        <v>53198.26582244406</v>
      </c>
    </row>
    <row r="64" spans="1:8">
      <c r="A64" s="153" t="s">
        <v>177</v>
      </c>
      <c r="B64" s="205">
        <v>20000</v>
      </c>
      <c r="C64" s="178">
        <f t="shared" si="1"/>
        <v>216.22724871497664</v>
      </c>
      <c r="D64" s="178">
        <f t="shared" si="2"/>
        <v>3463.4372368947616</v>
      </c>
      <c r="E64" s="178">
        <f t="shared" si="3"/>
        <v>0</v>
      </c>
      <c r="F64" s="178">
        <f t="shared" si="4"/>
        <v>19219.833468831242</v>
      </c>
      <c r="G64" s="178">
        <f t="shared" si="5"/>
        <v>54532.408254894071</v>
      </c>
      <c r="H64" s="199">
        <f t="shared" si="6"/>
        <v>97431.906209335051</v>
      </c>
    </row>
    <row r="65" spans="1:8">
      <c r="A65" s="153" t="s">
        <v>178</v>
      </c>
      <c r="B65" s="205">
        <v>10000</v>
      </c>
      <c r="C65" s="178">
        <f t="shared" si="1"/>
        <v>0</v>
      </c>
      <c r="D65" s="178">
        <f t="shared" si="2"/>
        <v>140.62515804282651</v>
      </c>
      <c r="E65" s="178">
        <f t="shared" si="3"/>
        <v>0</v>
      </c>
      <c r="F65" s="178">
        <f t="shared" si="4"/>
        <v>961.33463779981616</v>
      </c>
      <c r="G65" s="178">
        <f t="shared" si="5"/>
        <v>2563.2888947556971</v>
      </c>
      <c r="H65" s="199">
        <f t="shared" si="6"/>
        <v>13665.248690598341</v>
      </c>
    </row>
    <row r="66" spans="1:8">
      <c r="A66" s="153" t="s">
        <v>203</v>
      </c>
      <c r="B66" s="188">
        <f t="shared" ref="B66:H66" si="7">SUM(B60:B65)</f>
        <v>110000</v>
      </c>
      <c r="C66" s="188">
        <f t="shared" si="7"/>
        <v>6777.6784133788951</v>
      </c>
      <c r="D66" s="188">
        <f t="shared" si="7"/>
        <v>28281.590192011376</v>
      </c>
      <c r="E66" s="188">
        <f t="shared" si="7"/>
        <v>74236.520349092854</v>
      </c>
      <c r="F66" s="188">
        <f t="shared" si="7"/>
        <v>146400.8015374431</v>
      </c>
      <c r="G66" s="188">
        <f t="shared" si="7"/>
        <v>246849.40950807382</v>
      </c>
      <c r="H66" s="195">
        <f t="shared" si="7"/>
        <v>612546</v>
      </c>
    </row>
  </sheetData>
  <mergeCells count="47">
    <mergeCell ref="A9:D9"/>
    <mergeCell ref="A27:D27"/>
    <mergeCell ref="A21:D21"/>
    <mergeCell ref="A22:D22"/>
    <mergeCell ref="A23:D23"/>
    <mergeCell ref="A24:D24"/>
    <mergeCell ref="A25:D25"/>
    <mergeCell ref="A20:D20"/>
    <mergeCell ref="A13:D13"/>
    <mergeCell ref="A14:D14"/>
    <mergeCell ref="A11:D11"/>
    <mergeCell ref="A10:D10"/>
    <mergeCell ref="A18:D18"/>
    <mergeCell ref="A19:D19"/>
    <mergeCell ref="A8:D8"/>
    <mergeCell ref="A1:D1"/>
    <mergeCell ref="A2:D2"/>
    <mergeCell ref="A4:D4"/>
    <mergeCell ref="A3:D3"/>
    <mergeCell ref="A7:D7"/>
    <mergeCell ref="A6:D6"/>
    <mergeCell ref="A5:D5"/>
    <mergeCell ref="A59:G59"/>
    <mergeCell ref="A42:D42"/>
    <mergeCell ref="A41:D41"/>
    <mergeCell ref="A44:D44"/>
    <mergeCell ref="A45:D45"/>
    <mergeCell ref="A43:D43"/>
    <mergeCell ref="A50:D50"/>
    <mergeCell ref="A47:D47"/>
    <mergeCell ref="A48:D48"/>
    <mergeCell ref="A46:D46"/>
    <mergeCell ref="A38:D38"/>
    <mergeCell ref="A29:D29"/>
    <mergeCell ref="A28:D28"/>
    <mergeCell ref="A15:D15"/>
    <mergeCell ref="A16:D16"/>
    <mergeCell ref="A17:D17"/>
    <mergeCell ref="A34:D34"/>
    <mergeCell ref="A35:D35"/>
    <mergeCell ref="A36:D36"/>
    <mergeCell ref="A30:D30"/>
    <mergeCell ref="A31:D31"/>
    <mergeCell ref="A32:D32"/>
    <mergeCell ref="A33:D33"/>
    <mergeCell ref="A37:D37"/>
    <mergeCell ref="A26:D26"/>
  </mergeCells>
  <conditionalFormatting sqref="E14">
    <cfRule type="cellIs" dxfId="31" priority="1" operator="notEqual">
      <formula>$G14</formula>
    </cfRule>
  </conditionalFormatting>
  <pageMargins left="0.31496062992125984" right="0.31496062992125984" top="0.74803149606299213" bottom="0.55118110236220474" header="0.31496062992125984" footer="0.31496062992125984"/>
  <pageSetup paperSize="9" scale="91" fitToHeight="2" orientation="landscape" r:id="rId1"/>
  <headerFooter scaleWithDoc="0">
    <oddHeader>&amp;R&amp;A</oddHeader>
  </headerFooter>
  <rowBreaks count="2" manualBreakCount="2">
    <brk id="39" max="16383" man="1"/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46"/>
  <sheetViews>
    <sheetView workbookViewId="0">
      <selection activeCell="E33" sqref="E33"/>
    </sheetView>
  </sheetViews>
  <sheetFormatPr defaultColWidth="14.28515625" defaultRowHeight="15.6"/>
  <cols>
    <col min="1" max="4" width="14.28515625" style="4"/>
    <col min="5" max="5" width="14.5703125" style="4" bestFit="1" customWidth="1"/>
    <col min="6" max="6" width="14.28515625" style="4"/>
    <col min="7" max="8" width="14.5703125" style="4" bestFit="1" customWidth="1"/>
    <col min="9" max="16384" width="14.28515625" style="4"/>
  </cols>
  <sheetData>
    <row r="1" spans="1:8">
      <c r="A1" s="304" t="s">
        <v>345</v>
      </c>
      <c r="B1" s="304"/>
      <c r="C1" s="304"/>
      <c r="D1" s="304"/>
      <c r="E1" s="1"/>
      <c r="F1" s="1"/>
    </row>
    <row r="2" spans="1:8">
      <c r="A2" s="310" t="s">
        <v>346</v>
      </c>
      <c r="B2" s="310"/>
      <c r="C2" s="310"/>
      <c r="D2" s="310"/>
      <c r="E2" s="178">
        <f>VstupySR!B13-VstupySR!B16</f>
        <v>11882791.289999999</v>
      </c>
      <c r="F2" s="128"/>
      <c r="H2" s="26">
        <f>E2+E3</f>
        <v>12413987.289999999</v>
      </c>
    </row>
    <row r="3" spans="1:8">
      <c r="A3" s="340" t="str">
        <f>"Zvýšenie o úpravu bežnej dotácie z dec. "&amp;Rok-1</f>
        <v>Zvýšenie o úpravu bežnej dotácie z dec. 2022</v>
      </c>
      <c r="B3" s="341"/>
      <c r="C3" s="341"/>
      <c r="D3" s="342"/>
      <c r="E3" s="204">
        <f>VstupyUPJS!B31</f>
        <v>531196</v>
      </c>
      <c r="F3" s="128"/>
      <c r="H3" s="26"/>
    </row>
    <row r="4" spans="1:8">
      <c r="A4" s="310" t="s">
        <v>347</v>
      </c>
      <c r="B4" s="310"/>
      <c r="C4" s="310"/>
      <c r="D4" s="310"/>
      <c r="E4" s="178"/>
      <c r="F4" s="128"/>
    </row>
    <row r="5" spans="1:8">
      <c r="A5" s="310" t="s">
        <v>348</v>
      </c>
      <c r="B5" s="310"/>
      <c r="C5" s="310"/>
      <c r="D5" s="310"/>
      <c r="E5" s="178">
        <f>VstupyUPJS!B26+VstupyUPJS!B27</f>
        <v>2843597.5</v>
      </c>
      <c r="F5" s="128"/>
      <c r="H5" s="51">
        <f>E5/H$2</f>
        <v>0.22906399318538373</v>
      </c>
    </row>
    <row r="6" spans="1:8">
      <c r="A6" s="310" t="s">
        <v>349</v>
      </c>
      <c r="B6" s="310"/>
      <c r="C6" s="310"/>
      <c r="D6" s="310"/>
      <c r="E6" s="178">
        <f>VstupyUPJS!B17</f>
        <v>500000</v>
      </c>
      <c r="F6" s="128"/>
      <c r="H6" s="51">
        <f>E6/H$2</f>
        <v>4.0277147730187507E-2</v>
      </c>
    </row>
    <row r="7" spans="1:8">
      <c r="A7" s="310" t="s">
        <v>350</v>
      </c>
      <c r="B7" s="310"/>
      <c r="C7" s="310"/>
      <c r="D7" s="310"/>
      <c r="E7" s="178">
        <f>VstupyUPJS!B16</f>
        <v>0</v>
      </c>
      <c r="F7" s="128"/>
      <c r="H7" s="51">
        <f>E7/H$2</f>
        <v>0</v>
      </c>
    </row>
    <row r="8" spans="1:8">
      <c r="A8" s="310" t="s">
        <v>351</v>
      </c>
      <c r="B8" s="310"/>
      <c r="C8" s="310"/>
      <c r="D8" s="310"/>
      <c r="E8" s="178">
        <f>SUM(E2:E3)-SUM(E5:E7)</f>
        <v>9070389.7899999991</v>
      </c>
      <c r="F8" s="128"/>
    </row>
    <row r="9" spans="1:8">
      <c r="A9" s="310" t="s">
        <v>352</v>
      </c>
      <c r="B9" s="310"/>
      <c r="C9" s="310"/>
      <c r="D9" s="310"/>
      <c r="E9" s="167">
        <f>ROUND(E8/1.352,0)</f>
        <v>6708868</v>
      </c>
      <c r="F9" s="128"/>
    </row>
    <row r="10" spans="1:8">
      <c r="A10" s="339" t="s">
        <v>227</v>
      </c>
      <c r="B10" s="339"/>
      <c r="C10" s="339"/>
      <c r="D10" s="339"/>
      <c r="E10" s="122">
        <f>ROUND(E$9*F10,0)</f>
        <v>167722</v>
      </c>
      <c r="F10" s="123">
        <f>VstupyUPJS!B35</f>
        <v>2.5000000000000001E-2</v>
      </c>
      <c r="H10" s="51">
        <f>E10*1.352/H$2</f>
        <v>1.8266503638413187E-2</v>
      </c>
    </row>
    <row r="11" spans="1:8">
      <c r="A11" s="336" t="str">
        <f>"Zvýšenie RF o úpravu bežnej dotácie z dec. "&amp;Rok-1</f>
        <v>Zvýšenie RF o úpravu bežnej dotácie z dec. 2022</v>
      </c>
      <c r="B11" s="337"/>
      <c r="C11" s="337"/>
      <c r="D11" s="338"/>
      <c r="E11" s="209"/>
      <c r="F11" s="128"/>
      <c r="H11" s="51"/>
    </row>
    <row r="12" spans="1:8">
      <c r="A12" s="312" t="s">
        <v>170</v>
      </c>
      <c r="B12" s="312"/>
      <c r="C12" s="312"/>
      <c r="D12" s="312"/>
      <c r="E12" s="195">
        <f>ROUND(E$9*F12,0)</f>
        <v>724558</v>
      </c>
      <c r="F12" s="174">
        <f>VstupyUPJS!B34</f>
        <v>0.108</v>
      </c>
      <c r="G12" s="210" t="s">
        <v>353</v>
      </c>
      <c r="H12" s="51">
        <f>E12*1.352/H$2</f>
        <v>7.8911182452161194E-2</v>
      </c>
    </row>
    <row r="13" spans="1:8">
      <c r="A13" s="310" t="s">
        <v>294</v>
      </c>
      <c r="B13" s="310"/>
      <c r="C13" s="310"/>
      <c r="D13" s="310"/>
      <c r="E13" s="167">
        <f>E9-E10-E12</f>
        <v>5816588</v>
      </c>
      <c r="F13" s="129" t="s">
        <v>66</v>
      </c>
      <c r="G13" s="211">
        <f>SUM(G14:G22)</f>
        <v>11882791.387581045</v>
      </c>
      <c r="H13" s="51">
        <f>E13*1.352/H$2</f>
        <v>0.63348115253306347</v>
      </c>
    </row>
    <row r="14" spans="1:8">
      <c r="A14" s="335" t="s">
        <v>354</v>
      </c>
      <c r="B14" s="335"/>
      <c r="C14" s="335"/>
      <c r="D14" s="335"/>
      <c r="E14" s="167">
        <f>E$13*F14</f>
        <v>504020.08365949977</v>
      </c>
      <c r="F14" s="212">
        <f>(H14+H15)*VstupyUPJS!B30</f>
        <v>8.6652189163045373E-2</v>
      </c>
      <c r="G14" s="167">
        <f>VstupySR!B48</f>
        <v>0</v>
      </c>
      <c r="H14" s="51">
        <f>G14/G$13</f>
        <v>0</v>
      </c>
    </row>
    <row r="15" spans="1:8">
      <c r="A15" s="335" t="s">
        <v>355</v>
      </c>
      <c r="B15" s="335"/>
      <c r="C15" s="335"/>
      <c r="D15" s="335"/>
      <c r="E15" s="167">
        <f>E$13*F15</f>
        <v>1512060.2509784992</v>
      </c>
      <c r="F15" s="212">
        <f>H15+H14-F14</f>
        <v>0.25995656748913609</v>
      </c>
      <c r="G15" s="167">
        <f>VstupySR!B49</f>
        <v>4118679.5484067164</v>
      </c>
      <c r="H15" s="51">
        <f>G15/G$13</f>
        <v>0.34660875665218149</v>
      </c>
    </row>
    <row r="16" spans="1:8">
      <c r="A16" s="335" t="s">
        <v>356</v>
      </c>
      <c r="B16" s="335"/>
      <c r="C16" s="335"/>
      <c r="D16" s="335"/>
      <c r="E16" s="167">
        <f t="shared" ref="E16:E21" si="0">E$13*F16</f>
        <v>358869.80373881746</v>
      </c>
      <c r="F16" s="213">
        <f t="shared" ref="F16:F21" si="1">G16/G$13</f>
        <v>6.1697648817282139E-2</v>
      </c>
      <c r="G16" s="167">
        <f>VstupySR!B47</f>
        <v>733140.29</v>
      </c>
    </row>
    <row r="17" spans="1:11">
      <c r="A17" s="330" t="s">
        <v>357</v>
      </c>
      <c r="B17" s="331"/>
      <c r="C17" s="331"/>
      <c r="D17" s="332"/>
      <c r="E17" s="167">
        <f t="shared" si="0"/>
        <v>579306.74066993874</v>
      </c>
      <c r="F17" s="213">
        <f t="shared" si="1"/>
        <v>9.9595629030273192E-2</v>
      </c>
      <c r="G17" s="167">
        <f>VstupySR!B50</f>
        <v>1183474.0828816469</v>
      </c>
    </row>
    <row r="18" spans="1:11">
      <c r="A18" s="330" t="s">
        <v>358</v>
      </c>
      <c r="B18" s="331"/>
      <c r="C18" s="331"/>
      <c r="D18" s="332"/>
      <c r="E18" s="167">
        <f t="shared" si="0"/>
        <v>31014.308306618706</v>
      </c>
      <c r="F18" s="213">
        <f t="shared" si="1"/>
        <v>5.3320448872463903E-3</v>
      </c>
      <c r="G18" s="167">
        <f>VstupySR!B51</f>
        <v>63359.577064366946</v>
      </c>
    </row>
    <row r="19" spans="1:11">
      <c r="A19" s="330" t="s">
        <v>359</v>
      </c>
      <c r="B19" s="331"/>
      <c r="C19" s="331"/>
      <c r="D19" s="332"/>
      <c r="E19" s="167">
        <f t="shared" si="0"/>
        <v>309714.71430886647</v>
      </c>
      <c r="F19" s="213">
        <f t="shared" si="1"/>
        <v>5.3246802817883354E-2</v>
      </c>
      <c r="G19" s="167">
        <f>VstupySR!B52</f>
        <v>632720.64994057047</v>
      </c>
    </row>
    <row r="20" spans="1:11">
      <c r="A20" s="330" t="s">
        <v>360</v>
      </c>
      <c r="B20" s="331"/>
      <c r="C20" s="331"/>
      <c r="D20" s="332"/>
      <c r="E20" s="167">
        <f t="shared" si="0"/>
        <v>695908.32699060079</v>
      </c>
      <c r="F20" s="213">
        <f t="shared" si="1"/>
        <v>0.11964201813685288</v>
      </c>
      <c r="G20" s="167">
        <f>VstupySR!B53</f>
        <v>1421681.1427094105</v>
      </c>
    </row>
    <row r="21" spans="1:11">
      <c r="A21" s="330" t="s">
        <v>361</v>
      </c>
      <c r="B21" s="331"/>
      <c r="C21" s="331"/>
      <c r="D21" s="332"/>
      <c r="E21" s="167">
        <f t="shared" si="0"/>
        <v>1825693.7713471584</v>
      </c>
      <c r="F21" s="213">
        <f t="shared" si="1"/>
        <v>0.31387709965828048</v>
      </c>
      <c r="G21" s="167">
        <f>VstupySR!B54</f>
        <v>3729736.0965783326</v>
      </c>
    </row>
    <row r="22" spans="1:11">
      <c r="A22" s="330" t="s">
        <v>362</v>
      </c>
      <c r="B22" s="331"/>
      <c r="C22" s="331"/>
      <c r="D22" s="332"/>
      <c r="E22" s="167">
        <f t="shared" ref="E22" si="2">E$13*F22</f>
        <v>0</v>
      </c>
      <c r="F22" s="213">
        <f t="shared" ref="F22" si="3">G22/G$13</f>
        <v>0</v>
      </c>
      <c r="G22" s="167">
        <f>VstupySR!B55</f>
        <v>0</v>
      </c>
    </row>
    <row r="24" spans="1:11">
      <c r="A24" s="285" t="s">
        <v>363</v>
      </c>
      <c r="B24" s="285"/>
      <c r="C24" s="285"/>
      <c r="D24" s="285"/>
    </row>
    <row r="25" spans="1:11" s="86" customFormat="1">
      <c r="A25" s="84"/>
      <c r="B25" s="85">
        <f>F14</f>
        <v>8.6652189163045373E-2</v>
      </c>
      <c r="C25" s="85">
        <f>F15</f>
        <v>0.25995656748913609</v>
      </c>
      <c r="D25" s="85">
        <f>F16</f>
        <v>6.1697648817282139E-2</v>
      </c>
      <c r="E25" s="85">
        <f>F17</f>
        <v>9.9595629030273192E-2</v>
      </c>
      <c r="F25" s="85">
        <f>F18</f>
        <v>5.3320448872463903E-3</v>
      </c>
      <c r="G25" s="85">
        <f>F19</f>
        <v>5.3246802817883354E-2</v>
      </c>
      <c r="H25" s="85">
        <f>F20</f>
        <v>0.11964201813685288</v>
      </c>
      <c r="I25" s="85">
        <f>F21</f>
        <v>0.31387709965828048</v>
      </c>
      <c r="J25" s="85">
        <v>0</v>
      </c>
    </row>
    <row r="26" spans="1:11" ht="31.15">
      <c r="A26" s="184" t="s">
        <v>194</v>
      </c>
      <c r="B26" s="184" t="s">
        <v>364</v>
      </c>
      <c r="C26" s="184" t="s">
        <v>365</v>
      </c>
      <c r="D26" s="184" t="s">
        <v>366</v>
      </c>
      <c r="E26" s="184" t="s">
        <v>367</v>
      </c>
      <c r="F26" s="184" t="s">
        <v>368</v>
      </c>
      <c r="G26" s="184" t="s">
        <v>369</v>
      </c>
      <c r="H26" s="184" t="s">
        <v>370</v>
      </c>
      <c r="I26" s="184" t="s">
        <v>371</v>
      </c>
      <c r="J26" s="184" t="s">
        <v>372</v>
      </c>
      <c r="K26" s="194" t="s">
        <v>66</v>
      </c>
    </row>
    <row r="27" spans="1:11">
      <c r="A27" s="214" t="s">
        <v>173</v>
      </c>
      <c r="B27" s="215">
        <f>KA!F20</f>
        <v>0.46750059112944886</v>
      </c>
      <c r="C27" s="215">
        <f>KA!H32</f>
        <v>0.23282604376037228</v>
      </c>
      <c r="D27" s="215">
        <f>KA!J42</f>
        <v>0</v>
      </c>
      <c r="E27" s="215">
        <f>Granty!M4</f>
        <v>0.38429386969002355</v>
      </c>
      <c r="F27" s="215">
        <f>Granty!E32</f>
        <v>0.4821910568747968</v>
      </c>
      <c r="G27" s="215">
        <f>Granty!E18</f>
        <v>0.25196730531532563</v>
      </c>
      <c r="H27" s="216">
        <f>Vykony!C66</f>
        <v>0.24935064935064935</v>
      </c>
      <c r="I27" s="216">
        <f>Vykony!I17</f>
        <v>0.27464992564283519</v>
      </c>
      <c r="J27" s="216">
        <f>Vykony!C17</f>
        <v>0</v>
      </c>
      <c r="K27" s="217">
        <f>SUMPRODUCT(B27:J27,B$25:J$25)</f>
        <v>0.27133525327500774</v>
      </c>
    </row>
    <row r="28" spans="1:11">
      <c r="A28" s="214" t="s">
        <v>174</v>
      </c>
      <c r="B28" s="215">
        <f>KA!F21</f>
        <v>0.27515769845629556</v>
      </c>
      <c r="C28" s="215">
        <f>KA!H33</f>
        <v>0.57217581613112978</v>
      </c>
      <c r="D28" s="215">
        <f>KA!J43</f>
        <v>0.98008086555985074</v>
      </c>
      <c r="E28" s="215">
        <f>Granty!M5</f>
        <v>0.35129284197766641</v>
      </c>
      <c r="F28" s="215">
        <f>Granty!E33</f>
        <v>0.33424483516117898</v>
      </c>
      <c r="G28" s="215">
        <f>Granty!E19</f>
        <v>0.3406544855605409</v>
      </c>
      <c r="H28" s="216">
        <f>Vykony!C67</f>
        <v>0.48467532467532465</v>
      </c>
      <c r="I28" s="216">
        <f>Vykony!I18</f>
        <v>0.5818769347306546</v>
      </c>
      <c r="J28" s="216">
        <f>Vykony!C18</f>
        <v>0</v>
      </c>
      <c r="K28" s="217">
        <f t="shared" ref="K28:K33" si="4">SUMPRODUCT(B28:J28,B$25:J$25)</f>
        <v>0.52858614402717241</v>
      </c>
    </row>
    <row r="29" spans="1:11">
      <c r="A29" s="214" t="s">
        <v>175</v>
      </c>
      <c r="B29" s="215">
        <f>KA!F22</f>
        <v>8.4142343654897658E-2</v>
      </c>
      <c r="C29" s="215">
        <f>KA!H34</f>
        <v>3.1975255998812215E-2</v>
      </c>
      <c r="D29" s="215">
        <f>KA!J44</f>
        <v>0</v>
      </c>
      <c r="E29" s="215">
        <f>Granty!M6</f>
        <v>9.791991262893511E-2</v>
      </c>
      <c r="F29" s="215">
        <f>Granty!E34</f>
        <v>0</v>
      </c>
      <c r="G29" s="215">
        <f>Granty!E20</f>
        <v>0</v>
      </c>
      <c r="H29" s="216">
        <f>Vykony!C68</f>
        <v>4.7272727272727272E-2</v>
      </c>
      <c r="I29" s="216">
        <f>Vykony!I19</f>
        <v>1.7155687457671293E-2</v>
      </c>
      <c r="J29" s="216">
        <f>Vykony!C19</f>
        <v>0</v>
      </c>
      <c r="K29" s="217">
        <f t="shared" si="4"/>
        <v>3.6396273281511918E-2</v>
      </c>
    </row>
    <row r="30" spans="1:11">
      <c r="A30" s="214" t="s">
        <v>176</v>
      </c>
      <c r="B30" s="215">
        <f>KA!F23</f>
        <v>1.9575076761550018E-2</v>
      </c>
      <c r="C30" s="215">
        <f>KA!H35</f>
        <v>1.0316284852017689E-2</v>
      </c>
      <c r="D30" s="215">
        <f>KA!J45</f>
        <v>0</v>
      </c>
      <c r="E30" s="215">
        <f>Granty!M7</f>
        <v>5.0268437879587664E-3</v>
      </c>
      <c r="F30" s="215">
        <f>Granty!E35</f>
        <v>0</v>
      </c>
      <c r="G30" s="215">
        <f>Granty!E21</f>
        <v>0</v>
      </c>
      <c r="H30" s="216">
        <f>Vykony!C69</f>
        <v>2.4415584415584415E-2</v>
      </c>
      <c r="I30" s="216">
        <f>Vykony!I20</f>
        <v>7.8455129718801517E-3</v>
      </c>
      <c r="J30" s="216">
        <f>Vykony!C20</f>
        <v>0</v>
      </c>
      <c r="K30" s="217">
        <f t="shared" si="4"/>
        <v>1.0262317573308701E-2</v>
      </c>
    </row>
    <row r="31" spans="1:11">
      <c r="A31" s="214" t="s">
        <v>177</v>
      </c>
      <c r="B31" s="215">
        <f>KA!F24</f>
        <v>0.15198803892262297</v>
      </c>
      <c r="C31" s="215">
        <f>KA!H36</f>
        <v>0.10584990150479549</v>
      </c>
      <c r="D31" s="215">
        <f>KA!J46</f>
        <v>1.6634619821535111E-2</v>
      </c>
      <c r="E31" s="215">
        <f>Granty!M8</f>
        <v>9.6286557950170854E-2</v>
      </c>
      <c r="F31" s="215">
        <f>Granty!E36</f>
        <v>0</v>
      </c>
      <c r="G31" s="215">
        <f>Granty!E22</f>
        <v>6.1483827821209418E-2</v>
      </c>
      <c r="H31" s="216">
        <f>Vykony!C70</f>
        <v>0.19428571428571428</v>
      </c>
      <c r="I31" s="216">
        <f>Vykony!I21</f>
        <v>6.4488201073932244E-2</v>
      </c>
      <c r="J31" s="216">
        <f>Vykony!C21</f>
        <v>0</v>
      </c>
      <c r="K31" s="217">
        <f t="shared" si="4"/>
        <v>9.806243232571174E-2</v>
      </c>
    </row>
    <row r="32" spans="1:11">
      <c r="A32" s="214" t="s">
        <v>178</v>
      </c>
      <c r="B32" s="215">
        <f>KA!F25</f>
        <v>1.636251075184987E-3</v>
      </c>
      <c r="C32" s="215">
        <f>KA!H37</f>
        <v>3.2784981149745745E-3</v>
      </c>
      <c r="D32" s="215">
        <f>KA!J47</f>
        <v>0</v>
      </c>
      <c r="E32" s="215">
        <f>Granty!M9</f>
        <v>0</v>
      </c>
      <c r="F32" s="215">
        <f>Granty!E37</f>
        <v>0</v>
      </c>
      <c r="G32" s="215">
        <f>Granty!E23</f>
        <v>0</v>
      </c>
      <c r="H32" s="216"/>
      <c r="I32" s="216">
        <f>Vykony!I22</f>
        <v>7.4584266125318393E-3</v>
      </c>
      <c r="J32" s="216">
        <f>Vykony!C22</f>
        <v>0</v>
      </c>
      <c r="K32" s="217">
        <f t="shared" si="4"/>
        <v>3.3350811673291867E-3</v>
      </c>
    </row>
    <row r="33" spans="1:11">
      <c r="A33" s="214" t="s">
        <v>179</v>
      </c>
      <c r="B33" s="215">
        <f>KA!F26</f>
        <v>0</v>
      </c>
      <c r="C33" s="215">
        <f>KA!H38</f>
        <v>4.3578199637897878E-2</v>
      </c>
      <c r="D33" s="215">
        <f>KA!J48</f>
        <v>3.2845146186141266E-3</v>
      </c>
      <c r="E33" s="215">
        <f>Granty!M10</f>
        <v>6.5179973965245303E-2</v>
      </c>
      <c r="F33" s="215">
        <f>Granty!E38</f>
        <v>0.1835641079640242</v>
      </c>
      <c r="G33" s="215">
        <f>Granty!E24</f>
        <v>0.34589438130292405</v>
      </c>
      <c r="H33" s="216"/>
      <c r="I33" s="216">
        <f>Vykony!I23</f>
        <v>4.652531151049473E-2</v>
      </c>
      <c r="J33" s="216">
        <f>Vykony!C24</f>
        <v>0</v>
      </c>
      <c r="K33" s="217">
        <f t="shared" si="4"/>
        <v>5.202249834995834E-2</v>
      </c>
    </row>
    <row r="34" spans="1:11">
      <c r="A34" s="214" t="s">
        <v>203</v>
      </c>
      <c r="B34" s="215">
        <f>SUM(B27:B33)</f>
        <v>1.0000000000000002</v>
      </c>
      <c r="C34" s="215">
        <f>SUM(C27:C33)</f>
        <v>1</v>
      </c>
      <c r="D34" s="215">
        <f>SUM(D27:D33)</f>
        <v>1</v>
      </c>
      <c r="E34" s="215">
        <f t="shared" ref="E34:J34" si="5">SUM(E27:E33)</f>
        <v>1</v>
      </c>
      <c r="F34" s="215">
        <f t="shared" si="5"/>
        <v>1</v>
      </c>
      <c r="G34" s="215">
        <f t="shared" si="5"/>
        <v>1</v>
      </c>
      <c r="H34" s="215">
        <f t="shared" si="5"/>
        <v>1</v>
      </c>
      <c r="I34" s="215">
        <f t="shared" si="5"/>
        <v>1</v>
      </c>
      <c r="J34" s="215">
        <f t="shared" si="5"/>
        <v>0</v>
      </c>
      <c r="K34" s="217">
        <f>SUM(K27:K33)</f>
        <v>1.0000000000000002</v>
      </c>
    </row>
    <row r="35" spans="1:11">
      <c r="A35" s="12"/>
      <c r="B35" s="13"/>
      <c r="C35" s="13"/>
      <c r="D35" s="13"/>
      <c r="E35" s="13"/>
      <c r="F35" s="13"/>
      <c r="G35" s="13"/>
      <c r="H35" s="13"/>
    </row>
    <row r="36" spans="1:11">
      <c r="A36" s="285" t="s">
        <v>373</v>
      </c>
      <c r="B36" s="285"/>
      <c r="C36" s="285"/>
      <c r="D36" s="285"/>
    </row>
    <row r="37" spans="1:11" s="11" customFormat="1" ht="31.15">
      <c r="A37" s="184" t="s">
        <v>194</v>
      </c>
      <c r="B37" s="184" t="s">
        <v>364</v>
      </c>
      <c r="C37" s="184" t="s">
        <v>365</v>
      </c>
      <c r="D37" s="184" t="s">
        <v>374</v>
      </c>
      <c r="E37" s="184" t="s">
        <v>367</v>
      </c>
      <c r="F37" s="184" t="s">
        <v>368</v>
      </c>
      <c r="G37" s="184" t="s">
        <v>369</v>
      </c>
      <c r="H37" s="184" t="s">
        <v>370</v>
      </c>
      <c r="I37" s="184" t="s">
        <v>371</v>
      </c>
      <c r="J37" s="184" t="s">
        <v>372</v>
      </c>
      <c r="K37" s="194" t="s">
        <v>203</v>
      </c>
    </row>
    <row r="38" spans="1:11">
      <c r="A38" s="214" t="s">
        <v>173</v>
      </c>
      <c r="B38" s="218">
        <f t="shared" ref="B38:B44" si="6">$E$14*B27</f>
        <v>235629.68705193041</v>
      </c>
      <c r="C38" s="218">
        <f>$E$15*C27</f>
        <v>352047.00616263953</v>
      </c>
      <c r="D38" s="218">
        <f t="shared" ref="D38:D44" si="7">$E$16*D27</f>
        <v>0</v>
      </c>
      <c r="E38" s="218">
        <f t="shared" ref="E38:E44" si="8">$E$17*E27</f>
        <v>222624.02910956572</v>
      </c>
      <c r="F38" s="218">
        <f t="shared" ref="F38:F44" si="9">$E$18*F27</f>
        <v>14954.822100609263</v>
      </c>
      <c r="G38" s="218">
        <f t="shared" ref="G38:G44" si="10">$E$19*G27</f>
        <v>78037.981980911005</v>
      </c>
      <c r="H38" s="218">
        <f t="shared" ref="H38:H44" si="11">$E$20*H27</f>
        <v>173525.19322363034</v>
      </c>
      <c r="I38" s="218">
        <f t="shared" ref="I38:I44" si="12">$E$21*I27</f>
        <v>501426.65854708437</v>
      </c>
      <c r="J38" s="218">
        <f t="shared" ref="J38:J44" si="13">$E$22*J27</f>
        <v>0</v>
      </c>
      <c r="K38" s="219">
        <f t="shared" ref="K38:K44" si="14">ROUND(SUM(B38:J38),0)</f>
        <v>1578245</v>
      </c>
    </row>
    <row r="39" spans="1:11">
      <c r="A39" s="214" t="s">
        <v>174</v>
      </c>
      <c r="B39" s="218">
        <f t="shared" si="6"/>
        <v>138685.0061954975</v>
      </c>
      <c r="C39" s="218">
        <f t="shared" ref="C39:C44" si="15">$E$15*C28</f>
        <v>865164.30814306368</v>
      </c>
      <c r="D39" s="218">
        <f t="shared" si="7"/>
        <v>351721.42787163396</v>
      </c>
      <c r="E39" s="218">
        <f t="shared" si="8"/>
        <v>203506.31130676175</v>
      </c>
      <c r="F39" s="218">
        <f t="shared" si="9"/>
        <v>10366.372367583754</v>
      </c>
      <c r="G39" s="218">
        <f t="shared" si="10"/>
        <v>105505.7066734168</v>
      </c>
      <c r="H39" s="218">
        <f t="shared" si="11"/>
        <v>337289.59432843141</v>
      </c>
      <c r="I39" s="218">
        <f t="shared" si="12"/>
        <v>1062329.0954283332</v>
      </c>
      <c r="J39" s="218">
        <f t="shared" si="13"/>
        <v>0</v>
      </c>
      <c r="K39" s="219">
        <f t="shared" si="14"/>
        <v>3074568</v>
      </c>
    </row>
    <row r="40" spans="1:11">
      <c r="A40" s="214" t="s">
        <v>175</v>
      </c>
      <c r="B40" s="218">
        <f t="shared" si="6"/>
        <v>42409.431088247897</v>
      </c>
      <c r="C40" s="218">
        <f t="shared" si="15"/>
        <v>48348.513610665759</v>
      </c>
      <c r="D40" s="218">
        <f t="shared" si="7"/>
        <v>0</v>
      </c>
      <c r="E40" s="218">
        <f t="shared" si="8"/>
        <v>56725.665431753572</v>
      </c>
      <c r="F40" s="218">
        <f t="shared" si="9"/>
        <v>0</v>
      </c>
      <c r="G40" s="218">
        <f t="shared" si="10"/>
        <v>0</v>
      </c>
      <c r="H40" s="218">
        <f t="shared" si="11"/>
        <v>32897.484548646586</v>
      </c>
      <c r="I40" s="218">
        <f t="shared" si="12"/>
        <v>31321.031734649045</v>
      </c>
      <c r="J40" s="218">
        <f t="shared" si="13"/>
        <v>0</v>
      </c>
      <c r="K40" s="219">
        <f t="shared" si="14"/>
        <v>211702</v>
      </c>
    </row>
    <row r="41" spans="1:11">
      <c r="A41" s="214" t="s">
        <v>176</v>
      </c>
      <c r="B41" s="218">
        <f t="shared" si="6"/>
        <v>9866.2318269975694</v>
      </c>
      <c r="C41" s="218">
        <f t="shared" si="15"/>
        <v>15598.844262507557</v>
      </c>
      <c r="D41" s="218">
        <f t="shared" si="7"/>
        <v>0</v>
      </c>
      <c r="E41" s="218">
        <f t="shared" si="8"/>
        <v>2912.0844906593215</v>
      </c>
      <c r="F41" s="218">
        <f t="shared" si="9"/>
        <v>0</v>
      </c>
      <c r="G41" s="218">
        <f t="shared" si="10"/>
        <v>0</v>
      </c>
      <c r="H41" s="218">
        <f t="shared" si="11"/>
        <v>16991.008503147135</v>
      </c>
      <c r="I41" s="218">
        <f t="shared" si="12"/>
        <v>14323.504165784927</v>
      </c>
      <c r="J41" s="218">
        <f t="shared" si="13"/>
        <v>0</v>
      </c>
      <c r="K41" s="219">
        <f t="shared" si="14"/>
        <v>59692</v>
      </c>
    </row>
    <row r="42" spans="1:11">
      <c r="A42" s="214" t="s">
        <v>177</v>
      </c>
      <c r="B42" s="218">
        <f t="shared" si="6"/>
        <v>76605.024093023734</v>
      </c>
      <c r="C42" s="218">
        <f t="shared" si="15"/>
        <v>160051.4286353905</v>
      </c>
      <c r="D42" s="218">
        <f t="shared" si="7"/>
        <v>5969.6627506241475</v>
      </c>
      <c r="E42" s="218">
        <f t="shared" si="8"/>
        <v>55779.452056440656</v>
      </c>
      <c r="F42" s="218">
        <f t="shared" si="9"/>
        <v>0</v>
      </c>
      <c r="G42" s="218">
        <f t="shared" si="10"/>
        <v>19042.446168261413</v>
      </c>
      <c r="H42" s="218">
        <f t="shared" si="11"/>
        <v>135205.04638674529</v>
      </c>
      <c r="I42" s="218">
        <f t="shared" si="12"/>
        <v>117735.70702606122</v>
      </c>
      <c r="J42" s="218">
        <f t="shared" si="13"/>
        <v>0</v>
      </c>
      <c r="K42" s="219">
        <f t="shared" si="14"/>
        <v>570389</v>
      </c>
    </row>
    <row r="43" spans="1:11">
      <c r="A43" s="214" t="s">
        <v>178</v>
      </c>
      <c r="B43" s="218">
        <f t="shared" si="6"/>
        <v>824.70340380268351</v>
      </c>
      <c r="C43" s="218">
        <f t="shared" si="15"/>
        <v>4957.2866825609917</v>
      </c>
      <c r="D43" s="218">
        <f t="shared" si="7"/>
        <v>0</v>
      </c>
      <c r="E43" s="218">
        <f t="shared" si="8"/>
        <v>0</v>
      </c>
      <c r="F43" s="218">
        <f t="shared" si="9"/>
        <v>0</v>
      </c>
      <c r="G43" s="218">
        <f t="shared" si="10"/>
        <v>0</v>
      </c>
      <c r="H43" s="218">
        <f t="shared" si="11"/>
        <v>0</v>
      </c>
      <c r="I43" s="218">
        <f t="shared" si="12"/>
        <v>13616.803010549265</v>
      </c>
      <c r="J43" s="218">
        <f t="shared" si="13"/>
        <v>0</v>
      </c>
      <c r="K43" s="219">
        <f t="shared" si="14"/>
        <v>19399</v>
      </c>
    </row>
    <row r="44" spans="1:11">
      <c r="A44" s="214" t="s">
        <v>179</v>
      </c>
      <c r="B44" s="218">
        <f t="shared" si="6"/>
        <v>0</v>
      </c>
      <c r="C44" s="218">
        <f t="shared" si="15"/>
        <v>65892.863481671011</v>
      </c>
      <c r="D44" s="218">
        <f t="shared" si="7"/>
        <v>1178.7131165593285</v>
      </c>
      <c r="E44" s="218">
        <f t="shared" si="8"/>
        <v>37759.19827475772</v>
      </c>
      <c r="F44" s="218">
        <f t="shared" si="9"/>
        <v>5693.1138384256883</v>
      </c>
      <c r="G44" s="218">
        <f t="shared" si="10"/>
        <v>107128.57948627725</v>
      </c>
      <c r="H44" s="218">
        <f t="shared" si="11"/>
        <v>0</v>
      </c>
      <c r="I44" s="218">
        <f t="shared" si="12"/>
        <v>84940.971434696476</v>
      </c>
      <c r="J44" s="218">
        <f t="shared" si="13"/>
        <v>0</v>
      </c>
      <c r="K44" s="219">
        <f t="shared" si="14"/>
        <v>302593</v>
      </c>
    </row>
    <row r="45" spans="1:11">
      <c r="A45" s="214" t="s">
        <v>203</v>
      </c>
      <c r="B45" s="220">
        <f>SUM(B38:B44)</f>
        <v>504020.08365949988</v>
      </c>
      <c r="C45" s="220">
        <f>SUM(C38:C44)</f>
        <v>1512060.250978499</v>
      </c>
      <c r="D45" s="220">
        <f>SUM(D38:D44)</f>
        <v>358869.8037388174</v>
      </c>
      <c r="E45" s="220">
        <f t="shared" ref="E45:J45" si="16">SUM(E38:E44)</f>
        <v>579306.74066993874</v>
      </c>
      <c r="F45" s="220">
        <f t="shared" si="16"/>
        <v>31014.308306618706</v>
      </c>
      <c r="G45" s="220">
        <f t="shared" si="16"/>
        <v>309714.71430886647</v>
      </c>
      <c r="H45" s="220">
        <f t="shared" si="16"/>
        <v>695908.32699060079</v>
      </c>
      <c r="I45" s="220">
        <f t="shared" si="16"/>
        <v>1825693.7713471584</v>
      </c>
      <c r="J45" s="220">
        <f t="shared" si="16"/>
        <v>0</v>
      </c>
      <c r="K45" s="219">
        <f>SUM(K38:K44)</f>
        <v>5816588</v>
      </c>
    </row>
    <row r="46" spans="1:11">
      <c r="I46" s="26"/>
    </row>
  </sheetData>
  <mergeCells count="24">
    <mergeCell ref="A11:D11"/>
    <mergeCell ref="A5:D5"/>
    <mergeCell ref="A6:D6"/>
    <mergeCell ref="A8:D8"/>
    <mergeCell ref="A1:D1"/>
    <mergeCell ref="A10:D10"/>
    <mergeCell ref="A9:D9"/>
    <mergeCell ref="A2:D2"/>
    <mergeCell ref="A4:D4"/>
    <mergeCell ref="A7:D7"/>
    <mergeCell ref="A3:D3"/>
    <mergeCell ref="A12:D12"/>
    <mergeCell ref="A13:D13"/>
    <mergeCell ref="A14:D14"/>
    <mergeCell ref="A17:D17"/>
    <mergeCell ref="A16:D16"/>
    <mergeCell ref="A15:D15"/>
    <mergeCell ref="A36:D36"/>
    <mergeCell ref="A18:D18"/>
    <mergeCell ref="A19:D19"/>
    <mergeCell ref="A20:D20"/>
    <mergeCell ref="A21:D21"/>
    <mergeCell ref="A22:D22"/>
    <mergeCell ref="A24:D24"/>
  </mergeCells>
  <pageMargins left="0.31496062992125984" right="0.31496062992125984" top="0.74803149606299213" bottom="0.55118110236220474" header="0.31496062992125984" footer="0.31496062992125984"/>
  <pageSetup paperSize="9" scale="69" orientation="landscape" r:id="rId1"/>
  <headerFooter scaleWithDoc="0">
    <oddHeader>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1"/>
  <sheetViews>
    <sheetView workbookViewId="0">
      <selection activeCell="D1" sqref="D1"/>
    </sheetView>
  </sheetViews>
  <sheetFormatPr defaultColWidth="14.42578125" defaultRowHeight="15.6"/>
  <cols>
    <col min="1" max="16384" width="14.42578125" style="1"/>
  </cols>
  <sheetData>
    <row r="1" spans="1:4">
      <c r="A1" s="285" t="s">
        <v>375</v>
      </c>
      <c r="B1" s="285"/>
    </row>
    <row r="2" spans="1:4">
      <c r="A2" s="119" t="s">
        <v>376</v>
      </c>
      <c r="B2" s="120"/>
      <c r="C2" s="121"/>
      <c r="D2" s="178">
        <f>VstupyUPJS!B16</f>
        <v>0</v>
      </c>
    </row>
    <row r="3" spans="1:4">
      <c r="A3" s="119" t="s">
        <v>377</v>
      </c>
      <c r="B3" s="120"/>
      <c r="C3" s="121"/>
      <c r="D3" s="178">
        <f>VstupyUPJS!B17</f>
        <v>500000</v>
      </c>
    </row>
    <row r="4" spans="1:4" ht="15.75" customHeight="1">
      <c r="A4" s="343" t="str">
        <f>"Zvýšenie o úpravu bežnej dotácie z dec. "&amp;Rok-1</f>
        <v>Zvýšenie o úpravu bežnej dotácie z dec. 2022</v>
      </c>
      <c r="B4" s="344"/>
      <c r="C4" s="345"/>
      <c r="D4" s="221">
        <f>VstupyUPJS!B24</f>
        <v>0</v>
      </c>
    </row>
    <row r="5" spans="1:4">
      <c r="A5" s="330" t="s">
        <v>378</v>
      </c>
      <c r="B5" s="331"/>
      <c r="C5" s="332"/>
      <c r="D5" s="178"/>
    </row>
    <row r="6" spans="1:4">
      <c r="A6" s="330" t="s">
        <v>379</v>
      </c>
      <c r="B6" s="331"/>
      <c r="C6" s="332"/>
      <c r="D6" s="221">
        <f>VstupyUPJS!B19</f>
        <v>250000</v>
      </c>
    </row>
    <row r="7" spans="1:4">
      <c r="A7" s="330" t="s">
        <v>380</v>
      </c>
      <c r="B7" s="331"/>
      <c r="C7" s="332"/>
      <c r="D7" s="178">
        <f>VstupyUPJS!B22</f>
        <v>30000</v>
      </c>
    </row>
    <row r="8" spans="1:4">
      <c r="A8" s="330" t="s">
        <v>381</v>
      </c>
      <c r="B8" s="331"/>
      <c r="C8" s="332"/>
      <c r="D8" s="178">
        <v>0</v>
      </c>
    </row>
    <row r="9" spans="1:4">
      <c r="A9" s="330" t="s">
        <v>294</v>
      </c>
      <c r="B9" s="331"/>
      <c r="C9" s="332"/>
      <c r="D9" s="178">
        <f>D3+D4-SUM(D6:D8)</f>
        <v>220000</v>
      </c>
    </row>
    <row r="12" spans="1:4">
      <c r="A12" s="184" t="s">
        <v>194</v>
      </c>
      <c r="B12" s="184" t="s">
        <v>66</v>
      </c>
      <c r="C12" s="194" t="s">
        <v>382</v>
      </c>
    </row>
    <row r="13" spans="1:4">
      <c r="A13" s="214" t="s">
        <v>173</v>
      </c>
      <c r="B13" s="216">
        <f>'07712-mzdy'!K27</f>
        <v>0.27133525327500774</v>
      </c>
      <c r="C13" s="199">
        <f t="shared" ref="C13:C19" si="0">ROUND(B13*$D$9,0)</f>
        <v>59694</v>
      </c>
    </row>
    <row r="14" spans="1:4">
      <c r="A14" s="214" t="s">
        <v>174</v>
      </c>
      <c r="B14" s="216">
        <f>'07712-mzdy'!K28</f>
        <v>0.52858614402717241</v>
      </c>
      <c r="C14" s="199">
        <f t="shared" si="0"/>
        <v>116289</v>
      </c>
    </row>
    <row r="15" spans="1:4">
      <c r="A15" s="214" t="s">
        <v>175</v>
      </c>
      <c r="B15" s="216">
        <f>'07712-mzdy'!K29</f>
        <v>3.6396273281511918E-2</v>
      </c>
      <c r="C15" s="199">
        <f t="shared" si="0"/>
        <v>8007</v>
      </c>
    </row>
    <row r="16" spans="1:4">
      <c r="A16" s="214" t="s">
        <v>176</v>
      </c>
      <c r="B16" s="216">
        <f>'07712-mzdy'!K30</f>
        <v>1.0262317573308701E-2</v>
      </c>
      <c r="C16" s="199">
        <f t="shared" si="0"/>
        <v>2258</v>
      </c>
    </row>
    <row r="17" spans="1:3">
      <c r="A17" s="214" t="s">
        <v>177</v>
      </c>
      <c r="B17" s="216">
        <f>'07712-mzdy'!K31</f>
        <v>9.806243232571174E-2</v>
      </c>
      <c r="C17" s="199">
        <f t="shared" si="0"/>
        <v>21574</v>
      </c>
    </row>
    <row r="18" spans="1:3">
      <c r="A18" s="214" t="s">
        <v>178</v>
      </c>
      <c r="B18" s="216">
        <f>'07712-mzdy'!K32</f>
        <v>3.3350811673291867E-3</v>
      </c>
      <c r="C18" s="199">
        <f t="shared" si="0"/>
        <v>734</v>
      </c>
    </row>
    <row r="19" spans="1:3">
      <c r="A19" s="214" t="s">
        <v>179</v>
      </c>
      <c r="B19" s="216">
        <f>'07712-mzdy'!K33</f>
        <v>5.202249834995834E-2</v>
      </c>
      <c r="C19" s="199">
        <f t="shared" si="0"/>
        <v>11445</v>
      </c>
    </row>
    <row r="20" spans="1:3">
      <c r="A20" s="214" t="s">
        <v>203</v>
      </c>
      <c r="B20" s="216">
        <f>SUM(B13:B19)</f>
        <v>1.0000000000000002</v>
      </c>
      <c r="C20" s="199">
        <f>SUM(C13:C19)</f>
        <v>220001</v>
      </c>
    </row>
    <row r="21" spans="1:3">
      <c r="C21" s="25"/>
    </row>
  </sheetData>
  <mergeCells count="7">
    <mergeCell ref="A9:C9"/>
    <mergeCell ref="A1:B1"/>
    <mergeCell ref="A6:C6"/>
    <mergeCell ref="A5:C5"/>
    <mergeCell ref="A7:C7"/>
    <mergeCell ref="A8:C8"/>
    <mergeCell ref="A4:C4"/>
  </mergeCells>
  <pageMargins left="0.31496062992125984" right="0.31496062992125984" top="0.74803149606299213" bottom="0.55118110236220474" header="0.31496062992125984" footer="0.31496062992125984"/>
  <pageSetup paperSize="9" orientation="landscape" r:id="rId1"/>
  <headerFooter scaleWithDoc="0"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michal.tkac</dc:creator>
  <cp:keywords/>
  <dc:description/>
  <cp:lastModifiedBy>Hostiteľský používateľ</cp:lastModifiedBy>
  <cp:revision/>
  <dcterms:created xsi:type="dcterms:W3CDTF">2015-12-26T09:19:00Z</dcterms:created>
  <dcterms:modified xsi:type="dcterms:W3CDTF">2023-02-03T13:20:04Z</dcterms:modified>
  <cp:category/>
  <cp:contentStatus/>
</cp:coreProperties>
</file>