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Moje Dokumenty\Dokumenty\Správy o hosp.a cerp\2015\VSoH\"/>
    </mc:Choice>
  </mc:AlternateContent>
  <bookViews>
    <workbookView xWindow="14388" yWindow="6900" windowWidth="14436" windowHeight="6912" tabRatio="896" firstSheet="21" activeTab="29"/>
  </bookViews>
  <sheets>
    <sheet name="T1-Dotácie podľa DZ" sheetId="23" r:id="rId1"/>
    <sheet name="T2-Ostatné dot mimo MŠ SR" sheetId="3" r:id="rId2"/>
    <sheet name="T3-Výnosy" sheetId="142" r:id="rId3"/>
    <sheet name="T3a-Výnosy" sheetId="158" r:id="rId4"/>
    <sheet name="T4-Výnosy zo školného" sheetId="154" r:id="rId5"/>
    <sheet name="T5 - Analýza nákladov" sheetId="150" r:id="rId6"/>
    <sheet name="T5a - Náklady " sheetId="159" r:id="rId7"/>
    <sheet name="T6-Zamestnanci_a_mzdy" sheetId="76" r:id="rId8"/>
    <sheet name="T6a-Zamestnanci_a_mzdy (ženy)" sheetId="155" r:id="rId9"/>
    <sheet name="T7_Doktorandi " sheetId="141" r:id="rId10"/>
    <sheet name="T8-Soc_štipendiá" sheetId="109" r:id="rId11"/>
    <sheet name="T9_ŠD " sheetId="116" r:id="rId12"/>
    <sheet name="T10-ŠJ " sheetId="146" r:id="rId13"/>
    <sheet name="T11-Zdroje KV" sheetId="90" r:id="rId14"/>
    <sheet name="T12-KV" sheetId="91" r:id="rId15"/>
    <sheet name="T13-Fondy" sheetId="145" r:id="rId16"/>
    <sheet name="T16 - Štruktúra hotovosti" sheetId="64" r:id="rId17"/>
    <sheet name="T17-Dotácie zo ŠF EU" sheetId="149" r:id="rId18"/>
    <sheet name="T18-Ostatné dotacie z kap MŠ SR" sheetId="61" r:id="rId19"/>
    <sheet name="T19-Štip_ z vlastných " sheetId="144" r:id="rId20"/>
    <sheet name="T20_motivačné štipendiá_nová" sheetId="157" r:id="rId21"/>
    <sheet name="T21-štruktúra_384" sheetId="97" r:id="rId22"/>
    <sheet name="T22_Výnosy_soc_oblasť" sheetId="133" r:id="rId23"/>
    <sheet name="T23_Náklady_soc_oblasť" sheetId="134" r:id="rId24"/>
    <sheet name="T24a_Aktíva_1" sheetId="137" r:id="rId25"/>
    <sheet name="T24b_Aktíva_2" sheetId="138" r:id="rId26"/>
    <sheet name="T25_Pasíva " sheetId="139" r:id="rId27"/>
    <sheet name="Vysvetlivky" sheetId="115" r:id="rId28"/>
    <sheet name="Súvzťažnosti" sheetId="82" r:id="rId29"/>
    <sheet name="Kódy z CRŠ" sheetId="152" r:id="rId30"/>
    <sheet name="T24__Aktíva" sheetId="135" state="hidden" r:id="rId31"/>
  </sheets>
  <externalReferences>
    <externalReference r:id="rId32"/>
    <externalReference r:id="rId33"/>
  </externalReferences>
  <definedNames>
    <definedName name="_kmp1" localSheetId="5">#REF!</definedName>
    <definedName name="_kmp1" localSheetId="6">#REF!</definedName>
    <definedName name="_kmp1">#REF!</definedName>
    <definedName name="_kmp2">#REF!</definedName>
    <definedName name="_kmt1" localSheetId="5">#REF!</definedName>
    <definedName name="_kmt1" localSheetId="6">#REF!</definedName>
    <definedName name="_kmt1">#REF!</definedName>
    <definedName name="_T1">#REF!</definedName>
    <definedName name="_wd1" localSheetId="20">[1]vahy!$B$1</definedName>
    <definedName name="_wd1">[1]vahy!$B$1</definedName>
    <definedName name="_wd3" localSheetId="20">[1]vahy!$B$3</definedName>
    <definedName name="_wd3">[1]vahy!$B$3</definedName>
    <definedName name="_we1" localSheetId="20">[1]vahy!$B$2</definedName>
    <definedName name="_we1">[1]vahy!$B$2</definedName>
    <definedName name="_we3" localSheetId="20">[1]vahy!$B$4</definedName>
    <definedName name="_we3">[1]vahy!$B$4</definedName>
    <definedName name="aaa" hidden="1">3</definedName>
    <definedName name="denní" localSheetId="5">#REF!</definedName>
    <definedName name="denní" localSheetId="6">#REF!</definedName>
    <definedName name="denní">#REF!</definedName>
    <definedName name="dokpo" localSheetId="5">#REF!</definedName>
    <definedName name="dokpo" localSheetId="6">#REF!</definedName>
    <definedName name="dokpo">#REF!</definedName>
    <definedName name="dokpred" localSheetId="5">#REF!</definedName>
    <definedName name="dokpred" localSheetId="6">#REF!</definedName>
    <definedName name="dokpred">#REF!</definedName>
    <definedName name="druhý" localSheetId="5">#REF!</definedName>
    <definedName name="druhý" localSheetId="6">#REF!</definedName>
    <definedName name="druhý">#REF!</definedName>
    <definedName name="exterdruhý" localSheetId="5">#REF!</definedName>
    <definedName name="exterdruhý" localSheetId="6">#REF!</definedName>
    <definedName name="exterdruhý">#REF!</definedName>
    <definedName name="externeplat" localSheetId="5">#REF!</definedName>
    <definedName name="externeplat" localSheetId="6">#REF!</definedName>
    <definedName name="externeplat">#REF!</definedName>
    <definedName name="exterplat" localSheetId="5">#REF!</definedName>
    <definedName name="exterplat" localSheetId="6">#REF!</definedName>
    <definedName name="exterplat">#REF!</definedName>
    <definedName name="KKS_doc" localSheetId="5">#REF!</definedName>
    <definedName name="KKS_doc" localSheetId="6">#REF!</definedName>
    <definedName name="KKS_doc">#REF!</definedName>
    <definedName name="KKS_ost" localSheetId="5">#REF!</definedName>
    <definedName name="KKS_ost" localSheetId="6">#REF!</definedName>
    <definedName name="KKS_ost">#REF!</definedName>
    <definedName name="KKS_phd" localSheetId="5">#REF!</definedName>
    <definedName name="KKS_phd" localSheetId="6">#REF!</definedName>
    <definedName name="KKS_phd">#REF!</definedName>
    <definedName name="KKS_prof" localSheetId="5">#REF!</definedName>
    <definedName name="KKS_prof" localSheetId="6">#REF!</definedName>
    <definedName name="KKS_prof">#REF!</definedName>
    <definedName name="koef_gm_mzdy" localSheetId="5">#REF!</definedName>
    <definedName name="koef_gm_mzdy" localSheetId="6">#REF!</definedName>
    <definedName name="koef_gm_mzdy">#REF!</definedName>
    <definedName name="koef_kpn" localSheetId="5">#REF!</definedName>
    <definedName name="koef_kpn" localSheetId="6">#REF!</definedName>
    <definedName name="koef_kpn">#REF!</definedName>
    <definedName name="koef_prer_nad_gm_mzdy" localSheetId="5">#REF!</definedName>
    <definedName name="koef_prer_nad_gm_mzdy" localSheetId="6">#REF!</definedName>
    <definedName name="koef_prer_nad_gm_mzdy">#REF!</definedName>
    <definedName name="koef_PV" localSheetId="5">#REF!</definedName>
    <definedName name="koef_PV" localSheetId="6">#REF!</definedName>
    <definedName name="koef_PV">#REF!</definedName>
    <definedName name="koef_udr_kat1" localSheetId="17">#REF!</definedName>
    <definedName name="koef_udr_kat1" localSheetId="3">#REF!</definedName>
    <definedName name="koef_udr_kat1" localSheetId="5">#REF!</definedName>
    <definedName name="koef_udr_kat1" localSheetId="6">#REF!</definedName>
    <definedName name="koef_udr_kat1" localSheetId="8">#REF!</definedName>
    <definedName name="koef_udr_kat1">#REF!</definedName>
    <definedName name="koef_udr_kat2" localSheetId="17">#REF!</definedName>
    <definedName name="koef_udr_kat2" localSheetId="3">#REF!</definedName>
    <definedName name="koef_udr_kat2" localSheetId="5">#REF!</definedName>
    <definedName name="koef_udr_kat2" localSheetId="6">#REF!</definedName>
    <definedName name="koef_udr_kat2" localSheetId="8">#REF!</definedName>
    <definedName name="koef_udr_kat2">#REF!</definedName>
    <definedName name="koef_udr_kat3" localSheetId="17">#REF!</definedName>
    <definedName name="koef_udr_kat3" localSheetId="3">#REF!</definedName>
    <definedName name="koef_udr_kat3" localSheetId="5">#REF!</definedName>
    <definedName name="koef_udr_kat3" localSheetId="6">#REF!</definedName>
    <definedName name="koef_udr_kat3" localSheetId="8">#REF!</definedName>
    <definedName name="koef_udr_kat3">#REF!</definedName>
    <definedName name="koef_VV" localSheetId="5">#REF!</definedName>
    <definedName name="koef_VV" localSheetId="6">#REF!</definedName>
    <definedName name="koef_VV">#REF!</definedName>
    <definedName name="kpn_ca_do" localSheetId="5">#REF!</definedName>
    <definedName name="kpn_ca_do" localSheetId="6">#REF!</definedName>
    <definedName name="kpn_ca_do">#REF!</definedName>
    <definedName name="kpn_ca_nad" localSheetId="5">#REF!</definedName>
    <definedName name="kpn_ca_nad" localSheetId="6">#REF!</definedName>
    <definedName name="kpn_ca_nad">#REF!</definedName>
    <definedName name="kzk" localSheetId="5">#REF!</definedName>
    <definedName name="kzk" localSheetId="6">#REF!</definedName>
    <definedName name="kzk">#REF!</definedName>
    <definedName name="kzspp" localSheetId="5">#REF!</definedName>
    <definedName name="kzspp" localSheetId="6">#REF!</definedName>
    <definedName name="kzspp">#REF!</definedName>
    <definedName name="nefinanc">1</definedName>
    <definedName name="_xlnm.Print_Area" localSheetId="28">Súvzťažnosti!$A$1:$C$43</definedName>
    <definedName name="_xlnm.Print_Area" localSheetId="12">'T10-ŠJ '!$A$1:$D$26</definedName>
    <definedName name="_xlnm.Print_Area" localSheetId="13">'T11-Zdroje KV'!$A$1:$D$23</definedName>
    <definedName name="_xlnm.Print_Area" localSheetId="14">'T12-KV'!$A$1:$I$22</definedName>
    <definedName name="_xlnm.Print_Area" localSheetId="15">'T13-Fondy'!$A$1:$N$25</definedName>
    <definedName name="_xlnm.Print_Area" localSheetId="16">'T16 - Štruktúra hotovosti'!$A$1:$D$22</definedName>
    <definedName name="_xlnm.Print_Area" localSheetId="17">'T17-Dotácie zo ŠF EU'!$A$1:$H$16</definedName>
    <definedName name="_xlnm.Print_Area" localSheetId="18">'T18-Ostatné dotacie z kap MŠ SR'!$A$1:$E$18</definedName>
    <definedName name="_xlnm.Print_Area" localSheetId="19">'T19-Štip_ z vlastných '!$A$1:$F$23</definedName>
    <definedName name="_xlnm.Print_Area" localSheetId="0">'T1-Dotácie podľa DZ'!$A$1:$E$19</definedName>
    <definedName name="_xlnm.Print_Area" localSheetId="20">'T20_motivačné štipendiá_nová'!$A$1:$E$15</definedName>
    <definedName name="_xlnm.Print_Area" localSheetId="21">'T21-štruktúra_384'!$A$1:$M$9</definedName>
    <definedName name="_xlnm.Print_Area" localSheetId="22">T22_Výnosy_soc_oblasť!$A$1:$F$43</definedName>
    <definedName name="_xlnm.Print_Area" localSheetId="23">T23_Náklady_soc_oblasť!$A$1:$F$41</definedName>
    <definedName name="_xlnm.Print_Area" localSheetId="24">T24a_Aktíva_1!$A$1:$G$33</definedName>
    <definedName name="_xlnm.Print_Area" localSheetId="25">T24b_Aktíva_2!$A$1:$G$37</definedName>
    <definedName name="_xlnm.Print_Area" localSheetId="26">'T25_Pasíva '!$A$1:$G$49</definedName>
    <definedName name="_xlnm.Print_Area" localSheetId="3">'T3a-Výnosy'!$A$1:$H$45</definedName>
    <definedName name="_xlnm.Print_Area" localSheetId="2">'T3-Výnosy'!$A$1:$H$62</definedName>
    <definedName name="_xlnm.Print_Area" localSheetId="4">'T4-Výnosy zo školného'!$A$1:$E$23</definedName>
    <definedName name="_xlnm.Print_Area" localSheetId="5">'T5 - Analýza nákladov'!$A$81:$G$90</definedName>
    <definedName name="_xlnm.Print_Area" localSheetId="6">'T5a - Náklady '!$A$1:$H$43</definedName>
    <definedName name="_xlnm.Print_Area" localSheetId="8">'T6a-Zamestnanci_a_mzdy (ženy)'!$A$1:$L$37</definedName>
    <definedName name="_xlnm.Print_Area" localSheetId="7">'T6-Zamestnanci_a_mzdy'!$A$1:$K$37</definedName>
    <definedName name="_xlnm.Print_Area" localSheetId="9">'T7_Doktorandi '!$A$1:$G$21</definedName>
    <definedName name="_xlnm.Print_Area" localSheetId="10">'T8-Soc_štipendiá'!$A$1:$F$15</definedName>
    <definedName name="_xlnm.Print_Area" localSheetId="11">'T9_ŠD '!$A$1:$F$21</definedName>
    <definedName name="_xlnm.Print_Area" localSheetId="27">Vysvetlivky!$A$1:$B$103</definedName>
    <definedName name="pocet_jedal" localSheetId="17">#REF!</definedName>
    <definedName name="pocet_jedal" localSheetId="3">#REF!</definedName>
    <definedName name="pocet_jedal" localSheetId="5">#REF!</definedName>
    <definedName name="pocet_jedal" localSheetId="6">#REF!</definedName>
    <definedName name="pocet_jedal" localSheetId="8">#REF!</definedName>
    <definedName name="pocet_jedal">#REF!</definedName>
    <definedName name="podiel" localSheetId="5">#REF!</definedName>
    <definedName name="podiel" localSheetId="6">#REF!</definedName>
    <definedName name="podiel">#REF!</definedName>
    <definedName name="poistné" localSheetId="5">#REF!</definedName>
    <definedName name="poistné" localSheetId="6">#REF!</definedName>
    <definedName name="poistné">#REF!</definedName>
    <definedName name="Pp_DrŠ_exist" localSheetId="17">#REF!</definedName>
    <definedName name="Pp_DrŠ_exist" localSheetId="3">#REF!</definedName>
    <definedName name="Pp_DrŠ_exist" localSheetId="5">#REF!</definedName>
    <definedName name="Pp_DrŠ_exist" localSheetId="6">#REF!</definedName>
    <definedName name="Pp_DrŠ_exist" localSheetId="8">#REF!</definedName>
    <definedName name="Pp_DrŠ_exist">#REF!</definedName>
    <definedName name="Pp_DrŠ_noví" localSheetId="17">#REF!</definedName>
    <definedName name="Pp_DrŠ_noví" localSheetId="3">#REF!</definedName>
    <definedName name="Pp_DrŠ_noví" localSheetId="5">#REF!</definedName>
    <definedName name="Pp_DrŠ_noví" localSheetId="6">#REF!</definedName>
    <definedName name="Pp_DrŠ_noví" localSheetId="8">#REF!</definedName>
    <definedName name="Pp_DrŠ_noví">#REF!</definedName>
    <definedName name="Pp_DrŠ_spolu" localSheetId="17">#REF!</definedName>
    <definedName name="Pp_DrŠ_spolu" localSheetId="3">#REF!</definedName>
    <definedName name="Pp_DrŠ_spolu" localSheetId="5">#REF!</definedName>
    <definedName name="Pp_DrŠ_spolu" localSheetId="6">#REF!</definedName>
    <definedName name="Pp_DrŠ_spolu" localSheetId="8">#REF!</definedName>
    <definedName name="Pp_DrŠ_spolu">#REF!</definedName>
    <definedName name="Pp_klinické_TaS" localSheetId="17">#REF!</definedName>
    <definedName name="Pp_klinické_TaS" localSheetId="3">#REF!</definedName>
    <definedName name="Pp_klinické_TaS" localSheetId="5">#REF!</definedName>
    <definedName name="Pp_klinické_TaS" localSheetId="6">#REF!</definedName>
    <definedName name="Pp_klinické_TaS" localSheetId="8">#REF!</definedName>
    <definedName name="Pp_klinické_TaS">#REF!</definedName>
    <definedName name="Pp_klinické_TaS_rozpísaný" localSheetId="17">#REF!</definedName>
    <definedName name="Pp_klinické_TaS_rozpísaný" localSheetId="3">#REF!</definedName>
    <definedName name="Pp_klinické_TaS_rozpísaný" localSheetId="5">#REF!</definedName>
    <definedName name="Pp_klinické_TaS_rozpísaný" localSheetId="6">#REF!</definedName>
    <definedName name="Pp_klinické_TaS_rozpísaný" localSheetId="8">#REF!</definedName>
    <definedName name="Pp_klinické_TaS_rozpísaný">#REF!</definedName>
    <definedName name="Pp_Rozvoj_BD" localSheetId="5">#REF!</definedName>
    <definedName name="Pp_Rozvoj_BD" localSheetId="6">#REF!</definedName>
    <definedName name="Pp_Rozvoj_BD">#REF!</definedName>
    <definedName name="Pp_Soc_BD" localSheetId="5">#REF!</definedName>
    <definedName name="Pp_Soc_BD" localSheetId="6">#REF!</definedName>
    <definedName name="Pp_Soc_BD">#REF!</definedName>
    <definedName name="Pp_VaT_BD" localSheetId="5">#REF!</definedName>
    <definedName name="Pp_VaT_BD" localSheetId="6">#REF!</definedName>
    <definedName name="Pp_VaT_BD">#REF!</definedName>
    <definedName name="Pp_VaT_mzdy" localSheetId="5">#REF!</definedName>
    <definedName name="Pp_VaT_mzdy" localSheetId="6">#REF!</definedName>
    <definedName name="Pp_VaT_mzdy">#REF!</definedName>
    <definedName name="Pp_VaT_mzdy_rezerva" localSheetId="5">#REF!</definedName>
    <definedName name="Pp_VaT_mzdy_rezerva" localSheetId="6">#REF!</definedName>
    <definedName name="Pp_VaT_mzdy_rezerva">#REF!</definedName>
    <definedName name="Pp_VaT_mzdy_zac_roka" localSheetId="5">#REF!</definedName>
    <definedName name="Pp_VaT_mzdy_zac_roka" localSheetId="6">#REF!</definedName>
    <definedName name="Pp_VaT_mzdy_zac_roka">#REF!</definedName>
    <definedName name="Pp_Vzdel_BD" localSheetId="5">#REF!</definedName>
    <definedName name="Pp_Vzdel_BD" localSheetId="6">#REF!</definedName>
    <definedName name="Pp_Vzdel_BD">#REF!</definedName>
    <definedName name="Pp_Vzdel_mzdy" localSheetId="5">#REF!</definedName>
    <definedName name="Pp_Vzdel_mzdy" localSheetId="6">#REF!</definedName>
    <definedName name="Pp_Vzdel_mzdy">#REF!</definedName>
    <definedName name="Pp_Vzdel_mzdy_kontr" localSheetId="5">#REF!</definedName>
    <definedName name="Pp_Vzdel_mzdy_kontr" localSheetId="6">#REF!</definedName>
    <definedName name="Pp_Vzdel_mzdy_kontr">#REF!</definedName>
    <definedName name="Pp_Vzdel_mzdy_na_prer_modif" localSheetId="17">#REF!</definedName>
    <definedName name="Pp_Vzdel_mzdy_na_prer_modif" localSheetId="3">#REF!</definedName>
    <definedName name="Pp_Vzdel_mzdy_na_prer_modif" localSheetId="5">#REF!</definedName>
    <definedName name="Pp_Vzdel_mzdy_na_prer_modif" localSheetId="6">#REF!</definedName>
    <definedName name="Pp_Vzdel_mzdy_na_prer_modif" localSheetId="8">#REF!</definedName>
    <definedName name="Pp_Vzdel_mzdy_na_prer_modif">#REF!</definedName>
    <definedName name="Pp_Vzdel_mzdy_na_prer_nemodif" localSheetId="17">#REF!</definedName>
    <definedName name="Pp_Vzdel_mzdy_na_prer_nemodif" localSheetId="3">#REF!</definedName>
    <definedName name="Pp_Vzdel_mzdy_na_prer_nemodif" localSheetId="5">#REF!</definedName>
    <definedName name="Pp_Vzdel_mzdy_na_prer_nemodif" localSheetId="6">#REF!</definedName>
    <definedName name="Pp_Vzdel_mzdy_na_prer_nemodif" localSheetId="8">#REF!</definedName>
    <definedName name="Pp_Vzdel_mzdy_na_prer_nemodif">#REF!</definedName>
    <definedName name="Pp_Vzdel_mzdy_prevádz" localSheetId="5">#REF!</definedName>
    <definedName name="Pp_Vzdel_mzdy_prevádz" localSheetId="6">#REF!</definedName>
    <definedName name="Pp_Vzdel_mzdy_prevádz">#REF!</definedName>
    <definedName name="Pp_Vzdel_mzdy_rezerva" localSheetId="5">#REF!</definedName>
    <definedName name="Pp_Vzdel_mzdy_rezerva" localSheetId="6">#REF!</definedName>
    <definedName name="Pp_Vzdel_mzdy_rezerva">#REF!</definedName>
    <definedName name="Pp_Vzdel_mzdy_spec" localSheetId="5">#REF!</definedName>
    <definedName name="Pp_Vzdel_mzdy_spec" localSheetId="6">#REF!</definedName>
    <definedName name="Pp_Vzdel_mzdy_spec">#REF!</definedName>
    <definedName name="Pp_Vzdel_mzdy_výkon" localSheetId="5">#REF!</definedName>
    <definedName name="Pp_Vzdel_mzdy_výkon" localSheetId="6">#REF!</definedName>
    <definedName name="Pp_Vzdel_mzdy_výkon">#REF!</definedName>
    <definedName name="Pp_Vzdel_mzdy_výkon_PV" localSheetId="5">#REF!</definedName>
    <definedName name="Pp_Vzdel_mzdy_výkon_PV" localSheetId="6">#REF!</definedName>
    <definedName name="Pp_Vzdel_mzdy_výkon_PV">#REF!</definedName>
    <definedName name="Pp_Vzdel_mzdy_výkon_PV_bez" localSheetId="5">#REF!</definedName>
    <definedName name="Pp_Vzdel_mzdy_výkon_PV_bez" localSheetId="6">#REF!</definedName>
    <definedName name="Pp_Vzdel_mzdy_výkon_PV_bez">#REF!</definedName>
    <definedName name="Pp_Vzdel_mzdy_výkon_PV_um" localSheetId="5">#REF!</definedName>
    <definedName name="Pp_Vzdel_mzdy_výkon_PV_um" localSheetId="6">#REF!</definedName>
    <definedName name="Pp_Vzdel_mzdy_výkon_PV_um">#REF!</definedName>
    <definedName name="Pp_Vzdel_mzdy_výkon_VV" localSheetId="5">#REF!</definedName>
    <definedName name="Pp_Vzdel_mzdy_výkon_VV" localSheetId="6">#REF!</definedName>
    <definedName name="Pp_Vzdel_mzdy_výkon_VV">#REF!</definedName>
    <definedName name="Pp_Vzdel_mzdy_výkon_VV_bez" localSheetId="5">#REF!</definedName>
    <definedName name="Pp_Vzdel_mzdy_výkon_VV_bez" localSheetId="6">#REF!</definedName>
    <definedName name="Pp_Vzdel_mzdy_výkon_VV_bez">#REF!</definedName>
    <definedName name="Pp_Vzdel_mzdy_výkon_VV_um" localSheetId="5">#REF!</definedName>
    <definedName name="Pp_Vzdel_mzdy_výkon_VV_um" localSheetId="6">#REF!</definedName>
    <definedName name="Pp_Vzdel_mzdy_výkon_VV_um">#REF!</definedName>
    <definedName name="Pp_Vzdel_spec_prax" localSheetId="17">#REF!</definedName>
    <definedName name="Pp_Vzdel_spec_prax" localSheetId="3">#REF!</definedName>
    <definedName name="Pp_Vzdel_spec_prax" localSheetId="5">#REF!</definedName>
    <definedName name="Pp_Vzdel_spec_prax" localSheetId="6">#REF!</definedName>
    <definedName name="Pp_Vzdel_spec_prax" localSheetId="8">#REF!</definedName>
    <definedName name="Pp_Vzdel_spec_prax">#REF!</definedName>
    <definedName name="Pp_Vzdel_TaS" localSheetId="5">#REF!</definedName>
    <definedName name="Pp_Vzdel_TaS" localSheetId="6">#REF!</definedName>
    <definedName name="Pp_Vzdel_TaS">#REF!</definedName>
    <definedName name="Pp_Vzdel_TaS_rezerva" localSheetId="5">#REF!</definedName>
    <definedName name="Pp_Vzdel_TaS_rezerva" localSheetId="6">#REF!</definedName>
    <definedName name="Pp_Vzdel_TaS_rezerva">#REF!</definedName>
    <definedName name="Pp_Vzdel_TaS_spec" localSheetId="17">#REF!</definedName>
    <definedName name="Pp_Vzdel_TaS_spec" localSheetId="3">#REF!</definedName>
    <definedName name="Pp_Vzdel_TaS_spec" localSheetId="5">#REF!</definedName>
    <definedName name="Pp_Vzdel_TaS_spec" localSheetId="6">#REF!</definedName>
    <definedName name="Pp_Vzdel_TaS_spec" localSheetId="8">#REF!</definedName>
    <definedName name="Pp_Vzdel_TaS_spec">#REF!</definedName>
    <definedName name="Pp_Vzdel_TaS_stav" localSheetId="5">#REF!</definedName>
    <definedName name="Pp_Vzdel_TaS_stav" localSheetId="6">#REF!</definedName>
    <definedName name="Pp_Vzdel_TaS_stav">#REF!</definedName>
    <definedName name="Pp_Vzdel_TaS_výkon" localSheetId="17">#REF!</definedName>
    <definedName name="Pp_Vzdel_TaS_výkon" localSheetId="3">#REF!</definedName>
    <definedName name="Pp_Vzdel_TaS_výkon" localSheetId="5">#REF!</definedName>
    <definedName name="Pp_Vzdel_TaS_výkon" localSheetId="6">#REF!</definedName>
    <definedName name="Pp_Vzdel_TaS_výkon" localSheetId="8">#REF!</definedName>
    <definedName name="Pp_Vzdel_TaS_výkon">#REF!</definedName>
    <definedName name="Pp_Vzdel_TaS_výkon_PPŠ" localSheetId="17">#REF!</definedName>
    <definedName name="Pp_Vzdel_TaS_výkon_PPŠ" localSheetId="3">#REF!</definedName>
    <definedName name="Pp_Vzdel_TaS_výkon_PPŠ" localSheetId="5">#REF!</definedName>
    <definedName name="Pp_Vzdel_TaS_výkon_PPŠ" localSheetId="6">#REF!</definedName>
    <definedName name="Pp_Vzdel_TaS_výkon_PPŠ" localSheetId="8">#REF!</definedName>
    <definedName name="Pp_Vzdel_TaS_výkon_PPŠ">#REF!</definedName>
    <definedName name="Pp_Vzdel_TaS_výkon_PPŠ_a_zákl" localSheetId="17">#REF!</definedName>
    <definedName name="Pp_Vzdel_TaS_výkon_PPŠ_a_zákl" localSheetId="3">#REF!</definedName>
    <definedName name="Pp_Vzdel_TaS_výkon_PPŠ_a_zákl" localSheetId="5">#REF!</definedName>
    <definedName name="Pp_Vzdel_TaS_výkon_PPŠ_a_zákl" localSheetId="6">#REF!</definedName>
    <definedName name="Pp_Vzdel_TaS_výkon_PPŠ_a_zákl" localSheetId="8">#REF!</definedName>
    <definedName name="Pp_Vzdel_TaS_výkon_PPŠ_a_zákl">#REF!</definedName>
    <definedName name="Pp_Vzdel_TaS_výkon_PPŠ_KEN" localSheetId="17">#REF!</definedName>
    <definedName name="Pp_Vzdel_TaS_výkon_PPŠ_KEN" localSheetId="3">#REF!</definedName>
    <definedName name="Pp_Vzdel_TaS_výkon_PPŠ_KEN" localSheetId="5">#REF!</definedName>
    <definedName name="Pp_Vzdel_TaS_výkon_PPŠ_KEN" localSheetId="6">#REF!</definedName>
    <definedName name="Pp_Vzdel_TaS_výkon_PPŠ_KEN" localSheetId="8">#REF!</definedName>
    <definedName name="Pp_Vzdel_TaS_výkon_PPŠ_KEN">#REF!</definedName>
    <definedName name="Pp_Vzdel_TaS_zahr_granty" localSheetId="5">#REF!</definedName>
    <definedName name="Pp_Vzdel_TaS_zahr_granty" localSheetId="6">#REF!</definedName>
    <definedName name="Pp_Vzdel_TaS_zahr_granty">#REF!</definedName>
    <definedName name="Pp_Vzdel_TaS_zákl" localSheetId="17">#REF!</definedName>
    <definedName name="Pp_Vzdel_TaS_zákl" localSheetId="3">#REF!</definedName>
    <definedName name="Pp_Vzdel_TaS_zákl" localSheetId="5">#REF!</definedName>
    <definedName name="Pp_Vzdel_TaS_zákl" localSheetId="6">#REF!</definedName>
    <definedName name="Pp_Vzdel_TaS_zákl" localSheetId="8">#REF!</definedName>
    <definedName name="Pp_Vzdel_TaS_zákl">#REF!</definedName>
    <definedName name="Pr_AV_BD" localSheetId="5">#REF!</definedName>
    <definedName name="Pr_AV_BD" localSheetId="6">#REF!</definedName>
    <definedName name="Pr_AV_BD">#REF!</definedName>
    <definedName name="Pr_IV_BD" localSheetId="5">#REF!</definedName>
    <definedName name="Pr_IV_BD" localSheetId="6">#REF!</definedName>
    <definedName name="Pr_IV_BD">#REF!</definedName>
    <definedName name="Pr_IV_KV" localSheetId="5">#REF!</definedName>
    <definedName name="Pr_IV_KV" localSheetId="6">#REF!</definedName>
    <definedName name="Pr_IV_KV">#REF!</definedName>
    <definedName name="Pr_IV_KV_rezerva" localSheetId="5">#REF!</definedName>
    <definedName name="Pr_IV_KV_rezerva" localSheetId="6">#REF!</definedName>
    <definedName name="Pr_IV_KV_rezerva">#REF!</definedName>
    <definedName name="Pr_KEGA_BD" localSheetId="5">#REF!</definedName>
    <definedName name="Pr_KEGA_BD" localSheetId="6">#REF!</definedName>
    <definedName name="Pr_KEGA_BD">#REF!</definedName>
    <definedName name="Pr_klinické" localSheetId="5">#REF!</definedName>
    <definedName name="Pr_klinické" localSheetId="6">#REF!</definedName>
    <definedName name="Pr_klinické">#REF!</definedName>
    <definedName name="Pr_KŠ" localSheetId="17">#REF!</definedName>
    <definedName name="Pr_KŠ" localSheetId="3">#REF!</definedName>
    <definedName name="Pr_KŠ" localSheetId="5">#REF!</definedName>
    <definedName name="Pr_KŠ" localSheetId="6">#REF!</definedName>
    <definedName name="Pr_KŠ" localSheetId="8">#REF!</definedName>
    <definedName name="Pr_KŠ">#REF!</definedName>
    <definedName name="Pr_motštip_BD" localSheetId="5">#REF!</definedName>
    <definedName name="Pr_motštip_BD" localSheetId="6">#REF!</definedName>
    <definedName name="Pr_motštip_BD">#REF!</definedName>
    <definedName name="Pr_MVTS_BD" localSheetId="5">#REF!</definedName>
    <definedName name="Pr_MVTS_BD" localSheetId="6">#REF!</definedName>
    <definedName name="Pr_MVTS_BD">#REF!</definedName>
    <definedName name="Pr_socštip_BD" localSheetId="5">#REF!</definedName>
    <definedName name="Pr_socštip_BD" localSheetId="6">#REF!</definedName>
    <definedName name="Pr_socštip_BD">#REF!</definedName>
    <definedName name="Pr_ŠD" localSheetId="17">#REF!</definedName>
    <definedName name="Pr_ŠD" localSheetId="3">#REF!</definedName>
    <definedName name="Pr_ŠD" localSheetId="5">#REF!</definedName>
    <definedName name="Pr_ŠD" localSheetId="6">#REF!</definedName>
    <definedName name="Pr_ŠD" localSheetId="8">#REF!</definedName>
    <definedName name="Pr_ŠD">#REF!</definedName>
    <definedName name="Pr_ŠDaJKŠPC_BD" localSheetId="5">#REF!</definedName>
    <definedName name="Pr_ŠDaJKŠPC_BD" localSheetId="6">#REF!</definedName>
    <definedName name="Pr_ŠDaJKŠPC_BD">#REF!</definedName>
    <definedName name="Pr_VaT_KV_zac_roka" localSheetId="5">#REF!</definedName>
    <definedName name="Pr_VaT_KV_zac_roka" localSheetId="6">#REF!</definedName>
    <definedName name="Pr_VaT_KV_zac_roka">#REF!</definedName>
    <definedName name="Pr_VaT_TaS" localSheetId="5">#REF!</definedName>
    <definedName name="Pr_VaT_TaS" localSheetId="6">#REF!</definedName>
    <definedName name="Pr_VaT_TaS">#REF!</definedName>
    <definedName name="Pr_VaT_TaS_rezerva" localSheetId="5">#REF!</definedName>
    <definedName name="Pr_VaT_TaS_rezerva" localSheetId="6">#REF!</definedName>
    <definedName name="Pr_VaT_TaS_rezerva">#REF!</definedName>
    <definedName name="Pr_VaT_TaS_zac_roka" localSheetId="5">#REF!</definedName>
    <definedName name="Pr_VaT_TaS_zac_roka" localSheetId="6">#REF!</definedName>
    <definedName name="Pr_VaT_TaS_zac_roka">#REF!</definedName>
    <definedName name="Pr_VEGA_BD" localSheetId="5">#REF!</definedName>
    <definedName name="Pr_VEGA_BD" localSheetId="6">#REF!</definedName>
    <definedName name="Pr_VEGA_BD">#REF!</definedName>
    <definedName name="predmety" localSheetId="5">#REF!</definedName>
    <definedName name="predmety" localSheetId="6">#REF!</definedName>
    <definedName name="predmety">#REF!</definedName>
    <definedName name="prisp_na_1_jedlo" localSheetId="17">#REF!</definedName>
    <definedName name="prisp_na_1_jedlo" localSheetId="3">#REF!</definedName>
    <definedName name="prisp_na_1_jedlo" localSheetId="5">#REF!</definedName>
    <definedName name="prisp_na_1_jedlo" localSheetId="6">#REF!</definedName>
    <definedName name="prisp_na_1_jedlo" localSheetId="8">#REF!</definedName>
    <definedName name="prisp_na_1_jedlo">#REF!</definedName>
    <definedName name="prisp_na_ubyt_stud_SD" localSheetId="17">#REF!</definedName>
    <definedName name="prisp_na_ubyt_stud_SD" localSheetId="3">#REF!</definedName>
    <definedName name="prisp_na_ubyt_stud_SD" localSheetId="5">#REF!</definedName>
    <definedName name="prisp_na_ubyt_stud_SD" localSheetId="6">#REF!</definedName>
    <definedName name="prisp_na_ubyt_stud_SD" localSheetId="8">#REF!</definedName>
    <definedName name="prisp_na_ubyt_stud_SD">#REF!</definedName>
    <definedName name="prisp_na_ubyt_stud_ZZ" localSheetId="17">#REF!</definedName>
    <definedName name="prisp_na_ubyt_stud_ZZ" localSheetId="3">#REF!</definedName>
    <definedName name="prisp_na_ubyt_stud_ZZ" localSheetId="5">#REF!</definedName>
    <definedName name="prisp_na_ubyt_stud_ZZ" localSheetId="6">#REF!</definedName>
    <definedName name="prisp_na_ubyt_stud_ZZ" localSheetId="8">#REF!</definedName>
    <definedName name="prisp_na_ubyt_stud_ZZ">#REF!</definedName>
    <definedName name="prísp_zákl_prev" localSheetId="5">#REF!</definedName>
    <definedName name="prísp_zákl_prev" localSheetId="6">#REF!</definedName>
    <definedName name="prísp_zákl_prev">#REF!</definedName>
    <definedName name="R_vvs" localSheetId="5">#REF!</definedName>
    <definedName name="R_vvs" localSheetId="6">#REF!</definedName>
    <definedName name="R_vvs">#REF!</definedName>
    <definedName name="R_vvs_BD" localSheetId="5">#REF!</definedName>
    <definedName name="R_vvs_BD" localSheetId="6">#REF!</definedName>
    <definedName name="R_vvs_BD">#REF!</definedName>
    <definedName name="R_vvs_VaT_BD" localSheetId="5">#REF!</definedName>
    <definedName name="R_vvs_VaT_BD" localSheetId="6">#REF!</definedName>
    <definedName name="R_vvs_VaT_BD">#REF!</definedName>
    <definedName name="Sanet" localSheetId="5">#REF!</definedName>
    <definedName name="Sanet" localSheetId="6">#REF!</definedName>
    <definedName name="Sanet">#REF!</definedName>
    <definedName name="SAPBEXrevision" hidden="1">7</definedName>
    <definedName name="SAPBEXsysID" hidden="1">"BS1"</definedName>
    <definedName name="SAPBEXwbID" hidden="1">"3TG3S316PX9BHXMQEBSXSYZZO"</definedName>
    <definedName name="stavba_ucelova" localSheetId="5">#REF!</definedName>
    <definedName name="stavba_ucelova" localSheetId="6">#REF!</definedName>
    <definedName name="stavba_ucelova">#REF!</definedName>
    <definedName name="studenti_vstup" localSheetId="5">#REF!</definedName>
    <definedName name="studenti_vstup" localSheetId="6">#REF!</definedName>
    <definedName name="studenti_vstup">#REF!</definedName>
    <definedName name="sustava" localSheetId="5">#REF!</definedName>
    <definedName name="sustava" localSheetId="6">#REF!</definedName>
    <definedName name="sustava">#REF!</definedName>
    <definedName name="T_1">#REF!</definedName>
    <definedName name="T_25_so_štip_2007">#REF!</definedName>
    <definedName name="T_M">#REF!</definedName>
    <definedName name="váha_absDrš" localSheetId="5">#REF!</definedName>
    <definedName name="váha_absDrš" localSheetId="6">#REF!</definedName>
    <definedName name="váha_absDrš">#REF!</definedName>
    <definedName name="váha_DG" localSheetId="5">#REF!</definedName>
    <definedName name="váha_DG" localSheetId="6">#REF!</definedName>
    <definedName name="váha_DG">#REF!</definedName>
    <definedName name="váha_poDs" localSheetId="5">#REF!</definedName>
    <definedName name="váha_poDs" localSheetId="6">#REF!</definedName>
    <definedName name="váha_poDs">#REF!</definedName>
    <definedName name="váha_Pub" localSheetId="5">#REF!</definedName>
    <definedName name="váha_Pub" localSheetId="6">#REF!</definedName>
    <definedName name="váha_Pub">#REF!</definedName>
    <definedName name="váha_ZG" localSheetId="5">#REF!</definedName>
    <definedName name="váha_ZG" localSheetId="6">#REF!</definedName>
    <definedName name="váha_ZG">#REF!</definedName>
    <definedName name="výkon_um" localSheetId="5">#REF!</definedName>
    <definedName name="výkon_um" localSheetId="6">#REF!</definedName>
    <definedName name="výkon_um">#REF!</definedName>
    <definedName name="x">#REF!</definedName>
    <definedName name="xxx" hidden="1">"3TGMUFSSIAIMK2KTNC9DELQD0"</definedName>
    <definedName name="zakl_prisp_na_prev_SD" localSheetId="17">#REF!</definedName>
    <definedName name="zakl_prisp_na_prev_SD" localSheetId="3">#REF!</definedName>
    <definedName name="zakl_prisp_na_prev_SD" localSheetId="5">#REF!</definedName>
    <definedName name="zakl_prisp_na_prev_SD" localSheetId="6">#REF!</definedName>
    <definedName name="zakl_prisp_na_prev_SD" localSheetId="8">#REF!</definedName>
    <definedName name="zakl_prisp_na_prev_SD">#REF!</definedName>
    <definedName name="záloha" localSheetId="17">#REF!</definedName>
    <definedName name="záloha" localSheetId="3">#REF!</definedName>
    <definedName name="záloha" localSheetId="5">#REF!</definedName>
    <definedName name="záloha" localSheetId="6">#REF!</definedName>
    <definedName name="záloha" localSheetId="8">#REF!</definedName>
    <definedName name="záloha">#REF!</definedName>
  </definedNames>
  <calcPr calcId="152511"/>
</workbook>
</file>

<file path=xl/calcChain.xml><?xml version="1.0" encoding="utf-8"?>
<calcChain xmlns="http://schemas.openxmlformats.org/spreadsheetml/2006/main">
  <c r="E88" i="150" l="1"/>
  <c r="F88" i="150"/>
  <c r="D88" i="150"/>
  <c r="C88" i="150"/>
  <c r="F38" i="142"/>
  <c r="E38" i="142"/>
  <c r="D38" i="142"/>
  <c r="C38" i="142"/>
  <c r="H20" i="145" l="1"/>
  <c r="H19" i="145"/>
  <c r="D29" i="159" l="1"/>
  <c r="C29" i="159"/>
  <c r="F29" i="159"/>
  <c r="E29" i="159"/>
  <c r="D25" i="158"/>
  <c r="C25" i="158"/>
  <c r="E87" i="150"/>
  <c r="E86" i="150"/>
  <c r="E27" i="134" l="1"/>
  <c r="E23" i="133"/>
  <c r="H13" i="145"/>
  <c r="D19" i="90" l="1"/>
  <c r="I6" i="97"/>
  <c r="H6" i="97"/>
  <c r="L6" i="97"/>
  <c r="L30" i="155" l="1"/>
  <c r="L29" i="155"/>
  <c r="J29" i="155"/>
  <c r="F29" i="155"/>
  <c r="L28" i="155"/>
  <c r="J28" i="155"/>
  <c r="F28" i="155"/>
  <c r="K28" i="155" s="1"/>
  <c r="F27" i="155"/>
  <c r="L26" i="155"/>
  <c r="J26" i="155"/>
  <c r="F26" i="155"/>
  <c r="K26" i="155" s="1"/>
  <c r="L25" i="155"/>
  <c r="J25" i="155"/>
  <c r="F25" i="155"/>
  <c r="K25" i="155" s="1"/>
  <c r="L24" i="155"/>
  <c r="J24" i="155"/>
  <c r="F24" i="155"/>
  <c r="K24" i="155" s="1"/>
  <c r="L23" i="155"/>
  <c r="J23" i="155"/>
  <c r="F23" i="155"/>
  <c r="K23" i="155" s="1"/>
  <c r="L22" i="155"/>
  <c r="J22" i="155"/>
  <c r="I22" i="155"/>
  <c r="H22" i="155"/>
  <c r="G22" i="155"/>
  <c r="F22" i="155"/>
  <c r="K22" i="155" s="1"/>
  <c r="E22" i="155"/>
  <c r="D22" i="155"/>
  <c r="C22" i="155"/>
  <c r="L21" i="155"/>
  <c r="J21" i="155"/>
  <c r="F21" i="155"/>
  <c r="K21" i="155" s="1"/>
  <c r="L20" i="155"/>
  <c r="J20" i="155"/>
  <c r="F20" i="155"/>
  <c r="L19" i="155"/>
  <c r="J19" i="155"/>
  <c r="F19" i="155"/>
  <c r="K19" i="155" s="1"/>
  <c r="L18" i="155"/>
  <c r="J18" i="155"/>
  <c r="F18" i="155"/>
  <c r="L17" i="155"/>
  <c r="J17" i="155"/>
  <c r="F17" i="155"/>
  <c r="K17" i="155" s="1"/>
  <c r="L16" i="155"/>
  <c r="I16" i="155"/>
  <c r="H16" i="155"/>
  <c r="G16" i="155"/>
  <c r="J16" i="155" s="1"/>
  <c r="E16" i="155"/>
  <c r="D16" i="155"/>
  <c r="C16" i="155"/>
  <c r="F16" i="155" s="1"/>
  <c r="L15" i="155"/>
  <c r="J15" i="155"/>
  <c r="F15" i="155"/>
  <c r="L13" i="155"/>
  <c r="J13" i="155"/>
  <c r="K13" i="155" s="1"/>
  <c r="F13" i="155"/>
  <c r="L12" i="155"/>
  <c r="J12" i="155"/>
  <c r="F12" i="155"/>
  <c r="L11" i="155"/>
  <c r="J11" i="155"/>
  <c r="K11" i="155" s="1"/>
  <c r="F11" i="155"/>
  <c r="L10" i="155"/>
  <c r="J10" i="155"/>
  <c r="F10" i="155"/>
  <c r="L9" i="155"/>
  <c r="J9" i="155"/>
  <c r="K9" i="155" s="1"/>
  <c r="F9" i="155"/>
  <c r="L8" i="155"/>
  <c r="J8" i="155"/>
  <c r="F8" i="155"/>
  <c r="L7" i="155"/>
  <c r="J7" i="155"/>
  <c r="J30" i="155" s="1"/>
  <c r="I7" i="155"/>
  <c r="H7" i="155"/>
  <c r="H30" i="155" s="1"/>
  <c r="G7" i="155"/>
  <c r="F7" i="155"/>
  <c r="F30" i="155" s="1"/>
  <c r="K30" i="155" s="1"/>
  <c r="E7" i="155"/>
  <c r="E30" i="155" s="1"/>
  <c r="D7" i="155"/>
  <c r="D30" i="155" s="1"/>
  <c r="C7" i="155"/>
  <c r="C30" i="155" s="1"/>
  <c r="J29" i="76"/>
  <c r="F29" i="76"/>
  <c r="K29" i="76" s="1"/>
  <c r="J28" i="76"/>
  <c r="F28" i="76"/>
  <c r="K28" i="76" s="1"/>
  <c r="F27" i="76"/>
  <c r="J26" i="76"/>
  <c r="F26" i="76"/>
  <c r="K26" i="76" s="1"/>
  <c r="J25" i="76"/>
  <c r="F25" i="76"/>
  <c r="K25" i="76" s="1"/>
  <c r="J24" i="76"/>
  <c r="F24" i="76"/>
  <c r="K24" i="76" s="1"/>
  <c r="J23" i="76"/>
  <c r="F23" i="76"/>
  <c r="K23" i="76" s="1"/>
  <c r="J22" i="76"/>
  <c r="I22" i="76"/>
  <c r="H22" i="76"/>
  <c r="G22" i="76"/>
  <c r="F22" i="76"/>
  <c r="K22" i="76" s="1"/>
  <c r="E22" i="76"/>
  <c r="D22" i="76"/>
  <c r="C22" i="76"/>
  <c r="J21" i="76"/>
  <c r="F21" i="76"/>
  <c r="K21" i="76" s="1"/>
  <c r="J20" i="76"/>
  <c r="F20" i="76"/>
  <c r="K20" i="76" s="1"/>
  <c r="J19" i="76"/>
  <c r="F19" i="76"/>
  <c r="K19" i="76" s="1"/>
  <c r="J18" i="76"/>
  <c r="F18" i="76"/>
  <c r="K18" i="76" s="1"/>
  <c r="J17" i="76"/>
  <c r="K17" i="76" s="1"/>
  <c r="F17" i="76"/>
  <c r="I16" i="76"/>
  <c r="H16" i="76"/>
  <c r="G16" i="76"/>
  <c r="E16" i="76"/>
  <c r="D16" i="76"/>
  <c r="C16" i="76"/>
  <c r="J15" i="76"/>
  <c r="K15" i="76" s="1"/>
  <c r="F15" i="76"/>
  <c r="J13" i="76"/>
  <c r="F13" i="76"/>
  <c r="J12" i="76"/>
  <c r="F12" i="76"/>
  <c r="J11" i="76"/>
  <c r="F11" i="76"/>
  <c r="K11" i="76" s="1"/>
  <c r="J10" i="76"/>
  <c r="F10" i="76"/>
  <c r="J9" i="76"/>
  <c r="F9" i="76"/>
  <c r="K9" i="76" s="1"/>
  <c r="J8" i="76"/>
  <c r="F8" i="76"/>
  <c r="K8" i="76" s="1"/>
  <c r="I7" i="76"/>
  <c r="H7" i="76"/>
  <c r="H30" i="76" s="1"/>
  <c r="G7" i="76"/>
  <c r="E7" i="76"/>
  <c r="E30" i="76" s="1"/>
  <c r="D7" i="76"/>
  <c r="C7" i="76"/>
  <c r="C30" i="76" s="1"/>
  <c r="J16" i="76" l="1"/>
  <c r="K16" i="76" s="1"/>
  <c r="D30" i="76"/>
  <c r="G30" i="76"/>
  <c r="I30" i="76"/>
  <c r="K10" i="76"/>
  <c r="K12" i="76"/>
  <c r="K13" i="76"/>
  <c r="F16" i="76"/>
  <c r="G30" i="155"/>
  <c r="I30" i="155"/>
  <c r="K8" i="155"/>
  <c r="K10" i="155"/>
  <c r="K12" i="155"/>
  <c r="K15" i="155"/>
  <c r="K18" i="155"/>
  <c r="K20" i="155"/>
  <c r="K29" i="155"/>
  <c r="K16" i="155"/>
  <c r="K7" i="155"/>
  <c r="F7" i="76"/>
  <c r="J7" i="76"/>
  <c r="J30" i="76" l="1"/>
  <c r="F30" i="76"/>
  <c r="K7" i="76"/>
  <c r="K30" i="76" l="1"/>
  <c r="E18" i="91"/>
  <c r="D18" i="91"/>
  <c r="F13" i="91"/>
  <c r="C13" i="91"/>
  <c r="D9" i="90"/>
  <c r="D13" i="146"/>
  <c r="C13" i="146"/>
  <c r="C14" i="116"/>
  <c r="D12" i="116"/>
  <c r="F43" i="159" l="1"/>
  <c r="E43" i="159"/>
  <c r="D43" i="159"/>
  <c r="C43" i="159"/>
  <c r="E89" i="150"/>
  <c r="F58" i="150" l="1"/>
  <c r="E42" i="150"/>
  <c r="E7" i="150"/>
  <c r="E17" i="150"/>
  <c r="E6" i="142"/>
  <c r="E25" i="142"/>
  <c r="C15" i="64" l="1"/>
  <c r="C14" i="64"/>
  <c r="E23" i="3" l="1"/>
  <c r="E24" i="3"/>
  <c r="E25" i="3"/>
  <c r="E26" i="3"/>
  <c r="E27" i="3"/>
  <c r="E28" i="3"/>
  <c r="E29" i="3"/>
  <c r="E30" i="3"/>
  <c r="E31" i="3"/>
  <c r="E32" i="3"/>
  <c r="C18" i="154"/>
  <c r="D8" i="158"/>
  <c r="C8" i="158"/>
  <c r="C19" i="3" l="1"/>
  <c r="E9" i="3"/>
  <c r="G97" i="150" l="1"/>
  <c r="H97" i="150"/>
  <c r="H44" i="158" l="1"/>
  <c r="G44" i="158"/>
  <c r="H43" i="158"/>
  <c r="G43" i="158"/>
  <c r="H40" i="158"/>
  <c r="G40" i="158"/>
  <c r="H39" i="158"/>
  <c r="G39" i="158"/>
  <c r="H38" i="158"/>
  <c r="G38" i="158"/>
  <c r="H37" i="158"/>
  <c r="G37" i="158"/>
  <c r="H36" i="158"/>
  <c r="G36" i="158"/>
  <c r="H35" i="158"/>
  <c r="G35" i="158"/>
  <c r="H34" i="158"/>
  <c r="G34" i="158"/>
  <c r="H33" i="158"/>
  <c r="G33" i="158"/>
  <c r="H32" i="158"/>
  <c r="G32" i="158"/>
  <c r="H31" i="158"/>
  <c r="G31" i="158"/>
  <c r="H30" i="158"/>
  <c r="G30" i="158"/>
  <c r="H29" i="158"/>
  <c r="G29" i="158"/>
  <c r="H28" i="158"/>
  <c r="G28" i="158"/>
  <c r="H27" i="158"/>
  <c r="G27" i="158"/>
  <c r="H26" i="158"/>
  <c r="G26" i="158"/>
  <c r="H25" i="158"/>
  <c r="G25" i="158"/>
  <c r="H24" i="158"/>
  <c r="G24" i="158"/>
  <c r="H23" i="158"/>
  <c r="G23" i="158"/>
  <c r="H22" i="158"/>
  <c r="G22" i="158"/>
  <c r="H21" i="158"/>
  <c r="G21" i="158"/>
  <c r="H20" i="158"/>
  <c r="G20" i="158"/>
  <c r="H19" i="158"/>
  <c r="G19" i="158"/>
  <c r="H18" i="158"/>
  <c r="G18" i="158"/>
  <c r="H17" i="158"/>
  <c r="G17" i="158"/>
  <c r="H16" i="158"/>
  <c r="G16" i="158"/>
  <c r="H15" i="158"/>
  <c r="G15" i="158"/>
  <c r="H14" i="158"/>
  <c r="G14" i="158"/>
  <c r="H13" i="158"/>
  <c r="G13" i="158"/>
  <c r="H12" i="158"/>
  <c r="G12" i="158"/>
  <c r="H11" i="158"/>
  <c r="G11" i="158"/>
  <c r="H10" i="158"/>
  <c r="G10" i="158"/>
  <c r="H9" i="158"/>
  <c r="G9" i="158"/>
  <c r="H8" i="158"/>
  <c r="G8" i="158"/>
  <c r="E41" i="158"/>
  <c r="F41" i="158"/>
  <c r="H42" i="159"/>
  <c r="G42" i="159"/>
  <c r="H41" i="159"/>
  <c r="G41" i="159"/>
  <c r="H40" i="159"/>
  <c r="G40" i="159"/>
  <c r="H39" i="159"/>
  <c r="G39" i="159"/>
  <c r="H38" i="159"/>
  <c r="G38" i="159"/>
  <c r="H37" i="159"/>
  <c r="G37" i="159"/>
  <c r="H36" i="159"/>
  <c r="G36" i="159"/>
  <c r="H35" i="159"/>
  <c r="G35" i="159"/>
  <c r="H34" i="159"/>
  <c r="G34" i="159"/>
  <c r="H33" i="159"/>
  <c r="G33" i="159"/>
  <c r="H32" i="159"/>
  <c r="G32" i="159"/>
  <c r="H31" i="159"/>
  <c r="G31" i="159"/>
  <c r="H30" i="159"/>
  <c r="G30" i="159"/>
  <c r="H29" i="159"/>
  <c r="G29" i="159"/>
  <c r="H28" i="159"/>
  <c r="G28" i="159"/>
  <c r="H27" i="159"/>
  <c r="G27" i="159"/>
  <c r="H26" i="159"/>
  <c r="G26" i="159"/>
  <c r="H25" i="159"/>
  <c r="G25" i="159"/>
  <c r="H24" i="159"/>
  <c r="G24" i="159"/>
  <c r="H23" i="159"/>
  <c r="G23" i="159"/>
  <c r="H22" i="159"/>
  <c r="G22" i="159"/>
  <c r="H21" i="159"/>
  <c r="G21" i="159"/>
  <c r="H20" i="159"/>
  <c r="G20" i="159"/>
  <c r="H19" i="159"/>
  <c r="G19" i="159"/>
  <c r="H18" i="159"/>
  <c r="G18" i="159"/>
  <c r="H17" i="159"/>
  <c r="G17" i="159"/>
  <c r="H16" i="159"/>
  <c r="G16" i="159"/>
  <c r="H15" i="159"/>
  <c r="G15" i="159"/>
  <c r="H14" i="159"/>
  <c r="G14" i="159"/>
  <c r="H13" i="159"/>
  <c r="G13" i="159"/>
  <c r="H12" i="159"/>
  <c r="G12" i="159"/>
  <c r="H11" i="159"/>
  <c r="G11" i="159"/>
  <c r="H10" i="159"/>
  <c r="G10" i="159"/>
  <c r="H9" i="159"/>
  <c r="G9" i="159"/>
  <c r="H8" i="159"/>
  <c r="G8" i="159"/>
  <c r="H7" i="159"/>
  <c r="G7" i="159"/>
  <c r="H6" i="159"/>
  <c r="G6" i="159"/>
  <c r="H43" i="159"/>
  <c r="D9" i="157"/>
  <c r="C9" i="157"/>
  <c r="E6" i="157" s="1"/>
  <c r="E9" i="157" s="1"/>
  <c r="D18" i="154"/>
  <c r="H54" i="142"/>
  <c r="G48" i="142"/>
  <c r="D11" i="154"/>
  <c r="C11" i="154"/>
  <c r="D5" i="154"/>
  <c r="C5" i="154"/>
  <c r="D15" i="3"/>
  <c r="D19" i="3"/>
  <c r="E19" i="3" s="1"/>
  <c r="F7" i="144"/>
  <c r="H101" i="150"/>
  <c r="G101" i="150"/>
  <c r="H99" i="150"/>
  <c r="G99" i="150"/>
  <c r="H98" i="150"/>
  <c r="G98" i="150"/>
  <c r="H96" i="150"/>
  <c r="G96" i="150"/>
  <c r="H95" i="150"/>
  <c r="G95" i="150"/>
  <c r="H94" i="150"/>
  <c r="G94" i="150"/>
  <c r="H93" i="150"/>
  <c r="G93" i="150"/>
  <c r="H92" i="150"/>
  <c r="G92" i="150"/>
  <c r="H91" i="150"/>
  <c r="G91" i="150"/>
  <c r="H90" i="150"/>
  <c r="G90" i="150"/>
  <c r="F89" i="150"/>
  <c r="D89" i="150"/>
  <c r="C89" i="150"/>
  <c r="H88" i="150"/>
  <c r="G88" i="150"/>
  <c r="H87" i="150"/>
  <c r="G87" i="150"/>
  <c r="H86" i="150"/>
  <c r="G86" i="150"/>
  <c r="H85" i="150"/>
  <c r="G85" i="150"/>
  <c r="H84" i="150"/>
  <c r="G84" i="150"/>
  <c r="H83" i="150"/>
  <c r="G83" i="150"/>
  <c r="H82" i="150"/>
  <c r="G82" i="150"/>
  <c r="F81" i="150"/>
  <c r="F79" i="150" s="1"/>
  <c r="E81" i="150"/>
  <c r="D81" i="150"/>
  <c r="D79" i="150" s="1"/>
  <c r="C81" i="150"/>
  <c r="C79" i="150" s="1"/>
  <c r="H80" i="150"/>
  <c r="G80" i="150"/>
  <c r="H78" i="150"/>
  <c r="G78" i="150"/>
  <c r="H77" i="150"/>
  <c r="G77" i="150"/>
  <c r="H76" i="150"/>
  <c r="G76" i="150"/>
  <c r="H75" i="150"/>
  <c r="G75" i="150"/>
  <c r="H74" i="150"/>
  <c r="G74" i="150"/>
  <c r="H73" i="150"/>
  <c r="G73" i="150"/>
  <c r="H72" i="150"/>
  <c r="G72" i="150"/>
  <c r="H71" i="150"/>
  <c r="G71" i="150"/>
  <c r="H70" i="150"/>
  <c r="G70" i="150"/>
  <c r="H69" i="150"/>
  <c r="G69" i="150"/>
  <c r="F68" i="150"/>
  <c r="E68" i="150"/>
  <c r="D68" i="150"/>
  <c r="C68" i="150"/>
  <c r="H67" i="150"/>
  <c r="G67" i="150"/>
  <c r="H66" i="150"/>
  <c r="G66" i="150"/>
  <c r="H65" i="150"/>
  <c r="G65" i="150"/>
  <c r="H64" i="150"/>
  <c r="G64" i="150"/>
  <c r="H63" i="150"/>
  <c r="G63" i="150"/>
  <c r="F62" i="150"/>
  <c r="E62" i="150"/>
  <c r="E60" i="150" s="1"/>
  <c r="D62" i="150"/>
  <c r="C62" i="150"/>
  <c r="C60" i="150" s="1"/>
  <c r="H61" i="150"/>
  <c r="G61" i="150"/>
  <c r="D60" i="150"/>
  <c r="H59" i="150"/>
  <c r="G59" i="150"/>
  <c r="H58" i="150"/>
  <c r="G58" i="150"/>
  <c r="H57" i="150"/>
  <c r="G57" i="150"/>
  <c r="H56" i="150"/>
  <c r="G56" i="150"/>
  <c r="H55" i="150"/>
  <c r="G55" i="150"/>
  <c r="H54" i="150"/>
  <c r="G54" i="150"/>
  <c r="H53" i="150"/>
  <c r="G53" i="150"/>
  <c r="H52" i="150"/>
  <c r="G52" i="150"/>
  <c r="H51" i="150"/>
  <c r="G51" i="150"/>
  <c r="H50" i="150"/>
  <c r="G50" i="150"/>
  <c r="H49" i="150"/>
  <c r="G49" i="150"/>
  <c r="H48" i="150"/>
  <c r="G48" i="150"/>
  <c r="H47" i="150"/>
  <c r="G47" i="150"/>
  <c r="H46" i="150"/>
  <c r="G46" i="150"/>
  <c r="H45" i="150"/>
  <c r="G45" i="150"/>
  <c r="F44" i="150"/>
  <c r="E44" i="150"/>
  <c r="D44" i="150"/>
  <c r="C44" i="150"/>
  <c r="H43" i="150"/>
  <c r="G43" i="150"/>
  <c r="H42" i="150"/>
  <c r="G42" i="150"/>
  <c r="H41" i="150"/>
  <c r="G41" i="150"/>
  <c r="F40" i="150"/>
  <c r="E40" i="150"/>
  <c r="D40" i="150"/>
  <c r="H40" i="150" s="1"/>
  <c r="C40" i="150"/>
  <c r="H39" i="150"/>
  <c r="G39" i="150"/>
  <c r="H38" i="150"/>
  <c r="G38" i="150"/>
  <c r="H37" i="150"/>
  <c r="G37" i="150"/>
  <c r="H36" i="150"/>
  <c r="G36" i="150"/>
  <c r="H35" i="150"/>
  <c r="G35" i="150"/>
  <c r="H34" i="150"/>
  <c r="G34" i="150"/>
  <c r="H33" i="150"/>
  <c r="G33" i="150"/>
  <c r="F32" i="150"/>
  <c r="E32" i="150"/>
  <c r="D32" i="150"/>
  <c r="C32" i="150"/>
  <c r="H31" i="150"/>
  <c r="G31" i="150"/>
  <c r="H30" i="150"/>
  <c r="G30" i="150"/>
  <c r="H29" i="150"/>
  <c r="G29" i="150"/>
  <c r="H28" i="150"/>
  <c r="G28" i="150"/>
  <c r="F27" i="150"/>
  <c r="E27" i="150"/>
  <c r="D27" i="150"/>
  <c r="C27" i="150"/>
  <c r="G27" i="150"/>
  <c r="H25" i="150"/>
  <c r="G25" i="150"/>
  <c r="H24" i="150"/>
  <c r="G24" i="150"/>
  <c r="H23" i="150"/>
  <c r="G23" i="150"/>
  <c r="H22" i="150"/>
  <c r="G22" i="150"/>
  <c r="H21" i="150"/>
  <c r="G21" i="150"/>
  <c r="H20" i="150"/>
  <c r="G20" i="150"/>
  <c r="F19" i="150"/>
  <c r="E19" i="150"/>
  <c r="D19" i="150"/>
  <c r="C19" i="150"/>
  <c r="H18" i="150"/>
  <c r="G18" i="150"/>
  <c r="H17" i="150"/>
  <c r="G17" i="150"/>
  <c r="H16" i="150"/>
  <c r="G16" i="150"/>
  <c r="H15" i="150"/>
  <c r="G15" i="150"/>
  <c r="H14" i="150"/>
  <c r="G14" i="150"/>
  <c r="H13" i="150"/>
  <c r="G13" i="150"/>
  <c r="H12" i="150"/>
  <c r="G12" i="150"/>
  <c r="H11" i="150"/>
  <c r="G11" i="150"/>
  <c r="H10" i="150"/>
  <c r="G10" i="150"/>
  <c r="H9" i="150"/>
  <c r="G9" i="150"/>
  <c r="H8" i="150"/>
  <c r="G8" i="150"/>
  <c r="H7" i="150"/>
  <c r="G7" i="150"/>
  <c r="A7" i="150"/>
  <c r="A8" i="150" s="1"/>
  <c r="A9" i="150" s="1"/>
  <c r="A10" i="150"/>
  <c r="A11" i="150" s="1"/>
  <c r="A12" i="150" s="1"/>
  <c r="A13" i="150" s="1"/>
  <c r="A14" i="150" s="1"/>
  <c r="A15" i="150" s="1"/>
  <c r="A16" i="150" s="1"/>
  <c r="A17" i="150" s="1"/>
  <c r="A18" i="150" s="1"/>
  <c r="A19" i="150" s="1"/>
  <c r="A20" i="150" s="1"/>
  <c r="A21" i="150" s="1"/>
  <c r="A22" i="150" s="1"/>
  <c r="A23" i="150" s="1"/>
  <c r="A24" i="150" s="1"/>
  <c r="A25" i="150" s="1"/>
  <c r="A26" i="150" s="1"/>
  <c r="A27" i="150" s="1"/>
  <c r="A28" i="150" s="1"/>
  <c r="A29" i="150" s="1"/>
  <c r="A30" i="150" s="1"/>
  <c r="A31" i="150" s="1"/>
  <c r="A32" i="150" s="1"/>
  <c r="A33" i="150" s="1"/>
  <c r="A34" i="150" s="1"/>
  <c r="A35" i="150" s="1"/>
  <c r="A36" i="150" s="1"/>
  <c r="A37" i="150" s="1"/>
  <c r="A38" i="150" s="1"/>
  <c r="A39" i="150" s="1"/>
  <c r="A40" i="150" s="1"/>
  <c r="A41" i="150" s="1"/>
  <c r="A42" i="150" s="1"/>
  <c r="A43" i="150" s="1"/>
  <c r="A44" i="150" s="1"/>
  <c r="A45" i="150" s="1"/>
  <c r="A46" i="150" s="1"/>
  <c r="A47" i="150" s="1"/>
  <c r="A48" i="150" s="1"/>
  <c r="A49" i="150" s="1"/>
  <c r="A50" i="150" s="1"/>
  <c r="A51" i="150" s="1"/>
  <c r="A52" i="150" s="1"/>
  <c r="A53" i="150" s="1"/>
  <c r="A54" i="150" s="1"/>
  <c r="A55" i="150" s="1"/>
  <c r="A56" i="150" s="1"/>
  <c r="A57" i="150" s="1"/>
  <c r="A58" i="150" s="1"/>
  <c r="A59" i="150" s="1"/>
  <c r="A60" i="150" s="1"/>
  <c r="A61" i="150" s="1"/>
  <c r="A62" i="150" s="1"/>
  <c r="A63" i="150" s="1"/>
  <c r="A64" i="150" s="1"/>
  <c r="A65" i="150" s="1"/>
  <c r="A66" i="150" s="1"/>
  <c r="A67" i="150" s="1"/>
  <c r="A68" i="150" s="1"/>
  <c r="A69" i="150" s="1"/>
  <c r="A70" i="150" s="1"/>
  <c r="A71" i="150" s="1"/>
  <c r="A72" i="150" s="1"/>
  <c r="A73" i="150" s="1"/>
  <c r="A74" i="150" s="1"/>
  <c r="A75" i="150" s="1"/>
  <c r="A76" i="150" s="1"/>
  <c r="A77" i="150" s="1"/>
  <c r="A78" i="150" s="1"/>
  <c r="A79" i="150" s="1"/>
  <c r="A80" i="150" s="1"/>
  <c r="A81" i="150" s="1"/>
  <c r="A82" i="150" s="1"/>
  <c r="A83" i="150" s="1"/>
  <c r="A84" i="150" s="1"/>
  <c r="A85" i="150" s="1"/>
  <c r="A86" i="150" s="1"/>
  <c r="A87" i="150" s="1"/>
  <c r="A88" i="150" s="1"/>
  <c r="A89" i="150" s="1"/>
  <c r="A90" i="150" s="1"/>
  <c r="A91" i="150" s="1"/>
  <c r="A93" i="150" s="1"/>
  <c r="A94" i="150" s="1"/>
  <c r="A95" i="150" s="1"/>
  <c r="A96" i="150" s="1"/>
  <c r="A97" i="150" s="1"/>
  <c r="A98" i="150" s="1"/>
  <c r="A99" i="150" s="1"/>
  <c r="A101" i="150" s="1"/>
  <c r="A102" i="150" s="1"/>
  <c r="F6" i="150"/>
  <c r="E6" i="150"/>
  <c r="D6" i="150"/>
  <c r="C6" i="150"/>
  <c r="F6" i="149"/>
  <c r="E6" i="149"/>
  <c r="D6" i="149"/>
  <c r="C6" i="149"/>
  <c r="G7" i="149"/>
  <c r="H8" i="149"/>
  <c r="G10" i="149"/>
  <c r="H11" i="149"/>
  <c r="G14" i="149"/>
  <c r="H14" i="149"/>
  <c r="G15" i="149"/>
  <c r="H15" i="149"/>
  <c r="D9" i="149"/>
  <c r="E9" i="149"/>
  <c r="F9" i="149"/>
  <c r="C9" i="149"/>
  <c r="G9" i="149" s="1"/>
  <c r="F13" i="149"/>
  <c r="E13" i="149"/>
  <c r="D13" i="149"/>
  <c r="H13" i="149"/>
  <c r="C13" i="149"/>
  <c r="A8" i="149"/>
  <c r="A9" i="149" s="1"/>
  <c r="A10" i="149" s="1"/>
  <c r="A11" i="149" s="1"/>
  <c r="A12" i="149" s="1"/>
  <c r="A13" i="149" s="1"/>
  <c r="A14" i="149" s="1"/>
  <c r="D20" i="146"/>
  <c r="C20" i="146"/>
  <c r="C12" i="146" s="1"/>
  <c r="C9" i="146" s="1"/>
  <c r="C5" i="146" s="1"/>
  <c r="C16" i="146" s="1"/>
  <c r="D21" i="146"/>
  <c r="F11" i="141"/>
  <c r="F42" i="133"/>
  <c r="F41" i="133"/>
  <c r="E18" i="141"/>
  <c r="G17" i="141"/>
  <c r="G15" i="141"/>
  <c r="G14" i="141"/>
  <c r="G13" i="141"/>
  <c r="G12" i="141"/>
  <c r="E11" i="141"/>
  <c r="D11" i="141"/>
  <c r="C11" i="141"/>
  <c r="G10" i="141"/>
  <c r="G9" i="141"/>
  <c r="F8" i="141"/>
  <c r="F7" i="141" s="1"/>
  <c r="F18" i="141" s="1"/>
  <c r="E8" i="141"/>
  <c r="D8" i="141"/>
  <c r="C8" i="141"/>
  <c r="E7" i="141"/>
  <c r="N15" i="145"/>
  <c r="M15" i="145"/>
  <c r="M18" i="145"/>
  <c r="N18" i="145"/>
  <c r="N16" i="145"/>
  <c r="M16" i="145"/>
  <c r="N12" i="145"/>
  <c r="M12" i="145"/>
  <c r="N11" i="145"/>
  <c r="M11" i="145"/>
  <c r="M8" i="145"/>
  <c r="N8" i="145"/>
  <c r="M6" i="145"/>
  <c r="C17" i="146"/>
  <c r="H20" i="142"/>
  <c r="D13" i="144"/>
  <c r="E13" i="144"/>
  <c r="F13" i="144"/>
  <c r="H7" i="145"/>
  <c r="G7" i="145"/>
  <c r="G17" i="145" s="1"/>
  <c r="H6" i="145" s="1"/>
  <c r="C21" i="146"/>
  <c r="D17" i="146"/>
  <c r="D6" i="146"/>
  <c r="C6" i="146"/>
  <c r="A6" i="146"/>
  <c r="A7" i="146"/>
  <c r="A8" i="146" s="1"/>
  <c r="A9" i="146" s="1"/>
  <c r="A10" i="146" s="1"/>
  <c r="A11" i="146" s="1"/>
  <c r="A12" i="146" s="1"/>
  <c r="A13" i="146" s="1"/>
  <c r="A15" i="146" s="1"/>
  <c r="A16" i="146" s="1"/>
  <c r="A17" i="146" s="1"/>
  <c r="A18" i="146" s="1"/>
  <c r="A19" i="146" s="1"/>
  <c r="A20" i="146" s="1"/>
  <c r="A21" i="146" s="1"/>
  <c r="N14" i="145"/>
  <c r="M14" i="145"/>
  <c r="N13" i="145"/>
  <c r="M13" i="145"/>
  <c r="N10" i="145"/>
  <c r="M10" i="145"/>
  <c r="N9" i="145"/>
  <c r="M9" i="145"/>
  <c r="L7" i="145"/>
  <c r="K7" i="145"/>
  <c r="K17" i="145"/>
  <c r="L6" i="145" s="1"/>
  <c r="L17" i="145" s="1"/>
  <c r="J7" i="145"/>
  <c r="I7" i="145"/>
  <c r="F7" i="145"/>
  <c r="E7" i="145"/>
  <c r="E17" i="145" s="1"/>
  <c r="F6" i="145" s="1"/>
  <c r="D7" i="145"/>
  <c r="C7" i="145"/>
  <c r="F39" i="134"/>
  <c r="I20" i="91"/>
  <c r="I19" i="91"/>
  <c r="I18" i="91"/>
  <c r="I17" i="91"/>
  <c r="I16" i="91"/>
  <c r="I15" i="91"/>
  <c r="I14" i="91"/>
  <c r="I13" i="91"/>
  <c r="I12" i="91"/>
  <c r="I11" i="91"/>
  <c r="H10" i="91"/>
  <c r="H21" i="91" s="1"/>
  <c r="G10" i="91"/>
  <c r="G21" i="91" s="1"/>
  <c r="F10" i="91"/>
  <c r="F21" i="91"/>
  <c r="E10" i="91"/>
  <c r="E21" i="91" s="1"/>
  <c r="D10" i="91"/>
  <c r="D21" i="91" s="1"/>
  <c r="C10" i="91"/>
  <c r="C21" i="91" s="1"/>
  <c r="I9" i="91"/>
  <c r="I8" i="91"/>
  <c r="I6" i="91"/>
  <c r="M6" i="97"/>
  <c r="G6" i="97"/>
  <c r="F16" i="144"/>
  <c r="E16" i="144"/>
  <c r="D16" i="144"/>
  <c r="C16" i="144"/>
  <c r="C13" i="144"/>
  <c r="F10" i="144"/>
  <c r="F6" i="144" s="1"/>
  <c r="E10" i="144"/>
  <c r="D10" i="144"/>
  <c r="C10" i="144"/>
  <c r="E7" i="144"/>
  <c r="D7" i="144"/>
  <c r="C7" i="144"/>
  <c r="H58" i="142"/>
  <c r="G58" i="142"/>
  <c r="H57" i="142"/>
  <c r="G57" i="142"/>
  <c r="H56" i="142"/>
  <c r="G56" i="142"/>
  <c r="G54" i="142"/>
  <c r="H53" i="142"/>
  <c r="G53" i="142"/>
  <c r="H51" i="142"/>
  <c r="G51" i="142"/>
  <c r="H50" i="142"/>
  <c r="G50" i="142"/>
  <c r="G49" i="142"/>
  <c r="G47" i="142"/>
  <c r="G46" i="142"/>
  <c r="G45" i="142"/>
  <c r="F44" i="142"/>
  <c r="E44" i="142"/>
  <c r="D44" i="142"/>
  <c r="C44" i="142"/>
  <c r="H43" i="142"/>
  <c r="G43" i="142"/>
  <c r="H42" i="142"/>
  <c r="G42" i="142"/>
  <c r="H41" i="142"/>
  <c r="G41" i="142"/>
  <c r="H40" i="142"/>
  <c r="G40" i="142"/>
  <c r="H39" i="142"/>
  <c r="G39" i="142"/>
  <c r="H38" i="142"/>
  <c r="G38" i="142"/>
  <c r="H37" i="142"/>
  <c r="G37" i="142"/>
  <c r="H36" i="142"/>
  <c r="G36" i="142"/>
  <c r="H35" i="142"/>
  <c r="G35" i="142"/>
  <c r="H34" i="142"/>
  <c r="G34" i="142"/>
  <c r="H33" i="142"/>
  <c r="G33" i="142"/>
  <c r="H32" i="142"/>
  <c r="G32" i="142"/>
  <c r="H31" i="142"/>
  <c r="G31" i="142"/>
  <c r="H30" i="142"/>
  <c r="G30" i="142"/>
  <c r="H29" i="142"/>
  <c r="G29" i="142"/>
  <c r="H28" i="142"/>
  <c r="G28" i="142"/>
  <c r="H27" i="142"/>
  <c r="G27" i="142"/>
  <c r="H26" i="142"/>
  <c r="G26" i="142"/>
  <c r="F25" i="142"/>
  <c r="D25" i="142"/>
  <c r="C25" i="142"/>
  <c r="G25" i="142" s="1"/>
  <c r="H24" i="142"/>
  <c r="G24" i="142"/>
  <c r="H23" i="142"/>
  <c r="G23" i="142"/>
  <c r="H22" i="142"/>
  <c r="G22" i="142"/>
  <c r="F21" i="142"/>
  <c r="E21" i="142"/>
  <c r="D21" i="142"/>
  <c r="C21" i="142"/>
  <c r="G20" i="142"/>
  <c r="H19" i="142"/>
  <c r="G19" i="142"/>
  <c r="H18" i="142"/>
  <c r="G18" i="142"/>
  <c r="H17" i="142"/>
  <c r="G17" i="142"/>
  <c r="H16" i="142"/>
  <c r="G16" i="142"/>
  <c r="H15" i="142"/>
  <c r="G15" i="142"/>
  <c r="H14" i="142"/>
  <c r="G14" i="142"/>
  <c r="H13" i="142"/>
  <c r="G13" i="142"/>
  <c r="H12" i="142"/>
  <c r="G12" i="142"/>
  <c r="F11" i="142"/>
  <c r="E11" i="142"/>
  <c r="D11" i="142"/>
  <c r="D7" i="158" s="1"/>
  <c r="H7" i="158" s="1"/>
  <c r="C11" i="142"/>
  <c r="C7" i="158" s="1"/>
  <c r="G7" i="158" s="1"/>
  <c r="H10" i="142"/>
  <c r="G10" i="142"/>
  <c r="H9" i="142"/>
  <c r="G9" i="142"/>
  <c r="H8" i="142"/>
  <c r="G8" i="142"/>
  <c r="H7" i="142"/>
  <c r="G7" i="142"/>
  <c r="A7" i="142"/>
  <c r="A8" i="142" s="1"/>
  <c r="A9" i="142" s="1"/>
  <c r="A10" i="142" s="1"/>
  <c r="A11" i="142" s="1"/>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A33" i="142" s="1"/>
  <c r="A34" i="142" s="1"/>
  <c r="A35" i="142" s="1"/>
  <c r="A36" i="142" s="1"/>
  <c r="A37" i="142" s="1"/>
  <c r="A38" i="142" s="1"/>
  <c r="A39" i="142" s="1"/>
  <c r="A40" i="142" s="1"/>
  <c r="A41" i="142" s="1"/>
  <c r="A42" i="142" s="1"/>
  <c r="A43" i="142" s="1"/>
  <c r="A44" i="142" s="1"/>
  <c r="A45" i="142" s="1"/>
  <c r="A46" i="142" s="1"/>
  <c r="A47" i="142" s="1"/>
  <c r="A48" i="142" s="1"/>
  <c r="A49" i="142" s="1"/>
  <c r="A50" i="142" s="1"/>
  <c r="A51" i="142" s="1"/>
  <c r="A52" i="142" s="1"/>
  <c r="A53" i="142" s="1"/>
  <c r="A54" i="142" s="1"/>
  <c r="A55" i="142" s="1"/>
  <c r="A56" i="142" s="1"/>
  <c r="A57" i="142" s="1"/>
  <c r="A58" i="142" s="1"/>
  <c r="A59" i="142" s="1"/>
  <c r="F6" i="142"/>
  <c r="D6" i="142"/>
  <c r="D6" i="158" s="1"/>
  <c r="D41" i="158" s="1"/>
  <c r="D42" i="158" s="1"/>
  <c r="D45" i="158" s="1"/>
  <c r="C6" i="142"/>
  <c r="C6" i="158" s="1"/>
  <c r="G6" i="158" s="1"/>
  <c r="D7" i="139"/>
  <c r="E7" i="139"/>
  <c r="E6" i="139" s="1"/>
  <c r="E49" i="139" s="1"/>
  <c r="F7" i="139"/>
  <c r="G7" i="139"/>
  <c r="D13" i="139"/>
  <c r="E13" i="139"/>
  <c r="F13" i="139"/>
  <c r="G13" i="139"/>
  <c r="F20" i="139"/>
  <c r="G20" i="139"/>
  <c r="D24" i="139"/>
  <c r="E24" i="139"/>
  <c r="F24" i="139"/>
  <c r="G24" i="139"/>
  <c r="D32" i="139"/>
  <c r="E32" i="139"/>
  <c r="F32" i="139"/>
  <c r="G32" i="139"/>
  <c r="D42" i="139"/>
  <c r="E42" i="139"/>
  <c r="F42" i="139"/>
  <c r="G42" i="139"/>
  <c r="D46" i="139"/>
  <c r="E46" i="139"/>
  <c r="F46" i="139"/>
  <c r="G46" i="139"/>
  <c r="D7" i="138"/>
  <c r="E7" i="138"/>
  <c r="F7" i="138"/>
  <c r="G7" i="138"/>
  <c r="D14" i="138"/>
  <c r="E14" i="138"/>
  <c r="F14" i="138"/>
  <c r="G14" i="138"/>
  <c r="D19" i="138"/>
  <c r="E19" i="138"/>
  <c r="F19" i="138"/>
  <c r="G19" i="138"/>
  <c r="D28" i="138"/>
  <c r="E28" i="138"/>
  <c r="F28" i="138"/>
  <c r="G28" i="138"/>
  <c r="D34" i="138"/>
  <c r="E34" i="138"/>
  <c r="F34" i="138"/>
  <c r="G34" i="138"/>
  <c r="D7" i="137"/>
  <c r="E7" i="137"/>
  <c r="F7" i="137"/>
  <c r="G7" i="137"/>
  <c r="D14" i="137"/>
  <c r="E14" i="137"/>
  <c r="F14" i="137"/>
  <c r="G14" i="137"/>
  <c r="D26" i="137"/>
  <c r="E26" i="137"/>
  <c r="F26" i="137"/>
  <c r="F6" i="137" s="1"/>
  <c r="G26" i="137"/>
  <c r="F4" i="134"/>
  <c r="F5" i="134"/>
  <c r="F6" i="134"/>
  <c r="F7" i="134"/>
  <c r="F8" i="134"/>
  <c r="F9" i="134"/>
  <c r="F10" i="134"/>
  <c r="F11" i="134"/>
  <c r="F12" i="134"/>
  <c r="F13" i="134"/>
  <c r="F14" i="134"/>
  <c r="F15" i="134"/>
  <c r="F16" i="134"/>
  <c r="F17" i="134"/>
  <c r="F18" i="134"/>
  <c r="F19" i="134"/>
  <c r="F20" i="134"/>
  <c r="F21" i="134"/>
  <c r="F22" i="134"/>
  <c r="F23" i="134"/>
  <c r="F24" i="134"/>
  <c r="F25" i="134"/>
  <c r="F26" i="134"/>
  <c r="F27" i="134"/>
  <c r="F28" i="134"/>
  <c r="F29" i="134"/>
  <c r="F30" i="134"/>
  <c r="F31" i="134"/>
  <c r="F32" i="134"/>
  <c r="F33" i="134"/>
  <c r="F34" i="134"/>
  <c r="F35" i="134"/>
  <c r="F36" i="134"/>
  <c r="F37" i="134"/>
  <c r="F38" i="134"/>
  <c r="F40" i="134"/>
  <c r="D41" i="134"/>
  <c r="E41" i="134"/>
  <c r="F4" i="133"/>
  <c r="F5" i="133"/>
  <c r="F6" i="133"/>
  <c r="F7" i="133"/>
  <c r="F8" i="133"/>
  <c r="F9" i="133"/>
  <c r="F10" i="133"/>
  <c r="F11" i="133"/>
  <c r="F12" i="133"/>
  <c r="F13" i="133"/>
  <c r="F14" i="133"/>
  <c r="F15" i="133"/>
  <c r="F16" i="133"/>
  <c r="F17" i="133"/>
  <c r="F18" i="133"/>
  <c r="F19" i="133"/>
  <c r="F20" i="133"/>
  <c r="F21" i="133"/>
  <c r="F22" i="133"/>
  <c r="F23" i="133"/>
  <c r="F24" i="133"/>
  <c r="F25" i="133"/>
  <c r="F26" i="133"/>
  <c r="F27" i="133"/>
  <c r="F28" i="133"/>
  <c r="F29" i="133"/>
  <c r="F30" i="133"/>
  <c r="F31" i="133"/>
  <c r="F32" i="133"/>
  <c r="F33" i="133"/>
  <c r="F34" i="133"/>
  <c r="F35" i="133"/>
  <c r="F36" i="133"/>
  <c r="F37" i="133"/>
  <c r="F38" i="133"/>
  <c r="D39" i="133"/>
  <c r="E39" i="133"/>
  <c r="C6" i="61"/>
  <c r="D6" i="61"/>
  <c r="A7" i="61"/>
  <c r="E7" i="61"/>
  <c r="A8" i="61"/>
  <c r="A9" i="61" s="1"/>
  <c r="E8" i="61"/>
  <c r="A10" i="61"/>
  <c r="E10" i="61"/>
  <c r="E12" i="61"/>
  <c r="E13" i="61"/>
  <c r="C15" i="61"/>
  <c r="D15" i="61"/>
  <c r="E16" i="61"/>
  <c r="C5" i="64"/>
  <c r="C22" i="64" s="1"/>
  <c r="A7" i="90"/>
  <c r="A8" i="90" s="1"/>
  <c r="A9" i="90" s="1"/>
  <c r="A10" i="90" s="1"/>
  <c r="A11" i="90" s="1"/>
  <c r="A12" i="90" s="1"/>
  <c r="A13" i="90" s="1"/>
  <c r="A14" i="90" s="1"/>
  <c r="A15" i="90" s="1"/>
  <c r="A17" i="90" s="1"/>
  <c r="A18" i="90" s="1"/>
  <c r="A19" i="90" s="1"/>
  <c r="A20" i="90" s="1"/>
  <c r="C7" i="90"/>
  <c r="C14" i="90" s="1"/>
  <c r="C20" i="90" s="1"/>
  <c r="D7" i="90"/>
  <c r="D14" i="90" s="1"/>
  <c r="D20" i="90" s="1"/>
  <c r="A7" i="116"/>
  <c r="E8" i="116"/>
  <c r="C18" i="116" s="1"/>
  <c r="F8" i="116"/>
  <c r="A9" i="116"/>
  <c r="A10" i="116" s="1"/>
  <c r="A11" i="116"/>
  <c r="A12" i="116" s="1"/>
  <c r="A13" i="116" s="1"/>
  <c r="A14" i="116" s="1"/>
  <c r="A15" i="116" s="1"/>
  <c r="A16" i="116" s="1"/>
  <c r="A17" i="116" s="1"/>
  <c r="A18" i="116" s="1"/>
  <c r="C13" i="116"/>
  <c r="C17" i="116" s="1"/>
  <c r="D13" i="116"/>
  <c r="D14" i="116"/>
  <c r="A7" i="109"/>
  <c r="A8" i="109" s="1"/>
  <c r="A9" i="109"/>
  <c r="A10" i="109" s="1"/>
  <c r="C11" i="109"/>
  <c r="E9" i="109" s="1"/>
  <c r="E11" i="109" s="1"/>
  <c r="C12" i="109"/>
  <c r="E12" i="109"/>
  <c r="C5" i="3"/>
  <c r="D5" i="3"/>
  <c r="E6" i="3"/>
  <c r="E7" i="3"/>
  <c r="E8" i="3"/>
  <c r="C11" i="3"/>
  <c r="E11" i="3"/>
  <c r="D11" i="3"/>
  <c r="E12" i="3"/>
  <c r="E13" i="3"/>
  <c r="E14" i="3"/>
  <c r="C15" i="3"/>
  <c r="E15" i="3" s="1"/>
  <c r="E16" i="3"/>
  <c r="E17" i="3"/>
  <c r="E18" i="3"/>
  <c r="E20" i="3"/>
  <c r="E21" i="3"/>
  <c r="E22" i="3"/>
  <c r="C5" i="23"/>
  <c r="D5" i="23"/>
  <c r="A6" i="23"/>
  <c r="A7" i="23" s="1"/>
  <c r="A8" i="23" s="1"/>
  <c r="A9" i="23" s="1"/>
  <c r="A10" i="23" s="1"/>
  <c r="A11" i="23" s="1"/>
  <c r="A12" i="23" s="1"/>
  <c r="A13" i="23" s="1"/>
  <c r="A14" i="23" s="1"/>
  <c r="A15" i="23" s="1"/>
  <c r="A16" i="23" s="1"/>
  <c r="A17" i="23" s="1"/>
  <c r="A18" i="23" s="1"/>
  <c r="A19" i="23" s="1"/>
  <c r="E6" i="23"/>
  <c r="C7" i="23"/>
  <c r="E7" i="23" s="1"/>
  <c r="D7" i="23"/>
  <c r="E8" i="23"/>
  <c r="E9" i="23"/>
  <c r="E10" i="23"/>
  <c r="E11" i="23"/>
  <c r="E12" i="23"/>
  <c r="C13" i="23"/>
  <c r="D13" i="23"/>
  <c r="E14" i="23"/>
  <c r="C15" i="23"/>
  <c r="D15" i="23"/>
  <c r="E16" i="23"/>
  <c r="E17" i="23"/>
  <c r="E18" i="23"/>
  <c r="I17" i="145"/>
  <c r="J6" i="145" s="1"/>
  <c r="D10" i="146"/>
  <c r="G62" i="150"/>
  <c r="F60" i="150"/>
  <c r="H60" i="150" s="1"/>
  <c r="H89" i="150"/>
  <c r="D12" i="146" l="1"/>
  <c r="D9" i="146" s="1"/>
  <c r="D5" i="146" s="1"/>
  <c r="D16" i="146" s="1"/>
  <c r="E13" i="23"/>
  <c r="D19" i="23"/>
  <c r="D34" i="3"/>
  <c r="E15" i="61"/>
  <c r="E6" i="138"/>
  <c r="D6" i="139"/>
  <c r="D49" i="139" s="1"/>
  <c r="G44" i="142"/>
  <c r="E6" i="144"/>
  <c r="H21" i="145" s="1"/>
  <c r="G11" i="141"/>
  <c r="G13" i="149"/>
  <c r="H9" i="149"/>
  <c r="H6" i="149"/>
  <c r="H6" i="150"/>
  <c r="F102" i="150"/>
  <c r="H62" i="150"/>
  <c r="C41" i="158"/>
  <c r="E42" i="158"/>
  <c r="E45" i="158" s="1"/>
  <c r="H6" i="158"/>
  <c r="G6" i="150"/>
  <c r="H27" i="150"/>
  <c r="E40" i="133"/>
  <c r="E43" i="133" s="1"/>
  <c r="F43" i="133" s="1"/>
  <c r="D40" i="133"/>
  <c r="D43" i="133" s="1"/>
  <c r="F41" i="134"/>
  <c r="F19" i="139"/>
  <c r="F6" i="139"/>
  <c r="F49" i="139" s="1"/>
  <c r="G6" i="139"/>
  <c r="G6" i="138"/>
  <c r="F6" i="138"/>
  <c r="F37" i="138" s="1"/>
  <c r="D6" i="138"/>
  <c r="D6" i="137"/>
  <c r="E6" i="137"/>
  <c r="E37" i="138" s="1"/>
  <c r="D18" i="116"/>
  <c r="D17" i="116"/>
  <c r="C7" i="141"/>
  <c r="J17" i="145"/>
  <c r="H17" i="145"/>
  <c r="N7" i="145"/>
  <c r="F17" i="145"/>
  <c r="M7" i="145"/>
  <c r="C6" i="144"/>
  <c r="D6" i="144"/>
  <c r="H79" i="150"/>
  <c r="H44" i="150"/>
  <c r="H32" i="150"/>
  <c r="H19" i="150"/>
  <c r="G19" i="150"/>
  <c r="H21" i="142"/>
  <c r="G11" i="142"/>
  <c r="H12" i="149"/>
  <c r="G43" i="159"/>
  <c r="C42" i="158"/>
  <c r="C45" i="158" s="1"/>
  <c r="G45" i="158" s="1"/>
  <c r="G89" i="150"/>
  <c r="H81" i="150"/>
  <c r="G68" i="150"/>
  <c r="H68" i="150"/>
  <c r="G60" i="150"/>
  <c r="G44" i="150"/>
  <c r="G32" i="150"/>
  <c r="C102" i="150"/>
  <c r="H25" i="142"/>
  <c r="C34" i="3"/>
  <c r="E34" i="3" s="1"/>
  <c r="E15" i="23"/>
  <c r="E5" i="23"/>
  <c r="G6" i="137"/>
  <c r="G8" i="141"/>
  <c r="D7" i="141"/>
  <c r="G7" i="141" s="1"/>
  <c r="D102" i="150"/>
  <c r="E79" i="150"/>
  <c r="G79" i="150" s="1"/>
  <c r="G81" i="150"/>
  <c r="F42" i="158"/>
  <c r="C12" i="149"/>
  <c r="C16" i="149" s="1"/>
  <c r="C19" i="23"/>
  <c r="E5" i="3"/>
  <c r="E6" i="61"/>
  <c r="E18" i="61" s="1"/>
  <c r="C18" i="61"/>
  <c r="F39" i="133"/>
  <c r="H11" i="142"/>
  <c r="G40" i="150"/>
  <c r="H41" i="158"/>
  <c r="D18" i="61"/>
  <c r="F59" i="142"/>
  <c r="I21" i="91"/>
  <c r="F12" i="149"/>
  <c r="F16" i="149" s="1"/>
  <c r="H16" i="149" s="1"/>
  <c r="G41" i="158"/>
  <c r="G21" i="142"/>
  <c r="H44" i="142"/>
  <c r="I10" i="91"/>
  <c r="D12" i="149"/>
  <c r="D16" i="149" s="1"/>
  <c r="G19" i="139"/>
  <c r="G49" i="139" s="1"/>
  <c r="E59" i="142"/>
  <c r="C17" i="145"/>
  <c r="D6" i="145" s="1"/>
  <c r="E12" i="149"/>
  <c r="E16" i="149" s="1"/>
  <c r="G6" i="149"/>
  <c r="G12" i="149" s="1"/>
  <c r="H6" i="142"/>
  <c r="G6" i="142"/>
  <c r="D59" i="142"/>
  <c r="C59" i="142"/>
  <c r="E19" i="23" l="1"/>
  <c r="C16" i="141"/>
  <c r="G16" i="141" s="1"/>
  <c r="C18" i="141"/>
  <c r="G18" i="141"/>
  <c r="F40" i="133"/>
  <c r="G37" i="138"/>
  <c r="D37" i="138"/>
  <c r="H102" i="150"/>
  <c r="G16" i="149"/>
  <c r="G42" i="158"/>
  <c r="H59" i="142"/>
  <c r="M17" i="145"/>
  <c r="H42" i="158"/>
  <c r="F45" i="158"/>
  <c r="H45" i="158" s="1"/>
  <c r="E102" i="150"/>
  <c r="G59" i="142"/>
  <c r="N6" i="145" l="1"/>
  <c r="D17" i="145"/>
  <c r="N17" i="145" s="1"/>
  <c r="G102" i="150"/>
</calcChain>
</file>

<file path=xl/comments1.xml><?xml version="1.0" encoding="utf-8"?>
<comments xmlns="http://schemas.openxmlformats.org/spreadsheetml/2006/main">
  <authors>
    <author>Ing. Gondárová Beata</author>
  </authors>
  <commentList>
    <comment ref="E3" authorId="0" shapeId="0">
      <text>
        <r>
          <rPr>
            <b/>
            <sz val="8"/>
            <color indexed="81"/>
            <rFont val="Tahoma"/>
            <family val="2"/>
            <charset val="238"/>
          </rPr>
          <t>Ing. Gondárová Beata:</t>
        </r>
        <r>
          <rPr>
            <sz val="8"/>
            <color indexed="81"/>
            <rFont val="Tahoma"/>
            <family val="2"/>
            <charset val="238"/>
          </rPr>
          <t xml:space="preserve">
</t>
        </r>
        <r>
          <rPr>
            <sz val="10"/>
            <color indexed="81"/>
            <rFont val="Tahoma"/>
            <family val="2"/>
            <charset val="238"/>
          </rPr>
          <t>patrí sem objem vyplatených štipendií doktorandom (</t>
        </r>
        <r>
          <rPr>
            <u/>
            <sz val="10"/>
            <color indexed="81"/>
            <rFont val="Tahoma"/>
            <family val="2"/>
            <charset val="238"/>
          </rPr>
          <t>zo všetkých zdrojov</t>
        </r>
        <r>
          <rPr>
            <sz val="10"/>
            <color indexed="81"/>
            <rFont val="Tahoma"/>
            <family val="2"/>
            <charset val="238"/>
          </rPr>
          <t xml:space="preserve">), prijatých do 31.8.2012 - </t>
        </r>
        <r>
          <rPr>
            <b/>
            <sz val="10"/>
            <color indexed="81"/>
            <rFont val="Tahoma"/>
            <family val="2"/>
            <charset val="238"/>
          </rPr>
          <t>nie</t>
        </r>
        <r>
          <rPr>
            <sz val="10"/>
            <color indexed="81"/>
            <rFont val="Tahoma"/>
            <family val="2"/>
            <charset val="238"/>
          </rPr>
          <t xml:space="preserve"> z účelovej dotácie (napr. štip.doktorandov platených z neúčelovej dotácie MŠVVaŠ, nebezpečn. príplatok, vyšší plat. stupeň)</t>
        </r>
      </text>
    </comment>
    <comment ref="F3" authorId="0" shapeId="0">
      <text>
        <r>
          <rPr>
            <b/>
            <sz val="8"/>
            <color indexed="81"/>
            <rFont val="Tahoma"/>
            <family val="2"/>
            <charset val="238"/>
          </rPr>
          <t>Ing. Gondárová Beata:</t>
        </r>
        <r>
          <rPr>
            <sz val="8"/>
            <color indexed="81"/>
            <rFont val="Tahoma"/>
            <family val="2"/>
            <charset val="238"/>
          </rPr>
          <t xml:space="preserve">
</t>
        </r>
        <r>
          <rPr>
            <sz val="10"/>
            <color indexed="81"/>
            <rFont val="Tahoma"/>
            <family val="2"/>
            <charset val="238"/>
          </rPr>
          <t>patrí sem objem vyplatených štipendií doktorandom (zo všetkých zdrojov), prijatých po 1.9.2012 na miestach nepridelených "ministerstvom"</t>
        </r>
      </text>
    </comment>
  </commentList>
</comments>
</file>

<file path=xl/sharedStrings.xml><?xml version="1.0" encoding="utf-8"?>
<sst xmlns="http://schemas.openxmlformats.org/spreadsheetml/2006/main" count="2043" uniqueCount="1446">
  <si>
    <t xml:space="preserve">pozn.1): rozdiel medzi údajom, vykazovaným v stĺpci T6_R18_SH a údajom v T5_R56_(SC+SD) uviesť v komentári  </t>
  </si>
  <si>
    <t xml:space="preserve">  - tvorba fondu z predaja alebo likvidácie majetku</t>
  </si>
  <si>
    <t xml:space="preserve">      - dohody o vykonaní práce - externí účitelia (účet 521 009)</t>
  </si>
  <si>
    <t xml:space="preserve">      - dohody o vykonaní práce, dohody o pracovnej činnosti
        (účet 521 010)</t>
  </si>
  <si>
    <t xml:space="preserve"> - OON [SUM(R58:R60)]</t>
  </si>
  <si>
    <t>Zákonné sociálne náklady (účet 527) [SUM(R64:R69)]</t>
  </si>
  <si>
    <t>- Iné ostatné  náklady (účet 549) [SUM(R77:R83)]</t>
  </si>
  <si>
    <t>T5_R56_SC+SD &gt;=&lt; T6_R18_SH
T5_R77_SC = T7_R1_SE
T5_R81_SC = T19_R2_SC</t>
  </si>
  <si>
    <t xml:space="preserve"> - Prvok 021 02 03  </t>
  </si>
  <si>
    <t xml:space="preserve"> - Podprogram 05T 08 </t>
  </si>
  <si>
    <t>2) ostatná tvorba fondu reprodukcie v zmysle § 16a ods. 8 zákona č. 131/2002 Z. z.o vysokých školách v znení neskorších predpisov (kreditné úroky a kurzové zisky)</t>
  </si>
  <si>
    <t>T5_V1</t>
  </si>
  <si>
    <t>T7_V1</t>
  </si>
  <si>
    <t>T9_V1</t>
  </si>
  <si>
    <t>T11_V1</t>
  </si>
  <si>
    <t>T12_V1</t>
  </si>
  <si>
    <t xml:space="preserve">- tvorba fondu z výnosov zo školného </t>
  </si>
  <si>
    <r>
      <t>Stav fondu k 31.12. kalendárneho roku</t>
    </r>
    <r>
      <rPr>
        <sz val="12"/>
        <rFont val="Times New Roman"/>
        <family val="1"/>
      </rPr>
      <t xml:space="preserve"> [R1+R2-R11]</t>
    </r>
  </si>
  <si>
    <t>Účty v Štátnej pokladnici spolu [SUM(R2:R15)]</t>
  </si>
  <si>
    <t>T3_V1</t>
  </si>
  <si>
    <t>Tržby za predaný tovar (účet 604)</t>
  </si>
  <si>
    <t xml:space="preserve">Ostatné sociálne poistenia (účet 525) </t>
  </si>
  <si>
    <t>C=A+B</t>
  </si>
  <si>
    <t>E=C-A</t>
  </si>
  <si>
    <t>F=D-B</t>
  </si>
  <si>
    <t>E=A+C</t>
  </si>
  <si>
    <t>F=B+D</t>
  </si>
  <si>
    <t>T2_R5</t>
  </si>
  <si>
    <t>T13_R13</t>
  </si>
  <si>
    <t>T20_V1</t>
  </si>
  <si>
    <t>Náklady na štipendiá</t>
  </si>
  <si>
    <t>SPOL_3</t>
  </si>
  <si>
    <t>SPOL_4</t>
  </si>
  <si>
    <t>SPOL_5</t>
  </si>
  <si>
    <t>Tento riadok udáva celkový objem finančných prostriedkov na bankových účtoch v Štátnej pokladnici.</t>
  </si>
  <si>
    <t>T7_SC</t>
  </si>
  <si>
    <t xml:space="preserve">Ostatné sociálne náklady (účet 528)  </t>
  </si>
  <si>
    <t>Údaje v T13_ R2_SC (SD) - tvorba fondu reprodukcie sa musia rovnať údajom v T11_R2_SA (SB). 
Údaje v T13_R8_SE (SF) majú súvzťažnosť s údajmi v T8_R5 (sociálne štipendiá), T20_R2 (motivačné štipendiá). Tvorba fondu z dotácie v T13_R8 má byť minimálne vo výške súčtu dotácie na sociálne štipendiá (T8_R5) a motivačné štipendiá (T20_R2). 
Údaje v T13_R13_SD(SF) majú byť totožné s údajmi v T16,  účet štipendijného fondu (R10), účet fondu reprodukcie (R13).</t>
  </si>
  <si>
    <t>T13_V3</t>
  </si>
  <si>
    <t>T13_V5</t>
  </si>
  <si>
    <t>T13_V4</t>
  </si>
  <si>
    <t>T13_V6</t>
  </si>
  <si>
    <t>T16_R17</t>
  </si>
  <si>
    <t>Kontrola</t>
  </si>
  <si>
    <t>Poznámky</t>
  </si>
  <si>
    <t>T1_V2</t>
  </si>
  <si>
    <t>T13_R13 = vybrané účty T16</t>
  </si>
  <si>
    <t>T16_R14</t>
  </si>
  <si>
    <t>Verejná vysoká škola tu uvedie zostatok finančných prostriedkov na účtoch, na ktoré uchádzači  počas procesu verejného obstarávania vkladajú finančnú zábezpeku.</t>
  </si>
  <si>
    <t>T16_ R15</t>
  </si>
  <si>
    <t>V tomto riadku uvedie verejná vysoká škola všetky ostatné zostatky bankových účtov v Štátnej pokladnici, ktoré neboli zaradené ani do jednej skupiny účtov.</t>
  </si>
  <si>
    <t>T16_R16</t>
  </si>
  <si>
    <t>Stav bankových účtov spolu [R1+R16+R17]</t>
  </si>
  <si>
    <t xml:space="preserve">  - poskytnuté jednorázovo</t>
  </si>
  <si>
    <r>
      <t>Zdroje na obstaranie a technické zhodnotenie majetku  z fondu reprodukcie</t>
    </r>
    <r>
      <rPr>
        <sz val="12"/>
        <rFont val="Times New Roman"/>
        <family val="1"/>
      </rPr>
      <t xml:space="preserve"> [R1+R2]</t>
    </r>
  </si>
  <si>
    <t>- nákup softvéru</t>
  </si>
  <si>
    <t>Výdavky na obstaranie a technické zhodnotenie dlhobého majetku spolu [R1+SUM(R3:R4)+SUM(R10:R14)]</t>
  </si>
  <si>
    <t>- náklady študentských domovov (bez zmluvných zariadení)- mzdy a odvody</t>
  </si>
  <si>
    <t>- náklady študentských domovov  (bez zmluvných zariadení) - ostatné</t>
  </si>
  <si>
    <t>- študentské jedálne</t>
  </si>
  <si>
    <t>- ostatný predaný tovar</t>
  </si>
  <si>
    <t xml:space="preserve">Odborní zamestnanci </t>
  </si>
  <si>
    <t>Prevádzkoví zamestnanci okrem zamestnancov študentských domovov a jedální</t>
  </si>
  <si>
    <t>Zamestnanci študentských domovov</t>
  </si>
  <si>
    <t>Zamestnanci študentských jedální</t>
  </si>
  <si>
    <t>- na oblasť IT</t>
  </si>
  <si>
    <t>T2_R1</t>
  </si>
  <si>
    <t>T13_SG(SH)</t>
  </si>
  <si>
    <t>V stĺpci G uvedie vysoká škola objem nákladov na mzdy krytých z iných zdrojov ako je štátny rozpočet.</t>
  </si>
  <si>
    <t xml:space="preserve">Výdavky na sociálne štipendiá (§ 96 zákona) za kalendárny rok </t>
  </si>
  <si>
    <t>T9_R2</t>
  </si>
  <si>
    <t>z EÚ</t>
  </si>
  <si>
    <t>T16_R2:R14</t>
  </si>
  <si>
    <t>T16_V2</t>
  </si>
  <si>
    <t>Prostriedky zo zahraničných projektov na budúce aktivity</t>
  </si>
  <si>
    <t>Ostatné</t>
  </si>
  <si>
    <t xml:space="preserve">1) V stĺpcoch B a D sa uvádza prepočítaný počet študentov určený ako počet osobomesiacov, počas ktorých bolo poskytované sociálne štipendium </t>
  </si>
  <si>
    <t>2) uvádzajte počet denných študentov I. a II. stupňa štúdia počas výučbového obdobia, najviac však 10 mesiacov  a denných študentov III. stupňa štúdia (doktorandov)  vrátane hlavných prázdnin maximálne 12 mesiacov</t>
  </si>
  <si>
    <t xml:space="preserve"> - tvorba sociálneho fondu  (účet 527 001)</t>
  </si>
  <si>
    <r>
      <t>Zdroje na obstaranie a technické zhodnotenie dlhodobého majetku spolu</t>
    </r>
    <r>
      <rPr>
        <sz val="12"/>
        <rFont val="Times New Roman"/>
        <family val="1"/>
      </rPr>
      <t xml:space="preserve"> [SUM(R9:R13)]</t>
    </r>
  </si>
  <si>
    <r>
      <t xml:space="preserve">- tvorba fondu z výsledku hospodárenia </t>
    </r>
    <r>
      <rPr>
        <vertAlign val="superscript"/>
        <sz val="12"/>
        <rFont val="Times New Roman"/>
        <family val="1"/>
        <charset val="238"/>
      </rPr>
      <t>1)</t>
    </r>
  </si>
  <si>
    <r>
      <t xml:space="preserve">- tvorba fondu z dotácie </t>
    </r>
    <r>
      <rPr>
        <vertAlign val="superscript"/>
        <sz val="12"/>
        <rFont val="Times New Roman"/>
        <family val="1"/>
        <charset val="238"/>
      </rPr>
      <t>2)</t>
    </r>
  </si>
  <si>
    <r>
      <t xml:space="preserve">- ostatná tvorba </t>
    </r>
    <r>
      <rPr>
        <vertAlign val="superscript"/>
        <sz val="12"/>
        <rFont val="Times New Roman"/>
        <family val="1"/>
        <charset val="238"/>
      </rPr>
      <t>2)</t>
    </r>
  </si>
  <si>
    <t>1) vrátane tvorby z nerozdeleného zisku z minulých rokov</t>
  </si>
  <si>
    <t>2) len ak umožňuje zákon</t>
  </si>
  <si>
    <t>3) uvádza sa v prípade, ak si vysoká škola vytvorila osobitný bankový účet na krytie fondu - napríklad  fondu reprodukcie</t>
  </si>
  <si>
    <t>- z ubytovania študentov (účet 602 001)</t>
  </si>
  <si>
    <t>- zo stravných lístkov študentov a doktorandov (účet 602 009)</t>
  </si>
  <si>
    <t>- z ubytovania a stravovania iných fyzických osôb (účet 602 008 a 602 010)</t>
  </si>
  <si>
    <t>T1_R12 a T1_R13</t>
  </si>
  <si>
    <t>- drobný nehmotný majetok  (účet 518 014)</t>
  </si>
  <si>
    <t>- používanie plavárne (účet 518 019)</t>
  </si>
  <si>
    <t>- z dotačného účtu  (účet 644 001)</t>
  </si>
  <si>
    <t>- z ostatných účtov  (účet 644 002)</t>
  </si>
  <si>
    <t>- ďalšie vzdelávanie  (účet 649 007)</t>
  </si>
  <si>
    <t>- kvalifikačné skúšky  (účet 649 008)</t>
  </si>
  <si>
    <t>- výnosy z dedičstva  (účet 649 010)</t>
  </si>
  <si>
    <t>- výnosy z duševného vlastníctva (účet 649 011)</t>
  </si>
  <si>
    <t>- oprava výnosov minulých účtovných období (účet 649 013)</t>
  </si>
  <si>
    <t>- použitie prostriedkov fondov (účet 649 014)</t>
  </si>
  <si>
    <t>- použitie prostriedkov výnosov budúcich období - projekty  (účet 649 015)</t>
  </si>
  <si>
    <t>- dobropisy minulých období (účet 649 017)</t>
  </si>
  <si>
    <t>- štipendijného fondu (účet 656 200)</t>
  </si>
  <si>
    <t>- chemikálie a ostatný materiál pre zabezpečenie experimentálnej výučby  (účet 501 002)</t>
  </si>
  <si>
    <t>- stavebný, vodoinštalačný a elektroinštalačný materiál
 (účet 501 009)</t>
  </si>
  <si>
    <t>- potraviny (účet 501 010)</t>
  </si>
  <si>
    <t>- DHM - prístroje a zariadenia laboratórií, výpočtová technika  (účet 501 011)</t>
  </si>
  <si>
    <t>- DHM - nábytok (účet 501 012)</t>
  </si>
  <si>
    <t>- opravy a udržiavanie stavieb  (účet 511 001)</t>
  </si>
  <si>
    <t>- opravy a udržiavanie strojov, prístrojov, zariadení a inventára  (účet 511 002)</t>
  </si>
  <si>
    <t>- opravy a udržiavanie dopravných prostriedkov  (účet 511 003)</t>
  </si>
  <si>
    <t>- opravy a udržiavanie prostriedkov IT  (účet 511 004)</t>
  </si>
  <si>
    <t>- údržba a opravy meracej techniky, telovýchovných  zariadení ...(účet 511 005)</t>
  </si>
  <si>
    <t>- ostatná údržba a opravy (účet 511 099)</t>
  </si>
  <si>
    <t>- prenájom zariadení (účet 518 002)</t>
  </si>
  <si>
    <t>- prenájom priestorov  (účet 518 001)</t>
  </si>
  <si>
    <t>- vložné na konferencie  (účet 518 004)</t>
  </si>
  <si>
    <t>- ďalšie vzdelávanie zamestnancov  (účet 518 005)</t>
  </si>
  <si>
    <t>- počítačové siete a prenosy údajov  (účet 518 007)</t>
  </si>
  <si>
    <t>- revízie zariadení (účet 518 010)</t>
  </si>
  <si>
    <t>- čistenie verejných priestranstiev (účet 518 011)</t>
  </si>
  <si>
    <t>- dopravné služby (účet 518 012)</t>
  </si>
  <si>
    <t>- ostatné služby (účet 518 099)</t>
  </si>
  <si>
    <t xml:space="preserve"> - príspevok zamestnancom na stravovanie  (účet 527 002)</t>
  </si>
  <si>
    <t xml:space="preserve"> - zákonné odstupné, odchodné  (účet 527 003)</t>
  </si>
  <si>
    <t xml:space="preserve"> - náhrada príjmu pri PN (účet 527 004)</t>
  </si>
  <si>
    <t xml:space="preserve"> - ochranné pracovné pomôcky podľa Zákonníka práce (účet 527 005) </t>
  </si>
  <si>
    <t xml:space="preserve"> - ostatné zákonné sociálne náklady (účet 527 099)</t>
  </si>
  <si>
    <t xml:space="preserve"> - bankové poplatky (účet 549 002)</t>
  </si>
  <si>
    <t xml:space="preserve"> - úhrada výnosov z úrokov na dotačnom účte (účet 549 003)</t>
  </si>
  <si>
    <t xml:space="preserve"> - štipendiá z vlastných zdrojov - prospechové (549 007)</t>
  </si>
  <si>
    <t xml:space="preserve"> - iné analyticky sledované náklady (účet 549 005-006, 549 008-012)</t>
  </si>
  <si>
    <t>T11_R11</t>
  </si>
  <si>
    <t>R11_R8</t>
  </si>
  <si>
    <t>Uvedie sa tvorba fondu reprodukcie v zmysle § 16a ods. 8 zákona č. 131/2002 Z. z.o vysokých školách v znení neskorších predpisov, t. j. z kreditných úrokov, kurzových ziskov.</t>
  </si>
  <si>
    <t xml:space="preserve"> - Podprogram 06K 11</t>
  </si>
  <si>
    <t>Tržby z predaja cenných papierov a podielov (účet 653)</t>
  </si>
  <si>
    <t>Výnosy z nájmu majetku  (účet 658)</t>
  </si>
  <si>
    <t>Výnosy z dlhodobého finančného majetku (účet 652)</t>
  </si>
  <si>
    <t>Prijaté príspevky od iných organizácií (účet 662)</t>
  </si>
  <si>
    <t>Vnútroorganizačné prevody výnosov (účtová skupina 67)</t>
  </si>
  <si>
    <t>Prevádzkové dotácie (účet 691)</t>
  </si>
  <si>
    <t>T10_R5_SA (SB)</t>
  </si>
  <si>
    <t xml:space="preserve">   - Prvok 077 12 05</t>
  </si>
  <si>
    <t>- Podprogram 077 13</t>
  </si>
  <si>
    <t xml:space="preserve">   - Prvok 077 15 01</t>
  </si>
  <si>
    <t xml:space="preserve">   - Prvok 077 15 02</t>
  </si>
  <si>
    <t xml:space="preserve">   - Prvok 077 15 03</t>
  </si>
  <si>
    <t>Zamestnanci centrálnej administratívy predstavovaní zamestnancami zaradenými na rektorátoch a dekanátoch (s výnimkou prevádzkových zamestnancov zaradených v týchto útvaroch).</t>
  </si>
  <si>
    <t>Administratívni zamestnanci na pracoviskách (sekretárky).</t>
  </si>
  <si>
    <t>T6_SB</t>
  </si>
  <si>
    <t>T6_SC</t>
  </si>
  <si>
    <t>T6_SE</t>
  </si>
  <si>
    <t>T6_SF</t>
  </si>
  <si>
    <t>T6_SG</t>
  </si>
  <si>
    <t>T6_V1</t>
  </si>
  <si>
    <t>T16_V1</t>
  </si>
  <si>
    <t xml:space="preserve"> </t>
  </si>
  <si>
    <t>T17_V1</t>
  </si>
  <si>
    <t>- zúčtovanie dotácie zo ŠR na DN a HM vo výške odpisov</t>
  </si>
  <si>
    <t xml:space="preserve">- náklady na tvorbu rezervného fondu (účet 556 100) </t>
  </si>
  <si>
    <t xml:space="preserve">- náklady na tvorbu štipendijného fondu (účet 556 200) </t>
  </si>
  <si>
    <t xml:space="preserve">1) V R89-92 sa uvedú náklady účtované v súvislosti s tvorbou príslušného fondu. </t>
  </si>
  <si>
    <r>
      <t>Tvorba fondu reprodukcie v kalendárnom roku spolu</t>
    </r>
    <r>
      <rPr>
        <sz val="12"/>
        <rFont val="Times New Roman"/>
        <family val="1"/>
      </rPr>
      <t xml:space="preserve"> [SUM(R3:R8)] </t>
    </r>
  </si>
  <si>
    <t>- zamestnanci zaradení na ostatných pracoviskách</t>
  </si>
  <si>
    <t>- bežný účet okrem účtov uvedených v 
  R6:R8</t>
  </si>
  <si>
    <t>- devízové účty</t>
  </si>
  <si>
    <t>- účet štipendijného fondu</t>
  </si>
  <si>
    <t>- účet podnikateľskej činnosti</t>
  </si>
  <si>
    <t>- účet sociálneho fondu</t>
  </si>
  <si>
    <t>- účet fondu reprodukcie</t>
  </si>
  <si>
    <t>- bežný účet - zábezpeka</t>
  </si>
  <si>
    <t>Sumárny riadok osobitne financovaných súčastí verejnej vysokej školy (špecifiká).</t>
  </si>
  <si>
    <t>T8_R5</t>
  </si>
  <si>
    <t>Uvedie sa rozsah ubytovania študentov v osobomesiacoch. Napríklad, študent, ktorý býval v študentskom domove 10 mesiacov, prispeje do počtu osobomesiacov sumou 10.</t>
  </si>
  <si>
    <t>V stĺpci A uvedie vysoká škola nevyčerpanú dotáciu (+)/nedoplatok dotácie (-) na stravu študentov k 31. 12. príslušného kalendárneho roka.</t>
  </si>
  <si>
    <t>- ostatné bankové účty v Štátnej pokladnici 
  mimo účtov uvedených v R2:R14</t>
  </si>
  <si>
    <t xml:space="preserve">Čerpanie ostatných zdrojov prostredníctvom fondu reprodukcie </t>
  </si>
  <si>
    <t>Zákonné sociálne poistenie (účet 524)</t>
  </si>
  <si>
    <t>Zúčtovanie zákonných opravných položiek (účet 659)</t>
  </si>
  <si>
    <t>Daň z nehnuteľnosti (účet 532)</t>
  </si>
  <si>
    <t>Nákup dopravných prostriedkov všetkých druhov</t>
  </si>
  <si>
    <t>Prípravná a projektová dokumentácia</t>
  </si>
  <si>
    <t>Rekonštrukcia a modernizácia strojov a zariadení</t>
  </si>
  <si>
    <t>Počet zamestnancov spolu</t>
  </si>
  <si>
    <t>D=A+C</t>
  </si>
  <si>
    <t>H=E+G</t>
  </si>
  <si>
    <t>- zamestnanci zaradení na dekanátoch</t>
  </si>
  <si>
    <t>Tabuľka č. 11 poskytuje informácie o objeme a štruktúre finančných zdrojov verejnej vysokej školy na obstarávanie a technické zhodnotenie dlhodobého majetku. Tabuľka neposkytuje informácie o tom, či má vysoká škola krytý fond reprodukcie.</t>
  </si>
  <si>
    <t>Počet študentov poberajúcich sociálne štipendium</t>
  </si>
  <si>
    <t>- zostatok nevyčerpanej dotácie (+)/ nedoplatok dotácie (-) z predchádzajúcich rokov [R6_SB=R8_SA]</t>
  </si>
  <si>
    <t>- dotačný účet</t>
  </si>
  <si>
    <t>- zostatkový účet</t>
  </si>
  <si>
    <t>- distribučný účet</t>
  </si>
  <si>
    <t>spolufinanco-
vanie zo ŠR</t>
  </si>
  <si>
    <t xml:space="preserve">Počet študentov  poberajúcich štipendium </t>
  </si>
  <si>
    <t>Počet študentov  poberajúcich štipendium</t>
  </si>
  <si>
    <t>T10_V2</t>
  </si>
  <si>
    <t>T12_R5:R9</t>
  </si>
  <si>
    <t>V týchto riadkoch sa uvedú sumy zodpovedajúce čerpaniu podľa štandardných podpoložiek položky 713 ekonomickej klasifikácie.</t>
  </si>
  <si>
    <t xml:space="preserve">Medzi odborných zamestnancov sa zaraďujú:
a) zo zamestnancov zaradených na katedrách resp. ústavoch všetci nepedagogickí zamestnanci  s výnimkou administratívnych zamestnancov (sekretárok)
b) zamestnanci výpočtových stredísk, edičných stredísk, knižníc, botanických záhrad, odborných dielní a iných odborných pracovísk s výnimkou administratívnych zamestnancov (sekretárok) </t>
  </si>
  <si>
    <r>
      <t xml:space="preserve">Stav fondu k 1.1. kalendárneho roku </t>
    </r>
    <r>
      <rPr>
        <sz val="12"/>
        <rFont val="Times New Roman"/>
        <family val="1"/>
        <charset val="238"/>
      </rPr>
      <t>[R1_SB = R12_SA ...]</t>
    </r>
  </si>
  <si>
    <t>Čerpanie fondu k 31. 12. kalendárneho roku</t>
  </si>
  <si>
    <t>Spolu</t>
  </si>
  <si>
    <t>Dotácia / program</t>
  </si>
  <si>
    <t>Číslo riadku</t>
  </si>
  <si>
    <t>V prípade, že má verejná vysoká škola vytvorený na krytie fondu osobitný bankový účet, uvedie sa stav tohto účtu. Vytváranie osobitných bankových účtov na krytie fondov nie je povinné, ale prevažne sa vytvára osobitný účet pre fond reprodukcie.</t>
  </si>
  <si>
    <t>Dotácia spolu</t>
  </si>
  <si>
    <t>Stav fondu reprodukcie k 1.1.</t>
  </si>
  <si>
    <t>T3_V2</t>
  </si>
  <si>
    <t>T5_V2</t>
  </si>
  <si>
    <t>T7_SB</t>
  </si>
  <si>
    <t>T2_V1</t>
  </si>
  <si>
    <t>T2_R1, R1a,...</t>
  </si>
  <si>
    <t>T2_R2, R2a...</t>
  </si>
  <si>
    <t>T2_R3, R3a...</t>
  </si>
  <si>
    <t>T2_R4, R4a...</t>
  </si>
  <si>
    <t xml:space="preserve">- účelová dotácia v danom kalendárnom roku </t>
  </si>
  <si>
    <t>T1_V1</t>
  </si>
  <si>
    <t>Kód vysvetlivky</t>
  </si>
  <si>
    <t>SPOL_1</t>
  </si>
  <si>
    <t>SPOL_2</t>
  </si>
  <si>
    <t>Dotácie spolu</t>
  </si>
  <si>
    <t xml:space="preserve">Bežná dotácia na úlohy budúcich období </t>
  </si>
  <si>
    <t>Čerpanie z úveru</t>
  </si>
  <si>
    <t>Celkové výdavky na obstaranie a technické zhodnotenie dlhodobého majetku</t>
  </si>
  <si>
    <t>Počet zamestnancov platených z prostriedkov štátneho rozpočtu</t>
  </si>
  <si>
    <t>Počet zamestnancov platených z iných zdrojov</t>
  </si>
  <si>
    <t xml:space="preserve">Kategória zamestnancov
</t>
  </si>
  <si>
    <t>- vysokoškolskí učitelia s funkčným zaradením "docent"</t>
  </si>
  <si>
    <t>- vysokoškolskí učitelia s funkčným zaradením "odborný asistent"</t>
  </si>
  <si>
    <t>- vysokoškolskí učitelia s funkčným zaradením "asistent"</t>
  </si>
  <si>
    <t>- vysokoškolskí učitelia s funkčným zaradením "lektor"</t>
  </si>
  <si>
    <t>- zamestnanci zaradení na rektorátoch</t>
  </si>
  <si>
    <t xml:space="preserve">- rezervného fondu (účet 656 100) </t>
  </si>
  <si>
    <t xml:space="preserve">2)   Výnosy z Fondu reprodukcie možno účtovať len v súvislosti s krytím nákladov na vedenie príslušného bankového účtu a nákladov vyplývajúcich z kurzových strát
      v zmysle  16a ods. 8 zákona. </t>
  </si>
  <si>
    <t>T5_R88-R91</t>
  </si>
  <si>
    <t>Údaje v T5 sú rozšírené o tvorbu fondov</t>
  </si>
  <si>
    <t xml:space="preserve">    - dohody o brigádnickej práci študentov (účet 521 011)</t>
  </si>
  <si>
    <t>T9_V2</t>
  </si>
  <si>
    <t>4a</t>
  </si>
  <si>
    <t>- Náklady účtovnej skupiny 54 okrem nákladov účtu 549 (účtovné skupiny 541 až 548)</t>
  </si>
  <si>
    <t xml:space="preserve">Základ pre prídel do štipendijného fondu </t>
  </si>
  <si>
    <t>Nákup strojov, prístrojov, zariadení, techniky a náradia [SUM(R5:R9)]</t>
  </si>
  <si>
    <r>
      <t>Nevyčerpaná dotácia (+) / nedoplatok dotácie (-) k 31. 12. bežného roka</t>
    </r>
    <r>
      <rPr>
        <sz val="12"/>
        <rFont val="Times New Roman"/>
        <family val="1"/>
        <charset val="238"/>
      </rPr>
      <t xml:space="preserve"> [R4+R5-R1]          </t>
    </r>
    <r>
      <rPr>
        <b/>
        <sz val="12"/>
        <rFont val="Times New Roman"/>
        <family val="1"/>
        <charset val="238"/>
      </rPr>
      <t xml:space="preserve">               </t>
    </r>
  </si>
  <si>
    <r>
      <t xml:space="preserve">Priemerné štipendium na 1 študenta na mesiac </t>
    </r>
    <r>
      <rPr>
        <sz val="12"/>
        <rFont val="Times New Roman"/>
        <family val="1"/>
        <charset val="238"/>
      </rPr>
      <t xml:space="preserve"> [R1_SA/R2_SB resp. R1_SC/R2_SD] </t>
    </r>
  </si>
  <si>
    <r>
      <t xml:space="preserve">Výnos z dotácie zo štátneho rozpočtu na študentské jedálne spolu </t>
    </r>
    <r>
      <rPr>
        <sz val="12"/>
        <rFont val="Times New Roman"/>
        <family val="1"/>
      </rPr>
      <t>[R6+R7-R8]</t>
    </r>
  </si>
  <si>
    <t>Tabuľka č. 4 poskytuje informácie o výnosoch verejnej vysokej školy zo školného a z poplatkov spojených so štúdiom. Požadované údaje sa dotýkajú hlavnej činnosti vysokej školy.</t>
  </si>
  <si>
    <t>T6_R2:R6</t>
  </si>
  <si>
    <t>T6_R7</t>
  </si>
  <si>
    <t>T6_R10, R11</t>
  </si>
  <si>
    <t>T6_R12</t>
  </si>
  <si>
    <t>T6_R15</t>
  </si>
  <si>
    <t>T6_R15a....</t>
  </si>
  <si>
    <t>T8_V1</t>
  </si>
  <si>
    <t>T19_V1</t>
  </si>
  <si>
    <t>Výnosy z krátkodobého finančného majetku  (účet 655)</t>
  </si>
  <si>
    <t>Zdroje na obstaranie a technické zhodnotenie dlhodobého majetku z úverov</t>
  </si>
  <si>
    <t xml:space="preserve">Dotácia na kapitálové výdavky zo štátneho rozpočtu </t>
  </si>
  <si>
    <t>Tabuľka č. 8 poskytuje informácie  o príjmoch a výdavkoch (cash) na sociálne štipendiá zo štátneho rozpočtu podľa § 96 zákona a o počte študentov poberajúcich sociálne štipendiá.</t>
  </si>
  <si>
    <t>T10_R6_SA</t>
  </si>
  <si>
    <t>- Podprogram 077 11</t>
  </si>
  <si>
    <t xml:space="preserve">   - Prvok 077 12 01</t>
  </si>
  <si>
    <t xml:space="preserve">   - Prvok 077 12 02</t>
  </si>
  <si>
    <t xml:space="preserve">   - Prvok 077 12 03</t>
  </si>
  <si>
    <t xml:space="preserve">   - Prvok 077 12 04</t>
  </si>
  <si>
    <r>
      <t xml:space="preserve">Priemerný  prepočítaný počet ubytovaných študentov </t>
    </r>
    <r>
      <rPr>
        <sz val="12"/>
        <rFont val="Times New Roman"/>
        <family val="1"/>
        <charset val="238"/>
      </rPr>
      <t>[(R2</t>
    </r>
    <r>
      <rPr>
        <sz val="12"/>
        <rFont val="Times New Roman"/>
        <family val="1"/>
        <charset val="238"/>
      </rPr>
      <t>/12]</t>
    </r>
  </si>
  <si>
    <t>V T13_R13 uvádzať krytie fondov len ak sú na fondy vytvorené osobitné bankové účty. 
Súvťažnosť vybraných účtov v R13 na údaje v T16 (účet štipendijného fondu, účet fondu reprodukcie).</t>
  </si>
  <si>
    <t xml:space="preserve">T18_V1 </t>
  </si>
  <si>
    <t xml:space="preserve">Počet študentov poberajúcich sociálne štipendium </t>
  </si>
  <si>
    <t xml:space="preserve">    - bežný účet pre študentské domovy</t>
  </si>
  <si>
    <t xml:space="preserve">    - bežný účet pre študentské jedálne</t>
  </si>
  <si>
    <t>Daň z príjmov (účtová skupina 59)</t>
  </si>
  <si>
    <t>- vysokoškolské podniky</t>
  </si>
  <si>
    <t>Ak má verejná vysoká škola zriadené účty aj mimo Štátnu pokladnicu (napr. dobiehajúce účty na riešenie zahraničných výskumných projektov), uvedie súhrnný údaj o nich v tomto riadku. V komentári uvedie podrobnejšiu charakteristiku týchto účtov.</t>
  </si>
  <si>
    <t>Výnos z dotácie zo štátneho rozpočtu na študentské domovy (bez zmluvných zariadení)</t>
  </si>
  <si>
    <r>
      <t>Výnosy</t>
    </r>
    <r>
      <rPr>
        <b/>
        <vertAlign val="superscript"/>
        <sz val="12"/>
        <rFont val="Times New Roman"/>
        <family val="1"/>
        <charset val="238"/>
      </rPr>
      <t xml:space="preserve">2) </t>
    </r>
    <r>
      <rPr>
        <b/>
        <sz val="12"/>
        <rFont val="Times New Roman"/>
        <family val="1"/>
      </rPr>
      <t>študentských jedální súvisiace so stravovaním študentov spolu</t>
    </r>
    <r>
      <rPr>
        <vertAlign val="superscript"/>
        <sz val="12"/>
        <rFont val="Times New Roman"/>
        <family val="1"/>
      </rPr>
      <t xml:space="preserve"> </t>
    </r>
    <r>
      <rPr>
        <sz val="12"/>
        <rFont val="Times New Roman"/>
        <family val="1"/>
        <charset val="238"/>
      </rPr>
      <t xml:space="preserve">[R2+R5]  </t>
    </r>
  </si>
  <si>
    <t>Výskumní pracovníci alebo umeleckí pracovníci</t>
  </si>
  <si>
    <t>15a</t>
  </si>
  <si>
    <r>
      <t>Vysokoškolskí učitelia spolu</t>
    </r>
    <r>
      <rPr>
        <sz val="12"/>
        <rFont val="Times New Roman"/>
        <family val="1"/>
      </rPr>
      <t xml:space="preserve"> [SUM(R2:</t>
    </r>
    <r>
      <rPr>
        <sz val="12"/>
        <rFont val="Times New Roman"/>
        <family val="1"/>
        <charset val="238"/>
      </rPr>
      <t>R6</t>
    </r>
    <r>
      <rPr>
        <sz val="12"/>
        <rFont val="Times New Roman"/>
        <family val="1"/>
      </rPr>
      <t>)]</t>
    </r>
  </si>
  <si>
    <r>
      <t>Administratívni zamestnanci spolu</t>
    </r>
    <r>
      <rPr>
        <sz val="12"/>
        <rFont val="Times New Roman"/>
        <family val="1"/>
      </rPr>
      <t xml:space="preserve"> [SUM(R10:R12)]                         </t>
    </r>
  </si>
  <si>
    <t>T21_V1</t>
  </si>
  <si>
    <t>Nákup budov a stavieb</t>
  </si>
  <si>
    <t>A</t>
  </si>
  <si>
    <t>B</t>
  </si>
  <si>
    <t>C</t>
  </si>
  <si>
    <t>E</t>
  </si>
  <si>
    <t>F</t>
  </si>
  <si>
    <t>G</t>
  </si>
  <si>
    <t>H</t>
  </si>
  <si>
    <t>I</t>
  </si>
  <si>
    <t>Vysvetlivka</t>
  </si>
  <si>
    <t>D</t>
  </si>
  <si>
    <t>Bankový účet</t>
  </si>
  <si>
    <t>T10_V1</t>
  </si>
  <si>
    <t>T4_V1</t>
  </si>
  <si>
    <t xml:space="preserve">Ostatné dane a poplatky (účet 538) </t>
  </si>
  <si>
    <t>Realizácia stavieb a ich technického zhodnotenia</t>
  </si>
  <si>
    <t>- ostatné tržby za vlastné výrobky</t>
  </si>
  <si>
    <t>- študentské domovy</t>
  </si>
  <si>
    <t>z toho:</t>
  </si>
  <si>
    <t>Bežné dotácie</t>
  </si>
  <si>
    <t>Kapitálové dotácie</t>
  </si>
  <si>
    <t>Objem zdrojov</t>
  </si>
  <si>
    <t xml:space="preserve">Nákup ostatného dlhodobého majetku </t>
  </si>
  <si>
    <t>Ostatné fondy</t>
  </si>
  <si>
    <t>Účty mimo Štátnej pokladnice spolu</t>
  </si>
  <si>
    <t>T6_SA, SB, SC</t>
  </si>
  <si>
    <t>T16_R1</t>
  </si>
  <si>
    <t>Verejná vysoká škola tu uvedie zostatky finančných prostriedkov podľa jednotlivých skupín účtov.</t>
  </si>
  <si>
    <t>T16_R5</t>
  </si>
  <si>
    <r>
      <t xml:space="preserve">Vysvetlivky k tabuľkám sú organizované v dvoch stĺpcoch. 
</t>
    </r>
    <r>
      <rPr>
        <b/>
        <sz val="12"/>
        <rFont val="Times New Roman"/>
        <family val="1"/>
        <charset val="238"/>
      </rPr>
      <t xml:space="preserve">Prvý stĺpec </t>
    </r>
    <r>
      <rPr>
        <sz val="12"/>
        <rFont val="Times New Roman"/>
        <family val="1"/>
        <charset val="238"/>
      </rPr>
      <t xml:space="preserve">označený ako </t>
    </r>
    <r>
      <rPr>
        <b/>
        <sz val="12"/>
        <rFont val="Times New Roman"/>
        <family val="1"/>
        <charset val="238"/>
      </rPr>
      <t xml:space="preserve">"Kód vysvetlivky" </t>
    </r>
    <r>
      <rPr>
        <sz val="12"/>
        <rFont val="Times New Roman"/>
        <family val="1"/>
        <charset val="238"/>
      </rPr>
      <t xml:space="preserve">obsahuje označenie vysvetlivky, ktoré určuje, ku ktorej tabuľke a ku ktorej časti tabuľky sa vysvetlivka vzťahuje. Význam použitých kódov je illustrovaný na nasledovných príkladoch:
</t>
    </r>
    <r>
      <rPr>
        <b/>
        <sz val="12"/>
        <rFont val="Times New Roman"/>
        <family val="1"/>
        <charset val="238"/>
      </rPr>
      <t>Príklad č. 1:</t>
    </r>
    <r>
      <rPr>
        <sz val="12"/>
        <rFont val="Times New Roman"/>
        <family val="1"/>
        <charset val="238"/>
      </rPr>
      <t xml:space="preserve"> T1_R10 - vysvetlivka sa vzťahuje k tabuľke č.1, k riadku 10
</t>
    </r>
    <r>
      <rPr>
        <b/>
        <sz val="12"/>
        <rFont val="Times New Roman"/>
        <family val="1"/>
        <charset val="238"/>
      </rPr>
      <t>Príklad č. 2:</t>
    </r>
    <r>
      <rPr>
        <sz val="12"/>
        <rFont val="Times New Roman"/>
        <family val="1"/>
        <charset val="238"/>
      </rPr>
      <t xml:space="preserve"> T1_R4:R8 - vysvetlivka sa vzťahuje k tabuľke č. 1, k riadkom 4 až 8
</t>
    </r>
    <r>
      <rPr>
        <b/>
        <sz val="12"/>
        <rFont val="Times New Roman"/>
        <family val="1"/>
        <charset val="238"/>
      </rPr>
      <t>Príklad č. 3:</t>
    </r>
    <r>
      <rPr>
        <sz val="12"/>
        <rFont val="Times New Roman"/>
        <family val="1"/>
        <charset val="238"/>
      </rPr>
      <t xml:space="preserve"> T1_V1 - ide o všeobecnú vysvetlivku č. 1 k tabuľke č. 1
</t>
    </r>
    <r>
      <rPr>
        <b/>
        <sz val="12"/>
        <rFont val="Times New Roman"/>
        <family val="1"/>
        <charset val="238"/>
      </rPr>
      <t xml:space="preserve">Príklad č. 4: </t>
    </r>
    <r>
      <rPr>
        <sz val="12"/>
        <rFont val="Times New Roman"/>
        <family val="1"/>
        <charset val="238"/>
      </rPr>
      <t xml:space="preserve">T14_SA - vysvetlivka sa vzťahuje k tabuľke č. 14, k stĺpcu A
</t>
    </r>
    <r>
      <rPr>
        <b/>
        <sz val="12"/>
        <rFont val="Times New Roman"/>
        <family val="1"/>
        <charset val="238"/>
      </rPr>
      <t>Príklad č. 5:</t>
    </r>
    <r>
      <rPr>
        <sz val="12"/>
        <rFont val="Times New Roman"/>
        <family val="1"/>
        <charset val="238"/>
      </rPr>
      <t xml:space="preserve"> SPOL_1 - ide o vysvetlivku č. 1 platnú pre všetky tabuľky</t>
    </r>
  </si>
  <si>
    <t>X</t>
  </si>
  <si>
    <t>- tvorba fondu z odpisov</t>
  </si>
  <si>
    <t>- tvorba fondu prevodom z rezervného fondu</t>
  </si>
  <si>
    <t>- tvorba fondu z darov a z dedičstva</t>
  </si>
  <si>
    <t>1a</t>
  </si>
  <si>
    <t>2a</t>
  </si>
  <si>
    <t>3a</t>
  </si>
  <si>
    <r>
      <t>Zamestnanci osobitne financovaných súčastí verejnej vysokej školy (špecifiká) z R1, R7, R9, R13, R14  spolu</t>
    </r>
    <r>
      <rPr>
        <sz val="12"/>
        <rFont val="Times New Roman"/>
        <family val="1"/>
      </rPr>
      <t xml:space="preserve"> [SUM(R15a:R15...)]                                                </t>
    </r>
  </si>
  <si>
    <r>
      <t xml:space="preserve">Spolu </t>
    </r>
    <r>
      <rPr>
        <sz val="12"/>
        <rFont val="Times New Roman"/>
        <family val="1"/>
      </rPr>
      <t>[R1+R7+R9+R13+R14+R16+R17]</t>
    </r>
  </si>
  <si>
    <t>Tržby z predaja materiálu (účet 654)</t>
  </si>
  <si>
    <t>Spotreba ostatných neskladovateľných dodávok (účet 503)</t>
  </si>
  <si>
    <t>Náklady na reprezentáciu (účet 513)</t>
  </si>
  <si>
    <t>Fondy spolu</t>
  </si>
  <si>
    <t>T13_V2</t>
  </si>
  <si>
    <t>Verejná vysoká škola tu uvedie zostatok finančných prostriedkov na bežných účtoch neuvedených v riadkoch R6:R8.</t>
  </si>
  <si>
    <t>Položka</t>
  </si>
  <si>
    <t>Rezervný fond</t>
  </si>
  <si>
    <t>Fond reprodukcie</t>
  </si>
  <si>
    <t>Štipendijný fond</t>
  </si>
  <si>
    <t>Návrh na prídel do štipendijného fondu</t>
  </si>
  <si>
    <t>Zmeny stavu zásob vlastnej výroby (účtová skupina 61)</t>
  </si>
  <si>
    <t>Aktivácia (účtová skupina 62)</t>
  </si>
  <si>
    <t>Pokuty a penále (účet 641+642)</t>
  </si>
  <si>
    <t>Platby za odpísané pohľadávky  (účet 643)</t>
  </si>
  <si>
    <t>Kurzové zisky  (účet 645)</t>
  </si>
  <si>
    <t>v tom:</t>
  </si>
  <si>
    <r>
      <t>Počet študentov poberajúcich sociálne štipendiá v osobomesiacoch</t>
    </r>
    <r>
      <rPr>
        <b/>
        <sz val="9"/>
        <rFont val="Times New Roman"/>
        <family val="1"/>
        <charset val="238"/>
      </rPr>
      <t xml:space="preserve"> </t>
    </r>
    <r>
      <rPr>
        <b/>
        <vertAlign val="superscript"/>
        <sz val="14"/>
        <rFont val="Times New Roman"/>
        <family val="1"/>
        <charset val="238"/>
      </rPr>
      <t>1)</t>
    </r>
  </si>
  <si>
    <r>
      <t>Počet ubytovaných študentov (vrátane interných doktorandov)</t>
    </r>
    <r>
      <rPr>
        <b/>
        <vertAlign val="superscript"/>
        <sz val="14"/>
        <rFont val="Times New Roman"/>
        <family val="1"/>
        <charset val="238"/>
      </rPr>
      <t>2)</t>
    </r>
    <r>
      <rPr>
        <b/>
        <sz val="14"/>
        <rFont val="Times New Roman"/>
        <family val="1"/>
        <charset val="238"/>
      </rPr>
      <t xml:space="preserve"> </t>
    </r>
    <r>
      <rPr>
        <b/>
        <sz val="12"/>
        <rFont val="Times New Roman"/>
        <family val="1"/>
      </rPr>
      <t xml:space="preserve"> v osobomesiacoch</t>
    </r>
  </si>
  <si>
    <t>T6_V2</t>
  </si>
  <si>
    <t>T13_V1</t>
  </si>
  <si>
    <t>T13_R1</t>
  </si>
  <si>
    <t>T18_V1</t>
  </si>
  <si>
    <t>Tržby z predaja dlhodobého NM a HM (účet 651)</t>
  </si>
  <si>
    <t>Výnosy z precenenia cenných papierov (účet 657)</t>
  </si>
  <si>
    <t>- interiérové vybavenie  (713 001)</t>
  </si>
  <si>
    <t>- telekomunikačná technika  (713 003)</t>
  </si>
  <si>
    <t>-  výpočtová technika  (713 002)</t>
  </si>
  <si>
    <t xml:space="preserve"> - prevádzkové stroje, prístroje, zariadenia, technika a náradie (713 004)</t>
  </si>
  <si>
    <t xml:space="preserve">  - špeciálne stroje, prístroje, zariadenia, technika, náradie a materiál  (713 005)</t>
  </si>
  <si>
    <t>Počty ubytovaných</t>
  </si>
  <si>
    <t>Ostatné výnosy zo študentských domovov</t>
  </si>
  <si>
    <t>1) výnosy a náklady z podnikateľskej činnosti sa neuvádzajú</t>
  </si>
  <si>
    <t>Výnosy z poplatkov za ubytovanie od študentov počas výučbového obdobia (10 mesiacov)</t>
  </si>
  <si>
    <t>1) výnosy a náklady z podnikateľskej činnosti sa neuvádzajú, neuvádzajú sa ani výnosy a náklady súvisiace so stravovaním zamestnancov</t>
  </si>
  <si>
    <t>- tržby za stravné lístky študentov</t>
  </si>
  <si>
    <t>- ostatné tržby súvisiace so stravovaním študentov</t>
  </si>
  <si>
    <r>
      <t>Tržby jedální súvisiace so stravovaním študentov v kalendárnom roku spolu</t>
    </r>
    <r>
      <rPr>
        <sz val="12"/>
        <rFont val="Times New Roman"/>
        <family val="1"/>
      </rPr>
      <t xml:space="preserve"> [R3+R4]</t>
    </r>
  </si>
  <si>
    <r>
      <t xml:space="preserve"> - náklady na jedlá študentov</t>
    </r>
    <r>
      <rPr>
        <vertAlign val="superscript"/>
        <sz val="12"/>
        <rFont val="Times New Roman"/>
        <family val="1"/>
        <charset val="238"/>
      </rPr>
      <t>3)</t>
    </r>
  </si>
  <si>
    <r>
      <t>Dotácia na uskutočňovanie akreditovaných študijných programov</t>
    </r>
    <r>
      <rPr>
        <sz val="12"/>
        <rFont val="Times New Roman"/>
        <family val="1"/>
      </rPr>
      <t xml:space="preserve"> [R2]</t>
    </r>
  </si>
  <si>
    <r>
      <t>Dotácia na výskumnú, vývojovú alebo umeleckú činnosť</t>
    </r>
    <r>
      <rPr>
        <sz val="12"/>
        <rFont val="Times New Roman"/>
        <family val="1"/>
      </rPr>
      <t xml:space="preserve"> [R4+R5+R6+R7+R8]</t>
    </r>
  </si>
  <si>
    <r>
      <t>Dotácia na rozvoj vysokej školy</t>
    </r>
    <r>
      <rPr>
        <sz val="12"/>
        <rFont val="Times New Roman"/>
        <family val="1"/>
      </rPr>
      <t xml:space="preserve"> [R10]</t>
    </r>
  </si>
  <si>
    <r>
      <t>Dotácia na sociálnu podporu študentov</t>
    </r>
    <r>
      <rPr>
        <sz val="12"/>
        <rFont val="Times New Roman"/>
        <family val="1"/>
      </rPr>
      <t xml:space="preserve"> [R12+R13+R14]</t>
    </r>
  </si>
  <si>
    <r>
      <t>Spolu</t>
    </r>
    <r>
      <rPr>
        <sz val="12"/>
        <rFont val="Times New Roman"/>
        <family val="1"/>
      </rPr>
      <t xml:space="preserve"> [R1+R3+R9+R11]</t>
    </r>
  </si>
  <si>
    <t>T10_V3</t>
  </si>
  <si>
    <t xml:space="preserve">V riadku 2 uvedie vysoká škola celkový objem príjmov z dotácií z rozpočtu obcí a VÚC. V riadkoch R2a ... rozpíše podrobnejšie jednotlivé druhy týchto dotácií, každú na zvláštny riadok. </t>
  </si>
  <si>
    <t>nadrezortná veda a technika</t>
  </si>
  <si>
    <t>Výnosy z poplatkov za ubytovanie od študentov počas hlavných prázdnin (od interných doktorandov) a počty ubytovaných študentov</t>
  </si>
  <si>
    <r>
      <t xml:space="preserve">Výnosy zo študentských domovov v kalendárnom roku spolu </t>
    </r>
    <r>
      <rPr>
        <sz val="12"/>
        <rFont val="Times New Roman"/>
        <family val="1"/>
      </rPr>
      <t>[SUM(R4:R7)]</t>
    </r>
  </si>
  <si>
    <r>
      <t xml:space="preserve">Náklady študentských domovov  spolu </t>
    </r>
    <r>
      <rPr>
        <sz val="12"/>
        <rFont val="Times New Roman"/>
        <family val="1"/>
      </rPr>
      <t>[R10+R11]</t>
    </r>
  </si>
  <si>
    <r>
      <t xml:space="preserve">Rozdiel výnosov a nákladov na študentské domovy v kalendárnom roku  </t>
    </r>
    <r>
      <rPr>
        <sz val="12"/>
        <rFont val="Times New Roman"/>
        <family val="1"/>
      </rPr>
      <t>[R8-R9]</t>
    </r>
  </si>
  <si>
    <r>
      <t xml:space="preserve">Priemerné ročné náklady na jedného ubytovaného študenta </t>
    </r>
    <r>
      <rPr>
        <sz val="12"/>
        <rFont val="Times New Roman"/>
        <family val="1"/>
        <charset val="238"/>
      </rPr>
      <t>[R9/R3]</t>
    </r>
  </si>
  <si>
    <t xml:space="preserve">Daň z motorových vozidiel (účet 531) </t>
  </si>
  <si>
    <t>Nákup pozemkov a nehmotných aktív</t>
  </si>
  <si>
    <t xml:space="preserve">2) V stĺpcoch B a D sa uvádza celkový (fyzický) počet študentov, ktorým bolo v príslušnom kalendárnom roku poskytnuté sociálne štipendium bez ohľadu na počet mesiacov. </t>
  </si>
  <si>
    <t xml:space="preserve">                                                                                                                                                                                                                                                                                                                                                                                                                                                                                                                                                                                                                                                                                                                                                                                                                                                                                                                                                                                                                                                                                                                                                                                                                                                                                                                                                                                                                                                                                                                                                                                                                                                                                                                                                                                                                                                                                                                                                                                                                                                                                                                                                                                                                                                                                                                                                                                                                                                                                                                                                                                                                                                                                                                                                                                                                                                                                                                                                                                                                                                                                                                                                                                                                                                                                                                                                                                                                                                                                                                                                                                                                                                                                                                                                                                                                                                                                                                                                                                                                                                                                                                                                                                                                                                                                                                                                                                                                                                                                                                                                                                          </t>
  </si>
  <si>
    <t xml:space="preserve">  </t>
  </si>
  <si>
    <r>
      <t xml:space="preserve">- tvorba fondu z hospodárskeho výsledku (účet 413  111)  </t>
    </r>
    <r>
      <rPr>
        <vertAlign val="superscript"/>
        <sz val="12"/>
        <rFont val="Times New Roman"/>
        <family val="1"/>
        <charset val="238"/>
      </rPr>
      <t xml:space="preserve">1) </t>
    </r>
  </si>
  <si>
    <t>- tvorba fondu prevodom z rezervného fondu (účet  413 114)</t>
  </si>
  <si>
    <t>- tvorba fondu z darov a z dedičstva (účet 413 112)</t>
  </si>
  <si>
    <t>- tvorba fondu z odpisov (účet 413 116)</t>
  </si>
  <si>
    <t>- tvorba fondu z výnosov z predaja majetku (účet 413 117)</t>
  </si>
  <si>
    <r>
      <t xml:space="preserve">- ostatná tvorba (účet 413 113) </t>
    </r>
    <r>
      <rPr>
        <vertAlign val="superscript"/>
        <sz val="12"/>
        <rFont val="Times New Roman"/>
        <family val="1"/>
        <charset val="238"/>
      </rPr>
      <t xml:space="preserve">2) </t>
    </r>
  </si>
  <si>
    <t>1b</t>
  </si>
  <si>
    <t>2b</t>
  </si>
  <si>
    <t>3b</t>
  </si>
  <si>
    <t>4b</t>
  </si>
  <si>
    <t>15b</t>
  </si>
  <si>
    <t>15c</t>
  </si>
  <si>
    <t>15d</t>
  </si>
  <si>
    <t xml:space="preserve">Názov verejnej vysokej školy: </t>
  </si>
  <si>
    <t xml:space="preserve">    - bežný účet na riešenie úloh vedy a
      výskumu  zo SR, resp.zahraničia </t>
  </si>
  <si>
    <t>T10_R10</t>
  </si>
  <si>
    <t>Priemerný mesačný náklad na doktoranda</t>
  </si>
  <si>
    <t xml:space="preserve"> - Podprogram 06K 12            </t>
  </si>
  <si>
    <t>T9_R1_SC_SD</t>
  </si>
  <si>
    <t>8a</t>
  </si>
  <si>
    <r>
      <t xml:space="preserve">Program 06K </t>
    </r>
    <r>
      <rPr>
        <sz val="12"/>
        <rFont val="Times New Roman"/>
        <family val="1"/>
        <charset val="238"/>
      </rPr>
      <t>[SUM(R2+R3+R4+R5)]</t>
    </r>
  </si>
  <si>
    <t>Ostatné dotácie [SUM(R8a..R8x)]</t>
  </si>
  <si>
    <t>Účet</t>
  </si>
  <si>
    <t>Polož. výkaz. NUJ</t>
  </si>
  <si>
    <t>Čislo riadku</t>
  </si>
  <si>
    <t>A. NEOBEŽNÝ MAJETOK SPOLU r.002+r.009+r.021</t>
  </si>
  <si>
    <t>001</t>
  </si>
  <si>
    <t>1. Dlhodobý nehmotný majetok r.003 až r.008</t>
  </si>
  <si>
    <t>002</t>
  </si>
  <si>
    <t>Nehmotné výsledky z vývojovej a obdob.činnosti 012-(072+091A</t>
  </si>
  <si>
    <t>003</t>
  </si>
  <si>
    <t>Softvér 013-(073+091AÚ)</t>
  </si>
  <si>
    <t>004</t>
  </si>
  <si>
    <t>005</t>
  </si>
  <si>
    <t>Ostatný.dlhodob.nehmot.majetok(018+019)-(078+079+091AÚ)</t>
  </si>
  <si>
    <t>006</t>
  </si>
  <si>
    <t>Obstaranie dlhodobého nehmotného majetku (041-093)</t>
  </si>
  <si>
    <t>007</t>
  </si>
  <si>
    <t>Poskytnut.preddavky na dlhodob.nehmot.majetok (051-095AÚ)</t>
  </si>
  <si>
    <t>008</t>
  </si>
  <si>
    <t>2. Dlhodobý hmotný majetok (r. 010 až r. 020)</t>
  </si>
  <si>
    <t>009</t>
  </si>
  <si>
    <t>Pozemky (031)</t>
  </si>
  <si>
    <t>010</t>
  </si>
  <si>
    <t>Umelecké diela a zbierky (032)</t>
  </si>
  <si>
    <t>011</t>
  </si>
  <si>
    <t>Stavby 021-(081-092AÚ)</t>
  </si>
  <si>
    <t>012</t>
  </si>
  <si>
    <t>Samostatné hnuteľné veci a súbory hnuteľných vecí (022 - (08</t>
  </si>
  <si>
    <t>013</t>
  </si>
  <si>
    <t>Dopravné prostriedky (023 - (083+092AÚ))</t>
  </si>
  <si>
    <t>014</t>
  </si>
  <si>
    <t>Pestovateľské celky trvalých porastov (025 - (085 + 092AÚ))</t>
  </si>
  <si>
    <t>015</t>
  </si>
  <si>
    <t>Základné stádo a ťažné zvieratá (026 - (086 + 092AÚ))</t>
  </si>
  <si>
    <t>016</t>
  </si>
  <si>
    <t>Drobný dlhodobý hmotný majetok (028 - (088 + 092AÚ))</t>
  </si>
  <si>
    <t>017</t>
  </si>
  <si>
    <t>Ostatný dlhodobý hmotný majetok (029 - (089 +092AÚ))</t>
  </si>
  <si>
    <t>018</t>
  </si>
  <si>
    <t>Obstaranie dlhodobého hmotného majetku (042 - 094)</t>
  </si>
  <si>
    <t>019</t>
  </si>
  <si>
    <t>Poskytnuté preddavky na dlhodob.hmot.majetok (052-095AÚ)</t>
  </si>
  <si>
    <t>020</t>
  </si>
  <si>
    <t>3. Dlhodobý finančný majetok r.022 až r.028</t>
  </si>
  <si>
    <t>021</t>
  </si>
  <si>
    <t>Podiel.cen.papier.a podiely v obchod.spol.v ovládan.osobe (0</t>
  </si>
  <si>
    <t>022</t>
  </si>
  <si>
    <t>Podiel.cen.papiere a podiely v obchod.spol.s podstat.vplyvom</t>
  </si>
  <si>
    <t>023</t>
  </si>
  <si>
    <t>Dlhové cenné papiere držané do splatnosti (065 - 096 AÚ)</t>
  </si>
  <si>
    <t>024</t>
  </si>
  <si>
    <t>Pôžičky podnikom v skup.a ostat.pôžičky (066+067)-096AÚ</t>
  </si>
  <si>
    <t>025</t>
  </si>
  <si>
    <t>Ostatný dlhodobý finančný majetok (069-096AÚ)</t>
  </si>
  <si>
    <t>026</t>
  </si>
  <si>
    <t>Obstaranie dlhodobého finančného majetku (043 - 096AÚ)</t>
  </si>
  <si>
    <t>027</t>
  </si>
  <si>
    <t>Poskytnuté preddavky na dlhodobý finančný majetok (053 - 096</t>
  </si>
  <si>
    <t>028</t>
  </si>
  <si>
    <t>B. OBEŽNÝ MAJETOK SPOLU r.030+r.037+r.042+r.051</t>
  </si>
  <si>
    <t>029</t>
  </si>
  <si>
    <t>1. Zásoby r.031 až r.036</t>
  </si>
  <si>
    <t>030</t>
  </si>
  <si>
    <t>Materiál (112+119) -191</t>
  </si>
  <si>
    <t>031</t>
  </si>
  <si>
    <t>Nedokonč.výroba a polotovary vlast.výroby (121+122)-(192+193</t>
  </si>
  <si>
    <t>032</t>
  </si>
  <si>
    <t>Výrobky (123-194)</t>
  </si>
  <si>
    <t>033</t>
  </si>
  <si>
    <t>Zvieratá (124-195)</t>
  </si>
  <si>
    <t>034</t>
  </si>
  <si>
    <t>Tovar (132+139)-196</t>
  </si>
  <si>
    <t>035</t>
  </si>
  <si>
    <t>Poskytnuté prevádzkové preddavky na zásoby (314AÚ-391AÚ)</t>
  </si>
  <si>
    <t>036</t>
  </si>
  <si>
    <t>2. Dlhodobé pohľadávky (r.038 až 041)</t>
  </si>
  <si>
    <t>037</t>
  </si>
  <si>
    <t>Pohľadávky z obchod.styku (311AÚ až 314AÚ) - 391AÚ</t>
  </si>
  <si>
    <t>038</t>
  </si>
  <si>
    <t>Ostatné pohľadávky (315AÚ - 391AÚ)</t>
  </si>
  <si>
    <t>039</t>
  </si>
  <si>
    <t>Pohľadávky voči účastníkom združení (358AÚ - 391AÚ)</t>
  </si>
  <si>
    <t>040</t>
  </si>
  <si>
    <t>Iné pohľadávky (335AÚ+373AÚ+375AÚ+378AÚ) -391AÚ</t>
  </si>
  <si>
    <t>041</t>
  </si>
  <si>
    <t>3. Krátkodobé pohľadávky r.043 až r.050</t>
  </si>
  <si>
    <t>042</t>
  </si>
  <si>
    <t>Pohľadávky z obchodného styku (311AÚ až 314AÚ) - 391AÚ</t>
  </si>
  <si>
    <t>043</t>
  </si>
  <si>
    <t>044</t>
  </si>
  <si>
    <t>Zúčtovanie zo Sociálnou poisť. a zdravot.poisťovňami (336)</t>
  </si>
  <si>
    <t>045</t>
  </si>
  <si>
    <t>Daňové pohľadávky (341 až 345)</t>
  </si>
  <si>
    <t>046</t>
  </si>
  <si>
    <t>Pohľ.z dôvodu fin.vzťahov k ŠR a rozpočtom úz.správ (346+348</t>
  </si>
  <si>
    <t>047</t>
  </si>
  <si>
    <t>048</t>
  </si>
  <si>
    <t>Spojovací účet pri združení (396-391AÚ)</t>
  </si>
  <si>
    <t>049</t>
  </si>
  <si>
    <t>050</t>
  </si>
  <si>
    <t>4. Finančné účty r.052 až 056</t>
  </si>
  <si>
    <t>051</t>
  </si>
  <si>
    <t>Pokladnica (211+213)</t>
  </si>
  <si>
    <t>052</t>
  </si>
  <si>
    <t>Bankové účty (221AÚ+261)</t>
  </si>
  <si>
    <t>053</t>
  </si>
  <si>
    <t>Bankové účty s dobou viazanosti dlhšou ako jeden rok (221AÚ)</t>
  </si>
  <si>
    <t>054</t>
  </si>
  <si>
    <t>Krátkodobý finančný majetok (251+253+255+256+257)-291AÚ</t>
  </si>
  <si>
    <t>055</t>
  </si>
  <si>
    <t>Obstaranie krátkodobého finančného majetku (259 -291AÚ)</t>
  </si>
  <si>
    <t>056</t>
  </si>
  <si>
    <t>C. ČASOVÉ ROZLÍŠENIE SPOLU r.058 a r.059</t>
  </si>
  <si>
    <t>057</t>
  </si>
  <si>
    <t>1. Náklady budúcich období (381)</t>
  </si>
  <si>
    <t>058</t>
  </si>
  <si>
    <t>Príjmy budúcich období (385)</t>
  </si>
  <si>
    <t>059</t>
  </si>
  <si>
    <t>MAJETOK SPOLU r.001 + r.029 + r.057</t>
  </si>
  <si>
    <t>060</t>
  </si>
  <si>
    <t>Celkový výsledok</t>
  </si>
  <si>
    <t>Brutto</t>
  </si>
  <si>
    <t>Korekcia</t>
  </si>
  <si>
    <t>Netto</t>
  </si>
  <si>
    <t>Predch. účt. obdobie</t>
  </si>
  <si>
    <t>Strana aktív</t>
  </si>
  <si>
    <t>Tabuľka č. 24: Súvaha - Strana aktív</t>
  </si>
  <si>
    <t xml:space="preserve">   Oceniteľné práva 014-(074+091AÚ)</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</si>
  <si>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</si>
  <si>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</si>
  <si>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</si>
  <si>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</si>
  <si>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</si>
  <si>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</si>
  <si>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</si>
  <si>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</si>
  <si>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</si>
  <si>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</si>
  <si>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</si>
  <si>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</si>
  <si>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</si>
  <si>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</si>
  <si>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</si>
  <si>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</si>
  <si>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</si>
  <si>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</si>
  <si>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</si>
  <si>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</si>
  <si>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</si>
  <si>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</si>
  <si>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</si>
  <si>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</si>
  <si>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</si>
  <si>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</si>
  <si>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</si>
  <si>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</si>
  <si>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</si>
  <si>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</si>
  <si>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</si>
  <si>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</si>
  <si>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</si>
  <si>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</si>
  <si>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</si>
  <si>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</si>
  <si>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</si>
  <si>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</si>
  <si>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</si>
  <si>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</si>
  <si>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</si>
  <si>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</si>
  <si>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</si>
  <si>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</si>
  <si>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 xml:space="preserve"> Brutto
(v Eur)</t>
  </si>
  <si>
    <t>č. r.</t>
  </si>
  <si>
    <t>Bežné účtovné obdobie</t>
  </si>
  <si>
    <t>Bezprostredne predchádzajúce účtovné obdobie</t>
  </si>
  <si>
    <t>a</t>
  </si>
  <si>
    <t>b</t>
  </si>
  <si>
    <t>1.</t>
  </si>
  <si>
    <t>Nehmotné výsledky z vývojovej a obdob.činnosti 012 -(072 +091 AÚ)</t>
  </si>
  <si>
    <t>Software  013 - (073 + 091 AÚ)</t>
  </si>
  <si>
    <t>Oceniteľné práva  014 - (074 + 091 AÚ)</t>
  </si>
  <si>
    <t>Ostatný dlhodobý nehmotný majetok (018 + 019) - (078 + 079 + 091 AÚ)</t>
  </si>
  <si>
    <t>Poskytnuté preddavky na dlhodobý nehmotný majetok  (051) - (095 AÚ)</t>
  </si>
  <si>
    <t>2.</t>
  </si>
  <si>
    <t>Pozemky  (031)</t>
  </si>
  <si>
    <t>Umelecké diela a zbierky  (032)</t>
  </si>
  <si>
    <t>Stavby  (021) - (081 + 092 AÚ)</t>
  </si>
  <si>
    <t>Dopravné prostriedky  (023) - (083 + 092 AÚ)</t>
  </si>
  <si>
    <t>Pestovateľské celky trvalých porastov  (025) - (085 +092 AÚ)</t>
  </si>
  <si>
    <t>Základné stádo a ťažné zvieratá  (026) - (086 + 092 AÚ)</t>
  </si>
  <si>
    <t>Drobný dlhodobý hmotný majetok  (028) - (088 + 092 AÚ)</t>
  </si>
  <si>
    <t>Ostatný dlhodobý hmotný majetok  (029) - (089 + 092 AÚ)</t>
  </si>
  <si>
    <t>Obstaranie dlhodobého hmotného majetku  (042) - (094)</t>
  </si>
  <si>
    <t>Poskytnuté preddavky na dlhodobý hmot.majetok  (052) - (095 AÚ)</t>
  </si>
  <si>
    <t>3.</t>
  </si>
  <si>
    <t>Pôžičky podnikom v skupine a ostatné pôžičky  (066 + 067) - (096 AÚ)</t>
  </si>
  <si>
    <t>Obstaranie dlhodobého finančného majetku  (043) - (096 AÚ)</t>
  </si>
  <si>
    <t>Účtovné obdobie</t>
  </si>
  <si>
    <t>Zásoby   súčet r. 031 až 036</t>
  </si>
  <si>
    <t>Materiál (112 + 119) - (191)</t>
  </si>
  <si>
    <t>Nedokončená výroba a polotovary vlastnej výroby (121 + 122) - (192 + 193)</t>
  </si>
  <si>
    <t>Výrobky  (123) - (194)</t>
  </si>
  <si>
    <t>Zvieratá  (124) - (195)</t>
  </si>
  <si>
    <t>Tovar  (132 +139) - (196)</t>
  </si>
  <si>
    <t>Ostatné pohľadávky (315 AÚ -391 AÚ)</t>
  </si>
  <si>
    <t>Pohľadávky z obchodného styku  (311 AÚ až 314 AÚ) - 391 AÚ)</t>
  </si>
  <si>
    <t>Zúčtovanie so SP a zdravotnými poisťovňami (336)</t>
  </si>
  <si>
    <t>Daňové pohľadávky  (341 až 345)</t>
  </si>
  <si>
    <t>4.</t>
  </si>
  <si>
    <t>Pokladnica  (211 +213)</t>
  </si>
  <si>
    <t>Bankové účty s dobou viazanosti dlhšou ako 1 rok (221AÚ)</t>
  </si>
  <si>
    <t>Náklady budúcich období  (381)</t>
  </si>
  <si>
    <t>Príjmy budúcich období  (385)</t>
  </si>
  <si>
    <t>Strana pasív</t>
  </si>
  <si>
    <t>Oceňovacie rozdiely z precenenia majetku a záväzkov    (414)</t>
  </si>
  <si>
    <t>Oceňovacie rozdiely z precenenia kapitálových účastín   (415)</t>
  </si>
  <si>
    <t>Záväzky z obchodného styku   (321 až 326) okrem 323</t>
  </si>
  <si>
    <t>Bežné bankové úvery      (231 + 232 + 461 AÚ)</t>
  </si>
  <si>
    <t>T22_V1</t>
  </si>
  <si>
    <t>T23_V1</t>
  </si>
  <si>
    <t>T24_V1</t>
  </si>
  <si>
    <t>T25_V1</t>
  </si>
  <si>
    <t>Peňažné fondy tvorené podľa osobitného predpisu     (412)</t>
  </si>
  <si>
    <t>Rezervný fond                          (421)</t>
  </si>
  <si>
    <t>Ostatné fondy                          (427)</t>
  </si>
  <si>
    <t>Fondy tvorené zo zisku            (423)</t>
  </si>
  <si>
    <t>Rezervy zákonné                      (451AÚ)</t>
  </si>
  <si>
    <t>Ostatné rezervy                        (459AÚ)</t>
  </si>
  <si>
    <t>Krátkodobé  rezervy                (323+451AÚ+459AÚ)</t>
  </si>
  <si>
    <t>Záväzky zo sociálneho fondu     (472)</t>
  </si>
  <si>
    <t>Vydané dlhopisy                       (473)</t>
  </si>
  <si>
    <t>Záväzky z nájmu                       (474 AÚ)</t>
  </si>
  <si>
    <t>Dlhodobé prijaté preddavky      (475)</t>
  </si>
  <si>
    <t xml:space="preserve">Dlhodobé nevyfakturované dodávky       (476) </t>
  </si>
  <si>
    <t>Dlhodobé zmenky na úhradu                   (478)</t>
  </si>
  <si>
    <t>Záväzky voči zamestnancom    (331 +333)</t>
  </si>
  <si>
    <t>Zúčtovania so SP a zdravotnými poisťovňami         (336)</t>
  </si>
  <si>
    <t>Daňové záväzky                      (341 až 345)</t>
  </si>
  <si>
    <t>Záväzky z dôvodu finančných vzťahov k štátnemu rozpočtu a rozpočtom územnej j samosprávy       (346 +348)</t>
  </si>
  <si>
    <t>Záväzky voči účastníkom združení   (368)</t>
  </si>
  <si>
    <t>Spojovací účet pri združení   (396)</t>
  </si>
  <si>
    <t>Dlhodobé bankové úvery      (461 AÚ)</t>
  </si>
  <si>
    <t>Výdavky budúcich období       (383)</t>
  </si>
  <si>
    <t>Záväzky z upísaných nesplatených cenných papierov a vkladov (367)</t>
  </si>
  <si>
    <t>Obstaranie dlhodobého nehmotného majetku (041)-(093)</t>
  </si>
  <si>
    <t>Tabuľka č. 6 poskytuje informácie o počte a štruktúre zamestnancov a objeme nákladov na mzdy verejnej vysokej školy (bez odvodov).</t>
  </si>
  <si>
    <t>A. NEOBEŽNÝ MAJETOK SPOLU r. 002 + 009 + 021</t>
  </si>
  <si>
    <t>Číslo účtu</t>
  </si>
  <si>
    <t>Spotreba materiálu</t>
  </si>
  <si>
    <t>01</t>
  </si>
  <si>
    <t>Spotreba energie</t>
  </si>
  <si>
    <t>02</t>
  </si>
  <si>
    <t>Predaný tovar</t>
  </si>
  <si>
    <t>03</t>
  </si>
  <si>
    <t>Opravy a udržiavanie</t>
  </si>
  <si>
    <t>04</t>
  </si>
  <si>
    <t>Cestovné</t>
  </si>
  <si>
    <t>05</t>
  </si>
  <si>
    <t>Náklady na reprezentáciu</t>
  </si>
  <si>
    <t>06</t>
  </si>
  <si>
    <t>Ostatné služby</t>
  </si>
  <si>
    <t>07</t>
  </si>
  <si>
    <t>Mzdové náklady</t>
  </si>
  <si>
    <t>08</t>
  </si>
  <si>
    <t>Zákonné soc. poistenie a zdr.pois.</t>
  </si>
  <si>
    <t>09</t>
  </si>
  <si>
    <t>Ostatné sociálne poistenie</t>
  </si>
  <si>
    <t>10</t>
  </si>
  <si>
    <t>Zákonné sociálne náklady</t>
  </si>
  <si>
    <t>11</t>
  </si>
  <si>
    <t>Ostatné sociálne náklady</t>
  </si>
  <si>
    <t>12</t>
  </si>
  <si>
    <t>Daň z motorových vozidiel</t>
  </si>
  <si>
    <t>13</t>
  </si>
  <si>
    <t>Daň z nehnuteľností</t>
  </si>
  <si>
    <t>14</t>
  </si>
  <si>
    <t>Ostatné dane a poplatky</t>
  </si>
  <si>
    <t>15</t>
  </si>
  <si>
    <t>Zmluvné pokuty a penále</t>
  </si>
  <si>
    <t>16</t>
  </si>
  <si>
    <t>Ostatné pokuty a penále</t>
  </si>
  <si>
    <t>17</t>
  </si>
  <si>
    <t>Odpísanie pohľadávky</t>
  </si>
  <si>
    <t>18</t>
  </si>
  <si>
    <t>Úroky</t>
  </si>
  <si>
    <t>19</t>
  </si>
  <si>
    <t>Kurzové straty</t>
  </si>
  <si>
    <t>20</t>
  </si>
  <si>
    <t>Dary</t>
  </si>
  <si>
    <t>21</t>
  </si>
  <si>
    <t>Osobitné náklady</t>
  </si>
  <si>
    <t>22</t>
  </si>
  <si>
    <t>Manká a škody</t>
  </si>
  <si>
    <t>23</t>
  </si>
  <si>
    <t>Iné ostatné náklady</t>
  </si>
  <si>
    <t>24</t>
  </si>
  <si>
    <t>Odpisy DNM a DHM</t>
  </si>
  <si>
    <t>25</t>
  </si>
  <si>
    <t>26</t>
  </si>
  <si>
    <t>Predané cenné papiere</t>
  </si>
  <si>
    <t>27</t>
  </si>
  <si>
    <t>Predaný materiál</t>
  </si>
  <si>
    <t>28</t>
  </si>
  <si>
    <t>Náklady na krátkod. finančný maj.</t>
  </si>
  <si>
    <t>29</t>
  </si>
  <si>
    <t>Tvorba fondov</t>
  </si>
  <si>
    <t>30</t>
  </si>
  <si>
    <t xml:space="preserve">Náklady na precenenie cen.pap. </t>
  </si>
  <si>
    <t>31</t>
  </si>
  <si>
    <t>Tvorba a zúčt. opravných položiek</t>
  </si>
  <si>
    <t>32</t>
  </si>
  <si>
    <t>33</t>
  </si>
  <si>
    <t>Poskytnuté príspevky org. zlož.</t>
  </si>
  <si>
    <t>34</t>
  </si>
  <si>
    <t>Poskyt. príspevky iným účt. jednot.</t>
  </si>
  <si>
    <t>35</t>
  </si>
  <si>
    <t>Poskytnuté príspevky fyz. osobám</t>
  </si>
  <si>
    <t>36</t>
  </si>
  <si>
    <t>Poskyt. príspevky z verejnej zbierky</t>
  </si>
  <si>
    <t>37</t>
  </si>
  <si>
    <t>38</t>
  </si>
  <si>
    <t>Tržby za vlastné výrobky</t>
  </si>
  <si>
    <t>39</t>
  </si>
  <si>
    <t>Tržby z predaja služieb</t>
  </si>
  <si>
    <t>40</t>
  </si>
  <si>
    <t>Tržby za predaný tovar</t>
  </si>
  <si>
    <t>41</t>
  </si>
  <si>
    <t>Zmenaq stavu zásob ned. výroby</t>
  </si>
  <si>
    <t>42</t>
  </si>
  <si>
    <t>Zmena stavu zásob polotovarov</t>
  </si>
  <si>
    <t>43</t>
  </si>
  <si>
    <t>Zmena stavu zásob výrobkov</t>
  </si>
  <si>
    <t>44</t>
  </si>
  <si>
    <t>Zmena stavu zásob zvierat</t>
  </si>
  <si>
    <t>45</t>
  </si>
  <si>
    <t>Aktivácia materiálu a tovaru</t>
  </si>
  <si>
    <t>46</t>
  </si>
  <si>
    <t>Aktivácia vnútroorganizačných služieb</t>
  </si>
  <si>
    <t>47</t>
  </si>
  <si>
    <t>Aktivácia dlhodobého nehmot. majetku</t>
  </si>
  <si>
    <t>48</t>
  </si>
  <si>
    <t>Aktivácia dlhodobého hmotného majet.</t>
  </si>
  <si>
    <t>49</t>
  </si>
  <si>
    <t>50</t>
  </si>
  <si>
    <t>51</t>
  </si>
  <si>
    <t>Platby za odpísané pohľadávky</t>
  </si>
  <si>
    <t>52</t>
  </si>
  <si>
    <t>53</t>
  </si>
  <si>
    <t>Kurzové zisky</t>
  </si>
  <si>
    <t>54</t>
  </si>
  <si>
    <t>Prijaté dary</t>
  </si>
  <si>
    <t>55</t>
  </si>
  <si>
    <t>Osobitné výnosy</t>
  </si>
  <si>
    <t>56</t>
  </si>
  <si>
    <t>Zákonné poplatky</t>
  </si>
  <si>
    <t>57</t>
  </si>
  <si>
    <t>Iné ostatné výnosy</t>
  </si>
  <si>
    <t>58</t>
  </si>
  <si>
    <t>Tržby z predaja dlhodobého majetku</t>
  </si>
  <si>
    <t>59</t>
  </si>
  <si>
    <t>Výnosy z dlhodobého finančného maj.</t>
  </si>
  <si>
    <t>60</t>
  </si>
  <si>
    <t>Tržby z predaja cenných papierov a pod.</t>
  </si>
  <si>
    <t>61</t>
  </si>
  <si>
    <t>Tržby z predaja materiálu</t>
  </si>
  <si>
    <t>62</t>
  </si>
  <si>
    <t>Výnosy z krátkod. finančného majetku</t>
  </si>
  <si>
    <t>63</t>
  </si>
  <si>
    <t>Výnosy z použitia fondu</t>
  </si>
  <si>
    <t>64</t>
  </si>
  <si>
    <t>Výnosy z precenenia cenných papierov</t>
  </si>
  <si>
    <t>65</t>
  </si>
  <si>
    <t>Výnosy z nájmu majetku</t>
  </si>
  <si>
    <t>66</t>
  </si>
  <si>
    <t>Prijaté príspevky od organizačných zložiek</t>
  </si>
  <si>
    <t>67</t>
  </si>
  <si>
    <t>Prijaté príspevky od iných organizácií</t>
  </si>
  <si>
    <t>68</t>
  </si>
  <si>
    <t>Prijaté príspevky od fyzických osôb</t>
  </si>
  <si>
    <t>69</t>
  </si>
  <si>
    <t>Prijaté členské príspevky</t>
  </si>
  <si>
    <t>70</t>
  </si>
  <si>
    <t>Príspevky z podielu zaplatenej dane</t>
  </si>
  <si>
    <t>71</t>
  </si>
  <si>
    <t>Prijaté príspevky z verejných zbierok</t>
  </si>
  <si>
    <t>72</t>
  </si>
  <si>
    <t>Dotácie</t>
  </si>
  <si>
    <t>73</t>
  </si>
  <si>
    <t>Účtová trieda 6 spolu r.39 až r. 73</t>
  </si>
  <si>
    <t>74</t>
  </si>
  <si>
    <t>Výsledok hospodárenia pred zdanením r.74-r.38</t>
  </si>
  <si>
    <t>75</t>
  </si>
  <si>
    <t>Daň z príjmov</t>
  </si>
  <si>
    <t>76</t>
  </si>
  <si>
    <t>Dodatočné odvody dane z príjmov</t>
  </si>
  <si>
    <t>77</t>
  </si>
  <si>
    <t xml:space="preserve">Výsledok hospod.  po zdanení r. 75-(r.76 + r.77) </t>
  </si>
  <si>
    <t>78</t>
  </si>
  <si>
    <t>V týchto riadkoch uvedie verejná vysoká škola všetky osobitne financované súčasti (špecifiká), každú na zvláštny riadok.</t>
  </si>
  <si>
    <t>Základné imanie    (411)</t>
  </si>
  <si>
    <t>Fond reprodukcie   (413)</t>
  </si>
  <si>
    <t>- ostatné energie</t>
  </si>
  <si>
    <t>Samostatné hnuteľné veci a súbory hnuteľných vecí  (022) - (082 + 092 AÚ)</t>
  </si>
  <si>
    <r>
      <t xml:space="preserve">2) všetky údaje o výnosoch a nákladoch  sa uvádzajú </t>
    </r>
    <r>
      <rPr>
        <sz val="11"/>
        <rFont val="Times New Roman"/>
        <family val="1"/>
        <charset val="238"/>
      </rPr>
      <t>v Eur</t>
    </r>
  </si>
  <si>
    <r>
      <t xml:space="preserve">Príjem z dotácie na motivačné štipendiá z kapitoly MŠVVaŠ SR v kalendárnom roku </t>
    </r>
    <r>
      <rPr>
        <b/>
        <vertAlign val="superscript"/>
        <sz val="12"/>
        <rFont val="Times New Roman"/>
        <family val="1"/>
        <charset val="238"/>
      </rPr>
      <t>1)</t>
    </r>
    <r>
      <rPr>
        <sz val="12"/>
        <rFont val="Times New Roman"/>
        <family val="1"/>
        <charset val="238"/>
      </rPr>
      <t xml:space="preserve"> </t>
    </r>
  </si>
  <si>
    <t>Zamestnanci platení z dotácie MŠVVaŠ SR</t>
  </si>
  <si>
    <t xml:space="preserve">Tabuľka č. 2 poskytuje informácie o celkovom objeme a štruktúre príjmov z dotácií alebo príjmov majúcich charakter dotácií, ktoré neboli poskytnuté z kapitoly MŠVVaŠ SR. Uvedú sa tu aj dotácie z rozpočtovej kapitoly Úrad vlády SR, určené na riešenie projektov v rámci Finančného mechanizmu EHP a Nórskeho finančného mechanizmu. </t>
  </si>
  <si>
    <t>Je súčtom príjmov VVŠ majúcich charakter dotácií okrem dotácií z kapitoly MŠVVaŠ SR.</t>
  </si>
  <si>
    <t>V stĺpci F uvedie vysoká škola osobitne zo stĺpca E objem nákladov na mzdy krytých z kapitoly MŠVVaŠ SR poskytnutých prostredníctvom dotačnej zmluvy.</t>
  </si>
  <si>
    <t>V stĺpci SA, resp. SC sa uvedú príjmy z dotácie na sociálne štipendiá poskytnuté prostredníctvom  kapitoly MŠVVaŠ SR na základe dotačnej zmluvy v danom kalendárnom roku.</t>
  </si>
  <si>
    <r>
      <t xml:space="preserve">4) uvádzajú sa </t>
    </r>
    <r>
      <rPr>
        <b/>
        <sz val="11"/>
        <rFont val="Times New Roman"/>
        <family val="1"/>
        <charset val="238"/>
      </rPr>
      <t>všetky jedlá vydané študentom v zmluvných zariadeniach</t>
    </r>
    <r>
      <rPr>
        <sz val="11"/>
        <rFont val="Times New Roman"/>
        <family val="1"/>
        <charset val="238"/>
      </rPr>
      <t>, na ktoré sa poskytuje dotácia</t>
    </r>
  </si>
  <si>
    <t>T13_R11_SE(SF)</t>
  </si>
  <si>
    <t xml:space="preserve">Nevyčerpaná dotácia (+) / nedoplatok dotácie (-) k 31. 12. predchádzajúceho roka  
[R4_SC = R6_SA]                         </t>
  </si>
  <si>
    <t>T1_R1:R15</t>
  </si>
  <si>
    <r>
      <t xml:space="preserve">Uvádza sa </t>
    </r>
    <r>
      <rPr>
        <b/>
        <sz val="12"/>
        <rFont val="Times New Roman"/>
        <family val="1"/>
        <charset val="238"/>
      </rPr>
      <t>skutočne poskytnutá</t>
    </r>
    <r>
      <rPr>
        <sz val="12"/>
        <rFont val="Times New Roman"/>
        <family val="1"/>
        <charset val="238"/>
      </rPr>
      <t xml:space="preserve"> dotácia na sociálne a motivačné štipendiá a </t>
    </r>
    <r>
      <rPr>
        <b/>
        <sz val="12"/>
        <rFont val="Times New Roman"/>
        <family val="1"/>
        <charset val="238"/>
      </rPr>
      <t>nie nárok</t>
    </r>
    <r>
      <rPr>
        <sz val="12"/>
        <rFont val="Times New Roman"/>
        <family val="1"/>
        <charset val="238"/>
      </rPr>
      <t xml:space="preserve"> vyplývajúci z potreby štipendií podľa zákona.</t>
    </r>
  </si>
  <si>
    <t>T7_R11</t>
  </si>
  <si>
    <t>T13_R1_SI(SJ) = výkazníctvo súvaha, časť Pasíva,  
riadky 064 + 065 + 069 + 071 
(k 1. 1.)
T13_R12_SI(SJ) = výkazníctvo súvaha, časť Pasíva,  
riadky 064 + 065 + 069 + 071 
(k 31. 12.)</t>
  </si>
  <si>
    <t>Príspevok z podielu zaplatenej dane (účet 665)</t>
  </si>
  <si>
    <t>- iné analyticky sledované náklady (účty 501 005-006, 501 013-018, 501 077)</t>
  </si>
  <si>
    <t>86a</t>
  </si>
  <si>
    <t>Vnútroorganizačné prevody (účtovná skupina 57)</t>
  </si>
  <si>
    <t>Projektovaná lôžková kapacita študentského domova k 31. 12. kalendárneho roka (v počte miest)</t>
  </si>
  <si>
    <t>T9_R6_SA_AB</t>
  </si>
  <si>
    <t xml:space="preserve">1) V stĺpcoch B a D sa uvádza prepočítaný počet študentov určený ako počet osobomesiacov, počas ktorých bolo poskytované štipendium </t>
  </si>
  <si>
    <t>2) V stĺpcoch B a D sa uvádza celkový (fyzický) počet študentov, ktorým bolo v príslušnom roku poskytované štipendium .</t>
  </si>
  <si>
    <t>F = A+B+C+D+E</t>
  </si>
  <si>
    <t>J</t>
  </si>
  <si>
    <t>K</t>
  </si>
  <si>
    <t>10a</t>
  </si>
  <si>
    <t>G=A+B+C+D+E+F</t>
  </si>
  <si>
    <r>
      <t xml:space="preserve">Tabuľka č. 1 poskytuje informácie o celkovom objeme a programovej štruktúre príjmov na základe Zmluvy o poskytnutí  dotácií  zo štátneho rozpočtu prostredníctvom kapitoly MŠVVaŠ  na  programe  077.  Dotácie programov 021, 05T, 06K, resp. programov zo štrukturálnych fondov EÚ </t>
    </r>
    <r>
      <rPr>
        <b/>
        <u/>
        <sz val="12"/>
        <rFont val="Times New Roman"/>
        <family val="1"/>
        <charset val="238"/>
      </rPr>
      <t>nie sú</t>
    </r>
    <r>
      <rPr>
        <b/>
        <sz val="12"/>
        <rFont val="Times New Roman"/>
        <family val="1"/>
        <charset val="238"/>
      </rPr>
      <t xml:space="preserve"> súčasťou tejto zmluvy. </t>
    </r>
  </si>
  <si>
    <t>Poskytnuté príspevky z podielu zaplatenej dane</t>
  </si>
  <si>
    <t>Zost. cena predaného DNM a DHM</t>
  </si>
  <si>
    <t>Iné pohľadávky  (335 AÚ + 373 AÚ + 375 AÚ + 378 AÚ) - (391 AÚ)</t>
  </si>
  <si>
    <t>T4_R4</t>
  </si>
  <si>
    <t>Vysoká škola uvedie v samostatnom riadku objem výnosov zo školného za štúdium v externej forme štúdia</t>
  </si>
  <si>
    <t xml:space="preserve">zabezpečenie mobilít v súlade s medzinárodnými zmluvami </t>
  </si>
  <si>
    <t>Peniaze na ceste (účet 261)</t>
  </si>
  <si>
    <t xml:space="preserve">- prvýkrát sa započítavajú do evidenčného počtu zamestnancov vo fyzických osobách s plným týždenným pracovným časom, ktorý sa rovná ich prepočítanému počtu, a to pracovným úväzkom v hlavnom zamestnaní; </t>
  </si>
  <si>
    <t xml:space="preserve">- druhýkrát sa započítavajú do evidenčného počtu zamestnancov prepočítaného, a to svojím pracovným úväzkom v ďalšom pracovnom pomere. </t>
  </si>
  <si>
    <t xml:space="preserve">Do evidenčného počtu zamestnancov prepočítaného sa títo zamestnanci započítavajú dvakrát na rozdiel od evidenčného počtu zamestnancov vo fyzických osobách, v ktorom sú započítaní iba raz. </t>
  </si>
  <si>
    <t>T2</t>
  </si>
  <si>
    <t>T21_R1_SB + T11_R10a_SB - T5_R86a_SC = T21_R1_SH</t>
  </si>
  <si>
    <t>Čerpanie z iných zdrojov</t>
  </si>
  <si>
    <t>T11_R10</t>
  </si>
  <si>
    <t>T11_R10a</t>
  </si>
  <si>
    <t>T11_R13</t>
  </si>
  <si>
    <t>T2_R3</t>
  </si>
  <si>
    <t>T11_SB_R10 = T1_SB_R15+T2_SB_R1
+T18_SB_R9</t>
  </si>
  <si>
    <t>V T11_R10a  sa uvádzajú kapitálové výdavky prijaté (cash) z prostriedkov EÚ (štrukturálnych fondov) vrátane spolufinancovania.</t>
  </si>
  <si>
    <t>T11_SB_R11</t>
  </si>
  <si>
    <t>V T11_R11 sa uvádza zostatok z kapitálovej dotácie z predchádzajúceho roku (z dotácií podľa R10 a R10a).</t>
  </si>
  <si>
    <t>T11_SB_R13</t>
  </si>
  <si>
    <t>V T11_R13 sa uvádza objem na obstaranie a technické zhodnotenie dlhodobého majetku z iných zdrojov v danom roku vrátane zostatkov na týchto zdrojoch. 
Patria sem aj dotácie z T2_R2+R3+R4.</t>
  </si>
  <si>
    <t>T11_V2</t>
  </si>
  <si>
    <t>T11_V3</t>
  </si>
  <si>
    <t>T11_V4</t>
  </si>
  <si>
    <t>T11_V5</t>
  </si>
  <si>
    <t>T19_R1_SC + T20_R3_SB + T8_R1_SC  = T13_R11_SF</t>
  </si>
  <si>
    <t>Náklady na mzdy  poskytované z prostriedkov štátneho rozpočtu   (v Eur)</t>
  </si>
  <si>
    <t>Náklady na mzdy poskytované z dotácie MŠVVaŠ SR  (v Eur)</t>
  </si>
  <si>
    <t>Náklady na mzdy poskytované z iných zdrojov 
 (v Eur)</t>
  </si>
  <si>
    <t>Náklady na mzdy spolu
 (v Eur)</t>
  </si>
  <si>
    <t>Finančné prostriedky  
 (v Eur)</t>
  </si>
  <si>
    <t>Uvedie sa objem na obstaranie a technické zhodnotenie dlhodobého majetku z iných zdrojov v danom roku vrátane zostatkov na týchto zdrojoch (patria sem aj prostriedky zo zdroja 11E1- Finančný mechanizmus, EHP 11E3- Nórsky finančný mechanizmus a 121 – Všeobecná pokladničná správa vrátane ich zostatkov z predchádzajúcich rokov)</t>
  </si>
  <si>
    <r>
      <t>Vo všetkých predpísaných tabuľkách výročnej správy sa dodržiavajú nasledujúce konvencie:</t>
    </r>
    <r>
      <rPr>
        <sz val="12"/>
        <rFont val="Times New Roman"/>
        <family val="1"/>
        <charset val="238"/>
      </rPr>
      <t xml:space="preserve">
</t>
    </r>
    <r>
      <rPr>
        <b/>
        <i/>
        <sz val="12"/>
        <rFont val="Times New Roman"/>
        <family val="1"/>
        <charset val="238"/>
      </rPr>
      <t>a)</t>
    </r>
    <r>
      <rPr>
        <sz val="12"/>
        <rFont val="Times New Roman"/>
        <family val="1"/>
        <charset val="238"/>
      </rPr>
      <t xml:space="preserve"> Všetky riadky tabuliek, ktoré obsahujú údaje, sú číslované. Ak sa údaj v riadku vypočíta z údajov v iných riadkoch, je v riadku s vypočítaným údajom uvedený príslušný vzorec.
</t>
    </r>
    <r>
      <rPr>
        <b/>
        <i/>
        <sz val="12"/>
        <rFont val="Times New Roman"/>
        <family val="1"/>
        <charset val="238"/>
      </rPr>
      <t>b)</t>
    </r>
    <r>
      <rPr>
        <sz val="12"/>
        <rFont val="Times New Roman"/>
        <family val="1"/>
        <charset val="238"/>
      </rPr>
      <t xml:space="preserve"> Riadky tabuľky s hlavnými údajmi za sledovanú oblasť sú vyznačené tučným písmom. Ak v riadkoch nasledujúcich za takýmto riadkom je uvedený </t>
    </r>
    <r>
      <rPr>
        <b/>
        <u/>
        <sz val="12"/>
        <rFont val="Times New Roman"/>
        <family val="1"/>
        <charset val="238"/>
      </rPr>
      <t xml:space="preserve">podrobnejší </t>
    </r>
    <r>
      <rPr>
        <sz val="12"/>
        <rFont val="Times New Roman"/>
        <family val="1"/>
        <charset val="238"/>
      </rPr>
      <t xml:space="preserve">rozpis údaja, ktorý riadok obsahuje, je v riadku s hlavným údajom informácia, z ktorých riadkov sa daný hlavný údaj vypočíta. Riadky s rozpisom hlavného údaja začínajú znakom „-“ a sú vytlačené normálnym písmom (pozri napríklad riadky R2 až R5 v tabuľke č. 3). 
</t>
    </r>
    <r>
      <rPr>
        <b/>
        <i/>
        <sz val="12"/>
        <rFont val="Times New Roman"/>
        <family val="1"/>
        <charset val="238"/>
      </rPr>
      <t>c)</t>
    </r>
    <r>
      <rPr>
        <sz val="12"/>
        <rFont val="Times New Roman"/>
        <family val="1"/>
        <charset val="238"/>
      </rPr>
      <t xml:space="preserve"> Ak je potrebné za riadkom s údajom uviesť, že tento údaj obsahuje v sebe nejaký čiastkový údaj (napríklad koľko z uvedeného objemu išlo na výskum a vývoj), uvedie sa v riadku za údajom „z toho“ a na ďalší riadok sa uvedie uvedený čiastkový údaj. Riadok s čiastkovým údajom začína znakom „-“ (pozri napríklad riadok R51 z tabuľky č. 3 alebo riadok R60 z tabuľky č. 5)
</t>
    </r>
    <r>
      <rPr>
        <b/>
        <i/>
        <sz val="12"/>
        <rFont val="Times New Roman"/>
        <family val="1"/>
        <charset val="238"/>
      </rPr>
      <t>d)</t>
    </r>
    <r>
      <rPr>
        <sz val="12"/>
        <rFont val="Times New Roman"/>
        <family val="1"/>
        <charset val="238"/>
      </rPr>
      <t xml:space="preserve"> Výraz „SUM(R1:R5)“ znamená „súčet riadkov R1 až R5“.
</t>
    </r>
    <r>
      <rPr>
        <b/>
        <i/>
        <sz val="12"/>
        <rFont val="Times New Roman"/>
        <family val="1"/>
        <charset val="238"/>
      </rPr>
      <t xml:space="preserve">e) </t>
    </r>
    <r>
      <rPr>
        <sz val="12"/>
        <rFont val="Times New Roman"/>
        <family val="1"/>
        <charset val="238"/>
      </rPr>
      <t xml:space="preserve"> Ak tabuľka obsahuje časť, o ktorej nie je dopredu známe, koľko bude mať riadkov, vkladané riadky sa označia číslom predchádzajúceho riadku a postupne písmenami a, b, c, ... (pozri napríklad riadky R15 a R15a v tabuľke č. 6). Pri vkladaní nového riadku je potrebné postupovať nasledovne: nastaviť kurzor na voľný riadok za riadok končiaci sa písmenom, napr. 2a, cez hlavné menu vložiť riadok, resp. viac riadkov.  Údaje doplnené do takto vloženého riadku  sa automaticky prenesú do sumárneho riadku (riadok 2). Vložené riadky označte nasledujúcimi písmenami abecedy napr. 2b, 2c.  
</t>
    </r>
    <r>
      <rPr>
        <b/>
        <i/>
        <sz val="12"/>
        <rFont val="Times New Roman"/>
        <family val="1"/>
        <charset val="238"/>
      </rPr>
      <t>f)</t>
    </r>
    <r>
      <rPr>
        <sz val="12"/>
        <rFont val="Times New Roman"/>
        <family val="1"/>
        <charset val="238"/>
      </rPr>
      <t>  V poliach tabuliek, ktoré sa nevypĺňajú, je uvedený znak „X“</t>
    </r>
  </si>
  <si>
    <t xml:space="preserve">Údaje v celej tabuľke č.6 musia byť zhodné s údajmi uvedenými vo výkaze o práci vysokých škôl a ostatných organizácií priamo riadených MŠVVaŠ SR Škol (MŠ SR) 2-04. Pre účely výpočtu počtu zamestnancov bola použitá metóda - Priemerný evidenčný počet zamestnancov - prepočítaný počet - je aritmetickým priemerom denných evidenčných počtov zamestnancov za sledované obdobie prepočítaných na plnú zamestnanosť podľa dĺžky pracovných úväzkov zamestnancov, resp. podľa skutočne odpracovaných hodín. U zamestnancov, ktorí vykonávajú v organizácii činnosť v ďalšom pracovnom pomere, sa výpočet priemerného evidenčného počtu zamestnancov prepočítaného na plne zamestnaných skladá z dvoch častí : 
- prvýkrát sa započítavajú do evidenčného počtu zamestnancov vo fyzických osobách s plným týždenným pracovným časom, ktorý sa rovná ich prepočítanému počtu, a to pracovným úväzkom v hlavnom zamestnaní; 
- druhýkrát sa započítavajú do evidenčného počtu zamestnancov prepočítaného, a to svojím pracovným úväzkom v ďalšom pracovnom pomere. 
Do evidenčného počtu zamestnancov prepočítaného sa títo zamestnanci započítavajú dvakrát na rozdiel od evidenčného počtu zamestnancov vo fyzických osobách, v ktorom sú započítaní iba raz. </t>
  </si>
  <si>
    <t xml:space="preserve">Tabuľka č. 9 poskytuje informácie o výnosoch a nákladoch študentských domovov bez zmluvných zariadení, bez výnosov a nákladov v rámci podnikateľskej činnosti, teda uvádzajú sa len výnosy a náklady súvisiace s ubytovaním študentov, informácie o lôžkovej kapacite študentských domovov a o počte ubytovaných študentov (vrátane doktorandov) a o priemerných nákladoch na študenta. </t>
  </si>
  <si>
    <t>Tabuľka č. 10 poskytuje informácie o počte vydaných jedál a o nákladoch a výnosoch študentských jedální vrátane nákladov na stravovanie v zmluvných zariadeniach. Uvádzajú sa len výnosy a náklady súvisiace so stravovaním študentov.</t>
  </si>
  <si>
    <t>V prípade zmluvného zariadenia sa uvádzajú len výnosy a náklady na stravovanie študentov, ktoré prechádzajú účtovníctvom vysokej školy.</t>
  </si>
  <si>
    <r>
      <t>Tvorba fondu v kalendárnom roku spolu</t>
    </r>
    <r>
      <rPr>
        <sz val="12"/>
        <color indexed="8"/>
        <rFont val="Times New Roman"/>
        <family val="1"/>
      </rPr>
      <t xml:space="preserve"> SUM(R3:R10) </t>
    </r>
  </si>
  <si>
    <t>- prenos zostatku dotácie do nasledujúceho kalendárneho roku [R6+R7-R15]</t>
  </si>
  <si>
    <t>Náklady na činnosť študentských jedální súvisiace so stravovaním študentov za kalendárny rok</t>
  </si>
  <si>
    <r>
      <t xml:space="preserve">Rozdiel výnosov a nákladov študentských jedální súvisiacich so stravovaním študentov  </t>
    </r>
    <r>
      <rPr>
        <sz val="12"/>
        <rFont val="Times New Roman"/>
        <family val="1"/>
        <charset val="238"/>
      </rPr>
      <t>[R1-R9]</t>
    </r>
  </si>
  <si>
    <r>
      <t xml:space="preserve">Počet vydaných jedál študentom </t>
    </r>
    <r>
      <rPr>
        <b/>
        <vertAlign val="superscript"/>
        <sz val="12"/>
        <rFont val="Times New Roman"/>
        <family val="1"/>
      </rPr>
      <t xml:space="preserve"> </t>
    </r>
    <r>
      <rPr>
        <b/>
        <sz val="12"/>
        <rFont val="Times New Roman"/>
        <family val="1"/>
      </rPr>
      <t xml:space="preserve">v kalendárnom roku  </t>
    </r>
  </si>
  <si>
    <r>
      <t>- počet vydaných jedál študentom v zmluvných zariadeniach</t>
    </r>
    <r>
      <rPr>
        <vertAlign val="superscript"/>
        <sz val="12"/>
        <rFont val="Times New Roman"/>
        <family val="1"/>
        <charset val="238"/>
      </rPr>
      <t xml:space="preserve"> 4)</t>
    </r>
  </si>
  <si>
    <t>T10_R13</t>
  </si>
  <si>
    <t>Uvedie sa projektovaná lôžková kapacita ŠD, nie počet ubytovaných študentov v danom roku.</t>
  </si>
  <si>
    <t>V riadku 3 uvedie vysoká škola celkový objem ostatných príjmov z domácich zdrojov majúcich charakter dotácií. V riadkoch 3a ... rozpíše podrobnejšie jednotlivé druhy týchto príjmov.
Patrí sem aj dotácia z Úradu vlády SR na projekty riešené v rámci Finančného mechanizmu EHP a Nórskeho finančného mechanizmu.</t>
  </si>
  <si>
    <t xml:space="preserve">T10_R14 </t>
  </si>
  <si>
    <r>
      <t xml:space="preserve">Údaje v T2 nie je možné odkontrolovať na údaje z výkazníctva ani na údaje v iných tabuľkách, nakoľko ide o údaje účtované na rôznych účtoch. (691,649).  
Príjmy zo zahraničia majúce charakter dotácie majú obsahovať aj údaje z výskumných, resp. vzdelávacích projektov, ktoré sú podkladom k rozpisu metodiky bežnej dotácie pre VVŠ na kalendárny rok. V R4a... je potrebné uviesť príjmy zo zahraničia (zo zahraničných účtov) a k nim príslušné hodnoty. 
Neuvádzajú sa tu dotácie, ktoré VVŠ obdržala zo štrukturálnych fondov prostredníctvom iných kapitol štátneho rozpočtu, napr. MPSVaR SR (tieto údaje patria do T17) a dotácie </t>
    </r>
    <r>
      <rPr>
        <b/>
        <sz val="12"/>
        <rFont val="Times New Roman"/>
        <family val="1"/>
        <charset val="238"/>
      </rPr>
      <t>z APVV pre hlavného riešiteľa (údaje patria do T18). Do tejto tabuľky sa uvádzajú len dotácie z APVV pre spoluriešiteľa, ak hlavným riešiteľom je iná právnická osoba ako VVŠ. Nepatria sem prostriedky na zahraničné mobility na 05T 08 a 021 02 03.</t>
    </r>
  </si>
  <si>
    <r>
      <t xml:space="preserve">Uvedie sa dotácia z </t>
    </r>
    <r>
      <rPr>
        <b/>
        <sz val="12"/>
        <rFont val="Times New Roman"/>
        <family val="1"/>
        <charset val="238"/>
      </rPr>
      <t xml:space="preserve">Úradu vlády SR (na R3) </t>
    </r>
    <r>
      <rPr>
        <sz val="12"/>
        <rFont val="Times New Roman"/>
        <family val="1"/>
        <charset val="238"/>
      </rPr>
      <t xml:space="preserve">, poskytnutá na riešenie projektov v rámci </t>
    </r>
    <r>
      <rPr>
        <b/>
        <sz val="12"/>
        <rFont val="Times New Roman"/>
        <family val="1"/>
        <charset val="238"/>
      </rPr>
      <t>Finančného mechanizmu EHP</t>
    </r>
    <r>
      <rPr>
        <sz val="12"/>
        <rFont val="Times New Roman"/>
        <family val="1"/>
        <charset val="238"/>
      </rPr>
      <t xml:space="preserve"> a </t>
    </r>
    <r>
      <rPr>
        <b/>
        <sz val="12"/>
        <rFont val="Times New Roman"/>
        <family val="1"/>
        <charset val="238"/>
      </rPr>
      <t>Nórskeho finančného mechanizmu</t>
    </r>
    <r>
      <rPr>
        <sz val="12"/>
        <rFont val="Times New Roman"/>
        <family val="1"/>
        <charset val="238"/>
      </rPr>
      <t>. Údaje budú kontrolované na hodnoty z výkazníctva - bežné a kapitálové výdavky evidované na zdrojoch 11E1, 11E3 a 121.</t>
    </r>
  </si>
  <si>
    <t>V T11_R10 sa uvádzajú kapitálové výdavky prijaté (cash) zo zdroja 111. Ide o dotácie z programu 077 (T1_SB_R15), z iných kapitol štátneho rozpočtu (T2_SB_R1), z kapitoly MŠVVaŠ mimo programu 077 a mimo prostriedkov z EÚ (T18_SB_R9).
 Výšku kapitálovej dotácie z iných kapitol žiadame osobitne uviesť do poznámky.</t>
  </si>
  <si>
    <t>Tabuľka č. 21 poskytuje informácie o štruktúre účtu 384 - výnosy budúcich období. Bilancia je realizovaná v členení na zvyšok prijatej kapitálovej dotácie zo štátneho rozpočtu a z prostriedkov EÚ používanej na kompenzáciu odpisov majetku z nej obstaraného, nevyčerpanú bežnú dotáciu na aktivity budúcich období a na finančné prostriedky zo zahraničných projektov na budúce aktivity.</t>
  </si>
  <si>
    <t>T13_R4_SD = T5_R86_SC+SD</t>
  </si>
  <si>
    <r>
      <t xml:space="preserve">Nárok na príspevok zo štátneho rozpočtu na jedlá podľa metodiky </t>
    </r>
    <r>
      <rPr>
        <sz val="12"/>
        <rFont val="Times New Roman"/>
        <family val="1"/>
      </rPr>
      <t xml:space="preserve">                                     </t>
    </r>
  </si>
  <si>
    <t>Číslo účtu/Poznámka</t>
  </si>
  <si>
    <r>
      <t xml:space="preserve">V riadku 1 uvedie vysoká škola celkový objem príjmov z dotácií zo štátneho rozpočtu poskytnutých z iných kapitol ako je kapitola MŠVVaŠ SR. V riadkoch 1a ... rozpíše podrobnejšie jednotlivé druhy týchto dotácií.  Príklady: 
1. dotácie z iných kapitol, 
2. dotácie na riešenie projektov </t>
    </r>
    <r>
      <rPr>
        <b/>
        <u/>
        <sz val="12"/>
        <rFont val="Times New Roman"/>
        <family val="1"/>
        <charset val="238"/>
      </rPr>
      <t>APVV pre spoluriešiteľov</t>
    </r>
    <r>
      <rPr>
        <sz val="12"/>
        <rFont val="Times New Roman"/>
        <family val="1"/>
        <charset val="238"/>
      </rPr>
      <t xml:space="preserve"> projektu, kde hlavným riešiteľom je iná právnická osoba ako VVŠ. 
</t>
    </r>
    <r>
      <rPr>
        <sz val="12"/>
        <color indexed="10"/>
        <rFont val="Times New Roman"/>
        <family val="1"/>
        <charset val="238"/>
      </rPr>
      <t/>
    </r>
  </si>
  <si>
    <t xml:space="preserve"> - štipendiá doktorandov  (účet 549 001, 549 016, 549 017)</t>
  </si>
  <si>
    <t>Príjem z dotácie poskytnutej na sociálne štipendiá v rámci dotačnej zmluvy z kapitoly     MŠVVaŠ k 31.12.</t>
  </si>
  <si>
    <t>T7_R10</t>
  </si>
  <si>
    <t>T7_SA</t>
  </si>
  <si>
    <r>
      <t xml:space="preserve">V stĺpci B sa uvedú náklady na štipendiá doktorandov </t>
    </r>
    <r>
      <rPr>
        <u/>
        <sz val="12"/>
        <rFont val="Times New Roman"/>
        <family val="1"/>
        <charset val="238"/>
      </rPr>
      <t>z neúčelovej</t>
    </r>
    <r>
      <rPr>
        <sz val="12"/>
        <rFont val="Times New Roman"/>
        <family val="1"/>
        <charset val="238"/>
      </rPr>
      <t xml:space="preserve"> dotácie na štipendiá. </t>
    </r>
  </si>
  <si>
    <t>- dary (účet 649 009) (646)</t>
  </si>
  <si>
    <t>T7_SD</t>
  </si>
  <si>
    <t>E=A+B+C+D</t>
  </si>
  <si>
    <t>Fond na podporu štúdia študentov so špecifickými potrebami</t>
  </si>
  <si>
    <t>Účtová trieda 5 spolu r.01 až r.37</t>
  </si>
  <si>
    <t>Pohľadávky voči účastníkom združení  (358 AÚ - 391 AÚ)</t>
  </si>
  <si>
    <t>Pohľadávky voči účastníkom združení  (358 AÚ -391 AÚ)</t>
  </si>
  <si>
    <t>Spojovací účet pri združení  (396-391 AÚ)</t>
  </si>
  <si>
    <t>Bankové účty  (221 AÚ + 261)</t>
  </si>
  <si>
    <t>Obstaranie krátkodobého finančného majetku (259-291 AÚ)</t>
  </si>
  <si>
    <t>C. ČASOVÉ ROZLÍŠENIE SPOLU        r. 058 a r. 059</t>
  </si>
  <si>
    <t xml:space="preserve"> MAJETOK SPOLU                           r.001 + 029 +057</t>
  </si>
  <si>
    <t>Finančné účty                                           r.052 až 056</t>
  </si>
  <si>
    <t>Krátkodobé pohľadávky                         r.043 až 050</t>
  </si>
  <si>
    <t>Dlhodobé pohľadávky                              r.038 až 041</t>
  </si>
  <si>
    <t>B. OBEŽNÝ MAJETOK SPOLU    r.030+037+042+051</t>
  </si>
  <si>
    <t>Dlhodobý nehmotný majetok                r.003 až 008</t>
  </si>
  <si>
    <t>Dlhodobý hmotný majetok                     r.010 až 020</t>
  </si>
  <si>
    <t>Dlhodobý finančný majetok                   r.022 až 028</t>
  </si>
  <si>
    <t>A. VLASTNÉ ZDROJE KRYTIA MAJETKU SPOLU         r.062+068+072+073</t>
  </si>
  <si>
    <t>Imanie a peňažné fondy                                       r.063 až 067</t>
  </si>
  <si>
    <t>Fondy tvorené zo zisku                                      r.069 až 071</t>
  </si>
  <si>
    <t>Nevysporiadaný výsledok hospodárenia minulých rokov          (+,- 428)</t>
  </si>
  <si>
    <t>Výsledok hospodárenia za účtovné obdobie       r. 060 -(r.062+068+072+074+101)</t>
  </si>
  <si>
    <t>B. Cudzie zdroje                                             r.075+079+087+097</t>
  </si>
  <si>
    <t>Rezervy                                                                r.076 až 078</t>
  </si>
  <si>
    <t>Dlhodobé  záväzky                                               r.080 až 086</t>
  </si>
  <si>
    <t>Krátkodobé záväzky                                            r.088 až 096</t>
  </si>
  <si>
    <t>Ostatné záväzky  (379 + 373 AÚ +474 AÚ + 479 AÚ)</t>
  </si>
  <si>
    <t>Bankové výpomoci a pôžičky                            r.098 až 100</t>
  </si>
  <si>
    <t>Prijaté krátkodobé finančné výpomoci   (241 + 249)</t>
  </si>
  <si>
    <t>C. ČASOVÉ ROZLÍŠENIE SPOLU                         r. 102 + 103</t>
  </si>
  <si>
    <t>Výnosy budúcich období         (384)</t>
  </si>
  <si>
    <r>
      <t xml:space="preserve">VLASTNÉ ZDROJE A CUDZIE ZDROJE SPOLU </t>
    </r>
    <r>
      <rPr>
        <b/>
        <sz val="11"/>
        <rFont val="Times New Roman"/>
        <family val="1"/>
        <charset val="238"/>
      </rPr>
      <t>r.061+074+101</t>
    </r>
  </si>
  <si>
    <t>Zvyšok prijatej kapitálovej dotácie zo štátneho rozpočtu používanej na kompenzáciu odpisov majetku z nej obstaraného</t>
  </si>
  <si>
    <r>
      <t>Priemerné náklady  na jedlo študenta v Eur [</t>
    </r>
    <r>
      <rPr>
        <sz val="12"/>
        <rFont val="Times New Roman"/>
        <family val="1"/>
        <charset val="238"/>
      </rPr>
      <t>R10</t>
    </r>
    <r>
      <rPr>
        <sz val="12"/>
        <rFont val="Times New Roman"/>
        <family val="1"/>
      </rPr>
      <t>/R13]</t>
    </r>
  </si>
  <si>
    <t xml:space="preserve">Náklady / Výnosy </t>
  </si>
  <si>
    <r>
      <t>Nevyčerpaná dotácia (+) / nedoplatok dotácie (-) na motivačné štipendiá</t>
    </r>
    <r>
      <rPr>
        <b/>
        <sz val="12"/>
        <rFont val="Times New Roman"/>
        <family val="1"/>
        <charset val="238"/>
      </rPr>
      <t xml:space="preserve"> k 31. 12. predchádzajúceho kalendárneho roka</t>
    </r>
    <r>
      <rPr>
        <sz val="12"/>
        <rFont val="Times New Roman"/>
        <family val="1"/>
        <charset val="238"/>
      </rPr>
      <t xml:space="preserve">     </t>
    </r>
    <r>
      <rPr>
        <b/>
        <sz val="12"/>
        <rFont val="Times New Roman"/>
        <family val="1"/>
        <charset val="238"/>
      </rPr>
      <t xml:space="preserve">     </t>
    </r>
  </si>
  <si>
    <r>
      <t>Výdavky na motivačné štipendiá</t>
    </r>
    <r>
      <rPr>
        <sz val="12"/>
        <rFont val="Times New Roman"/>
        <family val="1"/>
        <charset val="238"/>
      </rPr>
      <t xml:space="preserve"> </t>
    </r>
    <r>
      <rPr>
        <b/>
        <sz val="12"/>
        <rFont val="Times New Roman"/>
        <family val="1"/>
        <charset val="238"/>
      </rPr>
      <t xml:space="preserve">v kalendárnom roku </t>
    </r>
    <r>
      <rPr>
        <b/>
        <vertAlign val="superscript"/>
        <sz val="12"/>
        <rFont val="Times New Roman"/>
        <family val="1"/>
        <charset val="238"/>
      </rPr>
      <t/>
    </r>
  </si>
  <si>
    <t xml:space="preserve">1) v riadku 5 sa uvedie celkový fyzický počet študentov (pričom 1 študent sa počíta za 1 fyzickú osobu), ktorým bolo vyplatené motivačné štipendium v kalendárnom roku </t>
  </si>
  <si>
    <t xml:space="preserve">- za prijímacie konanie (§ 92 ods. 12 zákona) (účet 649 003) </t>
  </si>
  <si>
    <t xml:space="preserve">- za rigorózne konanie (§ 92 ods. 13 zákona) (účet 649 004) </t>
  </si>
  <si>
    <t xml:space="preserve">- za vydanie diplomu za rigorózne konanie (§ 92 ods. 14 zákona)  (účet 649 005) </t>
  </si>
  <si>
    <t xml:space="preserve">Výnos z dotácie zo štátneho rozpočtu na študentské jedálne v kalendárneho roku sa odvíja od zostatku dotácie predchádzajúceho kalendárneho roka a účelovej dotácie daného kalendárneho roka zníženej o prenos zostatku do nasledujúceho kalendárneho roka, resp. zvýšenej o nárok na poskytnutie nedoplatku. </t>
  </si>
  <si>
    <t>T1_R15_SB ≤ T11_R10_SB,
T1_R12_SA = T8_R5_SC
T1_R13_SA = T20_R2_(SB)</t>
  </si>
  <si>
    <t xml:space="preserve">Údaje v T19 majú súvzťažnosť s T13, štipendiá z vlastných zdrojov sú taktiež súčasťou štipendijného fondu. 
Údaj v T13_R11 - čerpanie štipendijného fondu by malo byť  vo výške čerpania sociálnych štipendií z T8, motivačných štipendií z T20 a štipendií z vlastných zdrojov z T19.
</t>
  </si>
  <si>
    <t>x</t>
  </si>
  <si>
    <t>Náklady spolu</t>
  </si>
  <si>
    <t>9a</t>
  </si>
  <si>
    <r>
      <t>Dotácia na kapitálové výdavky z prostriedkov EÚ (štrukturálnych fondov</t>
    </r>
    <r>
      <rPr>
        <b/>
        <sz val="12"/>
        <rFont val="Times New Roman"/>
        <family val="1"/>
        <charset val="238"/>
      </rPr>
      <t xml:space="preserve"> vrátane spolufinancovania)</t>
    </r>
  </si>
  <si>
    <r>
      <t>Zostatok kapitálovej dotácie z predchádzajúceho roku</t>
    </r>
    <r>
      <rPr>
        <b/>
        <sz val="10"/>
        <rFont val="Times New Roman"/>
        <family val="1"/>
        <charset val="238"/>
      </rPr>
      <t xml:space="preserve"> </t>
    </r>
    <r>
      <rPr>
        <b/>
        <sz val="12"/>
        <rFont val="Times New Roman"/>
        <family val="1"/>
        <charset val="238"/>
      </rPr>
      <t>(z dotácií na R10 a R10a)</t>
    </r>
  </si>
  <si>
    <r>
      <t>Iné zdroje na obstaranie a technické zhodnotenie dlhodobého majetku</t>
    </r>
    <r>
      <rPr>
        <b/>
        <sz val="12"/>
        <rFont val="Times New Roman"/>
        <family val="1"/>
        <charset val="238"/>
      </rPr>
      <t xml:space="preserve"> (v danom roku vrátane zostatkov na týchto zdrojoch)</t>
    </r>
  </si>
  <si>
    <t>T5_R90_(SA+AB)=T13_R5_SC
T5_R90_(SC+AD)=T13_R5_SD</t>
  </si>
  <si>
    <t>Náklady sú kontrolované na údaje z výkazníctva - tvorba fondu z predaného majetku</t>
  </si>
  <si>
    <t xml:space="preserve">T5_3
</t>
  </si>
  <si>
    <t>T13_V7</t>
  </si>
  <si>
    <t>T13_R5_SC=T5_R90_(SA+SC)
T13_R5_SD=T5_R90_(SC+SD)</t>
  </si>
  <si>
    <t xml:space="preserve">  - príspevok na úhradu výdavkov zahraničných študentov/lektorov  (649 016)</t>
  </si>
  <si>
    <t>- knihy, časopisy a noviny  (účet 501 001,501 051)</t>
  </si>
  <si>
    <t>- kancelárske potreby a materiál   (účet 501 003, 501 053)</t>
  </si>
  <si>
    <t>- papier  (účet 501 004, 501 054)</t>
  </si>
  <si>
    <t>- pohonné hmoty a ostatný materiál na dopravu  (účet 501 007, 501 057)</t>
  </si>
  <si>
    <t>- čistiace, hygienické a dezinfekčné potreby (účet 501 008, 501 020)</t>
  </si>
  <si>
    <t>- ostatný materiál (účet 501 099, 501 030, 501 599, 501 100)</t>
  </si>
  <si>
    <t>- elektrická energia (účet 502 001, 502 051)</t>
  </si>
  <si>
    <t>- tepelná energia  (účet 502 002, 502 052)</t>
  </si>
  <si>
    <t>- vodné a stočné  (účet 502 003, 502 053)</t>
  </si>
  <si>
    <t>- plyn  (účet 502 004, 502 054)</t>
  </si>
  <si>
    <t>- palivá  (účet 502 005, 502 055)</t>
  </si>
  <si>
    <t>- domáce cestovné  (účet 512 001, 512 051)</t>
  </si>
  <si>
    <t>- zahraničné cestovné  (účet 512 002, 512 003, 512 052)</t>
  </si>
  <si>
    <t>- telefón, fax  (účet 518 006, 518 056)</t>
  </si>
  <si>
    <t>- poštovné  (účet 518 008, 518 058)</t>
  </si>
  <si>
    <t>- odvoz odpadu  (účet 518 009, 518 059)</t>
  </si>
  <si>
    <t xml:space="preserve">- iné analyticky sledované náklady (účty 518 003, 518 013, 518 015-018, 518 020-030, 518 031-034, 518 040, 518 041,518 599) </t>
  </si>
  <si>
    <t xml:space="preserve"> - MZDY (účty 521 001-008, 521 012, 521 013, 581 003)</t>
  </si>
  <si>
    <t xml:space="preserve"> - odpisy DN a HM nadobudnutého z kapitálových dotácií zo ŠR 
(účet 551 100, 551 121, 551 123, 551 001, 551 003)</t>
  </si>
  <si>
    <t xml:space="preserve"> - ostatné náklady z účtovej skupiny 55 (účty 552, 553, 554, 557, 558, 559)</t>
  </si>
  <si>
    <t>- náklady na tvorbu fondu reprodukcie (účet 556 400) (z predaja majetku)</t>
  </si>
  <si>
    <t>Pozn.</t>
  </si>
  <si>
    <t>Podielové cenné papiere a podiely v obchodných spoločnostiach v ovládanej osobe  (061 - 096 AÚ)</t>
  </si>
  <si>
    <t>Podielové cenné papiere a podiely v obchodných spoločnostiach s podstatným vplyvom  (062 - 096 AÚ)</t>
  </si>
  <si>
    <t>Dlhové cenné papiere držané do splatnosti  (065 - 096 AÚ)</t>
  </si>
  <si>
    <t xml:space="preserve">Ostatný dlhodobý finančný majetok (069 - 096 AÚ) </t>
  </si>
  <si>
    <t>Poskytnuté preddavky na dlhodobý fin. majetok (053 - 096 AÚ)</t>
  </si>
  <si>
    <t>Pohľadávky z dôvodu finančných vzťahov k ŠR a rozpočtom územnej samosprávy (346+348)</t>
  </si>
  <si>
    <t>- poplatky spojené so štúdiom (účet 649 003-006)</t>
  </si>
  <si>
    <t>- iné analyticky sledované výnosy (účty 602 002-007, 602 011-18, 602 099, 602 199)</t>
  </si>
  <si>
    <t xml:space="preserve">T20_R2_SB+T20_R2_SC = T1_R13_SA </t>
  </si>
  <si>
    <t xml:space="preserve"> - odpisy ostatného DN a HM (účet 551 200, 221, 223, 400, 900, 921, 923)</t>
  </si>
  <si>
    <t xml:space="preserve"> - odpisy DN a HM nadobudnutého z kapitálových dotácií z EÚ (zo štrukturálnych fondov) (účet 551 300, 321, 323)</t>
  </si>
  <si>
    <t>(uviesť zoznam všetkých dotácií, každú na zvláštny riadok, napr. podprogram 026 05)</t>
  </si>
  <si>
    <t>Náklady
hlavnej činnosti
2014</t>
  </si>
  <si>
    <t>Poskytnuté prevádzkové preddavky  na zásoby (314 AÚ - 391 AÚ)</t>
  </si>
  <si>
    <t>Tabuľka č. 20 poskytuje informácie  o príjmoch a výdavkoch vysokej školy na motivačné štipendiá a o počte študentov, ktorí ich poberajú v zmysle § 96a  zákona.</t>
  </si>
  <si>
    <r>
      <t xml:space="preserve">Počet študentov, ktorým bolo priznané motivačné štipendium </t>
    </r>
    <r>
      <rPr>
        <b/>
        <vertAlign val="superscript"/>
        <sz val="12"/>
        <rFont val="Times New Roman"/>
        <family val="1"/>
        <charset val="238"/>
      </rPr>
      <t>1)</t>
    </r>
  </si>
  <si>
    <t>uvádzajú sa štipendiá vyplatené zo štátneho rozpočtu, kód v CRŠ: 1</t>
  </si>
  <si>
    <t>T8_R1</t>
  </si>
  <si>
    <t>T20_R3</t>
  </si>
  <si>
    <t>T19_V2</t>
  </si>
  <si>
    <t>Kód</t>
  </si>
  <si>
    <t>Názov</t>
  </si>
  <si>
    <t>Platné od</t>
  </si>
  <si>
    <t>bezpečnostný príplatok z UD MSSR</t>
  </si>
  <si>
    <t>motivačné štipendium - mimoriadny študijný výsledok</t>
  </si>
  <si>
    <t>motivačné štipendium - mimoriadny výsledok v športovej činnosti</t>
  </si>
  <si>
    <t>motivačné štipendium - mimoriadny výsledok v umeleckej činnosti</t>
  </si>
  <si>
    <t>motivačné štipendium - mimoriadny výsledok vo výskume/vývoji</t>
  </si>
  <si>
    <t>motivačné štipendium - vybrané odbory (§ 96a ods.1 písm. a))</t>
  </si>
  <si>
    <t>motivačné štipendium - vynikajúce plnenie študijných povinností</t>
  </si>
  <si>
    <t>sociálne štipendium</t>
  </si>
  <si>
    <t>štipendium poskytuje EVI</t>
  </si>
  <si>
    <t>štipendium z vlastných zdrojov vysokej školy</t>
  </si>
  <si>
    <t>vládny štipendista</t>
  </si>
  <si>
    <t>z mimo dotačných zdrojov</t>
  </si>
  <si>
    <t>základné z NeúčelD MSSR</t>
  </si>
  <si>
    <t>základné z UD MSSR, po dizer. sk.</t>
  </si>
  <si>
    <t>základné z UD MSSR, pred dizer.sk.</t>
  </si>
  <si>
    <t>zvýšenie PhD. štipendia z UD MSSR</t>
  </si>
  <si>
    <t>Kódy z Centrálneho registra študentov</t>
  </si>
  <si>
    <t xml:space="preserve">Pohľadávky z obchodného styku (311 AÚ až 314 AÚ) - 391 AÚ) </t>
  </si>
  <si>
    <t>z účelovej dotácie MŠVVaŠ SR
(kódy 10, 11)</t>
  </si>
  <si>
    <t>DrŠ</t>
  </si>
  <si>
    <t xml:space="preserve">  - náklady na štipendiá vo výške 9. platovej triedy a 1. platového stupňa 
( v CRŠ kód 10 )</t>
  </si>
  <si>
    <t xml:space="preserve">  - náklady na štipendiá vo výške 10. platovej triedy a 1. platového stupňa 
( v CRŠ kód 11 )</t>
  </si>
  <si>
    <t>zvýšenie PhD. štipendia z Neúčel D MSSR</t>
  </si>
  <si>
    <t>T4_R3</t>
  </si>
  <si>
    <t>T4_R5</t>
  </si>
  <si>
    <t>- iné analyticky sledované náklady (účet 511 006-008, 511 056)</t>
  </si>
  <si>
    <t xml:space="preserve"> - poistné náklady (havarijné, majetok, na študentov) (účet 549 004, 549 014, 549 015, 549 054)</t>
  </si>
  <si>
    <t>Priemerné platy</t>
  </si>
  <si>
    <t>I=H/D/12</t>
  </si>
  <si>
    <t>- vysokoškolskí učitelia s funkčným zaradením "profesor"                 *)</t>
  </si>
  <si>
    <t>*) medzi profesorov sa započítava aj funkčné zaradenie "hosťujúci profesor"</t>
  </si>
  <si>
    <t>- za prekročenie štandardnej dĺžky štúdia v dennej forme (§ 92 ods. 6) (649 001)</t>
  </si>
  <si>
    <t>- za externú formu štúdia (§ 92 ods. 4) (649 020)</t>
  </si>
  <si>
    <t xml:space="preserve">- náklady na tvorbu ostatných fondov (účty  556 510, 556 520) </t>
  </si>
  <si>
    <t>- ostatných fondov (účet  656 510, 656 520)</t>
  </si>
  <si>
    <t>T4_R2</t>
  </si>
  <si>
    <t xml:space="preserve">Vysoká škola uvedie v samostatnom riadku objem výnosov zo školného za prekročenie štandardnej dĺžky štúdia v dennej forme </t>
  </si>
  <si>
    <t xml:space="preserve">Vysoká škola uvedie v samostatnom riadku objem výnosov zo školného za súbežné štúdium v dennej forme </t>
  </si>
  <si>
    <t xml:space="preserve">Vysoká škola uvedie v samostatnom riadku objem výnosov za štúdium v cudzom jazyku </t>
  </si>
  <si>
    <t>- za vydanie dokladov o štúdiu a ich kópií (§ 92 ods. 15 zákona) (účet 649 006)</t>
  </si>
  <si>
    <t>93a</t>
  </si>
  <si>
    <t>- náklady na tvorbu fondu na podporu štúdia študentov so špecifickými potrebami 
  (účet 556 300)</t>
  </si>
  <si>
    <t>- fondu na podporu štúdia študentov so špecifickými potrebami 
  (účet 656 300)</t>
  </si>
  <si>
    <t>T4_R14</t>
  </si>
  <si>
    <t>T4_R15</t>
  </si>
  <si>
    <t>Návrh na prídel do štipendijného fondu na základe rozhodnutia VVŠ, ktorý sa musí rovnať minimálne objemu z riadku R14.</t>
  </si>
  <si>
    <t>Tabuľka č. 6a poskytuje informácie o počte a štruktúre žien a objeme nákladov na mzdy verejnej vysokej školy (bez odvodov).</t>
  </si>
  <si>
    <t xml:space="preserve">1) V R40-43 sa uvedú výnosy účtované v súvislosti s použitím  príslušného fondu.  </t>
  </si>
  <si>
    <t>Stav fondu k 1. 1. kalendárneho roku  v R1 sa  rovná stavu fondu k 31.12. predchádzajúceho roku v R12.</t>
  </si>
  <si>
    <t>T17_R8</t>
  </si>
  <si>
    <t>T4_R12,13</t>
  </si>
  <si>
    <t>T20_R2</t>
  </si>
  <si>
    <r>
      <t xml:space="preserve">Tabuľka č. 24a, 24b poskytuje informácie o súvahe  "Aktíva"- sumár za VVŠ. </t>
    </r>
    <r>
      <rPr>
        <sz val="12"/>
        <rFont val="Times New Roman"/>
        <family val="1"/>
        <charset val="238"/>
      </rPr>
      <t xml:space="preserve"> Údaje sa uvádzajú s presnosťou na dve desatinné miesta.</t>
    </r>
  </si>
  <si>
    <r>
      <t xml:space="preserve">Tabuľka č. 25 poskytuje informácie o súvahe "Pasíva" - sumár za VVŠ.  </t>
    </r>
    <r>
      <rPr>
        <sz val="12"/>
        <rFont val="Times New Roman"/>
        <family val="1"/>
        <charset val="238"/>
      </rPr>
      <t>Údaje sa uvádzajú s presnosťou na dve desatinné miesta.</t>
    </r>
  </si>
  <si>
    <r>
      <t>K=A+C+E+</t>
    </r>
    <r>
      <rPr>
        <sz val="12"/>
        <color indexed="10"/>
        <rFont val="Times New Roman"/>
        <family val="1"/>
        <charset val="238"/>
      </rPr>
      <t>G</t>
    </r>
    <r>
      <rPr>
        <sz val="12"/>
        <color indexed="8"/>
        <rFont val="Times New Roman"/>
        <family val="1"/>
        <charset val="238"/>
      </rPr>
      <t>+I</t>
    </r>
  </si>
  <si>
    <r>
      <t>L=B+D+F+</t>
    </r>
    <r>
      <rPr>
        <sz val="12"/>
        <color indexed="10"/>
        <rFont val="Times New Roman"/>
        <family val="1"/>
        <charset val="238"/>
      </rPr>
      <t>H</t>
    </r>
    <r>
      <rPr>
        <sz val="12"/>
        <color indexed="8"/>
        <rFont val="Times New Roman"/>
        <family val="1"/>
        <charset val="238"/>
      </rPr>
      <t>+J</t>
    </r>
  </si>
  <si>
    <t>501 Spotreba materiálu</t>
  </si>
  <si>
    <t>502 Spotreba energie</t>
  </si>
  <si>
    <t>504 Predaný tovar</t>
  </si>
  <si>
    <t>511 Opravy a udržiavanie</t>
  </si>
  <si>
    <t>512 Cestovné</t>
  </si>
  <si>
    <t>513 Náklady na reprezentáciu</t>
  </si>
  <si>
    <t>518 Ostatné služby</t>
  </si>
  <si>
    <t>521 Mzdové náklady</t>
  </si>
  <si>
    <t>524 Zákonné sociálne poistenie a zdravotné poistenie</t>
  </si>
  <si>
    <t>525 Ostatné sociálne poistenie</t>
  </si>
  <si>
    <t>527 Zákonné sociálne náklady</t>
  </si>
  <si>
    <t>528 Ostatné sociálne náklady</t>
  </si>
  <si>
    <t>531 Daň z motorových vozidiel</t>
  </si>
  <si>
    <t>532 Daň z nehnuteľností</t>
  </si>
  <si>
    <t>538 Ostatné dane a poplatky</t>
  </si>
  <si>
    <t>541 Zmluvné pokuty a penále</t>
  </si>
  <si>
    <t>542 Ostatné pokuty a penále</t>
  </si>
  <si>
    <t>543 Odpísanie pohľadávky</t>
  </si>
  <si>
    <t>544 Úroky</t>
  </si>
  <si>
    <t>545 Kurzové straty</t>
  </si>
  <si>
    <t>546 Dary</t>
  </si>
  <si>
    <t>547 Osobitné náklady</t>
  </si>
  <si>
    <t>548 Manká a škody</t>
  </si>
  <si>
    <t>549 Iné ostatné náklady</t>
  </si>
  <si>
    <t>551 Odpisy dlhodobého nehmotného majetku a dlhodobého hmot</t>
  </si>
  <si>
    <t>552 Zostatková cena predaného dlhodobého nehmotného majetku</t>
  </si>
  <si>
    <t>553 Predané cenné papiere</t>
  </si>
  <si>
    <t>554 Predaný materiál</t>
  </si>
  <si>
    <t>555 Náklady na krátkodobý finančný majetok</t>
  </si>
  <si>
    <t>556 Tvorba fondov</t>
  </si>
  <si>
    <t>557 Náklady na precenenie cenných papierov</t>
  </si>
  <si>
    <t>558 Tvorba a zúčtovanie opravných položiek</t>
  </si>
  <si>
    <t>561 Poskytnuté príspevky organizačným zložkám</t>
  </si>
  <si>
    <t>562 Poskytnuté príspevky iným účtovným jednotkám</t>
  </si>
  <si>
    <t>563 Poskytnuté príspevky fyzickým osobám</t>
  </si>
  <si>
    <t>565 Poskytnuté príspevky z podielu zaplatenej dane</t>
  </si>
  <si>
    <t>567 Poskytnuté príspevky z verejnej zbierky</t>
  </si>
  <si>
    <t>Účtová trieda 5 spolu r. 01 až r. 37</t>
  </si>
  <si>
    <t>601 Tržby za vlastné výrobky</t>
  </si>
  <si>
    <t>602 Tržby z predaja služieb</t>
  </si>
  <si>
    <t>604 Tržby za predaný tovar</t>
  </si>
  <si>
    <t>611 Zmena stavu zásob nedokončenej výroby</t>
  </si>
  <si>
    <t>612 Zmena stavu zásob polotovarov</t>
  </si>
  <si>
    <t>613 Zmena stavu zásob výrobkov</t>
  </si>
  <si>
    <t>614 Zmena stavu zásob zvierat</t>
  </si>
  <si>
    <t>621 Aktivácia materiálu a tovaru</t>
  </si>
  <si>
    <t>622 Aktivácia vnútroorganizačných služieb</t>
  </si>
  <si>
    <t>623 Aktivácia dlhodobého nehmotného majetku</t>
  </si>
  <si>
    <t>624 Aktivácia dlhodobého hmotného majetku</t>
  </si>
  <si>
    <t>641 Zmluvné pokuty a penále</t>
  </si>
  <si>
    <t>642 Ostatné pokuty a penále</t>
  </si>
  <si>
    <t>643 Platby za odpísané pohľadávky</t>
  </si>
  <si>
    <t>644 Úroky</t>
  </si>
  <si>
    <t>645 Kurzové zisky</t>
  </si>
  <si>
    <t>646 Prijaté dary</t>
  </si>
  <si>
    <t>647 Osobitné výnosy</t>
  </si>
  <si>
    <t>648 Zákonné poplatky</t>
  </si>
  <si>
    <t>649 Iné ostatné výnosy</t>
  </si>
  <si>
    <t>651 Tržby z predaja dlhodobého nehmotného majetku</t>
  </si>
  <si>
    <t>652 Výnosy z dlhodobého finančného majetku</t>
  </si>
  <si>
    <t>653 Tržby z predaja cenných papierov a podielov</t>
  </si>
  <si>
    <t>654 Tržby z predaja materiálu</t>
  </si>
  <si>
    <t>655 Výnosy z krátkodobého finančného majetku</t>
  </si>
  <si>
    <t>656 Výnosy z použitia fondu</t>
  </si>
  <si>
    <t>657 Výnosy z precenenia cenných papierov</t>
  </si>
  <si>
    <t>658 Výnosy z nájmu majetku</t>
  </si>
  <si>
    <t>661 Prijaté príspevky od organizačných zložiek</t>
  </si>
  <si>
    <t>662 Prijaté príspevky od iných organizácií</t>
  </si>
  <si>
    <t>663 Prijaté príspevky od fyzických osôb</t>
  </si>
  <si>
    <t>664 Prijaté členské príspevky</t>
  </si>
  <si>
    <t>665 Príspevky z podielu zaplatenej dane</t>
  </si>
  <si>
    <t>667 Prijaté príspevky z verejných zbierok</t>
  </si>
  <si>
    <t>691 Dotácie</t>
  </si>
  <si>
    <t>Účtová trieda 6 spolu r. 39 až r. 73</t>
  </si>
  <si>
    <t>Výsledok hospodárenia pred zdanením r. 74 - r. 38</t>
  </si>
  <si>
    <t>591 Daň z príjmov</t>
  </si>
  <si>
    <t>595 Dodatočné odvody dane z príjmov</t>
  </si>
  <si>
    <t>Výsledok hospodárenia po zdanení (r. 75 - (r. 76 + r. 77) )</t>
  </si>
  <si>
    <t>- za vydanie dokladov o absolvovaní štúdia v štátnom jazyku a v jazyku požadovanom študentom a ich kópií  (§ 92 ods. 15 zákona) (účet 649 024)</t>
  </si>
  <si>
    <r>
      <t xml:space="preserve"> - za uznávanie rovnocennosti dokladov o štúdiu (§ 92 ods. 15 zákona) (účet 649 025) </t>
    </r>
    <r>
      <rPr>
        <vertAlign val="superscript"/>
        <sz val="12"/>
        <rFont val="Times New Roman"/>
        <family val="1"/>
        <charset val="238"/>
      </rPr>
      <t/>
    </r>
  </si>
  <si>
    <r>
      <rPr>
        <vertAlign val="superscript"/>
        <sz val="12"/>
        <rFont val="Times New Roman"/>
        <family val="1"/>
        <charset val="238"/>
      </rPr>
      <t>1)</t>
    </r>
    <r>
      <rPr>
        <sz val="12"/>
        <rFont val="Times New Roman"/>
        <family val="1"/>
        <charset val="238"/>
      </rPr>
      <t xml:space="preserve">  v riadku 6 sa uvádzajú len cudzinci, ktorým nevznikla povinnosť uhradiť školné z dôvodov uvedených v riadkoch 2 až 5</t>
    </r>
  </si>
  <si>
    <r>
      <t>Tabuľka č. 9: Údaje o systéme sociálnej podpory  - časť výnosy a náklady</t>
    </r>
    <r>
      <rPr>
        <b/>
        <vertAlign val="superscript"/>
        <sz val="14"/>
        <rFont val="Times New Roman"/>
        <family val="1"/>
        <charset val="238"/>
      </rPr>
      <t>1)</t>
    </r>
    <r>
      <rPr>
        <b/>
        <sz val="14"/>
        <rFont val="Times New Roman"/>
        <family val="1"/>
      </rPr>
      <t xml:space="preserve"> študentských domovov 
(bez zmluvných zariadení) za roky 2014 a 2015</t>
    </r>
  </si>
  <si>
    <r>
      <t>Tabuľka č. 10: Údaje o systéme sociálnej podpory  - časť výnosy a náklady</t>
    </r>
    <r>
      <rPr>
        <b/>
        <vertAlign val="superscript"/>
        <sz val="14"/>
        <rFont val="Times New Roman"/>
        <family val="1"/>
      </rPr>
      <t>1)</t>
    </r>
    <r>
      <rPr>
        <b/>
        <sz val="14"/>
        <rFont val="Times New Roman"/>
        <family val="1"/>
      </rPr>
      <t xml:space="preserve"> študentských jedální 
za roky 2014 a 2015 </t>
    </r>
  </si>
  <si>
    <r>
      <t xml:space="preserve">Ostatné dlhodobé záväzky </t>
    </r>
    <r>
      <rPr>
        <sz val="9"/>
        <rFont val="Times New Roman"/>
        <family val="1"/>
        <charset val="238"/>
      </rPr>
      <t xml:space="preserve"> </t>
    </r>
    <r>
      <rPr>
        <sz val="12"/>
        <rFont val="Times New Roman"/>
        <family val="1"/>
        <charset val="238"/>
      </rPr>
      <t>(373 AÚ+ 479 AÚ)</t>
    </r>
  </si>
  <si>
    <r>
      <t>Rozdiel 201</t>
    </r>
    <r>
      <rPr>
        <b/>
        <sz val="14"/>
        <color rgb="FFFF0000"/>
        <rFont val="Times New Roman"/>
        <family val="1"/>
        <charset val="238"/>
      </rPr>
      <t>5</t>
    </r>
    <r>
      <rPr>
        <b/>
        <sz val="14"/>
        <rFont val="Times New Roman"/>
        <family val="1"/>
      </rPr>
      <t>-201</t>
    </r>
    <r>
      <rPr>
        <b/>
        <sz val="14"/>
        <color rgb="FFFF0000"/>
        <rFont val="Times New Roman"/>
        <family val="1"/>
        <charset val="238"/>
      </rPr>
      <t>4</t>
    </r>
  </si>
  <si>
    <t>Rozdiel 2015-2014</t>
  </si>
  <si>
    <t xml:space="preserve">*) </t>
  </si>
  <si>
    <t>Odpisy, predaný majetok a opravné položky (účtová skupina 55) [SUM(R85:R92)]</t>
  </si>
  <si>
    <t>Čerpanie kapitálovej dotácie v roku 2015
zo štátneho rozpočtu</t>
  </si>
  <si>
    <t xml:space="preserve">Čerpanie bežnej dotácie v roku 2015 prostredníctvom fondu reprodukcie </t>
  </si>
  <si>
    <t>Výnosy
v hlavnej činnosti
2014</t>
  </si>
  <si>
    <t>Náklady
hlavnej činnosti
2015</t>
  </si>
  <si>
    <t>Tabuľka č. 3: Výnosy verejnej vysokej školy v rokoch 2014 a 2015</t>
  </si>
  <si>
    <t>T3a_V1</t>
  </si>
  <si>
    <t xml:space="preserve">Riadky 12, 13 sa v roku  2014 nevypĺňajú a údaje z nich sa uvádzajú do riadku 11, v roku 2015 sa vypĺňajú. </t>
  </si>
  <si>
    <t>T5a_V1</t>
  </si>
  <si>
    <t>T6a_V1</t>
  </si>
  <si>
    <t>T3_R21_SA (SC) = T4_R1_SA (SB),
T3_R22_SA (SC) = T4_R7_SA (SB)</t>
  </si>
  <si>
    <t>T4_R1_SA (SB) = T3_R21_SA (SC),
T4_R7_SA (SB) = T3_R22_SA (SC) 
T4_R15_SA (SB) =   T13_R9_SE (SF)</t>
  </si>
  <si>
    <t>Údaje v T4 sú kontrolované na údaje z T3, a to na výnosy z hlavnej činnosti - školné (T3_R21), poplatky spojené so štúdiom (T3_R22). 
Údaj  v R15 - návrh na prídel do štipendijného fondu musí byť minimálne vo výške vykazovanom na riadku R10 - základ pre prídel do štipendijného fondu.</t>
  </si>
  <si>
    <t>T13_R9_SF = T4_R15_SB</t>
  </si>
  <si>
    <t>Súvzťažnosť tvorby štipendijného fondu z výnosov zo školného v T13_R9_SF na T4_R15_SB.</t>
  </si>
  <si>
    <t>V prípade, že časť dotácie škola posúva na zmluvné zariadenia, uveďe to do poznámky pod tabuľkou.</t>
  </si>
  <si>
    <t>T21_R1_SA + T11_R10_SB -T5_R85_SC = T21_R1_SG</t>
  </si>
  <si>
    <r>
      <t xml:space="preserve">Krytie fondu finančnými prostriedkami na osobitnom bankovom účte </t>
    </r>
    <r>
      <rPr>
        <vertAlign val="superscript"/>
        <sz val="12"/>
        <rFont val="Times New Roman"/>
        <family val="1"/>
        <charset val="238"/>
      </rPr>
      <t xml:space="preserve">3) </t>
    </r>
    <r>
      <rPr>
        <sz val="11"/>
        <rFont val="Times New Roman"/>
        <family val="1"/>
        <charset val="238"/>
      </rPr>
      <t>k 31.12.</t>
    </r>
  </si>
  <si>
    <t>Fondy VVŠ</t>
  </si>
  <si>
    <t xml:space="preserve">Nevyčerpaná účelová dotácia (+) / nedoplatok účelovej dotácie (-) za rok 2014 </t>
  </si>
  <si>
    <t>v januári  2016 za december 2015</t>
  </si>
  <si>
    <t xml:space="preserve"> na miestach pridelených MŠVVaŠ SR
pred 1.9. 2012</t>
  </si>
  <si>
    <t>uvádzajú sa len štipendiá vyplatené z vlastných zdrojov, v CRŠ kód 9</t>
  </si>
  <si>
    <r>
      <t xml:space="preserve">3) uvádzajú sa </t>
    </r>
    <r>
      <rPr>
        <b/>
        <sz val="11"/>
        <rFont val="Times New Roman"/>
        <family val="1"/>
        <charset val="238"/>
      </rPr>
      <t>jedlá vydané študentom len vo vlastnej jedálni</t>
    </r>
    <r>
      <rPr>
        <sz val="11"/>
        <rFont val="Times New Roman"/>
        <family val="1"/>
        <charset val="238"/>
      </rPr>
      <t>, na ktoré sa poskytuje dotácia</t>
    </r>
  </si>
  <si>
    <t>- počet vydaných jedál študentom vo vlastných stravovacích zariadeniach3)</t>
  </si>
  <si>
    <t>z toho PČ (jednou sumou z R15,SG)</t>
  </si>
  <si>
    <t>Tabuľka č. 17: Príjmy verejnej vysokej školy z prostriedkov EÚ a z prostriedkov na ich spolufinancovanie 
zo štátneho rozpočtu z kapitoly MŠVVaŠ SR a z iných kapitol štátneho rozpočtu v roku 2015</t>
  </si>
  <si>
    <t>Tabuľka č. 16: Štruktúra a stav finančných prostriedkov na bankových účtoch verejnej vysokej školy
   k 31. decembru 2015</t>
  </si>
  <si>
    <t>Tabuľka č. 13: Stav a vývoj finančných fondov verejnej vysokej školy v rokoch 2014 a 2015</t>
  </si>
  <si>
    <t>Tabuľka č. 12: Výdavky verejnej vysokej školy na obstaranie a technické zhodnotenie dlhodobého majetku v roku 2015</t>
  </si>
  <si>
    <t>Stav účtu k 31.12.2015</t>
  </si>
  <si>
    <t>Tabuľka č. 11: Zdroje verejnej vysokej školy na obstaranie a technické zhodnotenie dlhodobého  majetku v rokoch 2014 a 2015</t>
  </si>
  <si>
    <r>
      <t xml:space="preserve">  - náklady na časť štipendia prevyšujúce 9. platovú triedu a 1. platový stupeň   </t>
    </r>
    <r>
      <rPr>
        <i/>
        <sz val="12"/>
        <rFont val="Times New Roman"/>
        <family val="1"/>
        <charset val="238"/>
      </rPr>
      <t>(kód 16)</t>
    </r>
  </si>
  <si>
    <r>
      <t xml:space="preserve">  - náklady na časť štipendia prevyšujúce 10. platovú triedu a 1. platový stupeň </t>
    </r>
    <r>
      <rPr>
        <i/>
        <sz val="12"/>
        <rFont val="Times New Roman"/>
        <family val="1"/>
        <charset val="238"/>
      </rPr>
      <t xml:space="preserve"> (kód 16)</t>
    </r>
  </si>
  <si>
    <t xml:space="preserve">Tabuľka č. 7: Náklady verejnej vysokej školy na štipendiá interných doktorandov v roku 2015 </t>
  </si>
  <si>
    <t xml:space="preserve">Tabuľka č. 19: Štipendiá z vlastných zdrojov podľa § 97 zákona v rokoch 2014 a 2015 </t>
  </si>
  <si>
    <t xml:space="preserve">Tabuľka č. 20: Motivačné štipendiá  v rokoch 2014 a 2015 (v zmysle § 96a  zákona )  </t>
  </si>
  <si>
    <r>
      <t>Nevyčerpaná dotácia (+) / nedoplatok dotácie (-) k 31. 12. kalendárneho roka</t>
    </r>
    <r>
      <rPr>
        <b/>
        <vertAlign val="superscript"/>
        <sz val="12"/>
        <rFont val="Times New Roman"/>
        <family val="1"/>
        <charset val="238"/>
      </rPr>
      <t xml:space="preserve">1) </t>
    </r>
    <r>
      <rPr>
        <b/>
        <sz val="12"/>
        <rFont val="Times New Roman"/>
        <family val="1"/>
        <charset val="238"/>
      </rPr>
      <t xml:space="preserve">  [R1+R2-R3]                       </t>
    </r>
  </si>
  <si>
    <t>T16_R18_SB = výkazníctvo, súvaha, časť Aktíva, riadok 053,</t>
  </si>
  <si>
    <t>T11_R2_SA (SB) = T13_R2_SC (SD)</t>
  </si>
  <si>
    <t>T1 = dotačná zmluva na 2015</t>
  </si>
  <si>
    <t>Stav štipendijného fondu k 31. 12. uvedený v R12_SF nemá byť nižší ako súčet zostatku nevyčerpanej dotácie na sociálne štipendiá v T8_R6_SC a na motivačné štipendiá v T20_R4_(SB).</t>
  </si>
  <si>
    <t>T13_R12_SF ≥T8_R6_SC + T20_R4_(SB)</t>
  </si>
  <si>
    <t>Ak položke požadovanej v tabuľke zodpovedá podľa predpísanej analytickej evidencie na príslušnom syntetickom  účte  nejaký špecifikcký kód (napríklad kód ekonomickej klasifikácie), uvedie sa tento kód za názvom položky.</t>
  </si>
  <si>
    <t>Tabuľka č. 7 poskytuje informácie o  počte interných doktorandov, o nákladoch vysokej školy na štipendiá doktorandov a o ich krytí výnosmi.</t>
  </si>
  <si>
    <r>
      <t xml:space="preserve">Uvedie sa nevyčerpaná účelová dotácia (+) resp. nedoplatok účelovej dotácie (-) na štipendiá  doktorandov za rok 2015. Nevyčerpaná účelová dotácia znamená, že vysoká škola obdržala vyššiu dotáciu ako boli jej náklady na štipendiá doktorandov </t>
    </r>
    <r>
      <rPr>
        <b/>
        <sz val="12"/>
        <rFont val="Times New Roman"/>
        <family val="1"/>
        <charset val="238"/>
      </rPr>
      <t>(podľa stavu v CRŠ)</t>
    </r>
    <r>
      <rPr>
        <sz val="12"/>
        <rFont val="Times New Roman"/>
        <family val="1"/>
        <charset val="238"/>
      </rPr>
      <t xml:space="preserve">, vrátane výplaty štipendií v januári 2016 za december 2015. </t>
    </r>
    <r>
      <rPr>
        <b/>
        <sz val="12"/>
        <rFont val="Times New Roman"/>
        <family val="1"/>
        <charset val="238"/>
      </rPr>
      <t>Nevyčerpaná účelová dotácia z roku 2015 bude zúčtovaná v roku 2016.</t>
    </r>
  </si>
  <si>
    <r>
      <t xml:space="preserve">V stĺpci A škola  uvedie náklady na štipendiá doktorandov, ktoré mala na doktorandov na miestach pridelených ministerstvom  </t>
    </r>
    <r>
      <rPr>
        <u/>
        <sz val="12"/>
        <rFont val="Times New Roman"/>
        <family val="1"/>
        <charset val="238"/>
      </rPr>
      <t>z</t>
    </r>
    <r>
      <rPr>
        <sz val="12"/>
        <rFont val="Times New Roman"/>
        <family val="1"/>
        <charset val="238"/>
      </rPr>
      <t xml:space="preserve"> </t>
    </r>
    <r>
      <rPr>
        <u/>
        <sz val="12"/>
        <rFont val="Times New Roman"/>
        <family val="1"/>
        <charset val="238"/>
      </rPr>
      <t>účelovej</t>
    </r>
    <r>
      <rPr>
        <sz val="12"/>
        <rFont val="Times New Roman"/>
        <family val="1"/>
        <charset val="238"/>
      </rPr>
      <t xml:space="preserve"> dotácie. </t>
    </r>
  </si>
  <si>
    <t>V stĺpci SA, resp. SC sa uvedú výdavky z dotácie na sociálne štipendiá poskytnuté študentom v danom kalendárnom roku, uvedené v Centrálnom registri študentov pod kódom 1.</t>
  </si>
  <si>
    <t>Uvedie sa objem prijatej kapitálovej dotácie z prostriedkov EÚ vrátane spolufinancovania (účet 346005 – 346008 strana DAL,  napr. zdroje 11S1, 11S2, 11T1, 11T2, (všetky zdroje EŠF na ktorých VVŠ účtuje, aj všetky analytické účty) okrem 11E1, 11E3 a 121 – viď riadok 13)</t>
  </si>
  <si>
    <t>T13_SG(SH) uvádzajte tvorbu fondu podľa §16a bod d) zákona 131/2002 Z.z.,  t.j. fondu na podporu štúdia študentov so špecifickými potrebami</t>
  </si>
  <si>
    <t>V tomto riadku uvádzajte len čerpanie sociálnych štipendií a motivačných štipendií z dotácie a z vlastných zdrojov. Táto hodnota musí byť započítaná v tvorbe fondu a tiež uvedená v T19_R1.</t>
  </si>
  <si>
    <t>Stavy na devízových účtoch je potrebné uvádzať v eurách.</t>
  </si>
  <si>
    <t>Tabuľka č.19 poskytuje informácie o objeme a štruktúre mot. štipendií  vyplácaných verejnou vysokou školou z vlastných zdrojov uvedených v Centrálnom registri študentov s kódom 9.</t>
  </si>
  <si>
    <t>V stĺpci SB sa uvedú príjmy z dotácie na mot. štipendiá poskytnuté študentom v danom kalendárnom roku, uvedené v Centrálnom registri študentov s kódom 19.
V stĺpci SC sa uvedú príjmy z dotácie na mot. štipendiá poskytnuté študentom v danom kalendárnom roku, uvedené v Centrálnom registri študentov s kódmi 4, 5, 6, 7, 8.</t>
  </si>
  <si>
    <t>V stĺpci SB sa uvedú výdavky z dotácie na mot. štipendiá poskytnuté študentom v danom kalendárnom roku, uvedené v Centrálnom registri študentov s kódom 19.
V stĺpci SC sa uvedú výdavky z dotácie na mot. štipendiá poskytnuté študentom v danom kalendárnom roku, uvedené v Centrálnom registri študentov s kódmi 4, 5, 6, 7, 8.</t>
  </si>
  <si>
    <r>
      <t>Tabuľka č. 23 poskytuje informácie o výkaze ziskov a strát sumár za VVŠ za oblasť sociálnej podpory študentov</t>
    </r>
    <r>
      <rPr>
        <sz val="12"/>
        <rFont val="Times New Roman"/>
        <family val="1"/>
        <charset val="238"/>
      </rPr>
      <t xml:space="preserve">  časť</t>
    </r>
    <r>
      <rPr>
        <b/>
        <sz val="12"/>
        <rFont val="Times New Roman"/>
        <family val="1"/>
        <charset val="238"/>
      </rPr>
      <t xml:space="preserve"> "Náklady".</t>
    </r>
    <r>
      <rPr>
        <sz val="12"/>
        <rFont val="Times New Roman"/>
        <family val="1"/>
        <charset val="238"/>
      </rPr>
      <t xml:space="preserve"> Údaje sa uvádzajú s presnosťou na dve desatinné miesta.</t>
    </r>
  </si>
  <si>
    <t>T3a_V</t>
  </si>
  <si>
    <t>motivačné štipendiá podľa § 96a</t>
  </si>
  <si>
    <t>2) uvádzajú sa len motivačné štipendiá vyplatené podľa § 96a, ods.1, písm. a) (kód CRŠ 19)</t>
  </si>
  <si>
    <t>3) uvádzajú sa len motivačné štipendiá vyplatené podľa § 96a, ods.1, písm. b) (kódy v  CRŠ: 4, 5, 6, 7, 8)</t>
  </si>
  <si>
    <r>
      <rPr>
        <b/>
        <sz val="12"/>
        <rFont val="Times New Roman"/>
        <family val="1"/>
        <charset val="238"/>
      </rPr>
      <t>B</t>
    </r>
    <r>
      <rPr>
        <vertAlign val="superscript"/>
        <sz val="12"/>
        <rFont val="Times New Roman"/>
        <family val="1"/>
        <charset val="238"/>
      </rPr>
      <t>2)</t>
    </r>
  </si>
  <si>
    <r>
      <t>C</t>
    </r>
    <r>
      <rPr>
        <vertAlign val="superscript"/>
        <sz val="12"/>
        <rFont val="Times New Roman"/>
        <family val="1"/>
        <charset val="238"/>
      </rPr>
      <t>3)</t>
    </r>
  </si>
  <si>
    <r>
      <t xml:space="preserve">mot. štipendiá podľa 
§ 96a, ods.1, písm. a)
</t>
    </r>
    <r>
      <rPr>
        <b/>
        <sz val="12"/>
        <rFont val="Times New Roman"/>
        <family val="1"/>
        <charset val="238"/>
      </rPr>
      <t>(kód v CRŠ: 19)</t>
    </r>
  </si>
  <si>
    <r>
      <t xml:space="preserve">mot. štipendiá podľa 
§ 96a, ods.1, písm. b)
</t>
    </r>
    <r>
      <rPr>
        <b/>
        <sz val="12"/>
        <rFont val="Times New Roman"/>
        <family val="1"/>
        <charset val="238"/>
      </rPr>
      <t>(kódy v  CRŠ: 4, 5, 6, 7, 8)</t>
    </r>
  </si>
  <si>
    <t xml:space="preserve"> - za cudzojazyčné štúdium dennou formou (§ 92 ods. 8 a 9) (649 002, 649 023)</t>
  </si>
  <si>
    <t xml:space="preserve">- školné  (účet 649 001, 649 002, 649 020, 649 023, 649 026)                                                     </t>
  </si>
  <si>
    <t>- za súbežné štúdium v dennej forme  (§ 92 ods. 5, 649 026)</t>
  </si>
  <si>
    <t>Výpočet</t>
  </si>
  <si>
    <t>Priemerné platy mužov</t>
  </si>
  <si>
    <t>Priemerné platy žien</t>
  </si>
  <si>
    <r>
      <t>Počet</t>
    </r>
    <r>
      <rPr>
        <b/>
        <sz val="12"/>
        <rFont val="Times New Roman"/>
        <family val="1"/>
        <charset val="238"/>
      </rPr>
      <t xml:space="preserve"> žien</t>
    </r>
    <r>
      <rPr>
        <b/>
        <sz val="12"/>
        <rFont val="Times New Roman"/>
        <family val="1"/>
      </rPr>
      <t xml:space="preserve"> platených z prostriedkov štátneho rozpočtu</t>
    </r>
  </si>
  <si>
    <r>
      <t>Ženy</t>
    </r>
    <r>
      <rPr>
        <b/>
        <sz val="12"/>
        <rFont val="Times New Roman"/>
        <family val="1"/>
      </rPr>
      <t xml:space="preserve"> platené z dotácie MŠVVaŠ SR</t>
    </r>
  </si>
  <si>
    <r>
      <t xml:space="preserve">Počet </t>
    </r>
    <r>
      <rPr>
        <b/>
        <sz val="12"/>
        <rFont val="Times New Roman"/>
        <family val="1"/>
        <charset val="238"/>
      </rPr>
      <t>žien</t>
    </r>
    <r>
      <rPr>
        <b/>
        <sz val="12"/>
        <rFont val="Times New Roman"/>
        <family val="1"/>
      </rPr>
      <t xml:space="preserve"> platených z iných zdrojov</t>
    </r>
  </si>
  <si>
    <r>
      <t xml:space="preserve">Počet </t>
    </r>
    <r>
      <rPr>
        <b/>
        <sz val="12"/>
        <rFont val="Times New Roman"/>
        <family val="1"/>
        <charset val="238"/>
      </rPr>
      <t>žien</t>
    </r>
    <r>
      <rPr>
        <b/>
        <sz val="12"/>
        <rFont val="Times New Roman"/>
        <family val="1"/>
      </rPr>
      <t xml:space="preserve"> spolu</t>
    </r>
  </si>
  <si>
    <t>L= G+H+I+J+K</t>
  </si>
  <si>
    <t>T5a_V</t>
  </si>
  <si>
    <t>*) v roku 2015 požadujeme poplatky za vydanie dokladov podľa § 92 ods. 15 zákona rozčleniť do 3 analytík, tak ako je uvedené v R11, R12, R13</t>
  </si>
  <si>
    <t xml:space="preserve">Názov verejnej vysokej školy:   UPJŠ v Košiciach, Šrobárova 2
Názov fakulty:  </t>
  </si>
  <si>
    <t xml:space="preserve">Názov verejnej vysokej školy:   UPJŠ v Košiciach, Šrobárova 2
Názov fakulty: </t>
  </si>
  <si>
    <t xml:space="preserve">Názov verejnej vysokej školy:   UPJŠ v Košiciach, Šrobárova 2
Názov fakulty:   </t>
  </si>
  <si>
    <t xml:space="preserve">Názov verejnej vysokej školy: UPJŠ v Košiciach, Šrobárova 2
Názov fakulty:  </t>
  </si>
  <si>
    <t xml:space="preserve">Názov verejnej vysokej školy:  UPJŠ v Košiciach, Šrobárova 2
Názov fakulty:  </t>
  </si>
  <si>
    <t xml:space="preserve">Názov verejnej vysokej školy:  UPJŠ v Košiciach ,Šrobárova 2
Názov fakulty:  </t>
  </si>
  <si>
    <t>Názov verejnej vysokej školy: UPJŠ v Košiciach, Šrobárova 2
Názov fakulty:</t>
  </si>
  <si>
    <t>Názov verejnej vysokej školy: UPJŠ v Košiciach, Šrobárova 2</t>
  </si>
  <si>
    <t>Názov verejnej vysokej školy:  UPJŠ v Košiciach, Šrobárova 2</t>
  </si>
  <si>
    <t xml:space="preserve">Názov verejnej vysokej školy: UPJŠ v Košiciach, Šrobárova 2
Názov fakulty: </t>
  </si>
  <si>
    <t>MK SR pre Univerzitnú knižnicu</t>
  </si>
  <si>
    <t>MZ SR projekt Rezident</t>
  </si>
  <si>
    <t>1c</t>
  </si>
  <si>
    <t>APVV pre spoluriešiteľov</t>
  </si>
  <si>
    <t>1d</t>
  </si>
  <si>
    <t>STU Bratislava- NMR zmluva o spolupráci</t>
  </si>
  <si>
    <t>Višehradský fond</t>
  </si>
  <si>
    <t>príspevok od mesta Košice na Univerzutu bez hraníc</t>
  </si>
  <si>
    <t>príspevok od SAV na Botanikiádu</t>
  </si>
  <si>
    <t>Sophie-Agencia de Salut Barcelona</t>
  </si>
  <si>
    <t>Univ.Medisch centrum Groningen</t>
  </si>
  <si>
    <t>4c</t>
  </si>
  <si>
    <t>Masarykova univerzita Brno Erasmus</t>
  </si>
  <si>
    <t>4d</t>
  </si>
  <si>
    <t>World Healt Organisat Geneve</t>
  </si>
  <si>
    <t>4e</t>
  </si>
  <si>
    <t>4f</t>
  </si>
  <si>
    <t>FP-7 CELIM prof.Miškovský</t>
  </si>
  <si>
    <t>7.RP Dublin University projekt SAILS doc.Kireš</t>
  </si>
  <si>
    <t>4g</t>
  </si>
  <si>
    <t>4h</t>
  </si>
  <si>
    <t xml:space="preserve">7.RP Martin Luther univ. Halle projekt Erasmus+acr.SciVis </t>
  </si>
  <si>
    <t>7.RP Martin Luther univ. Halle projekt SciCamp</t>
  </si>
  <si>
    <t>4i</t>
  </si>
  <si>
    <t>4j</t>
  </si>
  <si>
    <t>4k</t>
  </si>
  <si>
    <t>4l</t>
  </si>
  <si>
    <t>4m</t>
  </si>
  <si>
    <t>Socrates</t>
  </si>
  <si>
    <t>Erasmus</t>
  </si>
  <si>
    <t xml:space="preserve">Erasmus+ projekt KoWist Hochschule für Angewandte Wissenschaften, Nemecko.
</t>
  </si>
  <si>
    <t>projekt 526773-LLP-1-2014241 UK ERASMUS of Oxford</t>
  </si>
  <si>
    <t>Universitet Bremen projekt SNIPE</t>
  </si>
  <si>
    <t>SK6581800000007000241949 Dotačný účet LF, SK7481800000007000241690 Dotačný účet PF, SK7081800000007000241762 Dotačný účet Práv.F, SK9581800000007000241797 Dotačný účet FVS, SK4881800000007000241770 Dotačný účet R</t>
  </si>
  <si>
    <t>SK7981800000007000137519 Zostatkový účet LF, SK5781800000007000137527 Zostatkový účet PF,  SK1081800000007000137500 Zost.dot.Práv.F, SK1381800000007000137543 Zost.dot.FVS, SK3581800000007000137535 Zost.dot.R</t>
  </si>
  <si>
    <t>SK6881800000007000152655 Distribučný účet, R</t>
  </si>
  <si>
    <t xml:space="preserve">SK7381800000007000078360 BUN LF,
SK2881800000007000078491BUN PF KE, 
SK6981800000007000078432 BUN Práv.F KE, 
SK5881800000007000086002 BUN FVS KE, 
SK6481800000007000074351BUN R UPJŠ
</t>
  </si>
  <si>
    <t>SK3681800000007000436471 BU Cardpay HČ ŠJ</t>
  </si>
  <si>
    <t xml:space="preserve">SK4581800000007000078379 ŠF LF, 
SK6581800000007000078504 ŠF PF KE, 
SK4781800000007000078440 ŠF Právn.F KE, 
SK8381800000007000086037 ŠF FVS KE, 
SK8081800000007000252349 ŠF Rekt.UPJŠ KE
</t>
  </si>
  <si>
    <t xml:space="preserve">SK1681800000007000078416 PČ LF, 
SK6881800000007000078547 PČ PF, 
SK5081800000007000078483 PČ Práv.F, 
SK3981800000007000086053 PČ FVS, 
SK1181800000007000074335 PČ R UPJŠ
</t>
  </si>
  <si>
    <t xml:space="preserve">SK9881800000007000078395 SF LF KE, 
SK2181800000007000078520 SF PF KE, 
SK9481800000007000078467 SF PrávF KE,
SK0881800000007000086029 SFFVS KE, 
SK8681800000007000074343 SF UPJŠ KE
</t>
  </si>
  <si>
    <t>SK3681800000007000252365 BU F.Repr.Rekt. UPJŠ</t>
  </si>
  <si>
    <t>SK1581800000007000467307 Zábezpeka,R</t>
  </si>
  <si>
    <t>SK1481800000007000535904 Erasmus + acr.SciVis,
SK44 81800000007000540893 Commenius SciCamp,
SK3881800000007000440315 7RP SAILS,
SK9881800000007000464261 CELIM, 
SK1281800000007000371719 MonInterFluoProt , 
SK3081800000007000373335 Establish
SK68 8180 0000 0070 0054 7833 BU H2020-ALT, PF UPJŠ</t>
  </si>
  <si>
    <t xml:space="preserve">SK918100000007000078424 Devízový -USD LF,
</t>
  </si>
  <si>
    <t xml:space="preserve">SK2381800000007000078387 Dary a granty LF,
SK4381800000007000078512 Dary a granty PF,
SK1981800000007000078459 Dary a granty PrávF,
SK3681800000007000086010 Dary a granty FVS, 
SK5481800000007000099751 Dary a granty R, 
SK1081800000007000439752 AŠF EU CEX Cezis,
SK1981800000007000406125 ESF CEX Biomed LF,
SK7981800000007000358776 BÚ-MVP CCV, PF, 
SK8281800000007000368034 ESF Doktorand, pf, 
SK0781800000007000368026 ESF MoVeS,FVS,
SK3681800000007000386419 AŠF EU MŠ SR Probio, 
SK6281800000007000455015 AŠF  KVARK, PF, 
SK8681800000007000454389 AŠF IRES, PF, 
SK2681800000007000464296 ESF SOFOS, PF, 
SK2981800000007000476270 RIFIV, PF, 
SK9581800000007000467710 BU Technikom, UPJŠ KE,
SK7781800000007000470362 Medipark, 
SK34818000000070000214959 Devízový -EUR FVS
SK0581800000007000497848 AŠF EU MŠ SR Platon,
SK3281800000007000388916 BU Mikromatel, 
SK8981800000007000074386 Socrates, R
</t>
  </si>
  <si>
    <t xml:space="preserve">Názov verejnej vysokej školy:  UPJŠ v Košiciach
Názov fakulty:  </t>
  </si>
  <si>
    <t>Botanická záhrada</t>
  </si>
  <si>
    <r>
      <t>T21_R1_</t>
    </r>
    <r>
      <rPr>
        <b/>
        <sz val="12"/>
        <rFont val="Times New Roman"/>
        <family val="1"/>
        <charset val="238"/>
      </rPr>
      <t>SA</t>
    </r>
    <r>
      <rPr>
        <sz val="12"/>
        <rFont val="Times New Roman"/>
        <family val="1"/>
        <charset val="238"/>
      </rPr>
      <t xml:space="preserve"> + T11_R10_SB - T5_R85_SC = T21_R1_</t>
    </r>
    <r>
      <rPr>
        <b/>
        <sz val="12"/>
        <rFont val="Times New Roman"/>
        <family val="1"/>
        <charset val="238"/>
      </rPr>
      <t>SG</t>
    </r>
  </si>
  <si>
    <r>
      <t>T21_R1_</t>
    </r>
    <r>
      <rPr>
        <b/>
        <sz val="12"/>
        <rFont val="Times New Roman"/>
        <family val="1"/>
        <charset val="238"/>
      </rPr>
      <t>SB</t>
    </r>
    <r>
      <rPr>
        <sz val="12"/>
        <rFont val="Times New Roman"/>
        <family val="1"/>
        <charset val="238"/>
      </rPr>
      <t xml:space="preserve"> + T11_R10a_SB - T5_R86a_SC = T21_R1_</t>
    </r>
    <r>
      <rPr>
        <b/>
        <sz val="12"/>
        <rFont val="Times New Roman"/>
        <family val="1"/>
        <charset val="238"/>
      </rPr>
      <t>SH</t>
    </r>
  </si>
  <si>
    <t xml:space="preserve">poznámka : údaj v  R1_SC je oproti údajom z CRŠ kod 1 nižší o hodnotu 580,00 € z dôvodu vratiek neoprávnene vyplatených sociálnych štipendií za rok 2014, ktoré v CRŠ v roku 2015 nie je možné zadať. </t>
  </si>
  <si>
    <t>pozn.1): rozdiel medzi údajom, vykazovaným v stĺpci T6_R18_SH a údajom v T5_R56_(SC+SD) tvorí rozdiel výšky tvorby rezervy na nevyčerpanú dovolenku za rok 2015 a čerpanou rezervou z roku 2014 v celkovej čiastke 4 586,26 €.</t>
  </si>
  <si>
    <t xml:space="preserve">R4_SD vykazuje rozdiel voči T5_R86_SC+SD vo výške 196 099,00 € nakoľko je v T5_R86_SC+SD zahrnutý aj odpis majetku obstaraného z kapitálovej dotácie zo zahraničných projektov  (účet HK 384130) a darovaného majetku účtovaný
 na účte HK 551400  (prostredníctvom účtu HK 384009) avšak podľa Metodiky sa z takého odpisu netvorí fond reprodukcie. </t>
  </si>
  <si>
    <t>OK, Sev.</t>
  </si>
  <si>
    <t>OK, Pejk.</t>
  </si>
  <si>
    <t xml:space="preserve">V R3_SC = motivačné štipendium vo výške 300,00 Eur (100 €x3) sme nahrali do CRŠ 11.4.2016. </t>
  </si>
  <si>
    <t>Poznámka: Rozdiel oproti výkazníctvu predstavujú transféry v čiastke  7 053 330,42 Eur, a to: verejnej vysokej škole na podpoložke 721003 v čiastke 6 746 117,72 Eur  a rozpočtovej organizácii na finančnej podpoložke 721002  v čiastke 307 212,70 Eur. Transféry boli v roku  2015  realizované z dôvodu spoločného riešenia projektu Medipark, financovaného z prostriedkov EÚ.</t>
  </si>
  <si>
    <t>- ostatné výnosy (účty 649 012, 649 018-019, 649 021-022, 649 024-025, 649 098 - 099)+670</t>
  </si>
  <si>
    <t xml:space="preserve"> - ostatné iné náklady (účet 549 098, 549 099, 549 013, 549 599)+570</t>
  </si>
  <si>
    <t>Hlavná nezdaňovaná činnosť</t>
  </si>
  <si>
    <t>Zdaňovaná činnosť</t>
  </si>
  <si>
    <t>Stav k 31. 12. 2014</t>
  </si>
  <si>
    <t>Stav k 31. 12. 2015</t>
  </si>
  <si>
    <t>V R1_SG je zohľadnená vratka KD v sume 298,08 €</t>
  </si>
  <si>
    <t>V R1_SH je zohľadnená vratka KD v sume 34 334,28 € a prevod partnerom SAV a TUKE v sume 7 053 330,42 €</t>
  </si>
  <si>
    <r>
      <t xml:space="preserve">Tabuľka č. 21: Štruktúra účtu 384 </t>
    </r>
    <r>
      <rPr>
        <b/>
        <i/>
        <sz val="14"/>
        <rFont val="Times New Roman"/>
        <family val="1"/>
        <charset val="238"/>
      </rPr>
      <t xml:space="preserve">- </t>
    </r>
    <r>
      <rPr>
        <b/>
        <sz val="14"/>
        <rFont val="Times New Roman"/>
        <family val="1"/>
        <charset val="238"/>
      </rPr>
      <t>výnosy budúcich období</t>
    </r>
    <r>
      <rPr>
        <b/>
        <i/>
        <sz val="14"/>
        <rFont val="Times New Roman"/>
        <family val="1"/>
        <charset val="238"/>
      </rPr>
      <t xml:space="preserve"> </t>
    </r>
    <r>
      <rPr>
        <b/>
        <sz val="14"/>
        <rFont val="Times New Roman"/>
        <family val="1"/>
        <charset val="238"/>
      </rPr>
      <t xml:space="preserve">v rokoch 2014 a 2015 </t>
    </r>
  </si>
  <si>
    <r>
      <t xml:space="preserve">Zvyšok prijatej kapitálovej dotácie </t>
    </r>
    <r>
      <rPr>
        <b/>
        <sz val="10"/>
        <rFont val="Times New Roman"/>
        <family val="1"/>
        <charset val="238"/>
      </rPr>
      <t>z prostriedkov EÚ (štrukturálnych fondov)</t>
    </r>
    <r>
      <rPr>
        <b/>
        <sz val="12"/>
        <rFont val="Times New Roman"/>
        <family val="1"/>
        <charset val="238"/>
      </rPr>
      <t xml:space="preserve"> používanej na kompenzáciu odpisov majetku z nej obstaraného</t>
    </r>
  </si>
  <si>
    <t xml:space="preserve">Tabuľka č. 22: Výnosy verejnej vysokej školy v roku 2015 v oblasti sociálnej podpory študentov </t>
  </si>
  <si>
    <r>
      <t>Výnosy
hlavnej činnosti
2015</t>
    </r>
    <r>
      <rPr>
        <sz val="12"/>
        <rFont val="Times New Roman"/>
        <family val="1"/>
        <charset val="238"/>
      </rPr>
      <t xml:space="preserve"> </t>
    </r>
  </si>
  <si>
    <t xml:space="preserve">Tabuľka č .23:  Náklady verejnej vysokej školy  v roku 2015 v oblasti sociálnej podpory študentov </t>
  </si>
  <si>
    <r>
      <t>Rozdiel 2015-2014</t>
    </r>
    <r>
      <rPr>
        <sz val="12"/>
        <rFont val="Times New Roman"/>
        <family val="1"/>
        <charset val="238"/>
      </rPr>
      <t xml:space="preserve"> </t>
    </r>
  </si>
  <si>
    <r>
      <t>Tabuľka č. 24a: Súvaha k 31. 12. 201</t>
    </r>
    <r>
      <rPr>
        <b/>
        <sz val="14"/>
        <rFont val="Times New Roman"/>
        <family val="1"/>
        <charset val="238"/>
      </rPr>
      <t>5</t>
    </r>
    <r>
      <rPr>
        <b/>
        <sz val="14"/>
        <rFont val="Times New Roman"/>
        <family val="1"/>
      </rPr>
      <t xml:space="preserve"> - Strana aktív 1. časť</t>
    </r>
  </si>
  <si>
    <r>
      <t>Tabuľka č. 24b: Súvaha k 31. 12. 201</t>
    </r>
    <r>
      <rPr>
        <b/>
        <sz val="14"/>
        <rFont val="Times New Roman"/>
        <family val="1"/>
        <charset val="238"/>
      </rPr>
      <t>5</t>
    </r>
    <r>
      <rPr>
        <b/>
        <sz val="14"/>
        <rFont val="Times New Roman"/>
        <family val="1"/>
      </rPr>
      <t xml:space="preserve"> - Strana aktív 2. časť </t>
    </r>
  </si>
  <si>
    <r>
      <t>Tabuľka č. 25: Súvaha k 31.12. 201</t>
    </r>
    <r>
      <rPr>
        <b/>
        <sz val="14"/>
        <rFont val="Times New Roman"/>
        <family val="1"/>
        <charset val="238"/>
      </rPr>
      <t>5</t>
    </r>
    <r>
      <rPr>
        <b/>
        <sz val="14"/>
        <rFont val="Times New Roman"/>
        <family val="1"/>
      </rPr>
      <t xml:space="preserve"> - Strana pasív </t>
    </r>
  </si>
  <si>
    <r>
      <t xml:space="preserve">Štipendiá z vlastných zdrojov vysokej školy (§ 97 zákona) spolu </t>
    </r>
    <r>
      <rPr>
        <sz val="12"/>
        <rFont val="Times New Roman"/>
        <family val="1"/>
      </rPr>
      <t xml:space="preserve">[R2+R5+R8+R11] </t>
    </r>
  </si>
  <si>
    <r>
      <t xml:space="preserve">- prospechové </t>
    </r>
    <r>
      <rPr>
        <sz val="12"/>
        <rFont val="Times New Roman"/>
        <family val="1"/>
      </rPr>
      <t xml:space="preserve">[R3+R4] </t>
    </r>
  </si>
  <si>
    <r>
      <t xml:space="preserve">  - poskytované mesačne </t>
    </r>
    <r>
      <rPr>
        <vertAlign val="superscript"/>
        <sz val="12"/>
        <rFont val="Times New Roman"/>
        <family val="1"/>
      </rPr>
      <t>1)</t>
    </r>
  </si>
  <si>
    <r>
      <t xml:space="preserve">-  za dosiahnutie vynikajúceho výsledku v oblasti štúdia </t>
    </r>
    <r>
      <rPr>
        <sz val="12"/>
        <rFont val="Times New Roman"/>
        <family val="1"/>
      </rPr>
      <t xml:space="preserve">[R6+R7] </t>
    </r>
  </si>
  <si>
    <r>
      <t xml:space="preserve">- za umeleckú alebo športovú činnosť </t>
    </r>
    <r>
      <rPr>
        <sz val="12"/>
        <rFont val="Times New Roman"/>
        <family val="1"/>
      </rPr>
      <t xml:space="preserve">[R9+R10]  </t>
    </r>
    <r>
      <rPr>
        <b/>
        <sz val="12"/>
        <rFont val="Times New Roman"/>
        <family val="1"/>
      </rPr>
      <t xml:space="preserve">                                                     </t>
    </r>
  </si>
  <si>
    <r>
      <t xml:space="preserve">- na sociálnu podporu </t>
    </r>
    <r>
      <rPr>
        <sz val="12"/>
        <rFont val="Times New Roman"/>
        <family val="1"/>
      </rPr>
      <t>[R12+R13]</t>
    </r>
  </si>
  <si>
    <r>
      <t xml:space="preserve">Počet študentov poberajúcich  štipendiá z vlastných zdrojov </t>
    </r>
    <r>
      <rPr>
        <b/>
        <vertAlign val="superscript"/>
        <sz val="12"/>
        <rFont val="Times New Roman"/>
        <family val="1"/>
      </rPr>
      <t>2</t>
    </r>
    <r>
      <rPr>
        <b/>
        <sz val="12"/>
        <rFont val="Times New Roman"/>
        <family val="1"/>
      </rPr>
      <t xml:space="preserve">) </t>
    </r>
  </si>
  <si>
    <r>
      <t xml:space="preserve">Do tabuľky sa uvádzajú aj </t>
    </r>
    <r>
      <rPr>
        <b/>
        <sz val="10"/>
        <rFont val="Times New Roman"/>
        <family val="1"/>
      </rPr>
      <t>motivačné štipendiá doktorandov</t>
    </r>
    <r>
      <rPr>
        <sz val="10"/>
        <rFont val="Times New Roman"/>
        <family val="1"/>
      </rPr>
      <t>, nie však "normálne" štipendiá doktorandov podľa platovej tabuľky!!</t>
    </r>
  </si>
  <si>
    <r>
      <t>Tabuľka č. 18: Príjmy z dotácií verejnej vysokej škole zo štátneho rozpočtu z kapitoly MŠVVaŠ SR 
poskytnuté mimo programu 077 a mimo príjmov z prostriedkov EÚ (zo štrukturálnych fondov) v roku 2015</t>
    </r>
    <r>
      <rPr>
        <sz val="14"/>
        <rFont val="Times New Roman"/>
        <family val="1"/>
        <charset val="238"/>
      </rPr>
      <t xml:space="preserve"> 
</t>
    </r>
  </si>
  <si>
    <r>
      <t>Spolu</t>
    </r>
    <r>
      <rPr>
        <sz val="12"/>
        <rFont val="Times New Roman"/>
        <family val="1"/>
        <charset val="238"/>
      </rPr>
      <t xml:space="preserve"> [R1+R6+R7+R8]</t>
    </r>
  </si>
  <si>
    <t>zdroj 11S  + 13S spolu</t>
  </si>
  <si>
    <r>
      <t xml:space="preserve">zdroj 11S1; </t>
    </r>
    <r>
      <rPr>
        <b/>
        <sz val="12"/>
        <rFont val="Times New Roman"/>
        <family val="1"/>
      </rPr>
      <t>13S1</t>
    </r>
  </si>
  <si>
    <r>
      <t xml:space="preserve">zdroj 11S2; </t>
    </r>
    <r>
      <rPr>
        <b/>
        <sz val="12"/>
        <rFont val="Times New Roman"/>
        <family val="1"/>
      </rPr>
      <t>13S2</t>
    </r>
  </si>
  <si>
    <t>zdroj 11T  + 13T spolu</t>
  </si>
  <si>
    <r>
      <t xml:space="preserve">zdroj 11T1; </t>
    </r>
    <r>
      <rPr>
        <b/>
        <sz val="12"/>
        <rFont val="Times New Roman"/>
        <family val="1"/>
      </rPr>
      <t>13T1</t>
    </r>
  </si>
  <si>
    <r>
      <t xml:space="preserve">zdroj 11T2; </t>
    </r>
    <r>
      <rPr>
        <b/>
        <sz val="12"/>
        <rFont val="Times New Roman"/>
        <family val="1"/>
      </rPr>
      <t>13T2</t>
    </r>
  </si>
  <si>
    <r>
      <t xml:space="preserve">Dotácie z kapitoly MŠVVaŠ SR spolu </t>
    </r>
    <r>
      <rPr>
        <sz val="12"/>
        <rFont val="Times New Roman"/>
        <family val="1"/>
      </rPr>
      <t>[R1+R4]</t>
    </r>
  </si>
  <si>
    <r>
      <t xml:space="preserve">Dotácie z iných kapitol spolu </t>
    </r>
    <r>
      <rPr>
        <sz val="12"/>
        <rFont val="Times New Roman"/>
        <family val="1"/>
      </rPr>
      <t>[SUM(R9:Ra...)]</t>
    </r>
  </si>
  <si>
    <r>
      <t>Dotácie z prostriedkov EÚ spolu</t>
    </r>
    <r>
      <rPr>
        <sz val="12"/>
        <rFont val="Times New Roman"/>
        <family val="1"/>
      </rPr>
      <t xml:space="preserve"> [R7+R8]</t>
    </r>
  </si>
  <si>
    <r>
      <t xml:space="preserve">Čerpanie kapitálovej dotácie v roku 2015
</t>
    </r>
    <r>
      <rPr>
        <b/>
        <sz val="11"/>
        <rFont val="Times New Roman"/>
        <family val="1"/>
      </rPr>
      <t>z prostriedkov EÚ (štrukturálnych fondov)</t>
    </r>
  </si>
  <si>
    <t>Tabuľka č. 8: Údaje o systéme sociálnej podpory - časť  sociálne štipendiá  (§ 96 zákona) 
za roky 2014 a 2015</t>
  </si>
  <si>
    <r>
      <t xml:space="preserve">Počet študentov poberajúcich sociálne štipendiá  </t>
    </r>
    <r>
      <rPr>
        <b/>
        <vertAlign val="superscript"/>
        <sz val="14"/>
        <rFont val="Times New Roman"/>
        <family val="1"/>
        <charset val="238"/>
      </rPr>
      <t>2)</t>
    </r>
  </si>
  <si>
    <t>na miestach nepridelených MŠVVaŠ SR do 31.8.2012
 kódy (12 - 17)</t>
  </si>
  <si>
    <t>na miestach nepridelených MŠVVaŠ SR po 1.9.2012 
kódy (12 - 17)</t>
  </si>
  <si>
    <t>z neúčelovej dotácie MŠVVaŠ SR</t>
  </si>
  <si>
    <r>
      <t xml:space="preserve">Náklady na štipendiá interných doktorandov (R2+R5) </t>
    </r>
    <r>
      <rPr>
        <b/>
        <vertAlign val="superscript"/>
        <sz val="12"/>
        <rFont val="Times New Roman"/>
        <family val="1"/>
        <charset val="238"/>
      </rPr>
      <t>1)</t>
    </r>
  </si>
  <si>
    <r>
      <t xml:space="preserve">  - náklady na štipendiá interných doktorandov pred dizertačnou skúškou 
(v zmysle § 54 ods. 18 písm. a) zákona </t>
    </r>
    <r>
      <rPr>
        <u/>
        <sz val="12"/>
        <rFont val="Times New Roman"/>
        <family val="1"/>
        <charset val="238"/>
      </rPr>
      <t>spolu</t>
    </r>
    <r>
      <rPr>
        <sz val="12"/>
        <rFont val="Times New Roman"/>
        <family val="1"/>
        <charset val="238"/>
      </rPr>
      <t xml:space="preserve"> (SUM(R3:R4))</t>
    </r>
  </si>
  <si>
    <r>
      <t xml:space="preserve">  - náklady na štipendiá interných doktorandov po dizertačnej skúške 
(v zmysle § 54 ods. 18 písm. b) zákona</t>
    </r>
    <r>
      <rPr>
        <u/>
        <sz val="12"/>
        <rFont val="Times New Roman"/>
        <family val="1"/>
        <charset val="238"/>
      </rPr>
      <t xml:space="preserve"> spolu</t>
    </r>
    <r>
      <rPr>
        <sz val="12"/>
        <rFont val="Times New Roman"/>
        <family val="1"/>
        <charset val="238"/>
      </rPr>
      <t xml:space="preserve"> (SUM(R6:R7))</t>
    </r>
  </si>
  <si>
    <t>Dotácia na štipendiá doktorandov poskytnutá v rámci dotačnej zmluvy v roku 2015</t>
  </si>
  <si>
    <t xml:space="preserve">Nevyčerpaná účelová dotácia (+) / nedoplatok účelovej dotácie (-) za rok 2015 </t>
  </si>
  <si>
    <t>Počet osobomesiacov za rok 2015</t>
  </si>
  <si>
    <t>1) V prípade, že ešte niektorá VVŠ vypláca doktorandské štipendiá pozadu (ako "mzdy zamestancom"), výška nákladov vykazovaná k 31.12.2015 zohľadnuje aj úhradu štipendií doktorandov, vyplatených</t>
  </si>
  <si>
    <t xml:space="preserve">Kategória zamestnancov - žien
</t>
  </si>
  <si>
    <t>Tabuľka č. 6a: Zamestnanci a náklady na mzdy verejnej vysokej školy v roku 2015   -   len  ženy  a výpočet priemerného platu mužov</t>
  </si>
  <si>
    <r>
      <t xml:space="preserve">Priemerný evidenčný prepočítaný počet </t>
    </r>
    <r>
      <rPr>
        <b/>
        <sz val="12"/>
        <rFont val="Times New Roman"/>
        <family val="1"/>
        <charset val="238"/>
      </rPr>
      <t>žien</t>
    </r>
    <r>
      <rPr>
        <b/>
        <sz val="12"/>
        <rFont val="Times New Roman"/>
        <family val="1"/>
      </rPr>
      <t xml:space="preserve"> za rok 201</t>
    </r>
    <r>
      <rPr>
        <b/>
        <sz val="12"/>
        <rFont val="Times New Roman"/>
        <family val="1"/>
        <charset val="238"/>
      </rPr>
      <t>5</t>
    </r>
  </si>
  <si>
    <r>
      <t xml:space="preserve">Pre účely výpočtu počtu zamestnancov bola použitá metóda </t>
    </r>
    <r>
      <rPr>
        <sz val="12"/>
        <rFont val="Tahoma"/>
        <family val="2"/>
        <charset val="238"/>
      </rPr>
      <t xml:space="preserve">- </t>
    </r>
    <r>
      <rPr>
        <b/>
        <sz val="10"/>
        <rFont val="Tahoma"/>
        <family val="2"/>
        <charset val="238"/>
      </rPr>
      <t>Priemerný evidenčný počet zamestnancov - prepočítaný počet</t>
    </r>
    <r>
      <rPr>
        <sz val="10"/>
        <rFont val="Tahoma"/>
        <family val="2"/>
        <charset val="238"/>
      </rPr>
      <t xml:space="preserve"> - je aritmetickým priemerom denných evidenčných počtov zamestnancov 
za sledované obdobie prepočítaných na plnú zamestnanosť podľa dĺžky pracovných úväzkov zamestnancov, resp. podľa skutočne odpracovaných hodín. U zamestnancov, ktorí vykonávajú v organizácii činnosť v ďalšom pracovnom pomere, sa výpočet priemerného evidenčného počtu zamestnancov prepočítaného na plne zamestnaných skladá z dvoch častí : </t>
    </r>
  </si>
  <si>
    <t>Tabuľka č. 6: Zamestnanci a náklady na mzdy verejnej vysokej školy v roku 2015</t>
  </si>
  <si>
    <r>
      <t>Priemerný evidenčný prepočítaný počet zamestnancov za rok 201</t>
    </r>
    <r>
      <rPr>
        <b/>
        <sz val="12"/>
        <rFont val="Times New Roman"/>
        <family val="1"/>
        <charset val="238"/>
      </rPr>
      <t>5</t>
    </r>
  </si>
  <si>
    <t>Tabuľka č. 5: Náklady verejnej vysokej školy v rokoch 2014 a 2015</t>
  </si>
  <si>
    <r>
      <t>Spotreba materiálu (účet 501)</t>
    </r>
    <r>
      <rPr>
        <sz val="12"/>
        <rFont val="Times New Roman"/>
        <family val="1"/>
        <charset val="238"/>
      </rPr>
      <t xml:space="preserve"> [SUM(R2:R13)]</t>
    </r>
  </si>
  <si>
    <r>
      <t>Spotreba energie (účet 502)</t>
    </r>
    <r>
      <rPr>
        <sz val="12"/>
        <rFont val="Times New Roman"/>
        <family val="1"/>
        <charset val="238"/>
      </rPr>
      <t xml:space="preserve"> [SUM(R15:R20)]</t>
    </r>
  </si>
  <si>
    <r>
      <t>Predaný tovar (účet 504)</t>
    </r>
    <r>
      <rPr>
        <sz val="12"/>
        <rFont val="Times New Roman"/>
        <family val="1"/>
        <charset val="238"/>
      </rPr>
      <t xml:space="preserve"> [SUM(R23:R26)]</t>
    </r>
  </si>
  <si>
    <r>
      <t>Opravy a udržiavanie (účet 511)</t>
    </r>
    <r>
      <rPr>
        <sz val="12"/>
        <rFont val="Times New Roman"/>
        <family val="1"/>
        <charset val="238"/>
      </rPr>
      <t xml:space="preserve"> [SUM(R28:R34)]</t>
    </r>
  </si>
  <si>
    <r>
      <t>Cestovné (účet 512)</t>
    </r>
    <r>
      <rPr>
        <sz val="12"/>
        <rFont val="Times New Roman"/>
        <family val="1"/>
        <charset val="238"/>
      </rPr>
      <t xml:space="preserve"> [SUM(R36:R37)]</t>
    </r>
  </si>
  <si>
    <r>
      <t>Ostatné služby (účet 518)</t>
    </r>
    <r>
      <rPr>
        <sz val="12"/>
        <rFont val="Times New Roman"/>
        <family val="1"/>
        <charset val="238"/>
      </rPr>
      <t xml:space="preserve"> [SUM(R40:R54)]</t>
    </r>
  </si>
  <si>
    <r>
      <t>Mzdové náklady (účet 521)</t>
    </r>
    <r>
      <rPr>
        <sz val="12"/>
        <rFont val="Times New Roman"/>
        <family val="1"/>
        <charset val="238"/>
      </rPr>
      <t xml:space="preserve">  [SUM(R56:R57)]</t>
    </r>
  </si>
  <si>
    <r>
      <t>Ostatné náklady (účtová skupina 54)</t>
    </r>
    <r>
      <rPr>
        <sz val="12"/>
        <rFont val="Times New Roman"/>
        <family val="1"/>
        <charset val="238"/>
      </rPr>
      <t xml:space="preserve"> [R75+ R76]</t>
    </r>
  </si>
  <si>
    <r>
      <t>Poskytnuté príspevky</t>
    </r>
    <r>
      <rPr>
        <sz val="12"/>
        <rFont val="Times New Roman"/>
        <family val="1"/>
        <charset val="238"/>
      </rPr>
      <t xml:space="preserve"> </t>
    </r>
    <r>
      <rPr>
        <b/>
        <sz val="12"/>
        <rFont val="Times New Roman"/>
        <family val="1"/>
        <charset val="238"/>
      </rPr>
      <t>(účtová skupina 56)</t>
    </r>
  </si>
  <si>
    <r>
      <t xml:space="preserve">Spolu </t>
    </r>
    <r>
      <rPr>
        <sz val="12"/>
        <rFont val="Times New Roman"/>
        <family val="1"/>
        <charset val="238"/>
      </rPr>
      <t>[R1+R14+R21+R22+R27+R35+R38+R39+R55+SUM (R61:R63) +SUM (R70:R74)+R84+R93+R94]</t>
    </r>
  </si>
  <si>
    <t>v R90 ide o náklady na tvorbu FR z predaja majetku = T11R5=T13R5</t>
  </si>
  <si>
    <t xml:space="preserve">Tabuľka č. 4: Výnosy verejnej vysokej školy zo školného a z poplatkov spojených so štúdiom  
v rokoch 2014 a 2015 </t>
  </si>
  <si>
    <r>
      <t>Výnosy zo školného</t>
    </r>
    <r>
      <rPr>
        <sz val="12"/>
        <rFont val="Times New Roman"/>
        <family val="1"/>
        <charset val="238"/>
      </rPr>
      <t xml:space="preserve">  [sum(R2:R6)]</t>
    </r>
  </si>
  <si>
    <r>
      <t xml:space="preserve"> - cudzinci podľa prechodných ustanovení </t>
    </r>
    <r>
      <rPr>
        <vertAlign val="superscript"/>
        <sz val="12"/>
        <rFont val="Times New Roman"/>
        <family val="1"/>
        <charset val="238"/>
      </rPr>
      <t>1)</t>
    </r>
  </si>
  <si>
    <r>
      <t>Výnosy z poplatkov spojených so štúdiom</t>
    </r>
    <r>
      <rPr>
        <sz val="12"/>
        <rFont val="Times New Roman"/>
        <family val="1"/>
        <charset val="238"/>
      </rPr>
      <t xml:space="preserve"> [SUM (R8:R13)]</t>
    </r>
  </si>
  <si>
    <r>
      <t>Rozdiel 201</t>
    </r>
    <r>
      <rPr>
        <b/>
        <sz val="14"/>
        <rFont val="Times New Roman"/>
        <family val="1"/>
        <charset val="238"/>
      </rPr>
      <t>5</t>
    </r>
    <r>
      <rPr>
        <b/>
        <sz val="14"/>
        <rFont val="Times New Roman"/>
        <family val="1"/>
      </rPr>
      <t>-201</t>
    </r>
    <r>
      <rPr>
        <b/>
        <sz val="14"/>
        <rFont val="Times New Roman"/>
        <family val="1"/>
        <charset val="238"/>
      </rPr>
      <t>4</t>
    </r>
  </si>
  <si>
    <r>
      <t xml:space="preserve">Tržby za vlastné výrobky (účet 601) </t>
    </r>
    <r>
      <rPr>
        <sz val="12"/>
        <rFont val="Times New Roman"/>
        <family val="1"/>
        <charset val="238"/>
      </rPr>
      <t>[SUM(R2:R5)]</t>
    </r>
  </si>
  <si>
    <r>
      <t>Tržby z predaja služieb (účet 602)</t>
    </r>
    <r>
      <rPr>
        <sz val="12"/>
        <rFont val="Times New Roman"/>
        <family val="1"/>
        <charset val="238"/>
      </rPr>
      <t xml:space="preserve"> [SUM(R7:R10)] </t>
    </r>
  </si>
  <si>
    <r>
      <t>Úroky (účet 644)</t>
    </r>
    <r>
      <rPr>
        <sz val="12"/>
        <rFont val="Times New Roman"/>
        <family val="1"/>
        <charset val="238"/>
      </rPr>
      <t xml:space="preserve"> [R17+R18]</t>
    </r>
  </si>
  <si>
    <r>
      <t>Iné ostatné výnosy (účet 649)</t>
    </r>
    <r>
      <rPr>
        <sz val="12"/>
        <rFont val="Times New Roman"/>
        <family val="1"/>
        <charset val="238"/>
      </rPr>
      <t xml:space="preserve"> [SUM(R21:R33)]</t>
    </r>
  </si>
  <si>
    <r>
      <t xml:space="preserve">Výnosy z použitia fondov (účet 656) [SUM(R40:R44)]  </t>
    </r>
    <r>
      <rPr>
        <b/>
        <vertAlign val="superscript"/>
        <sz val="12"/>
        <rFont val="Times New Roman"/>
        <family val="1"/>
        <charset val="238"/>
      </rPr>
      <t xml:space="preserve"> 1)</t>
    </r>
  </si>
  <si>
    <r>
      <t>- fondu reprodukcie (účet 656 400)</t>
    </r>
    <r>
      <rPr>
        <vertAlign val="superscript"/>
        <sz val="12"/>
        <rFont val="Times New Roman"/>
        <family val="1"/>
        <charset val="238"/>
      </rPr>
      <t xml:space="preserve"> 2)</t>
    </r>
  </si>
  <si>
    <r>
      <t xml:space="preserve">Spolu </t>
    </r>
    <r>
      <rPr>
        <sz val="12"/>
        <rFont val="Times New Roman"/>
        <family val="1"/>
        <charset val="238"/>
      </rPr>
      <t>[R1+R6+SUM(R11:R16)+R19+R20+SUM(R34:R39)+SUM(R45:49</t>
    </r>
    <r>
      <rPr>
        <strike/>
        <sz val="12"/>
        <rFont val="Times New Roman"/>
        <family val="1"/>
        <charset val="238"/>
      </rPr>
      <t>51</t>
    </r>
    <r>
      <rPr>
        <sz val="12"/>
        <rFont val="Times New Roman"/>
        <family val="1"/>
        <charset val="238"/>
      </rPr>
      <t>)+51]</t>
    </r>
  </si>
  <si>
    <t>Vysvetlivky k tabuľkám výročnej správy o hospodárení verejnej vysokej školy za rok 2015</t>
  </si>
  <si>
    <r>
      <t xml:space="preserve">Niektoré polia tabuliek sa počítajú alebo inak odvodzujú z iných polí. Tieto polia sú označené žltou farbou </t>
    </r>
    <r>
      <rPr>
        <sz val="12"/>
        <rFont val="Times New Roman"/>
        <family val="1"/>
        <charset val="238"/>
      </rPr>
      <t xml:space="preserve">a vysoká škola </t>
    </r>
    <r>
      <rPr>
        <b/>
        <sz val="12"/>
        <rFont val="Times New Roman"/>
        <family val="1"/>
        <charset val="238"/>
      </rPr>
      <t>ich nevyplňuje. Polia, ktoré je potrebné vyplniť, sú označené zelenou farbou. Polia, v ktorých nemôže byť žiadny údaj, sú označené X.</t>
    </r>
  </si>
  <si>
    <r>
      <t xml:space="preserve">Ak nie je uvedené inak, všetky údaje o výške finančných prostriedkov  z roku 2014 a 2015 sa uvádzajú </t>
    </r>
    <r>
      <rPr>
        <b/>
        <sz val="12"/>
        <rFont val="Times New Roman"/>
        <family val="1"/>
        <charset val="238"/>
      </rPr>
      <t xml:space="preserve">v eurách </t>
    </r>
    <r>
      <rPr>
        <sz val="12"/>
        <rFont val="Times New Roman"/>
        <family val="1"/>
        <charset val="238"/>
      </rPr>
      <t>s presnosťou na dve desatinné miesta. Dôvodom tohto pravidla je, aby pri sumarizácii nedochádzalo k väčším chybám zo zaokrúhľovania.</t>
    </r>
  </si>
  <si>
    <t>V riadku 1 až 15 sa uvádzajú príjmy na programe 077 podľa programovej štruktúry na rok 2015.</t>
  </si>
  <si>
    <r>
      <t xml:space="preserve">V riadku 4 uvedie vysoká škola celkový objem príjmov </t>
    </r>
    <r>
      <rPr>
        <b/>
        <sz val="12"/>
        <rFont val="Times New Roman"/>
        <family val="1"/>
        <charset val="238"/>
      </rPr>
      <t xml:space="preserve">zo zahraničných zdrojov (zo zahraničných účtov) </t>
    </r>
    <r>
      <rPr>
        <sz val="12"/>
        <rFont val="Times New Roman"/>
        <family val="1"/>
        <charset val="238"/>
      </rPr>
      <t>majúcich charakter dotácií. V riadkoch 4a ... rozpíše podrobnejšie jednotlivé druhy týchto príjmov. Príklady:
1. príjmy zo zahraničných grantov v rámci 8.,7. RP
2. príjmy na riešenie výskumných projektov v rámci programu napr.COST
3. príjmy v rámci spolupráce s inými zahraničnými univerzitami a iné napr. zdroj 35</t>
    </r>
  </si>
  <si>
    <r>
      <t xml:space="preserve">Tabuľka č. 3 poskytuje informácie o objeme a štruktúre výnosov  verejnej vysokej školy v rokoch 2014 a 2015. Osobitne sa uvedie prehľad o výnosoch v </t>
    </r>
    <r>
      <rPr>
        <b/>
        <u/>
        <sz val="12"/>
        <rFont val="Times New Roman"/>
        <family val="1"/>
        <charset val="238"/>
      </rPr>
      <t>hlavnej</t>
    </r>
    <r>
      <rPr>
        <b/>
        <sz val="12"/>
        <rFont val="Times New Roman"/>
        <family val="1"/>
        <charset val="238"/>
      </rPr>
      <t xml:space="preserve"> činnosti a osobitne prehľad o výnosoch v </t>
    </r>
    <r>
      <rPr>
        <b/>
        <u/>
        <sz val="12"/>
        <rFont val="Times New Roman"/>
        <family val="1"/>
        <charset val="238"/>
      </rPr>
      <t>podnikateľske</t>
    </r>
    <r>
      <rPr>
        <b/>
        <sz val="12"/>
        <rFont val="Times New Roman"/>
        <family val="1"/>
        <charset val="238"/>
      </rPr>
      <t>j  činnosti.</t>
    </r>
  </si>
  <si>
    <t>Údaje vychádzajú z platného analytického členenia účtov   na rok 2015. Ak vysoká škola používa na niektoré položky nákladov viac analytických účtov (napr.ak analyticky rozlišuje náklady, ktoré budú refundované príp.refakturované) uvedie sa v príslušnom riadku stav všetkých účtov prislúchajúcich k príslušnej vecnej položke.</t>
  </si>
  <si>
    <t>Minimálna výška prídelu do štipendijného fondu v roku 2014 a 2015 je 20 % príjmov zo školného.</t>
  </si>
  <si>
    <r>
      <t xml:space="preserve">Tabuľka č. 5 poskytuje informácie o objeme a štruktúre nákladov verejnej vysokej školy v rokoch 2014 a  2015. Osobitne sa uvedie prehľad o nákladoch v </t>
    </r>
    <r>
      <rPr>
        <b/>
        <u/>
        <sz val="12"/>
        <rFont val="Times New Roman"/>
        <family val="1"/>
        <charset val="238"/>
      </rPr>
      <t>hlavnej</t>
    </r>
    <r>
      <rPr>
        <b/>
        <sz val="12"/>
        <rFont val="Times New Roman"/>
        <family val="1"/>
        <charset val="238"/>
      </rPr>
      <t xml:space="preserve"> činnosti a osobitne prehľad o nákladoch v </t>
    </r>
    <r>
      <rPr>
        <b/>
        <u/>
        <sz val="12"/>
        <rFont val="Times New Roman"/>
        <family val="1"/>
        <charset val="238"/>
      </rPr>
      <t>podnikateľske</t>
    </r>
    <r>
      <rPr>
        <b/>
        <sz val="12"/>
        <rFont val="Times New Roman"/>
        <family val="1"/>
        <charset val="238"/>
      </rPr>
      <t xml:space="preserve">j  činnosti. </t>
    </r>
  </si>
  <si>
    <t>Údaje vychádzajú z platného analytického členenia účtov  na rok 2015. Ak vysoká škola používa na niektoré položky nákladov viac analytických účtov (napr.ak analyticky rozlišuje náklady, ktoré budú refundované príp.refakturované) uvedie sa v príslušnom riadku stav všetkých účtov prislúchajúcich k príslušnej vecnej položke (napr.v riadku 15 sa okrem stavu účtu 502 001 uvedie aj stav účtu 502 051) .</t>
  </si>
  <si>
    <r>
      <t xml:space="preserve">V riadkoch 2 až 6 uvedie vysoká škola vysokoškolských učiteľov zaradených vo </t>
    </r>
    <r>
      <rPr>
        <u/>
        <sz val="12"/>
        <rFont val="Times New Roman"/>
        <family val="1"/>
        <charset val="238"/>
      </rPr>
      <t>funkciách</t>
    </r>
    <r>
      <rPr>
        <sz val="12"/>
        <rFont val="Times New Roman"/>
        <family val="1"/>
        <charset val="238"/>
      </rPr>
      <t xml:space="preserve">  profesor (vrátane hosťujúcich profesorov), docent, odborný asistent, asistent a lektor.</t>
    </r>
  </si>
  <si>
    <t xml:space="preserve">V stĺpcoch A, B, C uvedie vysoká škola priemerný evidenčný prepočítaný počet zamestnancov za rok 2015 platených zo zdrojov podľa hlavičky stĺpca. Zamestnanec sa započítava do tohto počtu proporcionálne k objemu mzdových prostriedkov pokrytých z príslušného zdroja. Príklad: Ak 75 % mzdových prostriedkov zamestnanca je zo štátneho rozpočtu a 25 % z iných zdrojov, započítava sa zamestnanec do počtu uvedeného v stĺpci A hodnotou 0,75 a do počtu v stĺpci C hodnotou 0,25.  </t>
  </si>
  <si>
    <t>V stĺpci B uvedie vysoká škola priemerný evidenčný prepočítaný počet zamestnancov za rok 2015 platených z dotácie MŠVVaŠ SR, t.j. z prostriedkov uvedených v stĺpci F.</t>
  </si>
  <si>
    <t xml:space="preserve">V stĺpci C uvedie vysoká škola priemerný evidenčný prepočítaný počet zamestnancov za rok 2015 platených z iných zdrojov, t. j.  z prostriedkov uvedených v stĺpci G. Príklad: Zamestnanci platení z podnikateľskej činnosti. </t>
  </si>
  <si>
    <t>V stĺpci E uvedie vysoká škola objem nákladov na mzdy krytých zo štátneho rozpočtu (kód zdroja 111, 116x, 115x, 13xx, resp. kódy ďalších štrukturálnych fondov, prostredníctvom ktorých verejné vysoké školy čerpajú finančné prostriedky a ostatných zdrojov štátneho rozpočtu vykazovaných od riadku 0132 až po 0144 štatistického výkazu Škol (MŠ SR) 2-04).</t>
  </si>
  <si>
    <t>Uvedie sa počet osobomesiacov, v ktorých bolo doktorandom poskytované štipendium. 
Napríklad: Ak doktorand poberal štipendium 12 mesiacov (celý rok), prispeje do tohto súčtu číslom 12 (SA).
Nový doktorand, ktorý začal poberať štipendium od 1. septembra 2015, prispeje do tohto súčtu číslom 4 (SD).
V stĺpci A sa uvedú údaje dotýkajúce sa interných doktorandov financovaných z účelovej dotácie. 
V stĺpci D budú údaje zodpovedajúce interným doktorandom  (prijatých na štúdium po 1.9.2012) na miestach nepridelených MŠVVaŠ.</t>
  </si>
  <si>
    <t>V stĺpci C sa uvedú náklady na štipendiá doktorandov (prijatých na štúdium do 31.8.2012),  na miestach nepridelených MŠVVaŠ SR.</t>
  </si>
  <si>
    <t>V stĺpci D sa uvedú náklady na štipendiá doktorandov (prijatých na štúdium po 1.9.2012),  na miestach nepridelených MŠVVaŠ SR.</t>
  </si>
  <si>
    <t xml:space="preserve">Príspevok na jedno jedlo zo štátneho rozpočtu bol po celý rok  2015 vo výške  1 euro. </t>
  </si>
  <si>
    <r>
      <t xml:space="preserve">Uvedú sa </t>
    </r>
    <r>
      <rPr>
        <b/>
        <sz val="12"/>
        <rFont val="Times New Roman"/>
        <family val="1"/>
        <charset val="238"/>
      </rPr>
      <t xml:space="preserve">len náklady na jedlá </t>
    </r>
    <r>
      <rPr>
        <sz val="12"/>
        <rFont val="Times New Roman"/>
        <family val="1"/>
        <charset val="238"/>
      </rPr>
      <t xml:space="preserve">vydané študentom v kalendárnom roku </t>
    </r>
    <r>
      <rPr>
        <b/>
        <sz val="12"/>
        <rFont val="Times New Roman"/>
        <family val="1"/>
        <charset val="238"/>
      </rPr>
      <t>vo vlastných jedálňach a stravovacích zariadeniach</t>
    </r>
    <r>
      <rPr>
        <sz val="12"/>
        <rFont val="Times New Roman"/>
        <family val="1"/>
        <charset val="238"/>
      </rPr>
      <t>.</t>
    </r>
  </si>
  <si>
    <r>
      <t xml:space="preserve">Uveďte počet  vydaných jedál študentom </t>
    </r>
    <r>
      <rPr>
        <vertAlign val="superscript"/>
        <sz val="12"/>
        <rFont val="Times New Roman"/>
        <family val="1"/>
        <charset val="238"/>
      </rPr>
      <t xml:space="preserve"> </t>
    </r>
    <r>
      <rPr>
        <sz val="12"/>
        <rFont val="Times New Roman"/>
        <family val="1"/>
        <charset val="238"/>
      </rPr>
      <t xml:space="preserve">v kalendárnom roku  </t>
    </r>
    <r>
      <rPr>
        <b/>
        <sz val="12"/>
        <rFont val="Times New Roman"/>
        <family val="1"/>
        <charset val="238"/>
      </rPr>
      <t>spolu vo vlastných jedálňach a  stravovacích zariadeniach</t>
    </r>
    <r>
      <rPr>
        <sz val="12"/>
        <rFont val="Times New Roman"/>
        <family val="1"/>
        <charset val="238"/>
      </rPr>
      <t>.</t>
    </r>
  </si>
  <si>
    <r>
      <t xml:space="preserve">Uveďte počet  vydaných jedál študentom </t>
    </r>
    <r>
      <rPr>
        <vertAlign val="superscript"/>
        <sz val="12"/>
        <rFont val="Times New Roman"/>
        <family val="1"/>
        <charset val="238"/>
      </rPr>
      <t xml:space="preserve"> </t>
    </r>
    <r>
      <rPr>
        <sz val="12"/>
        <rFont val="Times New Roman"/>
        <family val="1"/>
        <charset val="238"/>
      </rPr>
      <t xml:space="preserve">v kalendárnom roku  </t>
    </r>
    <r>
      <rPr>
        <b/>
        <sz val="12"/>
        <rFont val="Times New Roman"/>
        <family val="1"/>
        <charset val="238"/>
      </rPr>
      <t>spolu  v prenajatých stravovacích zariadeniach</t>
    </r>
    <r>
      <rPr>
        <sz val="12"/>
        <rFont val="Times New Roman"/>
        <family val="1"/>
        <charset val="238"/>
      </rPr>
      <t>.</t>
    </r>
  </si>
  <si>
    <t>Uvedie sa objem prijatej kapitálovej dotácie z rozpočtu kapitoly MŠVVaŠ SR a z iných rozpočtových kapitol v roku 2015 zo zdroja 111 (kapitálová dotácia, ktorá bola verejnej vysokej škole poukázaná na účet (cash) v sledovanom období,  účet 346002 - strana DAL)</t>
  </si>
  <si>
    <t>Uvedie sa zostatok kapitálovej dotácie na obstaranie a technické zhodnotenie dlhodobého majetku (nevyčerpané finančné  prostriedky k 31. 12. 2014 (stĺpec SA v R11), resp. k 31. 12. 2015 (stĺpec SB v R11) na zdrojoch 131x, 13S1, 13S2, 13T1,13T2.....(zostatky zo ŠR aj zo ŠF)</t>
  </si>
  <si>
    <t>Tabuľka č. 12 poskytuje informácie o štruktúre a objeme výdavkov, ktoré verejná vysoká škola  použila na obstaranie a technické zhodnotenie dlhodobého majetku v roku 2015.</t>
  </si>
  <si>
    <t>T12_SE</t>
  </si>
  <si>
    <t xml:space="preserve">Výdavky na obstaranie majetku kryté v priebehu roku 2015 z úveru. Pri čerpaní týchto prostriedkov uviesť v komentári aj rok získania úveru. </t>
  </si>
  <si>
    <t>Tabuľka č. 13 poskytuje informácie o stave a vývoji finančných fondov verejnej vysokej školy v rokoch 2014 a 2015.</t>
  </si>
  <si>
    <t>Uvedú sa sumárne stavy ostatných  fondov, ktoré vysoká škola vytvorila za roky 2014 a 2015 v zmysle §16a ods. 1 zákona č. 131/2002 Z. z. o vysokých školách v znení neskorších predpisov.</t>
  </si>
  <si>
    <t>Tabuľka č. 16 poskytuje informácie o objeme a štruktúre finančných prostriedkov na bankových účtoch verejnej vysokej školy  k 31. 12. 2015 v členení podľa jednotlivých skupín účtov. Celkový objem finančných prostriedkov za všetky účty v Štátnej pokladnici musí byť v súlade s údajmi, ktoré vykazuje Štátna pokladnica za každého klienta ŠP osobitne. V stĺpci C vysoká škola uvedie osobitne, okrem prípadných poznámok, aj čísla všetkých účtov (s názvami) zahrnutých v príslušnom riadku vrátane kódu banky.</t>
  </si>
  <si>
    <t xml:space="preserve">Ak má VVŠ finančné prostriedky zaúčtované na účte 261 - peniaze na ceste, z dôvodu kontroly stavu na bankových účtoch k 31. 12. 2015 na údaje zo súvahy, uvedie ich v tomto riadku. </t>
  </si>
  <si>
    <t xml:space="preserve">Tabuľka č. 17 obsahuje informácie o celkovom objeme príjmov z dotácií, poskytnutých verejnej vysokej škole v roku 2015 z prostriedkov EÚ (štrukturálnych fondov), vrátane spolufinancovania zo štátneho rozpočtu. Osobitne sa sledujú dotácie, poskytnuté z  MŠVVaŠ SR a osobitne dotácie z iných kapitol štátneho rozpočtu. </t>
  </si>
  <si>
    <t xml:space="preserve">Ak VVŠ obdržala finančné prostriedky aj z inej kapitoly štátneho rozpočtu, uvádzajú sa osobitne. Tieto dotácie sa evidujú na zdrojoch podľa platnej rozpočtovej klasifikácie na rok 2015 a nie sú súčasťou dotácií, vykazovaných v T2_R1.  </t>
  </si>
  <si>
    <r>
      <t xml:space="preserve">Tabuľka č. 18 obsahuje informácie o celkovom objeme príjmov z dotácií poskytnutých verejnej vysokej škole z kapitoly MŠVVaŠ SR  </t>
    </r>
    <r>
      <rPr>
        <sz val="12"/>
        <rFont val="Times New Roman"/>
        <family val="1"/>
        <charset val="238"/>
      </rPr>
      <t xml:space="preserve">mimo programu 077, t. j. mimo </t>
    </r>
    <r>
      <rPr>
        <b/>
        <sz val="12"/>
        <rFont val="Times New Roman"/>
        <family val="1"/>
        <charset val="238"/>
      </rPr>
      <t xml:space="preserve"> </t>
    </r>
    <r>
      <rPr>
        <sz val="12"/>
        <rFont val="Times New Roman"/>
        <family val="1"/>
        <charset val="238"/>
      </rPr>
      <t>Zmluvy o poskytnutí dotácie zo štátneho rozpočtu prostredníctvom rozpočtu MŠVVaŠ SR na rok 2015  a mimo príjmov z prostriedkov EÚ a to</t>
    </r>
    <r>
      <rPr>
        <b/>
        <sz val="12"/>
        <rFont val="Times New Roman"/>
        <family val="1"/>
        <charset val="238"/>
      </rPr>
      <t>:</t>
    </r>
    <r>
      <rPr>
        <sz val="12"/>
        <rFont val="Times New Roman"/>
        <family val="1"/>
        <charset val="238"/>
      </rPr>
      <t xml:space="preserve"> 
1) na  riešenie projektov výskumu a vývoja v rámci programu 06K
2) na zabezpečenie mobilít v súlade s medzinárodnými zmluvami, vrátane štipendií pre zahraničných štipendistov (prvok 021 02 03 a podprogram 05T 08) 
Tieto druhy dotácie sú poskytnuté na základe osobitných zmlúv MŠVVaŠ SR, resp. APVV a  mimo  príjmov z prostriedkov EÚ v roku 2015. </t>
    </r>
  </si>
  <si>
    <t>Tabuľka č.19 poskytuje informácie o objeme a štruktúre štipendií  vyplácaných verejnou vysokou školou z vlastných zdrojov podľa § 97 zákona. Neobsahuje (2015) údaje o "normálnych" štipendiách vyplatených doktorandom.</t>
  </si>
  <si>
    <r>
      <t xml:space="preserve">Tabuľka č. 22 poskytuje informácie o výkaze ziskov a strát sumár za VVŠ za oblasť sociálnej podpory študentov </t>
    </r>
    <r>
      <rPr>
        <sz val="12"/>
        <rFont val="Times New Roman"/>
        <family val="1"/>
        <charset val="238"/>
      </rPr>
      <t xml:space="preserve"> časť </t>
    </r>
    <r>
      <rPr>
        <b/>
        <sz val="12"/>
        <rFont val="Times New Roman"/>
        <family val="1"/>
        <charset val="238"/>
      </rPr>
      <t xml:space="preserve">"Výnosy". </t>
    </r>
    <r>
      <rPr>
        <sz val="12"/>
        <rFont val="Times New Roman"/>
        <family val="1"/>
        <charset val="238"/>
      </rPr>
      <t>Údaje  sa uvádzajú s presnosťou na dve desatinné miesta.</t>
    </r>
  </si>
  <si>
    <t>Súvzťažnosti tabuliek výročnej správy o hospodárení verejnej vysokej školy za rok 2015</t>
  </si>
  <si>
    <t>Bežná a kapitálová dotácia je kontrolovaná na Zmluvu o poskytnutí  dotácií  zo štátneho rozpočtu prostredníctvom kapitoly MŠVVaŠ (ďalej len "dotačná zmluva") na  programe  077 na rok 2015 a jej dodatky.</t>
  </si>
  <si>
    <t xml:space="preserve">Bežná a kapitálová dotácia z programu 077 je kontrolovaná na "dotačnú zmluvu" na rok 2015 a jej dodatky. Dotácie na kapitálové výdavky sa kontrolujú aj na T11, sociálne a motivačné štipendiá na T8 a T20.  
</t>
  </si>
  <si>
    <r>
      <t xml:space="preserve">Výnosy sú kontrolované na údaje z výkazníctva - výkaz ziskov a strát, časť </t>
    </r>
    <r>
      <rPr>
        <b/>
        <sz val="12"/>
        <rFont val="Times New Roman"/>
        <family val="1"/>
        <charset val="238"/>
      </rPr>
      <t>výnosy</t>
    </r>
    <r>
      <rPr>
        <sz val="12"/>
        <rFont val="Times New Roman"/>
        <family val="1"/>
        <charset val="238"/>
      </rPr>
      <t xml:space="preserve">. 
Údaje v T3 z roku 2014  a údaje z roku 2015 sa uvádzajú v eurách s presnosťou na dve desatinné miestá ( </t>
    </r>
    <r>
      <rPr>
        <i/>
        <sz val="12"/>
        <rFont val="Times New Roman"/>
        <family val="1"/>
        <charset val="238"/>
      </rPr>
      <t>pričom zobrazenie tabuliek je nastavené na Eur)</t>
    </r>
    <r>
      <rPr>
        <sz val="12"/>
        <rFont val="Times New Roman"/>
        <family val="1"/>
        <charset val="238"/>
      </rPr>
      <t>. 
Výnosy zo školného, resp. z poplatkov  spojených so štúdiom za hlavnú činnosť v T3_R21, R22 sa taktiež kontrolujú na T4_R1_SB a T4_R7_SB.</t>
    </r>
  </si>
  <si>
    <r>
      <t xml:space="preserve">Náklady sú kontrolované na údaje z výkazníctva - výkaz ziskov a strát, časť </t>
    </r>
    <r>
      <rPr>
        <b/>
        <sz val="12"/>
        <rFont val="Times New Roman"/>
        <family val="1"/>
        <charset val="238"/>
      </rPr>
      <t>náklady</t>
    </r>
    <r>
      <rPr>
        <sz val="12"/>
        <rFont val="Times New Roman"/>
        <family val="1"/>
        <charset val="238"/>
      </rPr>
      <t xml:space="preserve">.  
Obdobne ako  pri T3 sa  údaje  z roku 2014 a údaje z roku 2015 sa uvádzajú v eurách.
Za oblasť miezd sú údaje za rok 2015 - účet 521 (R55) kontrolované na výkazníctvo, časť náklady a údaje v T5_R56_(SC + SD)  na T6_R18_SH. </t>
    </r>
    <r>
      <rPr>
        <u/>
        <sz val="12"/>
        <rFont val="Times New Roman"/>
        <family val="1"/>
        <charset val="238"/>
      </rPr>
      <t>Rozdiel medzi údajom v T6_R18_SH a údajmi v T5_R56_SC+SD (Mzdy) môže o.i. tvoriť výška nákladov za nevyčerpané dovolenky.</t>
    </r>
    <r>
      <rPr>
        <sz val="12"/>
        <rFont val="Times New Roman"/>
        <family val="1"/>
        <charset val="238"/>
      </rPr>
      <t xml:space="preserve">
Štipendiá doktorandov z T5_R77_SC sa kontrolujú na údaje z T7_R1_SF. 
Prospechové štipendiá z vlastných zdrojov z T5_R81_SC sa kontrolujú na údaje v T19_R2_SC. </t>
    </r>
  </si>
  <si>
    <t>T6_R1..R6, R7, R9, R13, R14, R16, R17 = Škol 2-04 za 2015, 
T6_R15a.. = dotačná zmluva na 2015, špecifiká</t>
  </si>
  <si>
    <r>
      <t>Údaje v riadkoch R1:R6, R7, R9, R13, R14, R16, R17  sú kontrolované s údajmi v štatistickom výkaze Škol (MŠ SR) 2-04 za rok 2015. 
Údaje v riadkoch 15a ... (špecifiká) sú kontrolované na rozpis dotácie v roku 2015.</t>
    </r>
    <r>
      <rPr>
        <b/>
        <sz val="12"/>
        <rFont val="Times New Roman"/>
        <family val="1"/>
        <charset val="238"/>
      </rPr>
      <t xml:space="preserve"> </t>
    </r>
    <r>
      <rPr>
        <u/>
        <sz val="12"/>
        <rFont val="Times New Roman"/>
        <family val="1"/>
        <charset val="238"/>
      </rPr>
      <t>Rozdiel medzi údajom v T6_R18_SH a údajmi v T5_R56_SC+SD (Mzdy) je potrebné vyčísliť s komentárom uviesť v poznámke pod tabuľkou T6.</t>
    </r>
  </si>
  <si>
    <t xml:space="preserve"> T7_R1_SD = T5_R77_SC,
 T7_R9_SA = dotačná zmluva na 2015_účelové prostriedky na štipendiá doktorandov </t>
  </si>
  <si>
    <r>
      <t xml:space="preserve">Údaje v R1_SD za rok 2015 sú kontrolované na T5_R77_SC a údaje v R9_SA na poskytnutú </t>
    </r>
    <r>
      <rPr>
        <u/>
        <sz val="12"/>
        <rFont val="Times New Roman"/>
        <family val="1"/>
        <charset val="238"/>
      </rPr>
      <t>účelovú</t>
    </r>
    <r>
      <rPr>
        <sz val="12"/>
        <rFont val="Times New Roman"/>
        <family val="1"/>
        <charset val="238"/>
      </rPr>
      <t xml:space="preserve"> dotáciu na štipendiá doktorandov podľa dotačnej zmluvy. </t>
    </r>
  </si>
  <si>
    <t>T8_R5_SA (SC) = "dotačná zmluva" na rok 2014 (2015), podprogram 077 15 01 - účelové prostriedky na sociálne štipendiá</t>
  </si>
  <si>
    <t>Údaje  sú kontrolované na  dotačné zmluvy a na účelovú dotáciu na rok 2014, 2015 v zmysle databázy VVŠ.
Údaje v T8_R1_SC by sa mali rovnať údajom z CRŠ kód 1.</t>
  </si>
  <si>
    <t>T8_R4_SA = zostatok k 31.12.2014
T8_R6_SA = T8_R4_SC 
T8_R1_SA (SC)  ≤ T13_R11_SE (SF)</t>
  </si>
  <si>
    <t>Údaj v T8_R4_SA predstavuje zostatok nevyčerpanej dotácie z predchádzajúceho roka, t. j. k 31. 12. 2014 .  
Údaj v T8_R6_SA (SC) predstavuje zostatok nevyčerpanej dotácie k 31. 12. príslušného roka (2014, resp. 2015) a ich hodnoty sa vypočítajú z ostatných uvedených údajov. Zostatok nevyčerpanej dotácie k 31. 12. 2014 je totožný  s údajmi vykazovanými v tabuľke T8 výročnej správy za rok 2014.</t>
  </si>
  <si>
    <t>T9_R1 = štatistické výkazy MŠVVaŠ SR 2014(2015)</t>
  </si>
  <si>
    <t>Údaje o lôžkovej kapacite v T9_R1 sa kontrolujú na štatistické výkazy MŠVVaŠ SR  ( posielané na CVTI SR) 2014 (2015).</t>
  </si>
  <si>
    <t>T9_R6_SA (SB) = "dotačná zmluva" 2015(2014)_účelové prostriedky na študentské domovy</t>
  </si>
  <si>
    <t>T10_R7_SA (SB) = dotačná zmluva 2014 (2015)_účelová dotácia na študentské jedálne</t>
  </si>
  <si>
    <t>Údaje v R7_SA (SB) sú kontrolované na  dotačné zmluvy a na účelovú dotáciu na rok 2014, 2015 v zmysle databázy VVŠ.</t>
  </si>
  <si>
    <t>T10_R12 = štatistické výkazy MŠVVaŠ SR 2014 (2015)</t>
  </si>
  <si>
    <t>Údaje sa kontrolujú na štatistické údaje MŠVVaŠ SR zasielané CVTI SR.</t>
  </si>
  <si>
    <r>
      <t xml:space="preserve">Údaje v T11_R2 - tvorba fondu reprodukcie za roky 2014 a 2015 sa musia rovnať údajom v T13_R2_SC (SD). 
</t>
    </r>
    <r>
      <rPr>
        <strike/>
        <sz val="12"/>
        <rFont val="Times New Roman"/>
        <family val="1"/>
        <charset val="238"/>
      </rPr>
      <t/>
    </r>
  </si>
  <si>
    <t>T11_SB_R10a = T17_SC+SD_R10,  (nie R21a)</t>
  </si>
  <si>
    <t>T12_R15_SG = výkazníctvo 2015, kategória 700, všetky zdroje</t>
  </si>
  <si>
    <r>
      <t xml:space="preserve">Údaje v R15, SG - celkové výdavky na obstaranie a technické zhodnotenie majetku sa musia rovnať hodnotám, vykazovaným vo výkaze "Príjmy a výdavky" v kategórii 700 za všetky zdroje (štátny rozpočet, vlastné zdroje, prostriedky EÚ, PČ, finančný mechanizmus EHP a Nórsky finančný mechanizmus...) </t>
    </r>
    <r>
      <rPr>
        <b/>
        <sz val="12"/>
        <rFont val="Times New Roman"/>
        <family val="1"/>
        <charset val="238"/>
      </rPr>
      <t xml:space="preserve"> spolu</t>
    </r>
    <r>
      <rPr>
        <sz val="12"/>
        <rFont val="Times New Roman"/>
        <family val="1"/>
        <charset val="238"/>
      </rPr>
      <t xml:space="preserve">. Ak tieto udaje nie sú v súlade, je potrebné v poznámke vysvetliť dôvod. </t>
    </r>
  </si>
  <si>
    <t>T13_R2_SC (SD) = T11_R2_SA (SB) 
T13_R8_SF ≥ T8_R5_SC + T20_R2_SB
T13_R13_SD = T16_R13_SB
T13_R13_SF = T16_R10_SB</t>
  </si>
  <si>
    <r>
      <t xml:space="preserve">Stavy fondov k 1.1. a k 31.12.2015 za </t>
    </r>
    <r>
      <rPr>
        <b/>
        <sz val="12"/>
        <rFont val="Times New Roman"/>
        <family val="1"/>
        <charset val="238"/>
      </rPr>
      <t>všetky fondy spolu</t>
    </r>
    <r>
      <rPr>
        <sz val="12"/>
        <rFont val="Times New Roman"/>
        <family val="1"/>
        <charset val="238"/>
      </rPr>
      <t xml:space="preserve"> sa kontrolujú na výkazníctvo, súvaha - časť Pasíva, riadky 064 + 065 + 069 + 070 + 071 "netto" 
Stavy fondov k 1.1.sa rovnajú stavom fondov k 31.12. predchádzajúceho roka.</t>
    </r>
  </si>
  <si>
    <t>Tvorba fondu reprodukcie z odpisov v roku 2015 sa rovná odpisom ostatného DN a HM za rok 2015 (T5_R86_SC+SD)</t>
  </si>
  <si>
    <r>
      <t xml:space="preserve">Globálna hodnota na bankových účtoch z R18 sa kontroluje na Súvahu, časť Aktíva, r. 053.
Ak nie je údaj v R2 (dotačný účet) k 31. 12. 2015 </t>
    </r>
    <r>
      <rPr>
        <b/>
        <u/>
        <sz val="12"/>
        <rFont val="Times New Roman"/>
        <family val="1"/>
        <charset val="238"/>
      </rPr>
      <t>vynulovaný,  je potrebné doplniť vysvetlenie v stĺpci C.</t>
    </r>
  </si>
  <si>
    <t xml:space="preserve">Údaje v T17 sú kontrolované na hodnoty z výkazníctva, finančné prostriedky z EÚ (vrátane spolufinancovania zo štátneho rozpočtu), zabezpečované prostredníctvom MŠVVaŠ SR v roku 2015. </t>
  </si>
  <si>
    <t xml:space="preserve">Údaje v T18_R1 sú kontrolované na  rozpis bežnej a kapitálovej dotácie na programe 06K v roku 2015 poskytnuté vysokým školám mimo "dotačnej zmluvy" prostredníctvom  APVV resp. SVaT. 
Údaje v T18_R7 a R8 sú kontrolované na rozpis bežnej dotácie na podrograme 05T 08 a prvku 021 02 03 v roku 2015, poskytnuté vysokým školám mimo "dotačnej zmluvy" prostredníctvom sekcie medzinárodnej spolupráce.
</t>
  </si>
  <si>
    <t>Údaje sú kontrolované na dotačnú zmluvu na 2015 a na rozpis účelových dotácií na podprograme 077 15 02. 
Výška dotácií na motivačné štipendiá z T20_R2_SA(SB) sa musí rovnať celkovému objemu dotácií, uvedenom v T1_R13_SA .
Súvzťažnosť s T13 - stav a vývoj finančných fondov, stĺpce SE,SF. 
Údaje T20_R3_SB by sa mali rovnať  súčtu kódov 4, 5, 6, 7, 8, 19 z CRŠ.</t>
  </si>
  <si>
    <t xml:space="preserve">T21_R1_SF  = výkazníctvo 2014 súvaha, časť pasíva, riadok 103, predchádzajúce účtovné obdobie
T21_R1_SL = výkazníctvo 2015, súvaha, časť pasíva, riadok 103, bežné účtovné obdobie </t>
  </si>
  <si>
    <t xml:space="preserve">Celková hodnota účtu 384 za rok 2014 a 2015, uvedená v T21_SF je kontrolovaná na výkaz Súvaha, časť Pasíva, r.103. 
Štruktúru účtu žiadame uviesť v členení na zvyšok prijatej kapitálovej dotácie zo štátneho rozpočtu a z prostriedkov EÚ (analytický účet 384.11), nevyčerpanú bežnú dotáciu na aktivity budúcich odbobí (384.12) a prostriedky zo zahraničných projektov na budúce aktivity (384.13). 
Ak sú na tomto účte zaúčtované aj iné výnosy, žiadame ich osobitne uviesť v SD (2014), resp. SI (2015). 
Údaje za rok 2013 musia byť totožné s údajmi, ktoré VVŠ predložili k výsledkom hospodárenia VVŠ za rok 2013. </t>
  </si>
  <si>
    <t xml:space="preserve">V stĺpci SG sa zvyšok prijatej kapitálovej dotácie, používanej na kompenzáciu odpisov za rok 2015  rovná súčtu zvyšku prijatej kapitálovej dotácie na kompenzáciu odpisov z roku 2014 (stĺpec SA) a výšky kapitálovej dotácie (2014) z T11_R10_SB, zníženému o odpisy, vykazované v T5_R85_SC. </t>
  </si>
  <si>
    <t xml:space="preserve">V stĺpci SH sa zvyšok prijatej kapitálovej dotácie, používanej na kompenzáciu odpisov za rok 2015  rovná súčtu zvyšku prijatej kapitálovej dotácie na kompenzáciu odpisov z roku 2014 (stĺpec SB) a výšky kapitálovej dotácie (2014) z T11_R10a_SB, zníženému o odpisy, vykazované v T5_R86a_SC. </t>
  </si>
  <si>
    <r>
      <t>Tabuľka č. 1: Príjmy z dotácií verejnej vysokej škole zo štátneho rozpočtu z kapitoly MŠVVaŠ SR
 poskytnuté na základe Zmluvy o poskytnutí dotácie zo štátneho rozpočtu prostredníctvom rozpočtu Ministerstva školstva, vedy, výskumu a športu Slovenskej republiky na rok 201</t>
    </r>
    <r>
      <rPr>
        <b/>
        <sz val="14"/>
        <rFont val="Times New Roman"/>
        <family val="1"/>
        <charset val="238"/>
      </rPr>
      <t xml:space="preserve">5  </t>
    </r>
    <r>
      <rPr>
        <b/>
        <sz val="14"/>
        <rFont val="Times New Roman"/>
        <family val="1"/>
      </rPr>
      <t xml:space="preserve">na programe 077 </t>
    </r>
  </si>
  <si>
    <t>Tabuľka č. 2: Príjmy verejnej vysokej školy v roku 2015 majúce charakter dotácie okrem príjmov z dotácií 
 z  kapitoly MŠVVaŠ SR a okrem  prostriedkov EÚ  (štrukturálnych  fondov)</t>
  </si>
  <si>
    <r>
      <t xml:space="preserve">Dotácie z kapitol štátneho rozpočtu okrem kapitoly MŠVVaŠ SR </t>
    </r>
    <r>
      <rPr>
        <sz val="12"/>
        <rFont val="Times New Roman"/>
        <family val="1"/>
        <charset val="238"/>
      </rPr>
      <t xml:space="preserve"> (na zdroji 111) [SUM(R1a:R1...)]</t>
    </r>
  </si>
  <si>
    <r>
      <t>Dotácie z rozpočtov obcí a z rozpočtov vyšších územných celkov</t>
    </r>
    <r>
      <rPr>
        <sz val="12"/>
        <rFont val="Times New Roman"/>
        <family val="1"/>
        <charset val="238"/>
      </rPr>
      <t xml:space="preserve"> [SUM(R2a:R2...)]</t>
    </r>
  </si>
  <si>
    <r>
      <t>Ostatné domáce príjmy s charakterom dotácie</t>
    </r>
    <r>
      <rPr>
        <sz val="12"/>
        <rFont val="Times New Roman"/>
        <family val="1"/>
        <charset val="238"/>
      </rPr>
      <t xml:space="preserve"> [SUM(R3a:R3...)]</t>
    </r>
  </si>
  <si>
    <r>
      <t>Príjmy zo zahraničia majúce charakter dotácie</t>
    </r>
    <r>
      <rPr>
        <sz val="12"/>
        <rFont val="Times New Roman"/>
        <family val="1"/>
        <charset val="238"/>
      </rPr>
      <t xml:space="preserve"> [SUM(R4a:R4...)]</t>
    </r>
  </si>
  <si>
    <r>
      <t>Spolu</t>
    </r>
    <r>
      <rPr>
        <sz val="12"/>
        <rFont val="Times New Roman"/>
        <family val="1"/>
        <charset val="238"/>
      </rPr>
      <t xml:space="preserve"> [R1+R2+R3+R4]</t>
    </r>
  </si>
  <si>
    <r>
      <t>Tabuľka č. 5a: Náklady verejnej vysokej školy v rokoch 201</t>
    </r>
    <r>
      <rPr>
        <b/>
        <sz val="14"/>
        <color rgb="FFFF0000"/>
        <rFont val="Times New Roman"/>
        <family val="1"/>
        <charset val="238"/>
      </rPr>
      <t>4</t>
    </r>
    <r>
      <rPr>
        <b/>
        <sz val="14"/>
        <rFont val="Times New Roman"/>
        <family val="1"/>
        <charset val="238"/>
      </rPr>
      <t xml:space="preserve"> a 201</t>
    </r>
    <r>
      <rPr>
        <b/>
        <sz val="14"/>
        <color rgb="FFFF0000"/>
        <rFont val="Times New Roman"/>
        <family val="1"/>
        <charset val="238"/>
      </rPr>
      <t>5</t>
    </r>
    <r>
      <rPr>
        <b/>
        <sz val="14"/>
        <rFont val="Times New Roman"/>
        <family val="1"/>
        <charset val="238"/>
      </rPr>
      <t xml:space="preserve"> podľa </t>
    </r>
    <r>
      <rPr>
        <b/>
        <u/>
        <sz val="14"/>
        <rFont val="Times New Roman"/>
        <family val="1"/>
        <charset val="238"/>
      </rPr>
      <t>Výkazu ziskov a strát  Úč NUJ2- 01 Náklady</t>
    </r>
  </si>
  <si>
    <r>
      <t>Tabuľka č. 3a: Výnosy verejnej vysokej školy v rokoch 201</t>
    </r>
    <r>
      <rPr>
        <b/>
        <sz val="14"/>
        <color rgb="FFFF0000"/>
        <rFont val="Times New Roman"/>
        <family val="1"/>
        <charset val="238"/>
      </rPr>
      <t xml:space="preserve">4 </t>
    </r>
    <r>
      <rPr>
        <b/>
        <sz val="14"/>
        <rFont val="Times New Roman"/>
        <family val="1"/>
        <charset val="238"/>
      </rPr>
      <t>a 201</t>
    </r>
    <r>
      <rPr>
        <b/>
        <sz val="14"/>
        <color rgb="FFFF0000"/>
        <rFont val="Times New Roman"/>
        <family val="1"/>
        <charset val="238"/>
      </rPr>
      <t>5</t>
    </r>
    <r>
      <rPr>
        <b/>
        <sz val="14"/>
        <rFont val="Times New Roman"/>
        <family val="1"/>
        <charset val="238"/>
      </rPr>
      <t xml:space="preserve"> podľa </t>
    </r>
    <r>
      <rPr>
        <b/>
        <u/>
        <sz val="14"/>
        <rFont val="Times New Roman"/>
        <family val="1"/>
        <charset val="238"/>
      </rPr>
      <t xml:space="preserve">Výkazu ziskov a strát  Úč NUJ2- 01  Výnosy  </t>
    </r>
  </si>
  <si>
    <t>Tabuľka č. 5a poskytuje ucelenú informáciu o nákladoch verejnej vysokej školy v členení na hlavnú nezdaňovanú a zdaňovanú činnosť v rokoch 2014 a 2015  z hľadiska členenia účtov podľa Výkazu ziskov a strát Úč NUJ 2- 01 - Náklady</t>
  </si>
  <si>
    <t xml:space="preserve">Tabuľka č. 3a poskytuje ucelenú informáciu o výnosoch verejnej vysokej školy v členení na hlavnú nezdaňovanú a zdaňovanú činnosť v rokoch 2014 a 2015  z hľadiska členenia účtov podľa Výkazu ziskov a strát Úč NUJ 2- 01 - Výnosy </t>
  </si>
  <si>
    <t>Výnosy sú kontrolované na údaje z výkazníctva - výkaz ziskov a strát, časť výnosy. (V IS SOFIA nájdete výkaz v časti  Účtovníctvo - Štvrťročné výkazy pre MiFi - /VVS/ODP_DANE - Podklad pre DzP PO a Výsledovku.)</t>
  </si>
  <si>
    <t>Náklady sú kontrolované na údaje z výkazníctva - výkaz ziskov a strát, časť náklady.  (V IS SOFIA nájdete výkaz v časti  Účtovníctvo - Štvrťročné výkazy pre MiFi - /VVS/ODP_DANE - Podklad pre DzP PO a Výsledovku.)</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</si>
</sst>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 _S_k_-;\-* #,##0\ _S_k_-;_-* &quot;-&quot;\ _S_k_-;_-@_-"/>
    <numFmt numFmtId="165" formatCode="_-* #,##0.00\ _S_k_-;\-* #,##0.00\ _S_k_-;_-* &quot;-&quot;??\ _S_k_-;_-@_-"/>
    <numFmt numFmtId="166" formatCode="#,##0_ ;[Red]\-#,##0\ "/>
    <numFmt numFmtId="167" formatCode="#,##0.00_ ;[Red]\-#,##0.00\ "/>
    <numFmt numFmtId="168" formatCode="#,##0_ ;\-#,##0\ "/>
  </numFmts>
  <fonts count="96" x14ac:knownFonts="1">
    <font>
      <sz val="10"/>
      <name val="Arial"/>
      <charset val="238"/>
    </font>
    <font>
      <sz val="10"/>
      <name val="Arial"/>
      <family val="2"/>
      <charset val="238"/>
    </font>
    <font>
      <b/>
      <sz val="12"/>
      <name val="Times New Roman"/>
      <family val="1"/>
    </font>
    <font>
      <sz val="12"/>
      <name val="Times New Roman"/>
      <family val="1"/>
    </font>
    <font>
      <b/>
      <sz val="14"/>
      <name val="Times New Roman"/>
      <family val="1"/>
    </font>
    <font>
      <sz val="8"/>
      <name val="Arial"/>
      <family val="2"/>
      <charset val="238"/>
    </font>
    <font>
      <b/>
      <sz val="12"/>
      <name val="Times New Roman"/>
      <family val="1"/>
      <charset val="238"/>
    </font>
    <font>
      <sz val="12"/>
      <name val="Times New Roman"/>
      <family val="1"/>
      <charset val="238"/>
    </font>
    <font>
      <i/>
      <sz val="12"/>
      <name val="Times New Roman"/>
      <family val="1"/>
      <charset val="238"/>
    </font>
    <font>
      <b/>
      <i/>
      <sz val="12"/>
      <name val="Times New Roman"/>
      <family val="1"/>
      <charset val="238"/>
    </font>
    <font>
      <b/>
      <sz val="14"/>
      <name val="Times New Roman"/>
      <family val="1"/>
      <charset val="238"/>
    </font>
    <font>
      <b/>
      <u/>
      <sz val="12"/>
      <name val="Times New Roman"/>
      <family val="1"/>
      <charset val="238"/>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8"/>
      <name val="Arial"/>
      <family val="2"/>
      <charset val="238"/>
    </font>
    <font>
      <sz val="10"/>
      <name val="Arial"/>
      <family val="2"/>
      <charset val="238"/>
    </font>
    <font>
      <sz val="10"/>
      <color indexed="39"/>
      <name val="Arial"/>
      <family val="2"/>
    </font>
    <font>
      <sz val="19"/>
      <color indexed="48"/>
      <name val="Arial"/>
      <family val="2"/>
      <charset val="238"/>
    </font>
    <font>
      <sz val="10"/>
      <color indexed="10"/>
      <name val="Arial"/>
      <family val="2"/>
    </font>
    <font>
      <sz val="10"/>
      <name val="arial ce"/>
      <charset val="238"/>
    </font>
    <font>
      <sz val="8"/>
      <name val="arial ce"/>
      <charset val="238"/>
    </font>
    <font>
      <sz val="11"/>
      <name val="Times New Roman"/>
      <family val="1"/>
      <charset val="238"/>
    </font>
    <font>
      <b/>
      <vertAlign val="superscript"/>
      <sz val="12"/>
      <name val="Times New Roman"/>
      <family val="1"/>
      <charset val="238"/>
    </font>
    <font>
      <b/>
      <vertAlign val="superscript"/>
      <sz val="14"/>
      <name val="Times New Roman"/>
      <family val="1"/>
      <charset val="238"/>
    </font>
    <font>
      <vertAlign val="superscript"/>
      <sz val="12"/>
      <name val="Times New Roman"/>
      <family val="1"/>
      <charset val="238"/>
    </font>
    <font>
      <b/>
      <i/>
      <sz val="14"/>
      <name val="Times New Roman"/>
      <family val="1"/>
      <charset val="238"/>
    </font>
    <font>
      <sz val="10"/>
      <name val="Times New Roman"/>
      <family val="1"/>
      <charset val="238"/>
    </font>
    <font>
      <sz val="10"/>
      <name val="Times New Roman"/>
      <family val="1"/>
    </font>
    <font>
      <sz val="10"/>
      <color indexed="10"/>
      <name val="Arial"/>
      <family val="2"/>
      <charset val="238"/>
    </font>
    <font>
      <b/>
      <vertAlign val="superscript"/>
      <sz val="14"/>
      <name val="Times New Roman"/>
      <family val="1"/>
    </font>
    <font>
      <vertAlign val="superscript"/>
      <sz val="12"/>
      <name val="Times New Roman"/>
      <family val="1"/>
    </font>
    <font>
      <u/>
      <sz val="12"/>
      <name val="Times New Roman"/>
      <family val="1"/>
      <charset val="238"/>
    </font>
    <font>
      <b/>
      <sz val="9"/>
      <name val="Times New Roman"/>
      <family val="1"/>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sz val="12"/>
      <name val="Times New Roman"/>
      <family val="1"/>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name val="Times New Roman"/>
      <family val="1"/>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1"/>
      <name val="Times New Roman"/>
      <family val="1"/>
      <charset val="238"/>
    </font>
    <font>
      <sz val="12"/>
      <color indexed="8"/>
      <name val="Times New Roman"/>
      <family val="1"/>
      <charset val="238"/>
    </font>
    <font>
      <b/>
      <sz val="12"/>
      <color indexed="8"/>
      <name val="Times New Roman"/>
      <family val="1"/>
      <charset val="238"/>
    </font>
    <font>
      <sz val="11"/>
      <name val="Times New Roman"/>
      <family val="1"/>
      <charset val="238"/>
    </font>
    <font>
      <sz val="9"/>
      <name val="Arial"/>
      <family val="2"/>
      <charset val="238"/>
    </font>
    <font>
      <sz val="9"/>
      <name val="Times New Roman"/>
      <family val="1"/>
      <charset val="238"/>
    </font>
    <font>
      <sz val="12"/>
      <color indexed="10"/>
      <name val="Times New Roman"/>
      <family val="1"/>
      <charset val="238"/>
    </font>
    <font>
      <b/>
      <sz val="10"/>
      <name val="Times New Roman"/>
      <family val="1"/>
      <charset val="238"/>
    </font>
    <font>
      <strike/>
      <sz val="12"/>
      <name val="Times New Roman"/>
      <family val="1"/>
      <charset val="238"/>
    </font>
    <font>
      <sz val="11"/>
      <name val="Times New Roman"/>
      <family val="1"/>
    </font>
    <font>
      <b/>
      <sz val="10"/>
      <name val="Arial"/>
      <family val="2"/>
      <charset val="238"/>
    </font>
    <font>
      <sz val="8"/>
      <color indexed="81"/>
      <name val="Tahoma"/>
      <family val="2"/>
      <charset val="238"/>
    </font>
    <font>
      <b/>
      <sz val="8"/>
      <color indexed="81"/>
      <name val="Tahoma"/>
      <family val="2"/>
      <charset val="238"/>
    </font>
    <font>
      <sz val="12"/>
      <color indexed="8"/>
      <name val="Times New Roman"/>
      <family val="1"/>
    </font>
    <font>
      <b/>
      <vertAlign val="superscript"/>
      <sz val="12"/>
      <name val="Times New Roman"/>
      <family val="1"/>
    </font>
    <font>
      <b/>
      <sz val="11"/>
      <name val="Times New Roman"/>
      <family val="1"/>
    </font>
    <font>
      <sz val="10"/>
      <color indexed="81"/>
      <name val="Tahoma"/>
      <family val="2"/>
      <charset val="238"/>
    </font>
    <font>
      <u/>
      <sz val="10"/>
      <color indexed="81"/>
      <name val="Tahoma"/>
      <family val="2"/>
      <charset val="238"/>
    </font>
    <font>
      <b/>
      <sz val="10"/>
      <color indexed="81"/>
      <name val="Tahoma"/>
      <family val="2"/>
      <charset val="238"/>
    </font>
    <font>
      <sz val="12"/>
      <color theme="1"/>
      <name val="Times New Roman"/>
      <family val="2"/>
      <charset val="238"/>
    </font>
    <font>
      <sz val="12"/>
      <color theme="1"/>
      <name val="Times New Roman"/>
      <family val="1"/>
      <charset val="238"/>
    </font>
    <font>
      <sz val="12"/>
      <color rgb="FFFF0000"/>
      <name val="Times New Roman"/>
      <family val="1"/>
    </font>
    <font>
      <b/>
      <sz val="12"/>
      <color theme="1"/>
      <name val="Times New Roman"/>
      <family val="1"/>
    </font>
    <font>
      <b/>
      <sz val="12"/>
      <color rgb="FF000000"/>
      <name val="Times New Roman"/>
      <family val="1"/>
    </font>
    <font>
      <b/>
      <sz val="11"/>
      <color theme="1"/>
      <name val="Times New Roman"/>
      <family val="1"/>
    </font>
    <font>
      <sz val="11"/>
      <color theme="1"/>
      <name val="Times New Roman"/>
      <family val="1"/>
    </font>
    <font>
      <b/>
      <sz val="16"/>
      <color rgb="FFFF0000"/>
      <name val="Times New Roman"/>
      <family val="1"/>
      <charset val="238"/>
    </font>
    <font>
      <b/>
      <sz val="14"/>
      <color rgb="FFFF0000"/>
      <name val="Times New Roman"/>
      <family val="1"/>
      <charset val="238"/>
    </font>
    <font>
      <vertAlign val="superscript"/>
      <sz val="11"/>
      <name val="Times New Roman"/>
      <family val="1"/>
      <charset val="238"/>
    </font>
    <font>
      <b/>
      <sz val="11"/>
      <color rgb="FFFF0000"/>
      <name val="Times New Roman"/>
      <family val="1"/>
    </font>
    <font>
      <sz val="10"/>
      <color indexed="8"/>
      <name val="Times New Roman"/>
      <family val="1"/>
      <charset val="238"/>
    </font>
    <font>
      <sz val="10"/>
      <color rgb="FF000000"/>
      <name val="Arial"/>
      <family val="2"/>
      <charset val="238"/>
    </font>
    <font>
      <b/>
      <sz val="10"/>
      <name val="Times New Roman"/>
      <family val="1"/>
    </font>
    <font>
      <sz val="14"/>
      <name val="Times New Roman"/>
      <family val="1"/>
      <charset val="238"/>
    </font>
    <font>
      <i/>
      <sz val="12"/>
      <name val="Times New Roman"/>
      <family val="1"/>
    </font>
    <font>
      <sz val="10"/>
      <name val="Tahoma"/>
      <family val="2"/>
      <charset val="238"/>
    </font>
    <font>
      <sz val="12"/>
      <name val="Tahoma"/>
      <family val="2"/>
      <charset val="238"/>
    </font>
    <font>
      <b/>
      <sz val="10"/>
      <name val="Tahoma"/>
      <family val="2"/>
      <charset val="238"/>
    </font>
    <font>
      <b/>
      <sz val="16"/>
      <name val="Times New Roman"/>
      <family val="1"/>
      <charset val="238"/>
    </font>
    <font>
      <sz val="10"/>
      <name val="Arial"/>
      <family val="2"/>
    </font>
    <font>
      <b/>
      <sz val="12"/>
      <name val="Arial"/>
      <family val="2"/>
      <charset val="238"/>
    </font>
    <font>
      <b/>
      <u/>
      <sz val="14"/>
      <name val="Times New Roman"/>
      <family val="1"/>
      <charset val="23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0"/>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8"/>
      </left>
      <right style="thin">
        <color indexed="8"/>
      </right>
      <top style="thin">
        <color indexed="8"/>
      </top>
      <bottom/>
      <diagonal/>
    </border>
  </borders>
  <cellStyleXfs count="91">
    <xf numFmtId="0" fontId="0" fillId="0" borderId="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8" fillId="20" borderId="1" applyNumberFormat="0" applyAlignment="0" applyProtection="0"/>
    <xf numFmtId="165" fontId="1" fillId="0" borderId="0" applyFont="0" applyFill="0" applyBorder="0" applyAlignment="0" applyProtection="0"/>
    <xf numFmtId="165" fontId="17" fillId="0" borderId="0" applyFont="0" applyFill="0" applyBorder="0" applyAlignment="0" applyProtection="0"/>
    <xf numFmtId="0" fontId="40" fillId="0" borderId="0" applyNumberFormat="0" applyFill="0" applyBorder="0" applyAlignment="0" applyProtection="0"/>
    <xf numFmtId="0" fontId="41" fillId="4" borderId="0" applyNumberFormat="0" applyBorder="0" applyAlignment="0" applyProtection="0"/>
    <xf numFmtId="0" fontId="42" fillId="0" borderId="2" applyNumberFormat="0" applyFill="0" applyAlignment="0" applyProtection="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21" borderId="5" applyNumberFormat="0" applyAlignment="0" applyProtection="0"/>
    <xf numFmtId="0" fontId="46" fillId="7" borderId="1" applyNumberFormat="0" applyAlignment="0" applyProtection="0"/>
    <xf numFmtId="0" fontId="47" fillId="0" borderId="6" applyNumberFormat="0" applyFill="0" applyAlignment="0" applyProtection="0"/>
    <xf numFmtId="0" fontId="48" fillId="22" borderId="0" applyNumberFormat="0" applyBorder="0" applyAlignment="0" applyProtection="0"/>
    <xf numFmtId="0" fontId="17" fillId="0" borderId="0"/>
    <xf numFmtId="0" fontId="73" fillId="0" borderId="0"/>
    <xf numFmtId="0" fontId="17" fillId="0" borderId="0"/>
    <xf numFmtId="0" fontId="17" fillId="0" borderId="0"/>
    <xf numFmtId="0" fontId="57" fillId="0" borderId="0"/>
    <xf numFmtId="0" fontId="21" fillId="0" borderId="0"/>
    <xf numFmtId="0" fontId="49" fillId="0" borderId="0"/>
    <xf numFmtId="0" fontId="39" fillId="23" borderId="7" applyNumberFormat="0" applyFont="0" applyAlignment="0" applyProtection="0"/>
    <xf numFmtId="0" fontId="50" fillId="20" borderId="8" applyNumberFormat="0" applyAlignment="0" applyProtection="0"/>
    <xf numFmtId="4" fontId="12" fillId="22" borderId="9" applyNumberFormat="0" applyProtection="0">
      <alignment vertical="center"/>
    </xf>
    <xf numFmtId="4" fontId="13" fillId="24" borderId="9" applyNumberFormat="0" applyProtection="0">
      <alignment vertical="center"/>
    </xf>
    <xf numFmtId="4" fontId="12" fillId="24" borderId="9" applyNumberFormat="0" applyProtection="0">
      <alignment horizontal="left" vertical="center" indent="1"/>
    </xf>
    <xf numFmtId="0" fontId="12" fillId="24" borderId="9" applyNumberFormat="0" applyProtection="0">
      <alignment horizontal="left" vertical="top" indent="1"/>
    </xf>
    <xf numFmtId="4" fontId="14" fillId="3" borderId="9" applyNumberFormat="0" applyProtection="0">
      <alignment horizontal="right" vertical="center"/>
    </xf>
    <xf numFmtId="4" fontId="14" fillId="9" borderId="9" applyNumberFormat="0" applyProtection="0">
      <alignment horizontal="right" vertical="center"/>
    </xf>
    <xf numFmtId="4" fontId="14" fillId="17" borderId="9" applyNumberFormat="0" applyProtection="0">
      <alignment horizontal="right" vertical="center"/>
    </xf>
    <xf numFmtId="4" fontId="14" fillId="11" borderId="9" applyNumberFormat="0" applyProtection="0">
      <alignment horizontal="right" vertical="center"/>
    </xf>
    <xf numFmtId="4" fontId="14" fillId="15" borderId="9" applyNumberFormat="0" applyProtection="0">
      <alignment horizontal="right" vertical="center"/>
    </xf>
    <xf numFmtId="4" fontId="14" fillId="19" borderId="9" applyNumberFormat="0" applyProtection="0">
      <alignment horizontal="right" vertical="center"/>
    </xf>
    <xf numFmtId="4" fontId="14" fillId="18" borderId="9" applyNumberFormat="0" applyProtection="0">
      <alignment horizontal="right" vertical="center"/>
    </xf>
    <xf numFmtId="4" fontId="14" fillId="25" borderId="9" applyNumberFormat="0" applyProtection="0">
      <alignment horizontal="right" vertical="center"/>
    </xf>
    <xf numFmtId="4" fontId="14" fillId="10" borderId="9" applyNumberFormat="0" applyProtection="0">
      <alignment horizontal="right" vertical="center"/>
    </xf>
    <xf numFmtId="4" fontId="12" fillId="26" borderId="10" applyNumberFormat="0" applyProtection="0">
      <alignment horizontal="left" vertical="center" indent="1"/>
    </xf>
    <xf numFmtId="4" fontId="14" fillId="27" borderId="0" applyNumberFormat="0" applyProtection="0">
      <alignment horizontal="left" vertical="center" indent="1"/>
    </xf>
    <xf numFmtId="4" fontId="15" fillId="28" borderId="0" applyNumberFormat="0" applyProtection="0">
      <alignment horizontal="left" vertical="center" indent="1"/>
    </xf>
    <xf numFmtId="4" fontId="14" fillId="29" borderId="9" applyNumberFormat="0" applyProtection="0">
      <alignment horizontal="right" vertical="center"/>
    </xf>
    <xf numFmtId="4" fontId="16" fillId="27" borderId="0" applyNumberFormat="0" applyProtection="0">
      <alignment horizontal="left" vertical="center" indent="1"/>
    </xf>
    <xf numFmtId="4" fontId="16" fillId="30" borderId="0" applyNumberFormat="0" applyProtection="0">
      <alignment horizontal="left" vertical="center" indent="1"/>
    </xf>
    <xf numFmtId="0" fontId="17" fillId="28" borderId="9" applyNumberFormat="0" applyProtection="0">
      <alignment horizontal="left" vertical="center" indent="1"/>
    </xf>
    <xf numFmtId="0" fontId="17" fillId="28" borderId="9" applyNumberFormat="0" applyProtection="0">
      <alignment horizontal="left" vertical="top" indent="1"/>
    </xf>
    <xf numFmtId="0" fontId="17" fillId="30" borderId="9" applyNumberFormat="0" applyProtection="0">
      <alignment horizontal="left" vertical="center" indent="1"/>
    </xf>
    <xf numFmtId="0" fontId="17" fillId="30" borderId="9" applyNumberFormat="0" applyProtection="0">
      <alignment horizontal="left" vertical="top" indent="1"/>
    </xf>
    <xf numFmtId="0" fontId="17" fillId="31" borderId="9" applyNumberFormat="0" applyProtection="0">
      <alignment horizontal="left" vertical="center" indent="1"/>
    </xf>
    <xf numFmtId="0" fontId="17" fillId="31" borderId="9" applyNumberFormat="0" applyProtection="0">
      <alignment horizontal="left" vertical="top" indent="1"/>
    </xf>
    <xf numFmtId="0" fontId="17" fillId="32" borderId="9" applyNumberFormat="0" applyProtection="0">
      <alignment horizontal="left" vertical="center" indent="1"/>
    </xf>
    <xf numFmtId="0" fontId="17" fillId="32" borderId="9" applyNumberFormat="0" applyProtection="0">
      <alignment horizontal="left" vertical="top" indent="1"/>
    </xf>
    <xf numFmtId="4" fontId="12" fillId="30" borderId="0" applyNumberFormat="0" applyProtection="0">
      <alignment horizontal="left" vertical="center" indent="1"/>
    </xf>
    <xf numFmtId="4" fontId="14" fillId="33" borderId="9" applyNumberFormat="0" applyProtection="0">
      <alignment vertical="center"/>
    </xf>
    <xf numFmtId="4" fontId="18" fillId="33" borderId="9" applyNumberFormat="0" applyProtection="0">
      <alignment vertical="center"/>
    </xf>
    <xf numFmtId="4" fontId="14" fillId="33" borderId="9" applyNumberFormat="0" applyProtection="0">
      <alignment horizontal="left" vertical="center" indent="1"/>
    </xf>
    <xf numFmtId="0" fontId="14" fillId="33" borderId="9" applyNumberFormat="0" applyProtection="0">
      <alignment horizontal="left" vertical="top" indent="1"/>
    </xf>
    <xf numFmtId="4" fontId="14" fillId="27" borderId="9" applyNumberFormat="0" applyProtection="0">
      <alignment horizontal="right" vertical="center"/>
    </xf>
    <xf numFmtId="4" fontId="18" fillId="27" borderId="9" applyNumberFormat="0" applyProtection="0">
      <alignment horizontal="right" vertical="center"/>
    </xf>
    <xf numFmtId="4" fontId="14" fillId="29" borderId="9" applyNumberFormat="0" applyProtection="0">
      <alignment horizontal="left" vertical="center" indent="1"/>
    </xf>
    <xf numFmtId="0" fontId="14" fillId="30" borderId="9" applyNumberFormat="0" applyProtection="0">
      <alignment horizontal="left" vertical="top" indent="1"/>
    </xf>
    <xf numFmtId="4" fontId="19" fillId="34" borderId="0" applyNumberFormat="0" applyProtection="0">
      <alignment horizontal="left" vertical="center" indent="1"/>
    </xf>
    <xf numFmtId="4" fontId="20" fillId="27" borderId="9" applyNumberFormat="0" applyProtection="0">
      <alignment horizontal="right" vertical="center"/>
    </xf>
    <xf numFmtId="0" fontId="51" fillId="0" borderId="0" applyNumberFormat="0" applyFill="0" applyBorder="0" applyAlignment="0" applyProtection="0"/>
    <xf numFmtId="0" fontId="52" fillId="0" borderId="11" applyNumberFormat="0" applyFill="0" applyAlignment="0" applyProtection="0"/>
    <xf numFmtId="0" fontId="53" fillId="0" borderId="0" applyNumberFormat="0" applyFill="0" applyBorder="0" applyAlignment="0" applyProtection="0"/>
    <xf numFmtId="0" fontId="85" fillId="0" borderId="0"/>
    <xf numFmtId="0" fontId="85" fillId="0" borderId="0"/>
  </cellStyleXfs>
  <cellXfs count="944">
    <xf numFmtId="0" fontId="0" fillId="0" borderId="0" xfId="0"/>
    <xf numFmtId="0" fontId="3" fillId="0" borderId="13" xfId="0"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3" fontId="2" fillId="0" borderId="14" xfId="0" applyNumberFormat="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0" fontId="3" fillId="0" borderId="0" xfId="0" applyFont="1" applyFill="1"/>
    <xf numFmtId="49" fontId="3" fillId="0" borderId="13" xfId="0" applyNumberFormat="1" applyFont="1" applyFill="1" applyBorder="1" applyAlignment="1">
      <alignment horizontal="left" vertical="center" wrapText="1" indent="1"/>
    </xf>
    <xf numFmtId="49" fontId="2" fillId="0" borderId="13" xfId="0" applyNumberFormat="1" applyFont="1" applyFill="1" applyBorder="1" applyAlignment="1">
      <alignment horizontal="left" vertical="center" wrapText="1" indent="1"/>
    </xf>
    <xf numFmtId="49" fontId="2" fillId="0" borderId="17" xfId="0" applyNumberFormat="1" applyFont="1" applyFill="1" applyBorder="1" applyAlignment="1">
      <alignment horizontal="left" vertical="center" wrapText="1" indent="1"/>
    </xf>
    <xf numFmtId="3" fontId="3" fillId="0" borderId="13" xfId="0" applyNumberFormat="1" applyFont="1" applyFill="1" applyBorder="1" applyAlignment="1">
      <alignment horizontal="right" vertical="center" wrapText="1" indent="1"/>
    </xf>
    <xf numFmtId="3" fontId="6" fillId="0" borderId="14" xfId="0" applyNumberFormat="1" applyFont="1" applyFill="1" applyBorder="1" applyAlignment="1">
      <alignment horizontal="center" vertical="center" wrapText="1"/>
    </xf>
    <xf numFmtId="49" fontId="6" fillId="0" borderId="13" xfId="0" applyNumberFormat="1" applyFont="1" applyFill="1" applyBorder="1" applyAlignment="1">
      <alignment horizontal="left" vertical="center" wrapText="1" inden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13" xfId="0" applyFont="1" applyFill="1" applyBorder="1" applyAlignment="1">
      <alignment horizontal="left" vertical="center" wrapText="1" indent="1"/>
    </xf>
    <xf numFmtId="0" fontId="7" fillId="0" borderId="0" xfId="0" applyFont="1"/>
    <xf numFmtId="1" fontId="3" fillId="0" borderId="13" xfId="0" applyNumberFormat="1" applyFont="1" applyFill="1" applyBorder="1" applyAlignment="1">
      <alignment horizontal="center" vertical="center" wrapText="1"/>
    </xf>
    <xf numFmtId="49" fontId="6" fillId="0" borderId="17" xfId="0" applyNumberFormat="1" applyFont="1" applyFill="1" applyBorder="1" applyAlignment="1">
      <alignment horizontal="left" vertical="center" wrapText="1" indent="1"/>
    </xf>
    <xf numFmtId="0" fontId="7" fillId="0" borderId="0" xfId="0" applyFont="1" applyFill="1" applyAlignment="1">
      <alignment vertical="center" wrapText="1"/>
    </xf>
    <xf numFmtId="0" fontId="7" fillId="0" borderId="0" xfId="0" applyFont="1" applyFill="1" applyAlignment="1">
      <alignment horizontal="left" vertical="center" wrapText="1" indent="1"/>
    </xf>
    <xf numFmtId="0" fontId="7" fillId="0" borderId="0" xfId="0" applyFont="1" applyFill="1" applyAlignment="1">
      <alignment horizontal="left" vertical="center" wrapText="1" indent="3"/>
    </xf>
    <xf numFmtId="0" fontId="7" fillId="0" borderId="0" xfId="0" applyFont="1" applyFill="1" applyAlignment="1">
      <alignment horizontal="left" vertical="center" wrapText="1" indent="2"/>
    </xf>
    <xf numFmtId="0" fontId="6" fillId="0" borderId="17" xfId="0" applyFont="1" applyFill="1" applyBorder="1" applyAlignment="1">
      <alignment horizontal="left" vertical="center" wrapText="1" indent="1"/>
    </xf>
    <xf numFmtId="0" fontId="3" fillId="0" borderId="0" xfId="0" applyFont="1" applyFill="1" applyAlignment="1">
      <alignment vertical="center" wrapText="1"/>
    </xf>
    <xf numFmtId="0" fontId="28" fillId="0" borderId="0" xfId="0" applyFont="1" applyFill="1" applyAlignment="1">
      <alignment vertical="center" wrapText="1"/>
    </xf>
    <xf numFmtId="0" fontId="6" fillId="0" borderId="23" xfId="0" applyFont="1" applyFill="1" applyBorder="1" applyAlignment="1">
      <alignment horizontal="center" vertical="center" wrapText="1"/>
    </xf>
    <xf numFmtId="0" fontId="6" fillId="0" borderId="0" xfId="0" applyFont="1" applyFill="1" applyAlignment="1">
      <alignment vertical="center" wrapText="1"/>
    </xf>
    <xf numFmtId="49" fontId="7" fillId="0" borderId="13" xfId="0" applyNumberFormat="1" applyFont="1" applyFill="1" applyBorder="1" applyAlignment="1">
      <alignment horizontal="left" vertical="center" wrapText="1" indent="1"/>
    </xf>
    <xf numFmtId="0" fontId="7" fillId="0" borderId="15" xfId="0" applyFont="1" applyFill="1" applyBorder="1" applyAlignment="1">
      <alignment horizontal="center" vertical="center" wrapText="1"/>
    </xf>
    <xf numFmtId="3" fontId="2" fillId="0" borderId="14" xfId="0" applyNumberFormat="1" applyFont="1" applyFill="1" applyBorder="1" applyAlignment="1">
      <alignment horizontal="right" vertical="center" wrapText="1" indent="1"/>
    </xf>
    <xf numFmtId="0" fontId="8" fillId="0" borderId="13" xfId="0" applyFont="1" applyFill="1" applyBorder="1" applyAlignment="1">
      <alignment horizontal="left" vertical="center" wrapText="1" indent="1"/>
    </xf>
    <xf numFmtId="3" fontId="6" fillId="0" borderId="30" xfId="43" applyNumberFormat="1" applyFont="1" applyFill="1" applyBorder="1" applyAlignment="1">
      <alignment horizontal="center" vertical="center" wrapText="1"/>
    </xf>
    <xf numFmtId="0" fontId="6" fillId="0" borderId="30" xfId="43" applyNumberFormat="1" applyFont="1" applyFill="1" applyBorder="1" applyAlignment="1">
      <alignment horizontal="center" vertical="center" wrapText="1"/>
    </xf>
    <xf numFmtId="167" fontId="56" fillId="35" borderId="13" xfId="75" quotePrefix="1" applyNumberFormat="1" applyFont="1" applyFill="1" applyBorder="1" applyAlignment="1" applyProtection="1">
      <alignment horizontal="left" vertical="center" wrapText="1" indent="1"/>
      <protection locked="0"/>
    </xf>
    <xf numFmtId="167" fontId="55" fillId="35" borderId="13" xfId="83" quotePrefix="1" applyNumberFormat="1" applyFont="1" applyFill="1" applyBorder="1" applyAlignment="1" applyProtection="1">
      <alignment horizontal="left" vertical="center" wrapText="1" indent="1"/>
      <protection locked="0"/>
    </xf>
    <xf numFmtId="167" fontId="55" fillId="35" borderId="13" xfId="82" quotePrefix="1" applyNumberFormat="1" applyFont="1" applyFill="1" applyBorder="1" applyProtection="1">
      <alignment horizontal="left" vertical="center" indent="1"/>
      <protection locked="0"/>
    </xf>
    <xf numFmtId="0" fontId="7" fillId="0" borderId="13" xfId="0" applyFont="1" applyBorder="1"/>
    <xf numFmtId="167" fontId="56" fillId="35" borderId="13" xfId="50" quotePrefix="1" applyNumberFormat="1" applyFont="1" applyFill="1" applyBorder="1">
      <alignment horizontal="left" vertical="center" indent="1"/>
    </xf>
    <xf numFmtId="167" fontId="56" fillId="35" borderId="13" xfId="50" applyNumberFormat="1" applyFont="1" applyFill="1" applyBorder="1">
      <alignment horizontal="left" vertical="center" indent="1"/>
    </xf>
    <xf numFmtId="167" fontId="55" fillId="35" borderId="13" xfId="82" applyNumberFormat="1" applyFont="1" applyFill="1" applyBorder="1" applyAlignment="1" applyProtection="1">
      <alignment vertical="center"/>
      <protection locked="0"/>
    </xf>
    <xf numFmtId="167" fontId="56" fillId="35" borderId="13" xfId="82" quotePrefix="1" applyNumberFormat="1" applyFont="1" applyFill="1" applyBorder="1" applyProtection="1">
      <alignment horizontal="left" vertical="center" indent="1"/>
      <protection locked="0"/>
    </xf>
    <xf numFmtId="167" fontId="55" fillId="35" borderId="13" xfId="83" applyNumberFormat="1" applyFont="1" applyFill="1" applyBorder="1" applyAlignment="1" applyProtection="1">
      <alignment horizontal="left" vertical="center" wrapText="1" indent="1"/>
      <protection locked="0"/>
    </xf>
    <xf numFmtId="49" fontId="6" fillId="0" borderId="13" xfId="41" applyNumberFormat="1" applyFont="1" applyFill="1" applyBorder="1" applyAlignment="1">
      <alignment horizontal="center"/>
    </xf>
    <xf numFmtId="164" fontId="6" fillId="0" borderId="13" xfId="28" applyNumberFormat="1" applyFont="1" applyFill="1" applyBorder="1" applyProtection="1">
      <protection locked="0"/>
    </xf>
    <xf numFmtId="49" fontId="7" fillId="0" borderId="13" xfId="41" applyNumberFormat="1" applyFont="1" applyFill="1" applyBorder="1" applyAlignment="1">
      <alignment horizontal="center"/>
    </xf>
    <xf numFmtId="0" fontId="6" fillId="0" borderId="15" xfId="41" applyFont="1" applyFill="1" applyBorder="1" applyAlignment="1">
      <alignment vertical="center" wrapText="1"/>
    </xf>
    <xf numFmtId="0" fontId="6" fillId="0" borderId="13" xfId="41" applyFont="1" applyFill="1" applyBorder="1" applyAlignment="1">
      <alignment vertical="center" wrapText="1"/>
    </xf>
    <xf numFmtId="0" fontId="6" fillId="0" borderId="43" xfId="0" applyFont="1" applyFill="1" applyBorder="1" applyAlignment="1">
      <alignment horizontal="center" vertical="center" wrapText="1"/>
    </xf>
    <xf numFmtId="0" fontId="7" fillId="0" borderId="44" xfId="0" applyFont="1" applyFill="1" applyBorder="1" applyAlignment="1">
      <alignment horizontal="left" vertical="center" wrapText="1" indent="1"/>
    </xf>
    <xf numFmtId="0" fontId="7" fillId="0" borderId="46" xfId="0" applyFont="1" applyFill="1" applyBorder="1" applyAlignment="1">
      <alignment horizontal="left" vertical="center" wrapText="1" indent="1"/>
    </xf>
    <xf numFmtId="0" fontId="7" fillId="0" borderId="45" xfId="0" applyFont="1" applyFill="1" applyBorder="1" applyAlignment="1">
      <alignment horizontal="left" vertical="center" wrapText="1" indent="1"/>
    </xf>
    <xf numFmtId="0" fontId="6" fillId="0" borderId="47" xfId="43" applyNumberFormat="1" applyFont="1" applyFill="1" applyBorder="1" applyAlignment="1">
      <alignment horizontal="center" vertical="center" wrapText="1"/>
    </xf>
    <xf numFmtId="0" fontId="23" fillId="0" borderId="15" xfId="41" applyFont="1" applyFill="1" applyBorder="1" applyAlignment="1">
      <alignment horizontal="left" indent="1"/>
    </xf>
    <xf numFmtId="3" fontId="23" fillId="0" borderId="31" xfId="28" applyNumberFormat="1" applyFont="1" applyFill="1" applyBorder="1" applyAlignment="1">
      <alignment horizontal="center"/>
    </xf>
    <xf numFmtId="3" fontId="23" fillId="0" borderId="36" xfId="28" applyNumberFormat="1" applyFont="1" applyFill="1" applyBorder="1" applyAlignment="1">
      <alignment horizontal="center"/>
    </xf>
    <xf numFmtId="0" fontId="63" fillId="0" borderId="14" xfId="0" applyFont="1" applyFill="1" applyBorder="1" applyAlignment="1">
      <alignment horizontal="center" vertical="center" wrapText="1"/>
    </xf>
    <xf numFmtId="49" fontId="6" fillId="0" borderId="25" xfId="41" applyNumberFormat="1" applyFont="1" applyFill="1" applyBorder="1" applyAlignment="1">
      <alignment horizontal="center"/>
    </xf>
    <xf numFmtId="0" fontId="23" fillId="0" borderId="44" xfId="0" applyFont="1" applyFill="1" applyBorder="1" applyAlignment="1">
      <alignment horizontal="left" vertical="center" wrapText="1" indent="1"/>
    </xf>
    <xf numFmtId="0" fontId="3" fillId="0" borderId="0" xfId="0" applyFont="1" applyFill="1" applyBorder="1"/>
    <xf numFmtId="0" fontId="2" fillId="0" borderId="0" xfId="0" applyFont="1" applyFill="1" applyBorder="1" applyAlignment="1">
      <alignment horizontal="center" vertical="center"/>
    </xf>
    <xf numFmtId="49" fontId="2" fillId="0" borderId="13" xfId="0" applyNumberFormat="1" applyFont="1" applyFill="1" applyBorder="1" applyAlignment="1">
      <alignment horizontal="left" vertical="center" wrapText="1"/>
    </xf>
    <xf numFmtId="0" fontId="3" fillId="0" borderId="0" xfId="0" applyFont="1" applyFill="1" applyBorder="1" applyAlignment="1">
      <alignment vertical="center"/>
    </xf>
    <xf numFmtId="0" fontId="3" fillId="0" borderId="16" xfId="0" applyFont="1" applyFill="1" applyBorder="1" applyAlignment="1">
      <alignment horizontal="center" vertical="center" wrapText="1"/>
    </xf>
    <xf numFmtId="49" fontId="3" fillId="0" borderId="0" xfId="0" applyNumberFormat="1" applyFont="1" applyFill="1" applyBorder="1" applyAlignment="1">
      <alignment horizontal="left" indent="1"/>
    </xf>
    <xf numFmtId="0" fontId="23" fillId="0" borderId="0" xfId="0" applyFont="1" applyFill="1" applyBorder="1" applyAlignment="1">
      <alignment vertical="center"/>
    </xf>
    <xf numFmtId="3" fontId="3" fillId="0" borderId="13" xfId="39" applyNumberFormat="1" applyFont="1" applyFill="1" applyBorder="1" applyAlignment="1">
      <alignment horizontal="center" wrapText="1"/>
    </xf>
    <xf numFmtId="0" fontId="3" fillId="0" borderId="0" xfId="39" applyFont="1" applyFill="1" applyAlignment="1">
      <alignment horizontal="center"/>
    </xf>
    <xf numFmtId="0" fontId="3" fillId="0" borderId="0" xfId="39" applyFont="1" applyFill="1"/>
    <xf numFmtId="0" fontId="3" fillId="0" borderId="0" xfId="39" applyFont="1" applyFill="1" applyBorder="1" applyAlignment="1">
      <alignment horizontal="center" vertical="center" wrapText="1"/>
    </xf>
    <xf numFmtId="49" fontId="2" fillId="0" borderId="0" xfId="39" applyNumberFormat="1" applyFont="1" applyFill="1" applyBorder="1" applyAlignment="1">
      <alignment horizontal="left" vertical="top" wrapText="1" indent="1"/>
    </xf>
    <xf numFmtId="3" fontId="6" fillId="0" borderId="0" xfId="39" applyNumberFormat="1" applyFont="1" applyFill="1" applyBorder="1" applyAlignment="1">
      <alignment horizontal="right" vertical="center" wrapText="1" indent="1"/>
    </xf>
    <xf numFmtId="0" fontId="3" fillId="0" borderId="20" xfId="0"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3" fontId="3" fillId="0" borderId="38" xfId="39" applyNumberFormat="1" applyFont="1" applyFill="1" applyBorder="1" applyAlignment="1">
      <alignment horizontal="center" wrapText="1"/>
    </xf>
    <xf numFmtId="49" fontId="3" fillId="0" borderId="13" xfId="39" applyNumberFormat="1" applyFont="1" applyFill="1" applyBorder="1" applyAlignment="1">
      <alignment horizontal="left" vertical="center" wrapText="1" indent="1"/>
    </xf>
    <xf numFmtId="0" fontId="7" fillId="0" borderId="15" xfId="41" applyFont="1" applyFill="1" applyBorder="1" applyAlignment="1">
      <alignment horizontal="left" indent="1"/>
    </xf>
    <xf numFmtId="0" fontId="7" fillId="0" borderId="21" xfId="41" applyFont="1" applyFill="1" applyBorder="1" applyAlignment="1">
      <alignment horizontal="left" indent="1"/>
    </xf>
    <xf numFmtId="0" fontId="3" fillId="0" borderId="15" xfId="39" applyFont="1" applyFill="1" applyBorder="1" applyAlignment="1">
      <alignment horizontal="center" vertical="center" wrapText="1"/>
    </xf>
    <xf numFmtId="0" fontId="3" fillId="0" borderId="16" xfId="39" applyFont="1" applyFill="1" applyBorder="1" applyAlignment="1">
      <alignment horizontal="center" vertical="center" wrapText="1"/>
    </xf>
    <xf numFmtId="0" fontId="74" fillId="0" borderId="13" xfId="0" applyFont="1" applyFill="1" applyBorder="1" applyAlignment="1">
      <alignment horizontal="center" vertical="center" wrapText="1"/>
    </xf>
    <xf numFmtId="0" fontId="74" fillId="0" borderId="14" xfId="0" applyFont="1" applyFill="1" applyBorder="1" applyAlignment="1">
      <alignment horizontal="center" vertical="center" wrapText="1"/>
    </xf>
    <xf numFmtId="49" fontId="3" fillId="0" borderId="19" xfId="0" applyNumberFormat="1" applyFont="1" applyFill="1" applyBorder="1" applyAlignment="1">
      <alignment horizontal="left" vertical="center" wrapText="1" indent="1"/>
    </xf>
    <xf numFmtId="0" fontId="6" fillId="0" borderId="44" xfId="0" applyFont="1" applyFill="1" applyBorder="1" applyAlignment="1">
      <alignment horizontal="left" vertical="center" wrapText="1" indent="1"/>
    </xf>
    <xf numFmtId="0" fontId="14" fillId="0" borderId="66" xfId="82" quotePrefix="1" applyNumberFormat="1" applyFill="1" applyBorder="1" applyProtection="1">
      <alignment horizontal="left" vertical="center" indent="1"/>
    </xf>
    <xf numFmtId="0" fontId="14" fillId="0" borderId="67" xfId="82" quotePrefix="1" applyNumberFormat="1" applyFill="1" applyBorder="1" applyProtection="1">
      <alignment horizontal="left" vertical="center" indent="1"/>
    </xf>
    <xf numFmtId="3" fontId="6" fillId="0" borderId="33" xfId="0" applyNumberFormat="1" applyFont="1" applyFill="1" applyBorder="1" applyAlignment="1">
      <alignment horizontal="center" vertical="center" wrapText="1"/>
    </xf>
    <xf numFmtId="3" fontId="6" fillId="0" borderId="68" xfId="0" applyNumberFormat="1" applyFont="1" applyFill="1" applyBorder="1" applyAlignment="1">
      <alignment horizontal="center" vertical="center" wrapText="1"/>
    </xf>
    <xf numFmtId="3" fontId="6" fillId="0" borderId="51" xfId="0" applyNumberFormat="1" applyFont="1" applyFill="1" applyBorder="1" applyAlignment="1">
      <alignment horizontal="center" vertical="center" wrapText="1"/>
    </xf>
    <xf numFmtId="3" fontId="6" fillId="0" borderId="69" xfId="0" applyNumberFormat="1" applyFont="1" applyFill="1" applyBorder="1" applyAlignment="1">
      <alignment horizontal="center" vertical="center" wrapText="1"/>
    </xf>
    <xf numFmtId="0" fontId="14" fillId="0" borderId="70" xfId="82" quotePrefix="1" applyNumberFormat="1" applyFill="1" applyBorder="1" applyProtection="1">
      <alignment horizontal="left" vertical="center" indent="1"/>
    </xf>
    <xf numFmtId="0" fontId="14" fillId="0" borderId="71" xfId="82" quotePrefix="1" applyNumberFormat="1" applyFill="1" applyBorder="1" applyProtection="1">
      <alignment horizontal="left" vertical="center" indent="1"/>
    </xf>
    <xf numFmtId="49" fontId="76" fillId="0" borderId="50" xfId="0" applyNumberFormat="1" applyFont="1" applyFill="1" applyBorder="1" applyAlignment="1">
      <alignment horizontal="left" vertical="top" wrapText="1"/>
    </xf>
    <xf numFmtId="49" fontId="3" fillId="0" borderId="13" xfId="0" applyNumberFormat="1" applyFont="1" applyFill="1" applyBorder="1" applyAlignment="1">
      <alignment horizontal="left" vertical="top" wrapText="1" indent="1"/>
    </xf>
    <xf numFmtId="49" fontId="2" fillId="0" borderId="13" xfId="0" applyNumberFormat="1" applyFont="1" applyFill="1" applyBorder="1" applyAlignment="1">
      <alignment horizontal="left" vertical="top" wrapText="1" indent="1"/>
    </xf>
    <xf numFmtId="49" fontId="2" fillId="0" borderId="13" xfId="0" applyNumberFormat="1" applyFont="1" applyFill="1" applyBorder="1" applyAlignment="1">
      <alignment vertical="center" wrapText="1"/>
    </xf>
    <xf numFmtId="49" fontId="77" fillId="0" borderId="13" xfId="0" applyNumberFormat="1" applyFont="1" applyFill="1" applyBorder="1" applyAlignment="1">
      <alignment vertical="center" wrapText="1"/>
    </xf>
    <xf numFmtId="49" fontId="3" fillId="0" borderId="13" xfId="0" applyNumberFormat="1" applyFont="1" applyFill="1" applyBorder="1" applyAlignment="1">
      <alignment vertical="center" wrapText="1"/>
    </xf>
    <xf numFmtId="49" fontId="7" fillId="0" borderId="13" xfId="0" applyNumberFormat="1" applyFont="1" applyFill="1" applyBorder="1" applyAlignment="1">
      <alignment vertical="center" wrapText="1"/>
    </xf>
    <xf numFmtId="49" fontId="6" fillId="0" borderId="17" xfId="0" applyNumberFormat="1" applyFont="1" applyFill="1" applyBorder="1" applyAlignment="1">
      <alignment vertical="center" wrapText="1"/>
    </xf>
    <xf numFmtId="0" fontId="3" fillId="0" borderId="81" xfId="0" applyFont="1" applyFill="1" applyBorder="1" applyAlignment="1">
      <alignment horizontal="center" vertical="center" wrapText="1"/>
    </xf>
    <xf numFmtId="0" fontId="3" fillId="0" borderId="81" xfId="0" applyFont="1" applyFill="1" applyBorder="1" applyAlignment="1">
      <alignment horizontal="right" vertical="center" wrapText="1" indent="1"/>
    </xf>
    <xf numFmtId="0" fontId="6" fillId="0" borderId="65" xfId="0" applyFont="1" applyFill="1" applyBorder="1" applyAlignment="1">
      <alignment horizontal="center" vertical="center" wrapText="1"/>
    </xf>
    <xf numFmtId="0" fontId="7" fillId="0" borderId="20" xfId="0" applyFont="1" applyFill="1" applyBorder="1" applyAlignment="1">
      <alignment horizontal="left" vertical="center" wrapText="1" indent="1"/>
    </xf>
    <xf numFmtId="0" fontId="7" fillId="0" borderId="28" xfId="0"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7" fillId="0" borderId="44" xfId="0" applyFont="1" applyFill="1" applyBorder="1" applyAlignment="1">
      <alignment vertical="center" wrapText="1"/>
    </xf>
    <xf numFmtId="0" fontId="7" fillId="0" borderId="73" xfId="0" applyNumberFormat="1" applyFont="1" applyFill="1" applyBorder="1" applyAlignment="1">
      <alignment horizontal="left" vertical="center" wrapText="1" indent="1"/>
    </xf>
    <xf numFmtId="4" fontId="6" fillId="0" borderId="13" xfId="0" applyNumberFormat="1" applyFont="1" applyFill="1" applyBorder="1" applyAlignment="1">
      <alignment horizontal="center" vertical="center" wrapText="1"/>
    </xf>
    <xf numFmtId="4" fontId="6" fillId="0" borderId="17" xfId="0" applyNumberFormat="1" applyFont="1" applyFill="1" applyBorder="1" applyAlignment="1">
      <alignment horizontal="right" vertical="center" wrapText="1" indent="1"/>
    </xf>
    <xf numFmtId="4" fontId="3" fillId="0" borderId="13" xfId="0" applyNumberFormat="1" applyFont="1" applyFill="1" applyBorder="1" applyAlignment="1">
      <alignment horizontal="center" vertical="center" wrapText="1"/>
    </xf>
    <xf numFmtId="4" fontId="3" fillId="0" borderId="13" xfId="39" applyNumberFormat="1" applyFont="1" applyFill="1" applyBorder="1" applyAlignment="1">
      <alignment horizontal="right" vertical="center" wrapText="1" indent="1"/>
    </xf>
    <xf numFmtId="4" fontId="3" fillId="0" borderId="38" xfId="39" applyNumberFormat="1" applyFont="1" applyFill="1" applyBorder="1" applyAlignment="1">
      <alignment horizontal="right" vertical="center" wrapText="1" indent="1"/>
    </xf>
    <xf numFmtId="4" fontId="2" fillId="0" borderId="13" xfId="0" applyNumberFormat="1" applyFont="1" applyFill="1" applyBorder="1" applyAlignment="1">
      <alignment horizontal="center" vertical="center" wrapText="1"/>
    </xf>
    <xf numFmtId="167" fontId="69" fillId="0" borderId="13" xfId="0" applyNumberFormat="1" applyFont="1" applyFill="1" applyBorder="1" applyAlignment="1">
      <alignment horizontal="center" vertical="center" wrapText="1"/>
    </xf>
    <xf numFmtId="167" fontId="78" fillId="0" borderId="13" xfId="0" applyNumberFormat="1" applyFont="1" applyFill="1" applyBorder="1" applyAlignment="1">
      <alignment horizontal="center" vertical="center" wrapText="1"/>
    </xf>
    <xf numFmtId="4" fontId="3" fillId="0" borderId="13" xfId="0" applyNumberFormat="1" applyFont="1" applyFill="1" applyBorder="1" applyAlignment="1">
      <alignment horizontal="right" vertical="center" wrapText="1" indent="1"/>
    </xf>
    <xf numFmtId="4" fontId="3" fillId="0" borderId="19" xfId="0" applyNumberFormat="1" applyFont="1" applyFill="1" applyBorder="1" applyAlignment="1">
      <alignment horizontal="right" vertical="center" wrapText="1" indent="1"/>
    </xf>
    <xf numFmtId="4" fontId="3" fillId="0" borderId="17" xfId="0" applyNumberFormat="1" applyFont="1" applyFill="1" applyBorder="1" applyAlignment="1">
      <alignment horizontal="center" vertical="center" wrapText="1"/>
    </xf>
    <xf numFmtId="3" fontId="7" fillId="0" borderId="0" xfId="44" applyNumberFormat="1" applyFont="1" applyFill="1" applyBorder="1" applyAlignment="1">
      <alignment vertical="center"/>
    </xf>
    <xf numFmtId="3" fontId="7" fillId="0" borderId="0" xfId="44" applyNumberFormat="1" applyFont="1" applyFill="1" applyBorder="1" applyAlignment="1">
      <alignment vertical="center" wrapText="1"/>
    </xf>
    <xf numFmtId="4" fontId="3" fillId="0" borderId="0" xfId="0" applyNumberFormat="1" applyFont="1" applyFill="1" applyBorder="1"/>
    <xf numFmtId="4" fontId="23" fillId="0" borderId="0" xfId="0" applyNumberFormat="1" applyFont="1" applyFill="1" applyBorder="1" applyAlignment="1">
      <alignment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49" fontId="3" fillId="0" borderId="0" xfId="0" applyNumberFormat="1" applyFont="1" applyFill="1" applyAlignment="1">
      <alignment horizontal="left" wrapText="1" indent="1"/>
    </xf>
    <xf numFmtId="49" fontId="3" fillId="0" borderId="0" xfId="0" applyNumberFormat="1" applyFont="1" applyFill="1" applyAlignment="1">
      <alignment horizontal="left" wrapText="1"/>
    </xf>
    <xf numFmtId="0" fontId="3" fillId="0" borderId="0" xfId="0" applyFont="1" applyFill="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4" fontId="2" fillId="0" borderId="13" xfId="0" applyNumberFormat="1" applyFont="1" applyFill="1" applyBorder="1" applyAlignment="1">
      <alignment horizontal="right" vertical="center" wrapText="1" indent="1"/>
    </xf>
    <xf numFmtId="4" fontId="2" fillId="0" borderId="17" xfId="0" applyNumberFormat="1" applyFont="1" applyFill="1" applyBorder="1" applyAlignment="1" applyProtection="1">
      <alignment horizontal="right" vertical="center" wrapText="1" indent="1"/>
    </xf>
    <xf numFmtId="3" fontId="2" fillId="0" borderId="18" xfId="0" applyNumberFormat="1" applyFont="1" applyFill="1" applyBorder="1" applyAlignment="1">
      <alignment horizontal="right" vertical="center" wrapText="1" inden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indent="1"/>
    </xf>
    <xf numFmtId="0" fontId="3" fillId="0" borderId="75" xfId="0" applyFont="1" applyFill="1" applyBorder="1" applyAlignment="1">
      <alignment horizontal="center" vertical="center" wrapText="1"/>
    </xf>
    <xf numFmtId="0" fontId="3" fillId="0" borderId="0" xfId="0" applyFont="1" applyFill="1" applyAlignment="1">
      <alignment horizontal="right"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left" vertical="center" wrapText="1" indent="1"/>
    </xf>
    <xf numFmtId="0" fontId="2" fillId="0" borderId="0" xfId="0" applyFont="1" applyFill="1"/>
    <xf numFmtId="4" fontId="6" fillId="0" borderId="13" xfId="0" applyNumberFormat="1" applyFont="1" applyFill="1" applyBorder="1" applyAlignment="1">
      <alignment horizontal="right" vertical="center" wrapText="1" indent="1"/>
    </xf>
    <xf numFmtId="3" fontId="6" fillId="0" borderId="14" xfId="0" applyNumberFormat="1" applyFont="1" applyFill="1" applyBorder="1" applyAlignment="1">
      <alignment horizontal="right" vertical="center" wrapText="1" indent="1"/>
    </xf>
    <xf numFmtId="0" fontId="7" fillId="0" borderId="13" xfId="0" applyFont="1" applyFill="1" applyBorder="1" applyAlignment="1">
      <alignment horizontal="left" vertical="top" wrapText="1" indent="1"/>
    </xf>
    <xf numFmtId="4" fontId="7" fillId="0" borderId="13" xfId="0" applyNumberFormat="1" applyFont="1" applyFill="1" applyBorder="1" applyAlignment="1">
      <alignment horizontal="right" vertical="center" wrapText="1" indent="1"/>
    </xf>
    <xf numFmtId="3" fontId="6" fillId="0" borderId="26" xfId="0" applyNumberFormat="1" applyFont="1" applyFill="1" applyBorder="1" applyAlignment="1">
      <alignment horizontal="right" vertical="center" wrapText="1" indent="1"/>
    </xf>
    <xf numFmtId="4" fontId="2" fillId="0" borderId="17" xfId="0" applyNumberFormat="1" applyFont="1" applyFill="1" applyBorder="1" applyAlignment="1">
      <alignment horizontal="right" vertical="center" wrapText="1" indent="1"/>
    </xf>
    <xf numFmtId="3" fontId="6" fillId="0" borderId="18" xfId="0" applyNumberFormat="1" applyFont="1" applyFill="1" applyBorder="1" applyAlignment="1">
      <alignment horizontal="right" vertical="center" wrapText="1" indent="1"/>
    </xf>
    <xf numFmtId="0" fontId="8" fillId="0" borderId="0" xfId="0" applyFont="1" applyFill="1" applyAlignment="1">
      <alignment horizontal="center" vertical="center"/>
    </xf>
    <xf numFmtId="0" fontId="8" fillId="0" borderId="0" xfId="0" applyFont="1" applyFill="1" applyAlignment="1">
      <alignment horizontal="left" indent="1"/>
    </xf>
    <xf numFmtId="0" fontId="8" fillId="0" borderId="0" xfId="0" applyFont="1" applyFill="1"/>
    <xf numFmtId="0" fontId="3" fillId="0" borderId="0" xfId="0" applyFont="1" applyFill="1" applyAlignment="1">
      <alignment horizontal="center" vertical="center"/>
    </xf>
    <xf numFmtId="4" fontId="3" fillId="0" borderId="0" xfId="0" applyNumberFormat="1" applyFont="1" applyFill="1" applyAlignment="1">
      <alignment vertical="center"/>
    </xf>
    <xf numFmtId="0" fontId="2" fillId="0" borderId="15" xfId="0" applyFont="1" applyFill="1" applyBorder="1" applyAlignment="1">
      <alignment horizontal="center" vertical="center" wrapText="1"/>
    </xf>
    <xf numFmtId="3" fontId="6" fillId="0" borderId="13" xfId="0" applyNumberFormat="1" applyFont="1" applyFill="1" applyBorder="1" applyAlignment="1">
      <alignment horizontal="right" vertical="center" wrapText="1" indent="1"/>
    </xf>
    <xf numFmtId="3" fontId="6" fillId="0" borderId="13" xfId="0" applyNumberFormat="1" applyFont="1" applyFill="1" applyBorder="1" applyAlignment="1">
      <alignment horizontal="right" vertical="center" indent="1"/>
    </xf>
    <xf numFmtId="3" fontId="6" fillId="0" borderId="14" xfId="0" applyNumberFormat="1" applyFont="1" applyFill="1" applyBorder="1" applyAlignment="1">
      <alignment horizontal="right" vertical="center" indent="1"/>
    </xf>
    <xf numFmtId="3" fontId="6" fillId="0" borderId="13" xfId="0" applyNumberFormat="1" applyFont="1" applyFill="1" applyBorder="1" applyAlignment="1">
      <alignment vertical="center" wrapText="1"/>
    </xf>
    <xf numFmtId="4" fontId="6" fillId="0" borderId="13" xfId="0" applyNumberFormat="1" applyFont="1" applyFill="1" applyBorder="1" applyAlignment="1">
      <alignment vertical="center" wrapText="1"/>
    </xf>
    <xf numFmtId="3" fontId="6" fillId="0" borderId="17" xfId="0" applyNumberFormat="1" applyFont="1" applyFill="1" applyBorder="1" applyAlignment="1">
      <alignment horizontal="right" vertical="center" indent="1"/>
    </xf>
    <xf numFmtId="3" fontId="6" fillId="0" borderId="18" xfId="0" applyNumberFormat="1" applyFont="1" applyFill="1" applyBorder="1" applyAlignment="1">
      <alignment horizontal="right" vertical="center" indent="1"/>
    </xf>
    <xf numFmtId="0" fontId="3" fillId="0" borderId="0" xfId="0" applyFont="1" applyFill="1" applyAlignment="1">
      <alignment vertical="center"/>
    </xf>
    <xf numFmtId="0" fontId="80" fillId="0" borderId="0" xfId="0" applyFont="1" applyFill="1"/>
    <xf numFmtId="49" fontId="2" fillId="0" borderId="24" xfId="0" applyNumberFormat="1" applyFont="1" applyFill="1" applyBorder="1" applyAlignment="1">
      <alignment horizontal="left" vertical="center" wrapText="1" indent="1"/>
    </xf>
    <xf numFmtId="0" fontId="2" fillId="0" borderId="32" xfId="0" applyFont="1" applyFill="1" applyBorder="1" applyAlignment="1">
      <alignment horizontal="center" vertical="center" wrapText="1"/>
    </xf>
    <xf numFmtId="0" fontId="2" fillId="0" borderId="34" xfId="0" applyFont="1" applyFill="1" applyBorder="1" applyAlignment="1">
      <alignment horizontal="center" vertical="center" wrapText="1"/>
    </xf>
    <xf numFmtId="4" fontId="3" fillId="0" borderId="27" xfId="0" applyNumberFormat="1" applyFont="1" applyFill="1" applyBorder="1" applyAlignment="1">
      <alignment vertical="center"/>
    </xf>
    <xf numFmtId="4" fontId="3" fillId="0" borderId="20" xfId="0" applyNumberFormat="1" applyFont="1" applyFill="1" applyBorder="1" applyAlignment="1">
      <alignment vertical="center"/>
    </xf>
    <xf numFmtId="4" fontId="3" fillId="0" borderId="15" xfId="0" applyNumberFormat="1" applyFont="1" applyFill="1" applyBorder="1" applyAlignment="1">
      <alignment vertical="center"/>
    </xf>
    <xf numFmtId="4" fontId="3" fillId="0" borderId="14" xfId="0" applyNumberFormat="1" applyFont="1" applyFill="1" applyBorder="1" applyAlignment="1">
      <alignment vertical="center"/>
    </xf>
    <xf numFmtId="3" fontId="6" fillId="0" borderId="15" xfId="0" applyNumberFormat="1" applyFont="1" applyFill="1" applyBorder="1" applyAlignment="1">
      <alignment horizontal="right" vertical="center" wrapText="1" indent="1"/>
    </xf>
    <xf numFmtId="4" fontId="3" fillId="0" borderId="49" xfId="0" applyNumberFormat="1" applyFont="1" applyFill="1" applyBorder="1" applyAlignment="1">
      <alignment vertical="center"/>
    </xf>
    <xf numFmtId="4" fontId="3" fillId="0" borderId="35" xfId="0" applyNumberFormat="1" applyFont="1" applyFill="1" applyBorder="1" applyAlignment="1">
      <alignment vertical="center"/>
    </xf>
    <xf numFmtId="4" fontId="3" fillId="0" borderId="21" xfId="0" applyNumberFormat="1" applyFont="1" applyFill="1" applyBorder="1" applyAlignment="1">
      <alignment vertical="center"/>
    </xf>
    <xf numFmtId="4" fontId="3" fillId="0" borderId="26" xfId="0" applyNumberFormat="1" applyFont="1" applyFill="1" applyBorder="1" applyAlignment="1">
      <alignment vertical="center"/>
    </xf>
    <xf numFmtId="3" fontId="6" fillId="0" borderId="21" xfId="0" applyNumberFormat="1" applyFont="1" applyFill="1" applyBorder="1" applyAlignment="1">
      <alignment horizontal="right" vertical="center" wrapText="1" indent="1"/>
    </xf>
    <xf numFmtId="4" fontId="2" fillId="0" borderId="47" xfId="0" applyNumberFormat="1" applyFont="1" applyFill="1" applyBorder="1" applyAlignment="1">
      <alignment horizontal="right" vertical="center" wrapText="1" indent="1"/>
    </xf>
    <xf numFmtId="4" fontId="2" fillId="0" borderId="55" xfId="0" applyNumberFormat="1" applyFont="1" applyFill="1" applyBorder="1" applyAlignment="1">
      <alignment horizontal="right" vertical="center" wrapText="1" indent="1"/>
    </xf>
    <xf numFmtId="4" fontId="2" fillId="0" borderId="30" xfId="0" applyNumberFormat="1" applyFont="1" applyFill="1" applyBorder="1" applyAlignment="1">
      <alignment horizontal="right" vertical="center" wrapText="1" indent="1"/>
    </xf>
    <xf numFmtId="4" fontId="2" fillId="0" borderId="36" xfId="0" applyNumberFormat="1" applyFont="1" applyFill="1" applyBorder="1" applyAlignment="1">
      <alignment horizontal="right" vertical="center" wrapText="1" indent="1"/>
    </xf>
    <xf numFmtId="3" fontId="6" fillId="0" borderId="30" xfId="0" applyNumberFormat="1" applyFont="1" applyFill="1" applyBorder="1" applyAlignment="1">
      <alignment horizontal="right" vertical="center" wrapText="1" indent="1"/>
    </xf>
    <xf numFmtId="3" fontId="6" fillId="0" borderId="36" xfId="0" applyNumberFormat="1" applyFont="1" applyFill="1" applyBorder="1" applyAlignment="1">
      <alignment horizontal="right" vertical="center" wrapText="1" indent="1"/>
    </xf>
    <xf numFmtId="4" fontId="2" fillId="0" borderId="62" xfId="0" applyNumberFormat="1" applyFont="1" applyFill="1" applyBorder="1" applyAlignment="1">
      <alignment horizontal="right" vertical="center" wrapText="1" indent="1"/>
    </xf>
    <xf numFmtId="4" fontId="2" fillId="0" borderId="64" xfId="0" applyNumberFormat="1" applyFont="1" applyFill="1" applyBorder="1" applyAlignment="1">
      <alignment horizontal="right" vertical="center" wrapText="1" indent="1"/>
    </xf>
    <xf numFmtId="4" fontId="3" fillId="0" borderId="22" xfId="0" applyNumberFormat="1" applyFont="1" applyFill="1" applyBorder="1" applyAlignment="1">
      <alignment vertical="center"/>
    </xf>
    <xf numFmtId="3" fontId="6" fillId="0" borderId="22" xfId="0" applyNumberFormat="1" applyFont="1" applyFill="1" applyBorder="1" applyAlignment="1">
      <alignment horizontal="right" vertical="center" wrapText="1" indent="1"/>
    </xf>
    <xf numFmtId="3" fontId="6" fillId="0" borderId="34" xfId="0" applyNumberFormat="1" applyFont="1" applyFill="1" applyBorder="1" applyAlignment="1">
      <alignment horizontal="right" vertical="center" wrapText="1" indent="1"/>
    </xf>
    <xf numFmtId="4" fontId="2" fillId="0" borderId="39" xfId="0" applyNumberFormat="1" applyFont="1" applyFill="1" applyBorder="1" applyAlignment="1">
      <alignment horizontal="right" vertical="center" wrapText="1" indent="1"/>
    </xf>
    <xf numFmtId="4" fontId="2" fillId="0" borderId="63" xfId="0" applyNumberFormat="1" applyFont="1" applyFill="1" applyBorder="1" applyAlignment="1">
      <alignment horizontal="right" vertical="center" wrapText="1" indent="1"/>
    </xf>
    <xf numFmtId="4" fontId="2" fillId="0" borderId="16" xfId="0" applyNumberFormat="1" applyFont="1" applyFill="1" applyBorder="1" applyAlignment="1">
      <alignment horizontal="right" vertical="center" wrapText="1" indent="1"/>
    </xf>
    <xf numFmtId="4" fontId="2" fillId="0" borderId="40" xfId="0" applyNumberFormat="1" applyFont="1" applyFill="1" applyBorder="1" applyAlignment="1">
      <alignment horizontal="right" vertical="center" wrapText="1" indent="1"/>
    </xf>
    <xf numFmtId="3" fontId="6" fillId="0" borderId="16" xfId="0" applyNumberFormat="1" applyFont="1" applyFill="1" applyBorder="1" applyAlignment="1">
      <alignment horizontal="right" vertical="center" wrapText="1" indent="1"/>
    </xf>
    <xf numFmtId="0" fontId="7" fillId="0" borderId="0" xfId="0" applyFont="1" applyFill="1"/>
    <xf numFmtId="3" fontId="62" fillId="0" borderId="0" xfId="0" applyNumberFormat="1" applyFont="1" applyFill="1"/>
    <xf numFmtId="4" fontId="7" fillId="0" borderId="38" xfId="0" applyNumberFormat="1" applyFont="1" applyFill="1" applyBorder="1" applyAlignment="1">
      <alignment horizontal="right" vertical="center" wrapText="1" indent="1"/>
    </xf>
    <xf numFmtId="4" fontId="6" fillId="0" borderId="38" xfId="0" applyNumberFormat="1" applyFont="1" applyFill="1" applyBorder="1" applyAlignment="1">
      <alignment horizontal="right" vertical="center" wrapText="1" indent="1"/>
    </xf>
    <xf numFmtId="4" fontId="7" fillId="0" borderId="13" xfId="0" applyNumberFormat="1" applyFont="1" applyFill="1" applyBorder="1" applyAlignment="1">
      <alignment horizontal="center" vertical="center" wrapText="1"/>
    </xf>
    <xf numFmtId="49" fontId="7" fillId="0" borderId="0" xfId="0" applyNumberFormat="1" applyFont="1" applyFill="1" applyAlignment="1">
      <alignment horizontal="left" vertical="center"/>
    </xf>
    <xf numFmtId="3" fontId="7" fillId="0" borderId="13" xfId="0" applyNumberFormat="1" applyFont="1" applyFill="1" applyBorder="1" applyAlignment="1">
      <alignment horizontal="right" vertical="center" wrapText="1" indent="1"/>
    </xf>
    <xf numFmtId="3" fontId="7" fillId="0" borderId="14" xfId="0" applyNumberFormat="1" applyFont="1" applyFill="1" applyBorder="1" applyAlignment="1">
      <alignment horizontal="right" vertical="center" wrapText="1" indent="1"/>
    </xf>
    <xf numFmtId="4" fontId="3" fillId="0" borderId="13" xfId="0" applyNumberFormat="1" applyFont="1" applyFill="1" applyBorder="1" applyAlignment="1">
      <alignment horizontal="right" vertical="center" wrapText="1"/>
    </xf>
    <xf numFmtId="4" fontId="3" fillId="0" borderId="0" xfId="0" applyNumberFormat="1" applyFont="1" applyFill="1"/>
    <xf numFmtId="3" fontId="6" fillId="0" borderId="17" xfId="0" applyNumberFormat="1" applyFont="1" applyFill="1" applyBorder="1" applyAlignment="1">
      <alignment horizontal="right" vertical="center" wrapText="1" indent="1"/>
    </xf>
    <xf numFmtId="0" fontId="8" fillId="0" borderId="15" xfId="0" applyFont="1" applyFill="1" applyBorder="1" applyAlignment="1">
      <alignment horizontal="center" vertical="center"/>
    </xf>
    <xf numFmtId="0" fontId="2" fillId="0" borderId="23" xfId="0" applyFont="1" applyFill="1" applyBorder="1" applyAlignment="1">
      <alignment horizontal="center" vertical="center" wrapText="1"/>
    </xf>
    <xf numFmtId="0" fontId="3" fillId="0" borderId="33" xfId="0" applyFont="1" applyFill="1" applyBorder="1" applyAlignment="1">
      <alignment horizontal="center" vertical="center"/>
    </xf>
    <xf numFmtId="4" fontId="3" fillId="0" borderId="23" xfId="0" applyNumberFormat="1" applyFont="1" applyFill="1" applyBorder="1"/>
    <xf numFmtId="0" fontId="3" fillId="0" borderId="24" xfId="0" applyFont="1" applyFill="1" applyBorder="1"/>
    <xf numFmtId="4" fontId="3" fillId="0" borderId="41" xfId="0" applyNumberFormat="1" applyFont="1" applyFill="1" applyBorder="1"/>
    <xf numFmtId="4" fontId="3" fillId="0" borderId="65" xfId="0" applyNumberFormat="1" applyFont="1" applyFill="1" applyBorder="1"/>
    <xf numFmtId="3" fontId="6" fillId="0" borderId="23" xfId="0" applyNumberFormat="1" applyFont="1" applyFill="1" applyBorder="1" applyAlignment="1">
      <alignment horizontal="right" vertical="center" wrapText="1" indent="1"/>
    </xf>
    <xf numFmtId="3" fontId="6" fillId="0" borderId="24" xfId="0" applyNumberFormat="1" applyFont="1" applyFill="1" applyBorder="1" applyAlignment="1">
      <alignment horizontal="right" vertical="center" wrapText="1" indent="1"/>
    </xf>
    <xf numFmtId="4" fontId="3" fillId="0" borderId="15" xfId="0" applyNumberFormat="1" applyFont="1" applyFill="1" applyBorder="1"/>
    <xf numFmtId="0" fontId="3" fillId="0" borderId="14" xfId="0" applyFont="1" applyFill="1" applyBorder="1"/>
    <xf numFmtId="4" fontId="3" fillId="0" borderId="27" xfId="0" applyNumberFormat="1" applyFont="1" applyFill="1" applyBorder="1"/>
    <xf numFmtId="4" fontId="3" fillId="0" borderId="20" xfId="0" applyNumberFormat="1" applyFont="1" applyFill="1" applyBorder="1"/>
    <xf numFmtId="4" fontId="3" fillId="0" borderId="21" xfId="0" applyNumberFormat="1" applyFont="1" applyFill="1" applyBorder="1"/>
    <xf numFmtId="0" fontId="3" fillId="0" borderId="26" xfId="0" applyFont="1" applyFill="1" applyBorder="1"/>
    <xf numFmtId="4" fontId="3" fillId="0" borderId="49" xfId="0" applyNumberFormat="1" applyFont="1" applyFill="1" applyBorder="1"/>
    <xf numFmtId="4" fontId="3" fillId="0" borderId="35" xfId="0" applyNumberFormat="1" applyFont="1" applyFill="1" applyBorder="1"/>
    <xf numFmtId="0" fontId="10" fillId="0" borderId="0"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0" xfId="0" applyFont="1" applyFill="1" applyAlignment="1">
      <alignment vertical="center" wrapText="1"/>
    </xf>
    <xf numFmtId="0" fontId="2" fillId="0" borderId="61" xfId="0" applyFont="1" applyFill="1" applyBorder="1" applyAlignment="1">
      <alignment horizontal="center" vertical="center" wrapText="1"/>
    </xf>
    <xf numFmtId="0" fontId="2" fillId="0" borderId="0" xfId="0" applyFont="1" applyFill="1" applyBorder="1" applyAlignment="1">
      <alignment vertical="center" wrapText="1"/>
    </xf>
    <xf numFmtId="4" fontId="6" fillId="0" borderId="20" xfId="0" applyNumberFormat="1" applyFont="1" applyFill="1" applyBorder="1" applyAlignment="1">
      <alignment horizontal="right" vertical="center" wrapText="1" indent="1"/>
    </xf>
    <xf numFmtId="3" fontId="6" fillId="0" borderId="44" xfId="0" applyNumberFormat="1" applyFont="1" applyFill="1" applyBorder="1" applyAlignment="1">
      <alignment horizontal="right" vertical="center" wrapText="1" indent="1"/>
    </xf>
    <xf numFmtId="0" fontId="3" fillId="0" borderId="0" xfId="0" applyFont="1" applyFill="1" applyBorder="1" applyAlignment="1">
      <alignment vertical="center" wrapText="1"/>
    </xf>
    <xf numFmtId="4" fontId="3" fillId="0" borderId="13" xfId="27" applyNumberFormat="1" applyFont="1" applyFill="1" applyBorder="1" applyAlignment="1">
      <alignment horizontal="right" vertical="center" wrapText="1" indent="1"/>
    </xf>
    <xf numFmtId="4" fontId="6" fillId="0" borderId="28" xfId="0" applyNumberFormat="1" applyFont="1" applyFill="1" applyBorder="1" applyAlignment="1">
      <alignment horizontal="right" vertical="center" wrapText="1" indent="1"/>
    </xf>
    <xf numFmtId="3" fontId="6" fillId="0" borderId="60" xfId="0" applyNumberFormat="1" applyFont="1" applyFill="1" applyBorder="1" applyAlignment="1">
      <alignment horizontal="right" vertical="center" wrapText="1" indent="1"/>
    </xf>
    <xf numFmtId="49" fontId="3" fillId="0" borderId="0" xfId="0" applyNumberFormat="1" applyFont="1" applyFill="1" applyBorder="1" applyAlignment="1">
      <alignment vertical="center" wrapText="1"/>
    </xf>
    <xf numFmtId="49" fontId="3" fillId="0" borderId="54" xfId="0" applyNumberFormat="1" applyFont="1" applyFill="1" applyBorder="1" applyAlignment="1"/>
    <xf numFmtId="49" fontId="3" fillId="0" borderId="27" xfId="0" applyNumberFormat="1" applyFont="1" applyFill="1" applyBorder="1" applyAlignment="1"/>
    <xf numFmtId="0" fontId="2" fillId="0" borderId="12" xfId="0" applyFont="1" applyFill="1" applyBorder="1" applyAlignment="1">
      <alignment horizontal="center" vertical="center" wrapText="1"/>
    </xf>
    <xf numFmtId="3" fontId="6" fillId="0" borderId="67" xfId="0" applyNumberFormat="1" applyFont="1" applyFill="1" applyBorder="1" applyAlignment="1">
      <alignment horizontal="right" vertical="center" wrapText="1" indent="1"/>
    </xf>
    <xf numFmtId="3" fontId="6" fillId="0" borderId="20" xfId="0" applyNumberFormat="1" applyFont="1" applyFill="1" applyBorder="1" applyAlignment="1">
      <alignment horizontal="right" vertical="center" wrapText="1" indent="1"/>
    </xf>
    <xf numFmtId="3" fontId="6" fillId="0" borderId="89" xfId="0" applyNumberFormat="1" applyFont="1" applyFill="1" applyBorder="1" applyAlignment="1">
      <alignment horizontal="right" vertical="center" wrapText="1" indent="1"/>
    </xf>
    <xf numFmtId="49" fontId="3" fillId="0" borderId="20" xfId="0" applyNumberFormat="1" applyFont="1" applyFill="1" applyBorder="1" applyAlignment="1">
      <alignment horizontal="left"/>
    </xf>
    <xf numFmtId="0" fontId="6" fillId="0" borderId="20" xfId="40" applyFont="1" applyFill="1" applyBorder="1" applyAlignment="1">
      <alignment horizontal="center" vertical="center" wrapText="1"/>
    </xf>
    <xf numFmtId="4" fontId="6" fillId="0" borderId="14" xfId="0" applyNumberFormat="1" applyFont="1" applyFill="1" applyBorder="1" applyAlignment="1">
      <alignment horizontal="right" vertical="center" wrapText="1" indent="1"/>
    </xf>
    <xf numFmtId="0" fontId="7" fillId="0" borderId="13" xfId="40" applyFont="1" applyFill="1" applyBorder="1" applyAlignment="1">
      <alignment horizontal="left" vertical="center" wrapText="1" indent="1"/>
    </xf>
    <xf numFmtId="4" fontId="3" fillId="0" borderId="17" xfId="0" applyNumberFormat="1" applyFont="1" applyFill="1" applyBorder="1" applyAlignment="1">
      <alignment horizontal="right" vertical="center" wrapText="1" indent="1"/>
    </xf>
    <xf numFmtId="4" fontId="6" fillId="0" borderId="18" xfId="0" applyNumberFormat="1" applyFont="1" applyFill="1" applyBorder="1" applyAlignment="1">
      <alignment horizontal="right" vertical="center" wrapText="1" indent="1"/>
    </xf>
    <xf numFmtId="0" fontId="6" fillId="0" borderId="0" xfId="0" applyFont="1" applyFill="1" applyBorder="1" applyAlignment="1">
      <alignment horizontal="left" vertical="center" wrapText="1"/>
    </xf>
    <xf numFmtId="0" fontId="6" fillId="0" borderId="20"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13" xfId="0" applyFont="1" applyFill="1" applyBorder="1" applyAlignment="1">
      <alignment horizontal="left" vertical="center" wrapText="1"/>
    </xf>
    <xf numFmtId="4" fontId="7" fillId="0" borderId="14" xfId="0" applyNumberFormat="1" applyFont="1" applyFill="1" applyBorder="1" applyAlignment="1">
      <alignment horizontal="center" vertical="center" wrapText="1"/>
    </xf>
    <xf numFmtId="4" fontId="6" fillId="0" borderId="27" xfId="0" applyNumberFormat="1" applyFont="1" applyFill="1" applyBorder="1" applyAlignment="1">
      <alignment horizontal="right" vertical="center" wrapText="1" indent="1"/>
    </xf>
    <xf numFmtId="3" fontId="7" fillId="0" borderId="17"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49" fontId="3" fillId="0" borderId="0" xfId="0" applyNumberFormat="1" applyFont="1" applyFill="1" applyAlignment="1">
      <alignment vertical="center" wrapText="1"/>
    </xf>
    <xf numFmtId="0" fontId="0" fillId="0" borderId="0" xfId="0" applyFill="1" applyBorder="1"/>
    <xf numFmtId="0" fontId="30" fillId="0" borderId="0" xfId="0" applyFont="1" applyFill="1" applyBorder="1"/>
    <xf numFmtId="4" fontId="7" fillId="0" borderId="14" xfId="0" applyNumberFormat="1" applyFont="1" applyFill="1" applyBorder="1" applyAlignment="1">
      <alignment horizontal="right" vertical="center" wrapText="1" indent="1"/>
    </xf>
    <xf numFmtId="0" fontId="1" fillId="0" borderId="0" xfId="0" applyFont="1" applyFill="1" applyBorder="1"/>
    <xf numFmtId="4" fontId="3" fillId="0" borderId="14" xfId="0" applyNumberFormat="1" applyFont="1" applyFill="1" applyBorder="1" applyAlignment="1">
      <alignment horizontal="center" vertical="center" wrapText="1"/>
    </xf>
    <xf numFmtId="4" fontId="3" fillId="0" borderId="14" xfId="0" applyNumberFormat="1" applyFont="1" applyFill="1" applyBorder="1" applyAlignment="1">
      <alignment horizontal="right" vertical="center" wrapText="1" indent="1"/>
    </xf>
    <xf numFmtId="4" fontId="3" fillId="0" borderId="18" xfId="0" applyNumberFormat="1" applyFont="1" applyFill="1" applyBorder="1" applyAlignment="1">
      <alignment horizontal="center" vertical="center" wrapText="1"/>
    </xf>
    <xf numFmtId="0" fontId="29" fillId="0" borderId="0" xfId="39" applyFont="1" applyFill="1" applyAlignment="1">
      <alignment horizontal="center" vertical="center" wrapText="1"/>
    </xf>
    <xf numFmtId="0" fontId="2" fillId="0" borderId="15" xfId="39" applyFont="1" applyFill="1" applyBorder="1" applyAlignment="1">
      <alignment horizontal="center" vertical="center" wrapText="1"/>
    </xf>
    <xf numFmtId="49" fontId="2" fillId="0" borderId="13" xfId="39" applyNumberFormat="1" applyFont="1" applyFill="1" applyBorder="1" applyAlignment="1">
      <alignment horizontal="center" vertical="center" wrapText="1"/>
    </xf>
    <xf numFmtId="0" fontId="2" fillId="0" borderId="13" xfId="39" applyFont="1" applyFill="1" applyBorder="1" applyAlignment="1">
      <alignment horizontal="center" vertical="center" wrapText="1"/>
    </xf>
    <xf numFmtId="0" fontId="2" fillId="0" borderId="14" xfId="39" applyFont="1" applyFill="1" applyBorder="1" applyAlignment="1">
      <alignment horizontal="center" vertical="center" wrapText="1"/>
    </xf>
    <xf numFmtId="0" fontId="3" fillId="0" borderId="15" xfId="39" applyFont="1" applyFill="1" applyBorder="1" applyAlignment="1">
      <alignment horizontal="center" wrapText="1"/>
    </xf>
    <xf numFmtId="49" fontId="2" fillId="0" borderId="13" xfId="39" applyNumberFormat="1" applyFont="1" applyFill="1" applyBorder="1" applyAlignment="1">
      <alignment vertical="top" wrapText="1"/>
    </xf>
    <xf numFmtId="49" fontId="2" fillId="0" borderId="13" xfId="39" applyNumberFormat="1" applyFont="1" applyFill="1" applyBorder="1" applyAlignment="1">
      <alignment horizontal="left" vertical="center" wrapText="1" indent="1"/>
    </xf>
    <xf numFmtId="4" fontId="6" fillId="0" borderId="13" xfId="39" applyNumberFormat="1" applyFont="1" applyFill="1" applyBorder="1" applyAlignment="1">
      <alignment horizontal="right" vertical="center" wrapText="1" indent="1"/>
    </xf>
    <xf numFmtId="4" fontId="6" fillId="0" borderId="38" xfId="39" applyNumberFormat="1" applyFont="1" applyFill="1" applyBorder="1" applyAlignment="1">
      <alignment horizontal="right" vertical="center" wrapText="1" indent="1"/>
    </xf>
    <xf numFmtId="49" fontId="7" fillId="0" borderId="13" xfId="39" applyNumberFormat="1" applyFont="1" applyFill="1" applyBorder="1" applyAlignment="1">
      <alignment horizontal="left" vertical="center" wrapText="1" indent="1"/>
    </xf>
    <xf numFmtId="4" fontId="7" fillId="0" borderId="38" xfId="39" applyNumberFormat="1" applyFont="1" applyFill="1" applyBorder="1" applyAlignment="1">
      <alignment horizontal="right" vertical="center" wrapText="1" indent="1"/>
    </xf>
    <xf numFmtId="49" fontId="2" fillId="0" borderId="17" xfId="39" applyNumberFormat="1" applyFont="1" applyFill="1" applyBorder="1" applyAlignment="1">
      <alignment horizontal="left" vertical="center" wrapText="1" indent="1"/>
    </xf>
    <xf numFmtId="4" fontId="6" fillId="0" borderId="17" xfId="39" applyNumberFormat="1" applyFont="1" applyFill="1" applyBorder="1" applyAlignment="1">
      <alignment horizontal="right" vertical="center" wrapText="1" indent="1"/>
    </xf>
    <xf numFmtId="4" fontId="6" fillId="0" borderId="40" xfId="39" applyNumberFormat="1" applyFont="1" applyFill="1" applyBorder="1" applyAlignment="1">
      <alignment horizontal="right" vertical="center" wrapText="1" indent="1"/>
    </xf>
    <xf numFmtId="0" fontId="7" fillId="0" borderId="0" xfId="39" applyFont="1" applyFill="1" applyAlignment="1">
      <alignment horizontal="center"/>
    </xf>
    <xf numFmtId="0" fontId="7" fillId="0" borderId="0" xfId="39" applyFont="1" applyFill="1"/>
    <xf numFmtId="49" fontId="7" fillId="0" borderId="0" xfId="39" applyNumberFormat="1" applyFont="1" applyFill="1"/>
    <xf numFmtId="49" fontId="3" fillId="0" borderId="0" xfId="39" applyNumberFormat="1" applyFont="1" applyFill="1"/>
    <xf numFmtId="0" fontId="28" fillId="0" borderId="0" xfId="0" applyFont="1" applyFill="1" applyBorder="1" applyAlignment="1">
      <alignment horizontal="left"/>
    </xf>
    <xf numFmtId="0" fontId="28" fillId="0" borderId="0" xfId="0" applyFont="1" applyFill="1" applyBorder="1" applyAlignment="1">
      <alignment horizontal="left" vertical="center"/>
    </xf>
    <xf numFmtId="49" fontId="2" fillId="0" borderId="13" xfId="0" applyNumberFormat="1" applyFont="1" applyFill="1" applyBorder="1" applyAlignment="1">
      <alignment vertical="top" wrapText="1"/>
    </xf>
    <xf numFmtId="4" fontId="2" fillId="0" borderId="14" xfId="0" applyNumberFormat="1" applyFont="1" applyFill="1" applyBorder="1" applyAlignment="1">
      <alignment horizontal="right" vertical="center" wrapText="1" indent="1"/>
    </xf>
    <xf numFmtId="0" fontId="7" fillId="0" borderId="16" xfId="0" applyFont="1" applyFill="1" applyBorder="1" applyAlignment="1">
      <alignment horizontal="center" vertical="center" wrapText="1"/>
    </xf>
    <xf numFmtId="4" fontId="2" fillId="0" borderId="18" xfId="0" applyNumberFormat="1" applyFont="1" applyFill="1" applyBorder="1" applyAlignment="1">
      <alignment horizontal="right" vertical="center" wrapText="1" indent="1"/>
    </xf>
    <xf numFmtId="49" fontId="3" fillId="0" borderId="0" xfId="0" applyNumberFormat="1" applyFont="1" applyFill="1" applyBorder="1"/>
    <xf numFmtId="0" fontId="3" fillId="0" borderId="0" xfId="0" applyFont="1" applyFill="1" applyBorder="1" applyAlignment="1">
      <alignment wrapText="1"/>
    </xf>
    <xf numFmtId="167" fontId="3" fillId="0" borderId="0" xfId="0" applyNumberFormat="1" applyFont="1" applyFill="1" applyBorder="1" applyAlignment="1">
      <alignment wrapText="1"/>
    </xf>
    <xf numFmtId="167" fontId="3" fillId="0" borderId="0" xfId="0" applyNumberFormat="1" applyFont="1" applyFill="1" applyBorder="1"/>
    <xf numFmtId="167" fontId="69" fillId="0" borderId="13" xfId="0" applyNumberFormat="1" applyFont="1" applyFill="1" applyBorder="1" applyAlignment="1">
      <alignment vertical="center" wrapText="1"/>
    </xf>
    <xf numFmtId="166" fontId="69" fillId="0" borderId="13" xfId="0" applyNumberFormat="1" applyFont="1" applyFill="1" applyBorder="1" applyAlignment="1">
      <alignment vertical="center" wrapText="1"/>
    </xf>
    <xf numFmtId="166" fontId="69" fillId="0" borderId="14" xfId="0" applyNumberFormat="1" applyFont="1" applyFill="1" applyBorder="1" applyAlignment="1">
      <alignment vertical="center" wrapText="1"/>
    </xf>
    <xf numFmtId="167" fontId="63" fillId="0" borderId="13" xfId="0" applyNumberFormat="1" applyFont="1" applyFill="1" applyBorder="1" applyAlignment="1">
      <alignment vertical="center" wrapText="1"/>
    </xf>
    <xf numFmtId="167" fontId="63" fillId="0" borderId="13" xfId="0" applyNumberFormat="1" applyFont="1" applyFill="1" applyBorder="1" applyAlignment="1">
      <alignment vertical="top" wrapText="1"/>
    </xf>
    <xf numFmtId="167" fontId="79" fillId="0" borderId="13" xfId="0" applyNumberFormat="1" applyFont="1" applyFill="1" applyBorder="1" applyAlignment="1">
      <alignment vertical="center" wrapText="1"/>
    </xf>
    <xf numFmtId="167" fontId="83" fillId="0" borderId="13" xfId="0" applyNumberFormat="1" applyFont="1" applyFill="1" applyBorder="1" applyAlignment="1">
      <alignment horizontal="center" vertical="center" wrapText="1"/>
    </xf>
    <xf numFmtId="167" fontId="54" fillId="0" borderId="13" xfId="0" applyNumberFormat="1" applyFont="1" applyFill="1" applyBorder="1" applyAlignment="1">
      <alignment vertical="center" wrapText="1"/>
    </xf>
    <xf numFmtId="167" fontId="63" fillId="0" borderId="17" xfId="0" applyNumberFormat="1" applyFont="1" applyFill="1" applyBorder="1" applyAlignment="1">
      <alignment vertical="center"/>
    </xf>
    <xf numFmtId="166" fontId="69" fillId="0" borderId="17" xfId="0" applyNumberFormat="1" applyFont="1" applyFill="1" applyBorder="1" applyAlignment="1">
      <alignment vertical="center" wrapText="1"/>
    </xf>
    <xf numFmtId="166" fontId="69" fillId="0" borderId="18" xfId="0" applyNumberFormat="1" applyFont="1" applyFill="1" applyBorder="1" applyAlignment="1">
      <alignment vertical="center" wrapText="1"/>
    </xf>
    <xf numFmtId="0" fontId="6" fillId="0" borderId="15" xfId="0" applyFont="1" applyFill="1" applyBorder="1" applyAlignment="1">
      <alignment horizontal="left" vertical="center" wrapText="1" indent="1"/>
    </xf>
    <xf numFmtId="0" fontId="6" fillId="0" borderId="14" xfId="0" applyFont="1" applyFill="1" applyBorder="1" applyAlignment="1">
      <alignment horizontal="right" vertical="center" wrapText="1" indent="1"/>
    </xf>
    <xf numFmtId="0" fontId="84" fillId="0" borderId="90" xfId="0" applyFont="1" applyFill="1" applyBorder="1" applyAlignment="1">
      <alignment horizontal="left" vertical="center" wrapText="1"/>
    </xf>
    <xf numFmtId="0" fontId="7" fillId="0" borderId="14" xfId="0" applyFont="1" applyFill="1" applyBorder="1" applyAlignment="1">
      <alignment horizontal="left" vertical="center" wrapText="1" indent="1"/>
    </xf>
    <xf numFmtId="0" fontId="6" fillId="0" borderId="19" xfId="0" applyFont="1" applyFill="1" applyBorder="1" applyAlignment="1">
      <alignment horizontal="left" vertical="center" wrapText="1" indent="1"/>
    </xf>
    <xf numFmtId="4" fontId="7" fillId="0" borderId="19" xfId="0" applyNumberFormat="1" applyFont="1" applyFill="1" applyBorder="1" applyAlignment="1">
      <alignment horizontal="right" vertical="center" wrapText="1" indent="1"/>
    </xf>
    <xf numFmtId="0" fontId="7" fillId="0" borderId="26" xfId="0" applyFont="1" applyFill="1" applyBorder="1" applyAlignment="1">
      <alignment horizontal="left" vertical="center" wrapText="1" indent="1"/>
    </xf>
    <xf numFmtId="0" fontId="7" fillId="0" borderId="18" xfId="0" applyFont="1" applyFill="1" applyBorder="1" applyAlignment="1">
      <alignment horizontal="right" vertical="center" wrapText="1" indent="1"/>
    </xf>
    <xf numFmtId="0" fontId="7"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3" fillId="0" borderId="15" xfId="42" applyFont="1" applyFill="1" applyBorder="1" applyAlignment="1">
      <alignment horizontal="center" vertical="center" wrapText="1"/>
    </xf>
    <xf numFmtId="4" fontId="3" fillId="0" borderId="13" xfId="42" applyNumberFormat="1" applyFont="1" applyFill="1" applyBorder="1" applyAlignment="1">
      <alignment horizontal="right" vertical="center" wrapText="1" indent="1"/>
    </xf>
    <xf numFmtId="4" fontId="3" fillId="0" borderId="13" xfId="42" applyNumberFormat="1" applyFont="1" applyFill="1" applyBorder="1" applyAlignment="1">
      <alignment horizontal="center" vertical="center" wrapText="1"/>
    </xf>
    <xf numFmtId="0" fontId="3" fillId="0" borderId="13" xfId="42" applyFont="1" applyFill="1" applyBorder="1" applyAlignment="1">
      <alignment horizontal="left" vertical="top" wrapText="1" indent="1"/>
    </xf>
    <xf numFmtId="4" fontId="3" fillId="0" borderId="19" xfId="42" applyNumberFormat="1" applyFont="1" applyFill="1" applyBorder="1" applyAlignment="1">
      <alignment horizontal="right" vertical="center" wrapText="1" indent="1"/>
    </xf>
    <xf numFmtId="0" fontId="3" fillId="0" borderId="19" xfId="42" applyFont="1" applyFill="1" applyBorder="1" applyAlignment="1">
      <alignment horizontal="left" vertical="top" wrapText="1" indent="1"/>
    </xf>
    <xf numFmtId="0" fontId="3" fillId="0" borderId="16" xfId="42" applyFont="1" applyFill="1" applyBorder="1" applyAlignment="1">
      <alignment horizontal="center" vertical="center" wrapText="1"/>
    </xf>
    <xf numFmtId="4" fontId="2" fillId="0" borderId="17" xfId="42" applyNumberFormat="1" applyFont="1" applyFill="1" applyBorder="1" applyAlignment="1">
      <alignment horizontal="right" vertical="center" wrapText="1" indent="1"/>
    </xf>
    <xf numFmtId="0" fontId="2" fillId="0" borderId="13" xfId="0" applyFont="1" applyFill="1" applyBorder="1" applyAlignment="1">
      <alignment horizontal="left" vertical="center" wrapText="1" indent="1"/>
    </xf>
    <xf numFmtId="4" fontId="6" fillId="0" borderId="19" xfId="0" applyNumberFormat="1" applyFont="1" applyFill="1" applyBorder="1" applyAlignment="1">
      <alignment horizontal="right" vertical="center" wrapText="1" indent="1"/>
    </xf>
    <xf numFmtId="0" fontId="3" fillId="0" borderId="21" xfId="0" applyFont="1" applyFill="1" applyBorder="1" applyAlignment="1">
      <alignment horizontal="center" vertical="center" wrapText="1"/>
    </xf>
    <xf numFmtId="4" fontId="3" fillId="0" borderId="26" xfId="0" applyNumberFormat="1" applyFont="1" applyFill="1" applyBorder="1" applyAlignment="1">
      <alignment horizontal="right" vertical="center" wrapText="1" indent="1"/>
    </xf>
    <xf numFmtId="4" fontId="3" fillId="0" borderId="18" xfId="0" applyNumberFormat="1" applyFont="1" applyFill="1" applyBorder="1" applyAlignment="1">
      <alignment horizontal="right" vertical="center" wrapText="1" indent="1"/>
    </xf>
    <xf numFmtId="4" fontId="3" fillId="0" borderId="0" xfId="0" applyNumberFormat="1" applyFont="1" applyFill="1" applyAlignment="1">
      <alignment vertical="center" wrapText="1"/>
    </xf>
    <xf numFmtId="0" fontId="2" fillId="0" borderId="22" xfId="39" applyFont="1" applyFill="1" applyBorder="1" applyAlignment="1">
      <alignment horizontal="center" vertical="center" wrapText="1"/>
    </xf>
    <xf numFmtId="49" fontId="2" fillId="0" borderId="37" xfId="39" applyNumberFormat="1" applyFont="1" applyFill="1" applyBorder="1" applyAlignment="1">
      <alignment horizontal="center" vertical="center" wrapText="1"/>
    </xf>
    <xf numFmtId="0" fontId="6" fillId="0" borderId="13" xfId="39" applyFont="1" applyFill="1" applyBorder="1" applyAlignment="1">
      <alignment horizontal="center" vertical="center" wrapText="1"/>
    </xf>
    <xf numFmtId="49" fontId="2" fillId="0" borderId="20" xfId="39" applyNumberFormat="1" applyFont="1" applyFill="1" applyBorder="1" applyAlignment="1">
      <alignment horizontal="center" vertical="center" wrapText="1"/>
    </xf>
    <xf numFmtId="0" fontId="7" fillId="0" borderId="32" xfId="39" applyFont="1" applyFill="1" applyBorder="1" applyAlignment="1">
      <alignment horizontal="center" vertical="center" wrapText="1"/>
    </xf>
    <xf numFmtId="0" fontId="7" fillId="0" borderId="38" xfId="39" applyFont="1" applyFill="1" applyBorder="1" applyAlignment="1">
      <alignment horizontal="center" vertical="center" wrapText="1"/>
    </xf>
    <xf numFmtId="0" fontId="7" fillId="0" borderId="54" xfId="39" applyFont="1" applyFill="1" applyBorder="1" applyAlignment="1">
      <alignment horizontal="center" vertical="center" wrapText="1"/>
    </xf>
    <xf numFmtId="0" fontId="6" fillId="0" borderId="14" xfId="39" applyFont="1" applyFill="1" applyBorder="1" applyAlignment="1">
      <alignment horizontal="center" vertical="center" wrapText="1"/>
    </xf>
    <xf numFmtId="0" fontId="3" fillId="0" borderId="22" xfId="39" applyFont="1" applyFill="1" applyBorder="1" applyAlignment="1">
      <alignment horizontal="center" vertical="center" wrapText="1"/>
    </xf>
    <xf numFmtId="0" fontId="6" fillId="0" borderId="37" xfId="39" applyFont="1" applyFill="1" applyBorder="1" applyAlignment="1">
      <alignment horizontal="left" vertical="center" wrapText="1" indent="1"/>
    </xf>
    <xf numFmtId="4" fontId="3" fillId="0" borderId="29" xfId="39" applyNumberFormat="1" applyFont="1" applyFill="1" applyBorder="1" applyAlignment="1">
      <alignment horizontal="right" vertical="center" wrapText="1" indent="1"/>
    </xf>
    <xf numFmtId="4" fontId="7" fillId="0" borderId="32" xfId="39" applyNumberFormat="1" applyFont="1" applyFill="1" applyBorder="1" applyAlignment="1">
      <alignment horizontal="center" vertical="center" wrapText="1"/>
    </xf>
    <xf numFmtId="4" fontId="6" fillId="0" borderId="56" xfId="39" applyNumberFormat="1" applyFont="1" applyFill="1" applyBorder="1" applyAlignment="1">
      <alignment horizontal="right" vertical="center" wrapText="1" indent="1"/>
    </xf>
    <xf numFmtId="14" fontId="75" fillId="0" borderId="0" xfId="39" applyNumberFormat="1" applyFont="1" applyFill="1" applyAlignment="1">
      <alignment vertical="center" wrapText="1"/>
    </xf>
    <xf numFmtId="0" fontId="75" fillId="0" borderId="0" xfId="39" applyFont="1" applyFill="1" applyAlignment="1">
      <alignment vertical="center" wrapText="1"/>
    </xf>
    <xf numFmtId="0" fontId="3" fillId="0" borderId="0" xfId="39" applyFont="1" applyFill="1" applyAlignment="1">
      <alignment vertical="center" wrapText="1"/>
    </xf>
    <xf numFmtId="0" fontId="6" fillId="0" borderId="20" xfId="39" applyFont="1" applyFill="1" applyBorder="1" applyAlignment="1">
      <alignment horizontal="left" vertical="center" wrapText="1" indent="1"/>
    </xf>
    <xf numFmtId="4" fontId="3" fillId="0" borderId="32" xfId="39" applyNumberFormat="1" applyFont="1" applyFill="1" applyBorder="1" applyAlignment="1">
      <alignment horizontal="right" vertical="center" wrapText="1" indent="1"/>
    </xf>
    <xf numFmtId="4" fontId="3" fillId="0" borderId="56" xfId="39" applyNumberFormat="1" applyFont="1" applyFill="1" applyBorder="1" applyAlignment="1">
      <alignment horizontal="right" vertical="center" wrapText="1" indent="1"/>
    </xf>
    <xf numFmtId="3" fontId="3" fillId="0" borderId="0" xfId="39" applyNumberFormat="1" applyFont="1" applyFill="1"/>
    <xf numFmtId="3" fontId="75" fillId="0" borderId="0" xfId="39" applyNumberFormat="1" applyFont="1" applyFill="1"/>
    <xf numFmtId="4" fontId="6" fillId="0" borderId="27" xfId="39" applyNumberFormat="1" applyFont="1" applyFill="1" applyBorder="1" applyAlignment="1">
      <alignment horizontal="right" vertical="center" wrapText="1" indent="1"/>
    </xf>
    <xf numFmtId="0" fontId="3" fillId="0" borderId="57" xfId="39" applyFont="1" applyFill="1" applyBorder="1" applyAlignment="1">
      <alignment horizontal="center" vertical="center" wrapText="1"/>
    </xf>
    <xf numFmtId="0" fontId="6" fillId="0" borderId="59" xfId="39" applyFont="1" applyFill="1" applyBorder="1" applyAlignment="1">
      <alignment horizontal="left" vertical="center" wrapText="1" indent="1"/>
    </xf>
    <xf numFmtId="4" fontId="3" fillId="0" borderId="17" xfId="39" applyNumberFormat="1" applyFont="1" applyFill="1" applyBorder="1" applyAlignment="1">
      <alignment horizontal="right" vertical="center" wrapText="1" indent="1"/>
    </xf>
    <xf numFmtId="4" fontId="3" fillId="0" borderId="86" xfId="39" applyNumberFormat="1" applyFont="1" applyFill="1" applyBorder="1" applyAlignment="1">
      <alignment horizontal="right" vertical="center" wrapText="1" indent="1"/>
    </xf>
    <xf numFmtId="4" fontId="3" fillId="0" borderId="58" xfId="39" applyNumberFormat="1" applyFont="1" applyFill="1" applyBorder="1" applyAlignment="1">
      <alignment horizontal="right" vertical="center" wrapText="1" indent="1"/>
    </xf>
    <xf numFmtId="0" fontId="6" fillId="0" borderId="0" xfId="39" applyFont="1" applyFill="1" applyBorder="1" applyAlignment="1">
      <alignment horizontal="left" vertical="center" wrapText="1" indent="1"/>
    </xf>
    <xf numFmtId="4" fontId="3" fillId="0" borderId="0" xfId="39" applyNumberFormat="1" applyFont="1" applyFill="1" applyBorder="1" applyAlignment="1">
      <alignment horizontal="right" vertical="center" wrapText="1" indent="1"/>
    </xf>
    <xf numFmtId="0" fontId="23" fillId="0" borderId="20" xfId="39" applyFont="1" applyFill="1" applyBorder="1" applyAlignment="1">
      <alignment vertical="center"/>
    </xf>
    <xf numFmtId="0" fontId="23" fillId="0" borderId="54" xfId="39" applyFont="1" applyFill="1" applyBorder="1" applyAlignment="1">
      <alignment vertical="center"/>
    </xf>
    <xf numFmtId="49" fontId="82" fillId="0" borderId="54" xfId="39" applyNumberFormat="1" applyFont="1" applyFill="1" applyBorder="1"/>
    <xf numFmtId="0" fontId="23" fillId="0" borderId="27" xfId="39" applyFont="1" applyFill="1" applyBorder="1"/>
    <xf numFmtId="49" fontId="32" fillId="0" borderId="0" xfId="39" applyNumberFormat="1" applyFont="1" applyFill="1"/>
    <xf numFmtId="3" fontId="6" fillId="0" borderId="0" xfId="44" applyNumberFormat="1" applyFont="1" applyFill="1" applyBorder="1" applyAlignment="1">
      <alignment vertical="center" wrapText="1"/>
    </xf>
    <xf numFmtId="0" fontId="6" fillId="0" borderId="13" xfId="44" applyFont="1" applyFill="1" applyBorder="1" applyAlignment="1">
      <alignment horizontal="center" vertical="center" wrapText="1"/>
    </xf>
    <xf numFmtId="0" fontId="6" fillId="0" borderId="14" xfId="44" applyFont="1" applyFill="1" applyBorder="1" applyAlignment="1">
      <alignment horizontal="center" vertical="center" wrapText="1"/>
    </xf>
    <xf numFmtId="3" fontId="6" fillId="0" borderId="0" xfId="44" applyNumberFormat="1" applyFont="1" applyFill="1" applyBorder="1" applyAlignment="1">
      <alignment horizontal="center" vertical="center" wrapText="1"/>
    </xf>
    <xf numFmtId="3" fontId="7" fillId="0" borderId="15" xfId="44" applyNumberFormat="1" applyFont="1" applyFill="1" applyBorder="1" applyAlignment="1">
      <alignment vertical="center" wrapText="1"/>
    </xf>
    <xf numFmtId="3" fontId="7" fillId="0" borderId="13" xfId="44" applyNumberFormat="1" applyFont="1" applyFill="1" applyBorder="1" applyAlignment="1">
      <alignment horizontal="center" vertical="center" wrapText="1"/>
    </xf>
    <xf numFmtId="3" fontId="7" fillId="0" borderId="0" xfId="44" applyNumberFormat="1" applyFont="1" applyFill="1" applyBorder="1" applyAlignment="1">
      <alignment horizontal="center" vertical="center" wrapText="1"/>
    </xf>
    <xf numFmtId="3" fontId="7" fillId="0" borderId="14" xfId="44" applyNumberFormat="1" applyFont="1" applyFill="1" applyBorder="1" applyAlignment="1">
      <alignment horizontal="center" vertical="center" wrapText="1"/>
    </xf>
    <xf numFmtId="3" fontId="7" fillId="0" borderId="16" xfId="44" applyNumberFormat="1" applyFont="1" applyFill="1" applyBorder="1" applyAlignment="1">
      <alignment horizontal="center" vertical="center" wrapText="1"/>
    </xf>
    <xf numFmtId="4" fontId="6" fillId="0" borderId="17" xfId="44" applyNumberFormat="1" applyFont="1" applyFill="1" applyBorder="1" applyAlignment="1">
      <alignment horizontal="right" vertical="center" wrapText="1" indent="1"/>
    </xf>
    <xf numFmtId="4" fontId="6" fillId="0" borderId="18" xfId="44" applyNumberFormat="1" applyFont="1" applyFill="1" applyBorder="1" applyAlignment="1">
      <alignment horizontal="right" vertical="center" wrapText="1" indent="1"/>
    </xf>
    <xf numFmtId="3" fontId="7" fillId="0" borderId="0" xfId="44" applyNumberFormat="1" applyFont="1" applyFill="1" applyBorder="1" applyAlignment="1">
      <alignment horizontal="right" vertical="center" wrapText="1"/>
    </xf>
    <xf numFmtId="4" fontId="7" fillId="0" borderId="0" xfId="44" applyNumberFormat="1" applyFont="1" applyFill="1" applyBorder="1" applyAlignment="1">
      <alignment vertical="center" wrapText="1"/>
    </xf>
    <xf numFmtId="0" fontId="7" fillId="0" borderId="0" xfId="43" applyFont="1" applyFill="1" applyAlignment="1">
      <alignment vertical="center" wrapText="1"/>
    </xf>
    <xf numFmtId="0" fontId="6" fillId="0" borderId="31" xfId="43" applyFont="1" applyFill="1" applyBorder="1" applyAlignment="1">
      <alignment horizontal="center" vertical="center" wrapText="1"/>
    </xf>
    <xf numFmtId="0" fontId="6" fillId="0" borderId="55" xfId="43" applyFont="1" applyFill="1" applyBorder="1" applyAlignment="1">
      <alignment horizontal="center" vertical="center" wrapText="1"/>
    </xf>
    <xf numFmtId="0" fontId="6" fillId="0" borderId="72" xfId="43" applyFont="1" applyFill="1" applyBorder="1" applyAlignment="1">
      <alignment horizontal="center" vertical="center" wrapText="1"/>
    </xf>
    <xf numFmtId="0" fontId="6" fillId="0" borderId="0" xfId="43" applyFont="1" applyFill="1" applyAlignment="1">
      <alignment horizontal="center" vertical="center" wrapText="1"/>
    </xf>
    <xf numFmtId="0" fontId="23" fillId="0" borderId="22" xfId="41" applyFont="1" applyFill="1" applyBorder="1" applyAlignment="1">
      <alignment horizontal="left" indent="1"/>
    </xf>
    <xf numFmtId="0" fontId="23" fillId="0" borderId="29" xfId="41" applyFont="1" applyFill="1" applyBorder="1"/>
    <xf numFmtId="49" fontId="23" fillId="0" borderId="37" xfId="41" applyNumberFormat="1" applyFont="1" applyFill="1" applyBorder="1" applyAlignment="1">
      <alignment horizontal="center"/>
    </xf>
    <xf numFmtId="3" fontId="7" fillId="0" borderId="29" xfId="43" applyNumberFormat="1" applyFont="1" applyFill="1" applyBorder="1" applyAlignment="1">
      <alignment horizontal="right" vertical="center" wrapText="1" indent="1"/>
    </xf>
    <xf numFmtId="3" fontId="7" fillId="0" borderId="37" xfId="43" applyNumberFormat="1" applyFont="1" applyFill="1" applyBorder="1" applyAlignment="1">
      <alignment horizontal="right" vertical="center" wrapText="1" indent="1"/>
    </xf>
    <xf numFmtId="3" fontId="2" fillId="0" borderId="43" xfId="0" applyNumberFormat="1" applyFont="1" applyFill="1" applyBorder="1" applyAlignment="1">
      <alignment horizontal="right" vertical="center" wrapText="1" indent="1"/>
    </xf>
    <xf numFmtId="0" fontId="23" fillId="0" borderId="13" xfId="41" applyFont="1" applyFill="1" applyBorder="1"/>
    <xf numFmtId="49" fontId="23" fillId="0" borderId="20" xfId="41" applyNumberFormat="1" applyFont="1" applyFill="1" applyBorder="1" applyAlignment="1">
      <alignment horizontal="center"/>
    </xf>
    <xf numFmtId="3" fontId="7" fillId="0" borderId="13" xfId="43" applyNumberFormat="1" applyFont="1" applyFill="1" applyBorder="1" applyAlignment="1">
      <alignment horizontal="right" vertical="center" wrapText="1" indent="1"/>
    </xf>
    <xf numFmtId="3" fontId="7" fillId="0" borderId="20" xfId="43" applyNumberFormat="1" applyFont="1" applyFill="1" applyBorder="1" applyAlignment="1">
      <alignment horizontal="right" vertical="center" wrapText="1" indent="1"/>
    </xf>
    <xf numFmtId="3" fontId="2" fillId="0" borderId="46" xfId="0" applyNumberFormat="1" applyFont="1" applyFill="1" applyBorder="1" applyAlignment="1">
      <alignment horizontal="right" vertical="center" wrapText="1" indent="1"/>
    </xf>
    <xf numFmtId="0" fontId="23" fillId="0" borderId="13" xfId="41" applyFont="1" applyFill="1" applyBorder="1" applyAlignment="1">
      <alignment vertical="center"/>
    </xf>
    <xf numFmtId="0" fontId="1" fillId="0" borderId="0" xfId="0" applyFont="1" applyFill="1"/>
    <xf numFmtId="3" fontId="7" fillId="0" borderId="35" xfId="43" applyNumberFormat="1" applyFont="1" applyFill="1" applyBorder="1" applyAlignment="1">
      <alignment horizontal="right" vertical="center" wrapText="1" indent="1"/>
    </xf>
    <xf numFmtId="49" fontId="54" fillId="0" borderId="20" xfId="41" applyNumberFormat="1" applyFont="1" applyFill="1" applyBorder="1" applyAlignment="1">
      <alignment horizontal="center"/>
    </xf>
    <xf numFmtId="3" fontId="2" fillId="0" borderId="37" xfId="0" applyNumberFormat="1" applyFont="1" applyFill="1" applyBorder="1" applyAlignment="1">
      <alignment horizontal="right" vertical="center" wrapText="1" indent="1"/>
    </xf>
    <xf numFmtId="3" fontId="2" fillId="0" borderId="20" xfId="0" applyNumberFormat="1" applyFont="1" applyFill="1" applyBorder="1" applyAlignment="1">
      <alignment horizontal="right" vertical="center" wrapText="1" indent="1"/>
    </xf>
    <xf numFmtId="3" fontId="2" fillId="0" borderId="13" xfId="0" applyNumberFormat="1" applyFont="1" applyFill="1" applyBorder="1" applyAlignment="1">
      <alignment horizontal="right" vertical="center" wrapText="1" indent="1"/>
    </xf>
    <xf numFmtId="3" fontId="2" fillId="0" borderId="52" xfId="0" applyNumberFormat="1" applyFont="1" applyFill="1" applyBorder="1" applyAlignment="1">
      <alignment horizontal="right" vertical="center" wrapText="1" indent="1"/>
    </xf>
    <xf numFmtId="49" fontId="54" fillId="0" borderId="28" xfId="41" applyNumberFormat="1" applyFont="1" applyFill="1" applyBorder="1" applyAlignment="1">
      <alignment horizontal="center"/>
    </xf>
    <xf numFmtId="3" fontId="2" fillId="0" borderId="59" xfId="0" applyNumberFormat="1" applyFont="1" applyFill="1" applyBorder="1" applyAlignment="1">
      <alignment horizontal="right" vertical="center" wrapText="1" indent="1"/>
    </xf>
    <xf numFmtId="3" fontId="2" fillId="0" borderId="73" xfId="0" applyNumberFormat="1" applyFont="1" applyFill="1" applyBorder="1" applyAlignment="1">
      <alignment horizontal="right" vertical="center" wrapText="1" indent="1"/>
    </xf>
    <xf numFmtId="0" fontId="7" fillId="0" borderId="22" xfId="41" applyFont="1" applyFill="1" applyBorder="1" applyAlignment="1">
      <alignment horizontal="left" indent="1"/>
    </xf>
    <xf numFmtId="0" fontId="7" fillId="0" borderId="29" xfId="41" applyFont="1" applyFill="1" applyBorder="1"/>
    <xf numFmtId="49" fontId="7" fillId="0" borderId="37" xfId="41" applyNumberFormat="1" applyFont="1" applyFill="1" applyBorder="1" applyAlignment="1">
      <alignment horizontal="center"/>
    </xf>
    <xf numFmtId="0" fontId="7" fillId="0" borderId="13" xfId="41" applyFont="1" applyFill="1" applyBorder="1"/>
    <xf numFmtId="49" fontId="7" fillId="0" borderId="20" xfId="41" applyNumberFormat="1" applyFont="1" applyFill="1" applyBorder="1" applyAlignment="1">
      <alignment horizontal="center"/>
    </xf>
    <xf numFmtId="3" fontId="2" fillId="0" borderId="44" xfId="0" applyNumberFormat="1" applyFont="1" applyFill="1" applyBorder="1" applyAlignment="1">
      <alignment horizontal="right" vertical="center" wrapText="1" indent="1"/>
    </xf>
    <xf numFmtId="3" fontId="7" fillId="0" borderId="19" xfId="43" applyNumberFormat="1" applyFont="1" applyFill="1" applyBorder="1" applyAlignment="1">
      <alignment horizontal="right" vertical="center" wrapText="1" indent="1"/>
    </xf>
    <xf numFmtId="0" fontId="7" fillId="0" borderId="19" xfId="41" applyFont="1" applyFill="1" applyBorder="1"/>
    <xf numFmtId="49" fontId="7" fillId="0" borderId="35" xfId="41" applyNumberFormat="1" applyFont="1" applyFill="1" applyBorder="1" applyAlignment="1">
      <alignment horizontal="center"/>
    </xf>
    <xf numFmtId="3" fontId="2" fillId="0" borderId="45" xfId="0" applyNumberFormat="1" applyFont="1" applyFill="1" applyBorder="1" applyAlignment="1">
      <alignment horizontal="right" vertical="center" wrapText="1" indent="1"/>
    </xf>
    <xf numFmtId="49" fontId="54" fillId="0" borderId="55" xfId="41" applyNumberFormat="1" applyFont="1" applyFill="1" applyBorder="1" applyAlignment="1">
      <alignment horizontal="center" vertical="center"/>
    </xf>
    <xf numFmtId="3" fontId="2" fillId="0" borderId="31" xfId="0" applyNumberFormat="1" applyFont="1" applyFill="1" applyBorder="1" applyAlignment="1">
      <alignment horizontal="right" vertical="center" wrapText="1" indent="1"/>
    </xf>
    <xf numFmtId="3" fontId="2" fillId="0" borderId="55" xfId="0" applyNumberFormat="1" applyFont="1" applyFill="1" applyBorder="1" applyAlignment="1">
      <alignment horizontal="right" vertical="center" wrapText="1" indent="1"/>
    </xf>
    <xf numFmtId="3" fontId="2" fillId="0" borderId="72" xfId="0" applyNumberFormat="1" applyFont="1" applyFill="1" applyBorder="1" applyAlignment="1">
      <alignment horizontal="right" vertical="center" wrapText="1" indent="1"/>
    </xf>
    <xf numFmtId="168" fontId="6" fillId="0" borderId="24" xfId="41" applyNumberFormat="1" applyFont="1" applyFill="1" applyBorder="1" applyAlignment="1" applyProtection="1">
      <alignment horizontal="center" vertical="center" wrapText="1"/>
    </xf>
    <xf numFmtId="168" fontId="6" fillId="0" borderId="19" xfId="41" applyNumberFormat="1" applyFont="1" applyFill="1" applyBorder="1" applyAlignment="1" applyProtection="1">
      <alignment horizontal="center" vertical="center"/>
    </xf>
    <xf numFmtId="168" fontId="6" fillId="0" borderId="26" xfId="41" applyNumberFormat="1" applyFont="1" applyFill="1" applyBorder="1" applyAlignment="1" applyProtection="1">
      <alignment horizontal="center" vertical="center"/>
    </xf>
    <xf numFmtId="0" fontId="7" fillId="0" borderId="31" xfId="41" applyFont="1" applyFill="1" applyBorder="1" applyAlignment="1" applyProtection="1">
      <alignment horizontal="center"/>
    </xf>
    <xf numFmtId="168" fontId="7" fillId="0" borderId="55" xfId="41" applyNumberFormat="1" applyFont="1" applyFill="1" applyBorder="1" applyAlignment="1" applyProtection="1">
      <alignment horizontal="center"/>
    </xf>
    <xf numFmtId="168" fontId="7" fillId="0" borderId="31" xfId="41" applyNumberFormat="1" applyFont="1" applyFill="1" applyBorder="1" applyAlignment="1" applyProtection="1">
      <alignment horizontal="center"/>
    </xf>
    <xf numFmtId="168" fontId="7" fillId="0" borderId="36" xfId="41" applyNumberFormat="1" applyFont="1" applyFill="1" applyBorder="1" applyAlignment="1" applyProtection="1">
      <alignment horizontal="center"/>
    </xf>
    <xf numFmtId="49" fontId="6" fillId="0" borderId="29" xfId="41" applyNumberFormat="1" applyFont="1" applyFill="1" applyBorder="1" applyAlignment="1" applyProtection="1">
      <alignment horizontal="center"/>
    </xf>
    <xf numFmtId="3" fontId="2" fillId="0" borderId="29" xfId="0" applyNumberFormat="1" applyFont="1" applyFill="1" applyBorder="1" applyAlignment="1">
      <alignment horizontal="right" vertical="center" wrapText="1" indent="1"/>
    </xf>
    <xf numFmtId="3" fontId="2" fillId="0" borderId="34" xfId="0" applyNumberFormat="1" applyFont="1" applyFill="1" applyBorder="1" applyAlignment="1">
      <alignment horizontal="right" vertical="center" wrapText="1" indent="1"/>
    </xf>
    <xf numFmtId="0" fontId="6" fillId="0" borderId="21" xfId="41" applyFont="1" applyFill="1" applyBorder="1" applyAlignment="1" applyProtection="1">
      <alignment horizontal="center" wrapText="1"/>
    </xf>
    <xf numFmtId="0" fontId="6" fillId="0" borderId="32" xfId="41" applyFont="1" applyFill="1" applyBorder="1" applyAlignment="1" applyProtection="1">
      <alignment wrapText="1"/>
    </xf>
    <xf numFmtId="49" fontId="6" fillId="0" borderId="13" xfId="41" applyNumberFormat="1" applyFont="1" applyFill="1" applyBorder="1" applyAlignment="1" applyProtection="1">
      <alignment horizontal="center"/>
    </xf>
    <xf numFmtId="0" fontId="7" fillId="0" borderId="27" xfId="41" applyFont="1" applyFill="1" applyBorder="1" applyAlignment="1" applyProtection="1">
      <alignment wrapText="1"/>
    </xf>
    <xf numFmtId="49" fontId="7" fillId="0" borderId="13" xfId="41" applyNumberFormat="1" applyFont="1" applyFill="1" applyBorder="1" applyAlignment="1" applyProtection="1">
      <alignment horizontal="center"/>
    </xf>
    <xf numFmtId="3" fontId="7" fillId="0" borderId="14" xfId="43" applyNumberFormat="1" applyFont="1" applyFill="1" applyBorder="1" applyAlignment="1">
      <alignment horizontal="right" vertical="center" wrapText="1" indent="1"/>
    </xf>
    <xf numFmtId="0" fontId="6" fillId="0" borderId="13" xfId="41" applyFont="1" applyFill="1" applyBorder="1" applyAlignment="1" applyProtection="1">
      <alignment wrapText="1"/>
    </xf>
    <xf numFmtId="0" fontId="6" fillId="0" borderId="33" xfId="41" applyFont="1" applyFill="1" applyBorder="1" applyAlignment="1" applyProtection="1">
      <alignment vertical="top" wrapText="1"/>
    </xf>
    <xf numFmtId="0" fontId="7" fillId="0" borderId="13" xfId="41" applyFont="1" applyFill="1" applyBorder="1" applyAlignment="1" applyProtection="1">
      <alignment wrapText="1"/>
    </xf>
    <xf numFmtId="0" fontId="6" fillId="0" borderId="22" xfId="41" applyFont="1" applyFill="1" applyBorder="1" applyAlignment="1" applyProtection="1">
      <alignment vertical="top" wrapText="1"/>
    </xf>
    <xf numFmtId="0" fontId="6" fillId="0" borderId="16" xfId="41" applyFont="1" applyFill="1" applyBorder="1" applyAlignment="1" applyProtection="1">
      <alignment vertical="top" wrapText="1"/>
    </xf>
    <xf numFmtId="49" fontId="7" fillId="0" borderId="17" xfId="41" applyNumberFormat="1" applyFont="1" applyFill="1" applyBorder="1" applyAlignment="1" applyProtection="1">
      <alignment horizontal="center"/>
    </xf>
    <xf numFmtId="3" fontId="7" fillId="0" borderId="17" xfId="43" applyNumberFormat="1" applyFont="1" applyFill="1" applyBorder="1" applyAlignment="1">
      <alignment horizontal="right" vertical="center" wrapText="1" indent="1"/>
    </xf>
    <xf numFmtId="3" fontId="7" fillId="0" borderId="18" xfId="43" applyNumberFormat="1" applyFont="1" applyFill="1" applyBorder="1" applyAlignment="1">
      <alignment horizontal="right" vertical="center" wrapText="1" indent="1"/>
    </xf>
    <xf numFmtId="168" fontId="58" fillId="0" borderId="0" xfId="41" applyNumberFormat="1" applyFont="1" applyFill="1" applyProtection="1"/>
    <xf numFmtId="4" fontId="7" fillId="0" borderId="17" xfId="0" applyNumberFormat="1" applyFont="1" applyFill="1" applyBorder="1" applyAlignment="1">
      <alignment horizontal="right" vertical="center" wrapText="1" indent="1"/>
    </xf>
    <xf numFmtId="0" fontId="1" fillId="0" borderId="0" xfId="0" applyNumberFormat="1" applyFont="1" applyFill="1" applyAlignment="1">
      <alignment vertical="center" wrapText="1"/>
    </xf>
    <xf numFmtId="0" fontId="1" fillId="0" borderId="0" xfId="41" applyFont="1" applyFill="1" applyProtection="1"/>
    <xf numFmtId="0" fontId="7" fillId="0" borderId="13" xfId="41" applyFont="1" applyFill="1" applyBorder="1" applyAlignment="1" applyProtection="1">
      <alignment vertical="center" wrapText="1"/>
    </xf>
    <xf numFmtId="0" fontId="7" fillId="0" borderId="17" xfId="41" applyFont="1" applyFill="1" applyBorder="1" applyAlignment="1" applyProtection="1">
      <alignment wrapText="1"/>
    </xf>
    <xf numFmtId="0" fontId="1" fillId="0" borderId="0" xfId="41" applyFont="1" applyFill="1" applyAlignment="1" applyProtection="1">
      <alignment wrapText="1"/>
    </xf>
    <xf numFmtId="0" fontId="1" fillId="0" borderId="0" xfId="41" applyFont="1" applyFill="1" applyAlignment="1" applyProtection="1">
      <alignment horizontal="center"/>
    </xf>
    <xf numFmtId="0" fontId="1" fillId="0" borderId="0" xfId="41" applyFont="1" applyFill="1"/>
    <xf numFmtId="0" fontId="23" fillId="0" borderId="31" xfId="41" applyFont="1" applyFill="1" applyBorder="1" applyAlignment="1">
      <alignment horizontal="center"/>
    </xf>
    <xf numFmtId="164" fontId="6" fillId="0" borderId="25" xfId="28" applyNumberFormat="1" applyFont="1" applyFill="1" applyBorder="1"/>
    <xf numFmtId="3" fontId="2" fillId="0" borderId="25" xfId="0" applyNumberFormat="1" applyFont="1" applyFill="1" applyBorder="1" applyAlignment="1">
      <alignment horizontal="right" vertical="center" wrapText="1" indent="1"/>
    </xf>
    <xf numFmtId="3" fontId="2" fillId="0" borderId="24" xfId="0" applyNumberFormat="1" applyFont="1" applyFill="1" applyBorder="1" applyAlignment="1">
      <alignment horizontal="right" vertical="center" wrapText="1" indent="1"/>
    </xf>
    <xf numFmtId="0" fontId="1" fillId="0" borderId="0" xfId="41" applyFont="1" applyFill="1" applyBorder="1" applyAlignment="1"/>
    <xf numFmtId="0" fontId="1" fillId="0" borderId="0" xfId="41" applyFont="1" applyFill="1" applyAlignment="1"/>
    <xf numFmtId="0" fontId="6" fillId="0" borderId="21" xfId="41" applyFont="1" applyFill="1" applyBorder="1" applyAlignment="1">
      <alignment vertical="center" wrapText="1"/>
    </xf>
    <xf numFmtId="164" fontId="6" fillId="0" borderId="13" xfId="28" applyNumberFormat="1" applyFont="1" applyFill="1" applyBorder="1"/>
    <xf numFmtId="0" fontId="7" fillId="0" borderId="13" xfId="41" applyFont="1" applyFill="1" applyBorder="1" applyAlignment="1">
      <alignment vertical="center" wrapText="1"/>
    </xf>
    <xf numFmtId="164" fontId="7" fillId="0" borderId="13" xfId="28" applyNumberFormat="1" applyFont="1" applyFill="1" applyBorder="1" applyProtection="1">
      <protection locked="0"/>
    </xf>
    <xf numFmtId="3" fontId="3" fillId="0" borderId="29" xfId="0" applyNumberFormat="1" applyFont="1" applyFill="1" applyBorder="1" applyAlignment="1">
      <alignment horizontal="right" vertical="center" wrapText="1" indent="1"/>
    </xf>
    <xf numFmtId="3" fontId="3" fillId="0" borderId="34" xfId="0" applyNumberFormat="1" applyFont="1" applyFill="1" applyBorder="1" applyAlignment="1">
      <alignment horizontal="right" vertical="center" wrapText="1" indent="1"/>
    </xf>
    <xf numFmtId="0" fontId="6" fillId="0" borderId="33" xfId="41" applyFont="1" applyFill="1" applyBorder="1" applyAlignment="1">
      <alignment horizontal="center" vertical="center" wrapText="1"/>
    </xf>
    <xf numFmtId="0" fontId="6" fillId="0" borderId="15" xfId="41" applyFont="1" applyFill="1" applyBorder="1" applyAlignment="1">
      <alignment horizontal="center" vertical="center" wrapText="1"/>
    </xf>
    <xf numFmtId="0" fontId="6" fillId="0" borderId="13" xfId="41" applyFont="1" applyFill="1" applyBorder="1" applyAlignment="1">
      <alignment horizontal="left" vertical="center" wrapText="1"/>
    </xf>
    <xf numFmtId="3" fontId="6" fillId="0" borderId="13" xfId="28" applyNumberFormat="1" applyFont="1" applyFill="1" applyBorder="1" applyAlignment="1">
      <alignment horizontal="right"/>
    </xf>
    <xf numFmtId="3" fontId="6" fillId="0" borderId="14" xfId="28" applyNumberFormat="1" applyFont="1" applyFill="1" applyBorder="1" applyAlignment="1">
      <alignment horizontal="right"/>
    </xf>
    <xf numFmtId="0" fontId="6" fillId="0" borderId="29" xfId="41" applyFont="1" applyFill="1" applyBorder="1" applyAlignment="1">
      <alignment vertical="center" wrapText="1"/>
    </xf>
    <xf numFmtId="0" fontId="7" fillId="0" borderId="29" xfId="41" applyFont="1" applyFill="1" applyBorder="1" applyAlignment="1">
      <alignment vertical="center" wrapText="1"/>
    </xf>
    <xf numFmtId="164" fontId="7" fillId="0" borderId="13" xfId="28" applyNumberFormat="1" applyFont="1" applyFill="1" applyBorder="1"/>
    <xf numFmtId="49" fontId="6" fillId="0" borderId="17" xfId="41" applyNumberFormat="1" applyFont="1" applyFill="1" applyBorder="1" applyAlignment="1">
      <alignment horizontal="center"/>
    </xf>
    <xf numFmtId="164" fontId="7" fillId="0" borderId="17" xfId="28" applyNumberFormat="1" applyFont="1" applyFill="1" applyBorder="1"/>
    <xf numFmtId="3" fontId="2" fillId="0" borderId="17" xfId="0" applyNumberFormat="1" applyFont="1" applyFill="1" applyBorder="1" applyAlignment="1">
      <alignment horizontal="right" vertical="center" wrapText="1" indent="1"/>
    </xf>
    <xf numFmtId="0" fontId="7" fillId="0" borderId="0" xfId="41" applyFont="1" applyFill="1"/>
    <xf numFmtId="0" fontId="7" fillId="0" borderId="0" xfId="41" applyFont="1" applyFill="1" applyAlignment="1">
      <alignment horizontal="center"/>
    </xf>
    <xf numFmtId="3" fontId="7" fillId="0" borderId="0" xfId="41" applyNumberFormat="1" applyFont="1" applyFill="1" applyAlignment="1">
      <alignment horizontal="right"/>
    </xf>
    <xf numFmtId="3" fontId="7" fillId="0" borderId="0" xfId="41" applyNumberFormat="1" applyFont="1" applyFill="1"/>
    <xf numFmtId="3" fontId="1" fillId="0" borderId="0" xfId="41" applyNumberFormat="1" applyFont="1" applyFill="1" applyAlignment="1">
      <alignment horizontal="right"/>
    </xf>
    <xf numFmtId="3" fontId="1" fillId="0" borderId="0" xfId="41" applyNumberFormat="1" applyFont="1" applyFill="1"/>
    <xf numFmtId="3" fontId="6" fillId="0" borderId="34" xfId="41" applyNumberFormat="1" applyFont="1" applyFill="1" applyBorder="1" applyAlignment="1">
      <alignment horizontal="center" vertical="center" wrapText="1"/>
    </xf>
    <xf numFmtId="3" fontId="6" fillId="0" borderId="19" xfId="41" applyNumberFormat="1" applyFont="1" applyFill="1" applyBorder="1" applyAlignment="1">
      <alignment horizontal="center" vertical="center"/>
    </xf>
    <xf numFmtId="3" fontId="6" fillId="0" borderId="26" xfId="41" applyNumberFormat="1" applyFont="1" applyFill="1" applyBorder="1" applyAlignment="1">
      <alignment horizontal="center" vertical="center"/>
    </xf>
    <xf numFmtId="0" fontId="7" fillId="0" borderId="31" xfId="41" applyFont="1" applyFill="1" applyBorder="1" applyAlignment="1">
      <alignment horizontal="center" vertical="center"/>
    </xf>
    <xf numFmtId="3" fontId="7" fillId="0" borderId="31" xfId="41" applyNumberFormat="1" applyFont="1" applyFill="1" applyBorder="1" applyAlignment="1">
      <alignment horizontal="center" vertical="center"/>
    </xf>
    <xf numFmtId="3" fontId="7" fillId="0" borderId="36" xfId="41" applyNumberFormat="1" applyFont="1" applyFill="1" applyBorder="1" applyAlignment="1">
      <alignment horizontal="center" vertical="center"/>
    </xf>
    <xf numFmtId="49" fontId="6" fillId="0" borderId="29" xfId="41" applyNumberFormat="1" applyFont="1" applyFill="1" applyBorder="1" applyAlignment="1">
      <alignment horizontal="center" vertical="center"/>
    </xf>
    <xf numFmtId="0" fontId="6" fillId="0" borderId="21" xfId="41" applyFont="1" applyFill="1" applyBorder="1" applyAlignment="1">
      <alignment horizontal="center" vertical="center" wrapText="1"/>
    </xf>
    <xf numFmtId="49" fontId="6" fillId="0" borderId="13" xfId="41" applyNumberFormat="1" applyFont="1" applyFill="1" applyBorder="1" applyAlignment="1">
      <alignment horizontal="center" vertical="center"/>
    </xf>
    <xf numFmtId="49" fontId="7" fillId="0" borderId="20" xfId="41" applyNumberFormat="1" applyFont="1" applyFill="1" applyBorder="1" applyAlignment="1">
      <alignment horizontal="center" vertical="center"/>
    </xf>
    <xf numFmtId="3" fontId="6" fillId="0" borderId="13" xfId="41" applyNumberFormat="1" applyFont="1" applyFill="1" applyBorder="1" applyAlignment="1"/>
    <xf numFmtId="3" fontId="6" fillId="0" borderId="27" xfId="41" applyNumberFormat="1" applyFont="1" applyFill="1" applyBorder="1" applyAlignment="1"/>
    <xf numFmtId="3" fontId="6" fillId="0" borderId="38" xfId="41" applyNumberFormat="1" applyFont="1" applyFill="1" applyBorder="1" applyAlignment="1"/>
    <xf numFmtId="49" fontId="6" fillId="0" borderId="20" xfId="41" applyNumberFormat="1" applyFont="1" applyFill="1" applyBorder="1" applyAlignment="1">
      <alignment horizontal="center" vertical="center"/>
    </xf>
    <xf numFmtId="3" fontId="2" fillId="0" borderId="38" xfId="0" applyNumberFormat="1" applyFont="1" applyFill="1" applyBorder="1" applyAlignment="1">
      <alignment horizontal="right" vertical="center" wrapText="1" indent="1"/>
    </xf>
    <xf numFmtId="0" fontId="6" fillId="0" borderId="22" xfId="41" applyFont="1" applyFill="1" applyBorder="1" applyAlignment="1">
      <alignment horizontal="center" vertical="center" wrapText="1"/>
    </xf>
    <xf numFmtId="0" fontId="7" fillId="0" borderId="19" xfId="41" applyFont="1" applyFill="1" applyBorder="1" applyAlignment="1">
      <alignment wrapText="1"/>
    </xf>
    <xf numFmtId="49" fontId="7" fillId="0" borderId="35" xfId="41" applyNumberFormat="1" applyFont="1" applyFill="1" applyBorder="1" applyAlignment="1">
      <alignment horizontal="center" vertical="center"/>
    </xf>
    <xf numFmtId="3" fontId="6" fillId="0" borderId="17" xfId="41" applyNumberFormat="1" applyFont="1" applyFill="1" applyBorder="1" applyAlignment="1"/>
    <xf numFmtId="3" fontId="6" fillId="0" borderId="39" xfId="41" applyNumberFormat="1" applyFont="1" applyFill="1" applyBorder="1" applyAlignment="1"/>
    <xf numFmtId="3" fontId="6" fillId="0" borderId="40" xfId="41" applyNumberFormat="1" applyFont="1" applyFill="1" applyBorder="1" applyAlignment="1"/>
    <xf numFmtId="49" fontId="6" fillId="0" borderId="55" xfId="41" applyNumberFormat="1" applyFont="1" applyFill="1" applyBorder="1" applyAlignment="1">
      <alignment horizontal="center" vertical="center"/>
    </xf>
    <xf numFmtId="3" fontId="2" fillId="0" borderId="36" xfId="0" applyNumberFormat="1" applyFont="1" applyFill="1" applyBorder="1" applyAlignment="1">
      <alignment horizontal="right" vertical="center" wrapText="1" indent="1"/>
    </xf>
    <xf numFmtId="49" fontId="7" fillId="0" borderId="37" xfId="41" applyNumberFormat="1" applyFont="1" applyFill="1" applyBorder="1" applyAlignment="1">
      <alignment horizontal="center" vertical="center"/>
    </xf>
    <xf numFmtId="3" fontId="6" fillId="0" borderId="25" xfId="41" applyNumberFormat="1" applyFont="1" applyFill="1" applyBorder="1" applyAlignment="1"/>
    <xf numFmtId="3" fontId="6" fillId="0" borderId="41" xfId="41" applyNumberFormat="1" applyFont="1" applyFill="1" applyBorder="1" applyAlignment="1"/>
    <xf numFmtId="3" fontId="6" fillId="0" borderId="42" xfId="41" applyNumberFormat="1" applyFont="1" applyFill="1" applyBorder="1" applyAlignment="1"/>
    <xf numFmtId="0" fontId="7" fillId="0" borderId="19" xfId="41" applyFont="1" applyFill="1" applyBorder="1" applyAlignment="1">
      <alignment vertical="center" wrapText="1"/>
    </xf>
    <xf numFmtId="49" fontId="7" fillId="0" borderId="55" xfId="41" applyNumberFormat="1" applyFont="1" applyFill="1" applyBorder="1" applyAlignment="1">
      <alignment horizontal="center" vertical="center"/>
    </xf>
    <xf numFmtId="0" fontId="1" fillId="0" borderId="0" xfId="41" applyFont="1" applyFill="1" applyAlignment="1">
      <alignment wrapText="1"/>
    </xf>
    <xf numFmtId="0" fontId="1" fillId="0" borderId="0" xfId="41" applyFont="1" applyFill="1" applyAlignment="1">
      <alignment horizontal="center"/>
    </xf>
    <xf numFmtId="3" fontId="58" fillId="0" borderId="0" xfId="41" applyNumberFormat="1" applyFont="1" applyFill="1"/>
    <xf numFmtId="0" fontId="2" fillId="0" borderId="17" xfId="0" applyFont="1" applyFill="1" applyBorder="1" applyAlignment="1">
      <alignment horizontal="left" vertical="center" wrapText="1" indent="1"/>
    </xf>
    <xf numFmtId="0" fontId="2" fillId="0" borderId="81" xfId="0" applyFont="1" applyFill="1" applyBorder="1" applyAlignment="1">
      <alignment horizontal="left" vertical="center" wrapText="1" indent="1"/>
    </xf>
    <xf numFmtId="4" fontId="2" fillId="0" borderId="81" xfId="0" applyNumberFormat="1" applyFont="1" applyFill="1" applyBorder="1" applyAlignment="1">
      <alignment horizontal="center" vertical="center" wrapText="1"/>
    </xf>
    <xf numFmtId="0" fontId="2" fillId="0" borderId="81" xfId="0"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15" xfId="0" applyFont="1" applyFill="1" applyBorder="1" applyAlignment="1">
      <alignment horizontal="center" vertical="center" wrapText="1"/>
    </xf>
    <xf numFmtId="0" fontId="6" fillId="0" borderId="0" xfId="0" applyFont="1" applyFill="1"/>
    <xf numFmtId="0" fontId="7" fillId="0" borderId="0" xfId="0" applyFont="1" applyFill="1" applyAlignment="1">
      <alignment vertical="top" wrapText="1"/>
    </xf>
    <xf numFmtId="0" fontId="7" fillId="0" borderId="0" xfId="0" applyFont="1" applyFill="1" applyAlignment="1"/>
    <xf numFmtId="0" fontId="7" fillId="0" borderId="16" xfId="0" applyFont="1" applyFill="1" applyBorder="1" applyAlignment="1">
      <alignment horizontal="center" vertical="center"/>
    </xf>
    <xf numFmtId="0" fontId="6" fillId="0" borderId="17" xfId="0" applyFont="1" applyFill="1" applyBorder="1" applyAlignment="1">
      <alignment horizontal="left" wrapText="1" indent="1"/>
    </xf>
    <xf numFmtId="0" fontId="7" fillId="0" borderId="0" xfId="0" applyFont="1" applyFill="1" applyAlignment="1">
      <alignment horizontal="center" vertical="center"/>
    </xf>
    <xf numFmtId="0" fontId="7" fillId="0" borderId="0" xfId="0" applyFont="1" applyFill="1" applyBorder="1" applyAlignment="1">
      <alignment vertical="center" wrapText="1"/>
    </xf>
    <xf numFmtId="0" fontId="62" fillId="0" borderId="0" xfId="0" applyFont="1" applyFill="1" applyAlignment="1">
      <alignment horizontal="left" vertical="center" indent="1"/>
    </xf>
    <xf numFmtId="0" fontId="3" fillId="0" borderId="0" xfId="0" applyFont="1" applyFill="1" applyBorder="1" applyAlignment="1">
      <alignment horizontal="left" vertical="center"/>
    </xf>
    <xf numFmtId="49" fontId="2" fillId="0" borderId="13" xfId="42" applyNumberFormat="1" applyFont="1" applyFill="1" applyBorder="1" applyAlignment="1">
      <alignment horizontal="left" vertical="center" wrapText="1" indent="1"/>
    </xf>
    <xf numFmtId="4" fontId="2" fillId="0" borderId="13" xfId="42" applyNumberFormat="1" applyFont="1" applyFill="1" applyBorder="1" applyAlignment="1">
      <alignment horizontal="right" vertical="center" wrapText="1" indent="1"/>
    </xf>
    <xf numFmtId="3" fontId="2" fillId="0" borderId="13" xfId="42" applyNumberFormat="1" applyFont="1" applyFill="1" applyBorder="1" applyAlignment="1">
      <alignment horizontal="right" vertical="center" wrapText="1" indent="1"/>
    </xf>
    <xf numFmtId="3" fontId="2" fillId="0" borderId="14" xfId="42" applyNumberFormat="1" applyFont="1" applyFill="1" applyBorder="1" applyAlignment="1">
      <alignment horizontal="right" vertical="center" wrapText="1" indent="1"/>
    </xf>
    <xf numFmtId="49" fontId="3" fillId="0" borderId="13" xfId="42" applyNumberFormat="1" applyFont="1" applyFill="1" applyBorder="1" applyAlignment="1">
      <alignment horizontal="left" vertical="center" wrapText="1" indent="1"/>
    </xf>
    <xf numFmtId="3" fontId="2" fillId="0" borderId="14" xfId="42" applyNumberFormat="1" applyFont="1" applyFill="1" applyBorder="1" applyAlignment="1">
      <alignment horizontal="center" vertical="center" wrapText="1"/>
    </xf>
    <xf numFmtId="3" fontId="2" fillId="0" borderId="13" xfId="42" applyNumberFormat="1" applyFont="1" applyFill="1" applyBorder="1" applyAlignment="1">
      <alignment horizontal="center" vertical="center" wrapText="1"/>
    </xf>
    <xf numFmtId="49" fontId="2" fillId="0" borderId="17" xfId="42" applyNumberFormat="1" applyFont="1" applyFill="1" applyBorder="1" applyAlignment="1">
      <alignment horizontal="left" vertical="center" wrapText="1" indent="1"/>
    </xf>
    <xf numFmtId="3" fontId="2" fillId="0" borderId="17" xfId="42" applyNumberFormat="1" applyFont="1" applyFill="1" applyBorder="1" applyAlignment="1">
      <alignment horizontal="right" vertical="center" wrapText="1" indent="1"/>
    </xf>
    <xf numFmtId="3" fontId="2" fillId="0" borderId="18" xfId="42" applyNumberFormat="1" applyFont="1" applyFill="1" applyBorder="1" applyAlignment="1">
      <alignment horizontal="right" vertical="center" wrapText="1" indent="1"/>
    </xf>
    <xf numFmtId="0" fontId="2" fillId="0" borderId="13" xfId="0" applyFont="1" applyFill="1" applyBorder="1" applyAlignment="1">
      <alignment horizontal="left" vertical="center" wrapText="1"/>
    </xf>
    <xf numFmtId="0" fontId="3" fillId="0" borderId="13" xfId="0" applyFont="1" applyFill="1" applyBorder="1" applyAlignment="1">
      <alignment horizontal="left" vertical="center" wrapText="1" indent="1"/>
    </xf>
    <xf numFmtId="0" fontId="2" fillId="0" borderId="86" xfId="0" applyFont="1" applyFill="1" applyBorder="1" applyAlignment="1">
      <alignment horizontal="left" vertical="center" wrapText="1" indent="1"/>
    </xf>
    <xf numFmtId="4" fontId="2" fillId="0" borderId="82" xfId="0" applyNumberFormat="1" applyFont="1" applyFill="1" applyBorder="1" applyAlignment="1">
      <alignment horizontal="right" vertical="center" wrapText="1" indent="1"/>
    </xf>
    <xf numFmtId="3" fontId="2" fillId="0" borderId="53" xfId="0" applyNumberFormat="1" applyFont="1" applyFill="1" applyBorder="1" applyAlignment="1">
      <alignment horizontal="right" vertical="center" wrapText="1" indent="1"/>
    </xf>
    <xf numFmtId="0" fontId="88" fillId="0" borderId="0" xfId="0" applyFont="1" applyFill="1" applyBorder="1"/>
    <xf numFmtId="49" fontId="88" fillId="0" borderId="29" xfId="0" applyNumberFormat="1" applyFont="1" applyFill="1" applyBorder="1" applyAlignment="1">
      <alignment horizontal="left" indent="1"/>
    </xf>
    <xf numFmtId="167" fontId="88" fillId="0" borderId="29" xfId="0" applyNumberFormat="1" applyFont="1" applyFill="1" applyBorder="1" applyAlignment="1">
      <alignment horizontal="center"/>
    </xf>
    <xf numFmtId="4" fontId="88" fillId="0" borderId="29" xfId="0" applyNumberFormat="1" applyFont="1" applyFill="1" applyBorder="1" applyAlignment="1">
      <alignment horizontal="right" vertical="center" wrapText="1" indent="1"/>
    </xf>
    <xf numFmtId="0" fontId="6" fillId="0" borderId="22" xfId="0" applyFont="1" applyFill="1" applyBorder="1" applyAlignment="1">
      <alignment vertical="center" wrapText="1"/>
    </xf>
    <xf numFmtId="49" fontId="7" fillId="0" borderId="0" xfId="0" applyNumberFormat="1" applyFont="1" applyFill="1" applyBorder="1" applyAlignment="1">
      <alignment vertical="center" wrapText="1"/>
    </xf>
    <xf numFmtId="49" fontId="7" fillId="0" borderId="0" xfId="0" applyNumberFormat="1" applyFont="1" applyFill="1" applyAlignment="1">
      <alignment vertical="center" wrapText="1"/>
    </xf>
    <xf numFmtId="0" fontId="7" fillId="0" borderId="0" xfId="40" applyFont="1" applyFill="1"/>
    <xf numFmtId="0" fontId="6" fillId="0" borderId="13" xfId="40" applyFont="1" applyFill="1" applyBorder="1" applyAlignment="1">
      <alignment horizontal="center" vertical="center" wrapText="1"/>
    </xf>
    <xf numFmtId="0" fontId="6" fillId="0" borderId="22" xfId="40" applyFont="1" applyFill="1" applyBorder="1" applyAlignment="1">
      <alignment vertical="center"/>
    </xf>
    <xf numFmtId="0" fontId="6" fillId="0" borderId="29" xfId="40" applyFont="1" applyFill="1" applyBorder="1" applyAlignment="1">
      <alignment vertical="center"/>
    </xf>
    <xf numFmtId="0" fontId="6" fillId="0" borderId="29" xfId="40" applyFont="1" applyFill="1" applyBorder="1" applyAlignment="1">
      <alignment horizontal="center" vertical="center"/>
    </xf>
    <xf numFmtId="0" fontId="6" fillId="0" borderId="37" xfId="40" applyFont="1" applyFill="1" applyBorder="1" applyAlignment="1">
      <alignment horizontal="center" vertical="center"/>
    </xf>
    <xf numFmtId="0" fontId="6" fillId="0" borderId="34" xfId="40" applyFont="1" applyFill="1" applyBorder="1" applyAlignment="1">
      <alignment horizontal="center" vertical="center"/>
    </xf>
    <xf numFmtId="0" fontId="7" fillId="0" borderId="0" xfId="40" applyFont="1" applyFill="1" applyAlignment="1">
      <alignment horizontal="right"/>
    </xf>
    <xf numFmtId="0" fontId="7" fillId="0" borderId="15" xfId="40" applyFont="1" applyFill="1" applyBorder="1" applyAlignment="1">
      <alignment horizontal="center" vertical="center"/>
    </xf>
    <xf numFmtId="0" fontId="6" fillId="0" borderId="13" xfId="40" applyFont="1" applyFill="1" applyBorder="1" applyAlignment="1">
      <alignment horizontal="left" vertical="center" indent="1"/>
    </xf>
    <xf numFmtId="4" fontId="7" fillId="0" borderId="0" xfId="40" applyNumberFormat="1" applyFont="1" applyFill="1"/>
    <xf numFmtId="4" fontId="7" fillId="0" borderId="20" xfId="0" applyNumberFormat="1" applyFont="1" applyFill="1" applyBorder="1" applyAlignment="1">
      <alignment horizontal="right" vertical="center" wrapText="1" indent="1"/>
    </xf>
    <xf numFmtId="0" fontId="7" fillId="0" borderId="13" xfId="40" applyFont="1" applyFill="1" applyBorder="1" applyAlignment="1">
      <alignment horizontal="left" vertical="center" indent="1"/>
    </xf>
    <xf numFmtId="0" fontId="7" fillId="0" borderId="16" xfId="40" applyFont="1" applyFill="1" applyBorder="1" applyAlignment="1">
      <alignment horizontal="center" vertical="center"/>
    </xf>
    <xf numFmtId="0" fontId="7" fillId="0" borderId="17" xfId="40" applyFont="1" applyFill="1" applyBorder="1" applyAlignment="1">
      <alignment horizontal="left" vertical="center" indent="1"/>
    </xf>
    <xf numFmtId="4" fontId="7" fillId="0" borderId="17" xfId="0" applyNumberFormat="1" applyFont="1" applyFill="1" applyBorder="1" applyAlignment="1">
      <alignment horizontal="center" vertical="center" wrapText="1"/>
    </xf>
    <xf numFmtId="0" fontId="7" fillId="0" borderId="35" xfId="40" applyFont="1" applyFill="1" applyBorder="1"/>
    <xf numFmtId="0" fontId="7" fillId="0" borderId="48" xfId="40" applyFont="1" applyFill="1" applyBorder="1"/>
    <xf numFmtId="0" fontId="7" fillId="0" borderId="49" xfId="40" applyFont="1" applyFill="1" applyBorder="1"/>
    <xf numFmtId="0" fontId="7" fillId="0" borderId="37" xfId="40" applyFont="1" applyFill="1" applyBorder="1" applyAlignment="1">
      <alignment horizontal="left"/>
    </xf>
    <xf numFmtId="0" fontId="7" fillId="0" borderId="52" xfId="40" applyFont="1" applyFill="1" applyBorder="1"/>
    <xf numFmtId="0" fontId="7" fillId="0" borderId="32" xfId="40" applyFont="1" applyFill="1" applyBorder="1"/>
    <xf numFmtId="0" fontId="3" fillId="0" borderId="88" xfId="0" applyFont="1" applyFill="1" applyBorder="1" applyAlignment="1">
      <alignment horizontal="center" vertical="center" wrapText="1"/>
    </xf>
    <xf numFmtId="0" fontId="89" fillId="0" borderId="0" xfId="0" applyFont="1" applyFill="1" applyAlignment="1">
      <alignment vertical="center"/>
    </xf>
    <xf numFmtId="0" fontId="7" fillId="0" borderId="15" xfId="0" applyFont="1" applyFill="1" applyBorder="1" applyAlignment="1">
      <alignment horizontal="center" vertical="center"/>
    </xf>
    <xf numFmtId="49" fontId="6" fillId="0" borderId="13" xfId="0" applyNumberFormat="1" applyFont="1" applyFill="1" applyBorder="1" applyAlignment="1">
      <alignment horizontal="left" vertical="top" wrapText="1"/>
    </xf>
    <xf numFmtId="49" fontId="6" fillId="0" borderId="13" xfId="0" applyNumberFormat="1" applyFont="1" applyFill="1" applyBorder="1" applyAlignment="1">
      <alignment horizontal="left" vertical="top" wrapText="1" indent="1"/>
    </xf>
    <xf numFmtId="49" fontId="7" fillId="0" borderId="13" xfId="0" applyNumberFormat="1" applyFont="1" applyFill="1" applyBorder="1" applyAlignment="1">
      <alignment horizontal="left" vertical="top" wrapText="1" indent="1"/>
    </xf>
    <xf numFmtId="49" fontId="7" fillId="0" borderId="13" xfId="0" applyNumberFormat="1" applyFont="1" applyFill="1" applyBorder="1" applyAlignment="1">
      <alignment horizontal="left" wrapText="1" indent="1"/>
    </xf>
    <xf numFmtId="49" fontId="7" fillId="0" borderId="13" xfId="0" applyNumberFormat="1" applyFont="1" applyFill="1" applyBorder="1" applyAlignment="1">
      <alignment horizontal="left" vertical="center" wrapText="1"/>
    </xf>
    <xf numFmtId="4" fontId="7" fillId="0" borderId="13" xfId="0" applyNumberFormat="1" applyFont="1" applyFill="1" applyBorder="1" applyAlignment="1">
      <alignment horizontal="right" vertical="center" wrapText="1"/>
    </xf>
    <xf numFmtId="0" fontId="7" fillId="0" borderId="0" xfId="0" applyFont="1" applyFill="1" applyAlignment="1">
      <alignment vertical="center"/>
    </xf>
    <xf numFmtId="4" fontId="7" fillId="0" borderId="0" xfId="0" applyNumberFormat="1" applyFont="1" applyFill="1"/>
    <xf numFmtId="49" fontId="6" fillId="0" borderId="17" xfId="0" applyNumberFormat="1" applyFont="1" applyFill="1" applyBorder="1" applyAlignment="1">
      <alignment horizontal="left" vertical="top" wrapText="1" indent="1"/>
    </xf>
    <xf numFmtId="49" fontId="7" fillId="0" borderId="0" xfId="0" applyNumberFormat="1" applyFont="1" applyFill="1" applyAlignment="1">
      <alignment horizontal="left" wrapText="1"/>
    </xf>
    <xf numFmtId="167" fontId="7" fillId="0" borderId="0" xfId="0" applyNumberFormat="1" applyFont="1" applyFill="1"/>
    <xf numFmtId="49" fontId="8" fillId="0" borderId="13" xfId="0" applyNumberFormat="1" applyFont="1" applyFill="1" applyBorder="1" applyAlignment="1">
      <alignment horizontal="left" vertical="top" wrapText="1" indent="1"/>
    </xf>
    <xf numFmtId="49" fontId="6" fillId="0" borderId="13" xfId="0" applyNumberFormat="1" applyFont="1" applyFill="1" applyBorder="1" applyAlignment="1">
      <alignment horizontal="center" vertical="center" wrapText="1"/>
    </xf>
    <xf numFmtId="0" fontId="7" fillId="0" borderId="0" xfId="0" applyFont="1" applyFill="1" applyAlignment="1">
      <alignment wrapText="1"/>
    </xf>
    <xf numFmtId="3" fontId="7" fillId="0" borderId="0" xfId="0" applyNumberFormat="1" applyFont="1" applyFill="1"/>
    <xf numFmtId="4" fontId="6" fillId="0" borderId="40" xfId="0" applyNumberFormat="1" applyFont="1" applyFill="1" applyBorder="1" applyAlignment="1">
      <alignment horizontal="right" vertical="center" wrapText="1" indent="1"/>
    </xf>
    <xf numFmtId="0" fontId="7" fillId="0" borderId="0" xfId="0" applyFont="1" applyFill="1" applyAlignment="1">
      <alignment horizontal="left" vertical="center"/>
    </xf>
    <xf numFmtId="49" fontId="7" fillId="0" borderId="0" xfId="0" applyNumberFormat="1" applyFont="1" applyFill="1" applyAlignment="1">
      <alignment horizontal="left" vertical="center" wrapText="1"/>
    </xf>
    <xf numFmtId="49" fontId="7" fillId="0" borderId="0" xfId="0" applyNumberFormat="1" applyFont="1" applyFill="1"/>
    <xf numFmtId="0" fontId="92" fillId="0" borderId="0" xfId="0" applyFont="1" applyFill="1"/>
    <xf numFmtId="0" fontId="93" fillId="0" borderId="15" xfId="82" quotePrefix="1" applyNumberFormat="1" applyFont="1" applyFill="1" applyBorder="1">
      <alignment horizontal="left" vertical="center" indent="1"/>
    </xf>
    <xf numFmtId="0" fontId="93" fillId="0" borderId="14" xfId="82" quotePrefix="1" applyNumberFormat="1" applyFont="1" applyFill="1" applyBorder="1">
      <alignment horizontal="left" vertical="center" indent="1"/>
    </xf>
    <xf numFmtId="0" fontId="93" fillId="0" borderId="21" xfId="82" quotePrefix="1" applyNumberFormat="1" applyFont="1" applyFill="1" applyBorder="1">
      <alignment horizontal="left" vertical="center" indent="1"/>
    </xf>
    <xf numFmtId="0" fontId="93" fillId="0" borderId="26" xfId="82" quotePrefix="1" applyNumberFormat="1" applyFont="1" applyFill="1" applyBorder="1">
      <alignment horizontal="left" vertical="center" indent="1"/>
    </xf>
    <xf numFmtId="0" fontId="93" fillId="0" borderId="30" xfId="82" quotePrefix="1" applyNumberFormat="1" applyFont="1" applyFill="1" applyBorder="1">
      <alignment horizontal="left" vertical="center" indent="1"/>
    </xf>
    <xf numFmtId="0" fontId="93" fillId="0" borderId="36" xfId="82" quotePrefix="1" applyNumberFormat="1" applyFont="1" applyFill="1" applyBorder="1">
      <alignment horizontal="left" vertical="center" indent="1"/>
    </xf>
    <xf numFmtId="0" fontId="93" fillId="0" borderId="22" xfId="82" quotePrefix="1" applyNumberFormat="1" applyFont="1" applyFill="1" applyBorder="1">
      <alignment horizontal="left" vertical="center" indent="1"/>
    </xf>
    <xf numFmtId="0" fontId="93" fillId="0" borderId="34" xfId="82" quotePrefix="1" applyNumberFormat="1" applyFont="1" applyFill="1" applyBorder="1">
      <alignment horizontal="left" vertical="center" indent="1"/>
    </xf>
    <xf numFmtId="0" fontId="93" fillId="0" borderId="16" xfId="82" quotePrefix="1" applyNumberFormat="1" applyFont="1" applyFill="1" applyBorder="1">
      <alignment horizontal="left" vertical="center" indent="1"/>
    </xf>
    <xf numFmtId="0" fontId="93" fillId="0" borderId="18" xfId="82" quotePrefix="1" applyNumberFormat="1" applyFont="1" applyFill="1" applyBorder="1">
      <alignment horizontal="left" vertical="center" indent="1"/>
    </xf>
    <xf numFmtId="3" fontId="7" fillId="0" borderId="13" xfId="0" applyNumberFormat="1" applyFont="1" applyFill="1" applyBorder="1" applyAlignment="1">
      <alignment vertical="center" wrapText="1"/>
    </xf>
    <xf numFmtId="4" fontId="7" fillId="0" borderId="13" xfId="0" applyNumberFormat="1" applyFont="1" applyFill="1" applyBorder="1" applyAlignment="1">
      <alignment vertical="center" wrapText="1"/>
    </xf>
    <xf numFmtId="0" fontId="7" fillId="0" borderId="15" xfId="0" applyFont="1" applyFill="1" applyBorder="1" applyAlignment="1">
      <alignment horizontal="center" vertical="top"/>
    </xf>
    <xf numFmtId="4" fontId="7" fillId="0" borderId="13" xfId="0" applyNumberFormat="1" applyFont="1" applyFill="1" applyBorder="1" applyAlignment="1">
      <alignment vertical="center"/>
    </xf>
    <xf numFmtId="3" fontId="7" fillId="0" borderId="13" xfId="0" applyNumberFormat="1" applyFont="1" applyFill="1" applyBorder="1" applyAlignment="1">
      <alignment vertical="center"/>
    </xf>
    <xf numFmtId="0" fontId="7" fillId="0" borderId="0" xfId="0" applyFont="1" applyFill="1" applyBorder="1" applyAlignment="1">
      <alignment horizontal="left" vertical="center" wrapText="1" indent="1"/>
    </xf>
    <xf numFmtId="0" fontId="6" fillId="0" borderId="0" xfId="0" applyFont="1" applyFill="1" applyAlignment="1">
      <alignment horizontal="left" vertical="center"/>
    </xf>
    <xf numFmtId="3" fontId="7" fillId="0" borderId="13" xfId="0" applyNumberFormat="1" applyFont="1" applyFill="1" applyBorder="1" applyAlignment="1">
      <alignment horizontal="center" vertical="center" wrapText="1"/>
    </xf>
    <xf numFmtId="49" fontId="6" fillId="0" borderId="13" xfId="0" applyNumberFormat="1" applyFont="1" applyFill="1" applyBorder="1" applyAlignment="1">
      <alignment horizontal="left" vertical="center" indent="1"/>
    </xf>
    <xf numFmtId="49" fontId="7" fillId="0" borderId="19" xfId="0" applyNumberFormat="1" applyFont="1" applyFill="1" applyBorder="1" applyAlignment="1">
      <alignment horizontal="left" vertical="center" wrapText="1" indent="1"/>
    </xf>
    <xf numFmtId="3" fontId="7" fillId="0" borderId="19" xfId="0" applyNumberFormat="1" applyFont="1" applyFill="1" applyBorder="1" applyAlignment="1">
      <alignment vertical="center" wrapText="1"/>
    </xf>
    <xf numFmtId="0" fontId="7" fillId="0" borderId="0" xfId="0" applyFont="1" applyFill="1" applyAlignment="1">
      <alignment horizontal="justify"/>
    </xf>
    <xf numFmtId="4" fontId="7" fillId="0" borderId="0" xfId="0" applyNumberFormat="1" applyFont="1" applyFill="1" applyAlignment="1">
      <alignment horizontal="right" vertical="center" indent="1"/>
    </xf>
    <xf numFmtId="49" fontId="7" fillId="0" borderId="0" xfId="0" applyNumberFormat="1" applyFont="1" applyFill="1" applyAlignment="1">
      <alignment horizontal="left" wrapText="1" indent="1"/>
    </xf>
    <xf numFmtId="167" fontId="7" fillId="0" borderId="0" xfId="0" applyNumberFormat="1" applyFont="1" applyFill="1" applyAlignment="1">
      <alignment horizontal="right" vertical="center" indent="1"/>
    </xf>
    <xf numFmtId="3" fontId="7" fillId="0" borderId="0" xfId="0" applyNumberFormat="1" applyFont="1" applyFill="1" applyBorder="1" applyAlignment="1">
      <alignment vertical="center" wrapText="1"/>
    </xf>
    <xf numFmtId="0" fontId="7" fillId="0" borderId="0" xfId="0" applyFont="1" applyFill="1" applyBorder="1" applyAlignment="1">
      <alignment vertical="center"/>
    </xf>
    <xf numFmtId="3" fontId="7" fillId="0" borderId="0" xfId="0" applyNumberFormat="1" applyFont="1" applyFill="1" applyAlignment="1">
      <alignment vertical="center"/>
    </xf>
    <xf numFmtId="4" fontId="7" fillId="0" borderId="0" xfId="0" applyNumberFormat="1" applyFont="1" applyFill="1" applyAlignment="1">
      <alignment vertical="center"/>
    </xf>
    <xf numFmtId="0" fontId="7" fillId="0" borderId="0" xfId="0" applyFont="1" applyFill="1" applyAlignment="1">
      <alignment horizontal="left" vertical="center" wrapText="1"/>
    </xf>
    <xf numFmtId="0" fontId="94" fillId="0" borderId="0" xfId="0" applyFont="1" applyFill="1"/>
    <xf numFmtId="0" fontId="1" fillId="0" borderId="0" xfId="0" applyFont="1" applyFill="1" applyAlignment="1">
      <alignment wrapText="1"/>
    </xf>
    <xf numFmtId="49" fontId="7" fillId="0" borderId="44" xfId="0" applyNumberFormat="1" applyFont="1" applyFill="1" applyBorder="1" applyAlignment="1">
      <alignment horizontal="left" vertical="center" wrapText="1" indent="1"/>
    </xf>
    <xf numFmtId="0" fontId="1" fillId="0" borderId="0" xfId="0" applyFont="1" applyFill="1" applyAlignment="1">
      <alignment horizontal="center" vertical="center"/>
    </xf>
    <xf numFmtId="0" fontId="7" fillId="0" borderId="15" xfId="0" applyFont="1" applyFill="1" applyBorder="1" applyAlignment="1">
      <alignment vertical="center" wrapText="1"/>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6" xfId="0" applyFont="1" applyFill="1" applyBorder="1" applyAlignment="1">
      <alignment horizontal="center" vertical="center"/>
    </xf>
    <xf numFmtId="0" fontId="7" fillId="0" borderId="22" xfId="0" applyFont="1" applyFill="1" applyBorder="1" applyAlignment="1">
      <alignment horizontal="right" vertical="center" wrapText="1" indent="1"/>
    </xf>
    <xf numFmtId="0" fontId="7" fillId="0" borderId="29" xfId="0" applyFont="1" applyFill="1" applyBorder="1" applyAlignment="1">
      <alignment vertical="center" wrapText="1"/>
    </xf>
    <xf numFmtId="14" fontId="7" fillId="0" borderId="34" xfId="0" applyNumberFormat="1" applyFont="1" applyFill="1" applyBorder="1" applyAlignment="1">
      <alignment horizontal="center" vertical="center" wrapText="1"/>
    </xf>
    <xf numFmtId="0" fontId="7" fillId="0" borderId="15" xfId="0" applyFont="1" applyFill="1" applyBorder="1" applyAlignment="1">
      <alignment horizontal="right" vertical="center" wrapText="1" indent="1"/>
    </xf>
    <xf numFmtId="0" fontId="7" fillId="0" borderId="13" xfId="0" applyFont="1" applyFill="1" applyBorder="1" applyAlignment="1">
      <alignment vertical="center" wrapText="1"/>
    </xf>
    <xf numFmtId="14" fontId="7" fillId="0" borderId="14" xfId="0" applyNumberFormat="1" applyFont="1" applyFill="1" applyBorder="1" applyAlignment="1">
      <alignment horizontal="center" vertical="center" wrapText="1"/>
    </xf>
    <xf numFmtId="0" fontId="7" fillId="0" borderId="16" xfId="0" applyFont="1" applyFill="1" applyBorder="1" applyAlignment="1">
      <alignment horizontal="right" vertical="center" wrapText="1" indent="1"/>
    </xf>
    <xf numFmtId="14" fontId="7" fillId="0" borderId="18" xfId="0" applyNumberFormat="1" applyFont="1" applyFill="1" applyBorder="1" applyAlignment="1">
      <alignment horizontal="center" vertical="center" wrapText="1"/>
    </xf>
    <xf numFmtId="0" fontId="6" fillId="0" borderId="13" xfId="0" applyFont="1" applyFill="1" applyBorder="1" applyAlignment="1">
      <alignment horizontal="left" vertical="top" wrapText="1" indent="1"/>
    </xf>
    <xf numFmtId="0" fontId="7" fillId="0" borderId="21" xfId="0" applyFont="1" applyFill="1" applyBorder="1" applyAlignment="1">
      <alignment horizontal="center" vertical="center"/>
    </xf>
    <xf numFmtId="0" fontId="7" fillId="0" borderId="19" xfId="0" applyFont="1" applyFill="1" applyBorder="1" applyAlignment="1">
      <alignment horizontal="left" vertical="top" wrapText="1" indent="1"/>
    </xf>
    <xf numFmtId="0" fontId="7" fillId="0" borderId="0" xfId="0" applyFont="1" applyFill="1" applyAlignment="1">
      <alignment horizontal="left" indent="1"/>
    </xf>
    <xf numFmtId="0" fontId="7" fillId="0" borderId="0" xfId="0" applyFont="1" applyFill="1" applyAlignment="1">
      <alignment horizontal="left" vertical="center" wrapText="1"/>
    </xf>
    <xf numFmtId="0" fontId="4" fillId="0" borderId="30" xfId="0" applyFont="1" applyFill="1" applyBorder="1" applyAlignment="1">
      <alignment horizontal="center" vertical="center" wrapText="1"/>
    </xf>
    <xf numFmtId="0" fontId="64" fillId="0" borderId="31" xfId="0" applyFont="1" applyFill="1" applyBorder="1"/>
    <xf numFmtId="0" fontId="64" fillId="0" borderId="36" xfId="0" applyFont="1" applyFill="1" applyBorder="1"/>
    <xf numFmtId="0" fontId="6" fillId="0" borderId="84" xfId="0" applyFont="1" applyFill="1" applyBorder="1" applyAlignment="1">
      <alignment horizontal="left" vertical="center" wrapText="1" indent="1"/>
    </xf>
    <xf numFmtId="0" fontId="6" fillId="0" borderId="52" xfId="0" applyFont="1" applyFill="1" applyBorder="1" applyAlignment="1">
      <alignment horizontal="left" vertical="center" wrapText="1" indent="1"/>
    </xf>
    <xf numFmtId="0" fontId="6" fillId="0" borderId="56" xfId="0" applyFont="1" applyFill="1" applyBorder="1" applyAlignment="1">
      <alignment horizontal="left" vertical="center" wrapText="1" inden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6" fillId="0" borderId="22" xfId="0" applyFont="1" applyFill="1" applyBorder="1" applyAlignment="1">
      <alignment horizontal="left" vertical="center" wrapText="1" indent="1"/>
    </xf>
    <xf numFmtId="0" fontId="6" fillId="0" borderId="29" xfId="0" applyFont="1" applyFill="1" applyBorder="1" applyAlignment="1">
      <alignment horizontal="left" vertical="center" wrapText="1" indent="1"/>
    </xf>
    <xf numFmtId="0" fontId="6" fillId="0" borderId="34" xfId="0" applyFont="1" applyFill="1" applyBorder="1" applyAlignment="1">
      <alignment horizontal="left" vertical="center" wrapText="1" indent="1"/>
    </xf>
    <xf numFmtId="49" fontId="7" fillId="0" borderId="35" xfId="0" applyNumberFormat="1" applyFont="1" applyFill="1" applyBorder="1" applyAlignment="1">
      <alignment horizontal="left" wrapText="1"/>
    </xf>
    <xf numFmtId="49" fontId="7" fillId="0" borderId="48" xfId="0" applyNumberFormat="1" applyFont="1" applyFill="1" applyBorder="1" applyAlignment="1">
      <alignment horizontal="left" wrapText="1"/>
    </xf>
    <xf numFmtId="49" fontId="7" fillId="0" borderId="49" xfId="0" applyNumberFormat="1" applyFont="1" applyFill="1" applyBorder="1" applyAlignment="1">
      <alignment horizontal="left" wrapText="1"/>
    </xf>
    <xf numFmtId="49" fontId="7" fillId="0" borderId="37" xfId="0" applyNumberFormat="1" applyFont="1" applyFill="1" applyBorder="1" applyAlignment="1">
      <alignment horizontal="left" wrapText="1"/>
    </xf>
    <xf numFmtId="49" fontId="7" fillId="0" borderId="52" xfId="0" applyNumberFormat="1" applyFont="1" applyFill="1" applyBorder="1" applyAlignment="1">
      <alignment horizontal="left" wrapText="1"/>
    </xf>
    <xf numFmtId="49" fontId="7" fillId="0" borderId="32" xfId="0" applyNumberFormat="1" applyFont="1" applyFill="1" applyBorder="1" applyAlignment="1">
      <alignment horizontal="left"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6" xfId="0" applyFont="1" applyFill="1" applyBorder="1" applyAlignment="1">
      <alignment horizontal="center" vertical="center"/>
    </xf>
    <xf numFmtId="0" fontId="6" fillId="0" borderId="15" xfId="0"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wrapText="1"/>
    </xf>
    <xf numFmtId="0" fontId="10" fillId="0" borderId="20"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23" xfId="39" applyFont="1" applyBorder="1" applyAlignment="1">
      <alignment horizontal="center" vertical="center"/>
    </xf>
    <xf numFmtId="0" fontId="10" fillId="0" borderId="25" xfId="39" applyFont="1" applyBorder="1" applyAlignment="1">
      <alignment horizontal="center" vertical="center"/>
    </xf>
    <xf numFmtId="0" fontId="10" fillId="0" borderId="24" xfId="39" applyFont="1" applyBorder="1" applyAlignment="1">
      <alignment horizontal="center" vertical="center"/>
    </xf>
    <xf numFmtId="0" fontId="6" fillId="0" borderId="67" xfId="0" applyFont="1" applyFill="1" applyBorder="1" applyAlignment="1">
      <alignment horizontal="left" vertical="center" wrapText="1" indent="1"/>
    </xf>
    <xf numFmtId="0" fontId="6" fillId="0" borderId="54" xfId="0" applyFont="1" applyFill="1" applyBorder="1" applyAlignment="1">
      <alignment horizontal="left" vertical="center" wrapText="1" indent="1"/>
    </xf>
    <xf numFmtId="0" fontId="6" fillId="0" borderId="48" xfId="0" applyFont="1" applyFill="1" applyBorder="1" applyAlignment="1">
      <alignment horizontal="left" vertical="center" wrapText="1" indent="1"/>
    </xf>
    <xf numFmtId="0" fontId="6" fillId="0" borderId="77" xfId="0" applyFont="1" applyFill="1" applyBorder="1" applyAlignment="1">
      <alignment horizontal="left" vertical="center" wrapText="1" indent="1"/>
    </xf>
    <xf numFmtId="0" fontId="2" fillId="0" borderId="15" xfId="0" applyFont="1" applyFill="1" applyBorder="1" applyAlignment="1">
      <alignment horizontal="center" vertical="center" wrapText="1"/>
    </xf>
    <xf numFmtId="0" fontId="2" fillId="0" borderId="21" xfId="0"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2" fillId="0" borderId="53" xfId="0" applyNumberFormat="1"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42"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80" xfId="0" applyFont="1" applyFill="1" applyBorder="1" applyAlignment="1">
      <alignment horizontal="center" vertical="center"/>
    </xf>
    <xf numFmtId="0" fontId="6" fillId="0" borderId="66" xfId="0" applyFont="1" applyFill="1" applyBorder="1" applyAlignment="1">
      <alignment horizontal="left" vertical="center" wrapText="1" indent="1"/>
    </xf>
    <xf numFmtId="0" fontId="6" fillId="0" borderId="81" xfId="0" applyFont="1" applyFill="1" applyBorder="1" applyAlignment="1">
      <alignment horizontal="left" vertical="center" wrapText="1" indent="1"/>
    </xf>
    <xf numFmtId="0" fontId="6" fillId="0" borderId="42" xfId="0" applyFont="1" applyFill="1" applyBorder="1" applyAlignment="1">
      <alignment horizontal="left" vertical="center" wrapText="1" indent="1"/>
    </xf>
    <xf numFmtId="0" fontId="10" fillId="0" borderId="13" xfId="0" applyFont="1" applyFill="1" applyBorder="1" applyAlignment="1">
      <alignment horizontal="center" vertical="center"/>
    </xf>
    <xf numFmtId="0" fontId="10" fillId="0" borderId="78" xfId="39" applyFont="1" applyBorder="1" applyAlignment="1">
      <alignment horizontal="center" vertical="center"/>
    </xf>
    <xf numFmtId="0" fontId="10" fillId="0" borderId="79" xfId="39" applyFont="1" applyBorder="1" applyAlignment="1">
      <alignment horizontal="center" vertical="center"/>
    </xf>
    <xf numFmtId="0" fontId="10" fillId="0" borderId="80" xfId="39" applyFont="1" applyBorder="1" applyAlignment="1">
      <alignment horizontal="center" vertical="center"/>
    </xf>
    <xf numFmtId="0" fontId="6" fillId="0" borderId="74" xfId="0" applyFont="1" applyFill="1" applyBorder="1" applyAlignment="1">
      <alignment horizontal="left" vertical="center" wrapText="1" indent="1"/>
    </xf>
    <xf numFmtId="0" fontId="6" fillId="0" borderId="75" xfId="0" applyFont="1" applyFill="1" applyBorder="1" applyAlignment="1">
      <alignment horizontal="left" vertical="center" wrapText="1" indent="1"/>
    </xf>
    <xf numFmtId="0" fontId="6" fillId="0" borderId="76" xfId="0" applyFont="1" applyFill="1" applyBorder="1" applyAlignment="1">
      <alignment horizontal="left" vertical="center" wrapText="1" indent="1"/>
    </xf>
    <xf numFmtId="0" fontId="2" fillId="0" borderId="23" xfId="0"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80" xfId="0" applyNumberFormat="1" applyFont="1" applyFill="1" applyBorder="1" applyAlignment="1">
      <alignment horizontal="center" vertical="center" wrapText="1"/>
    </xf>
    <xf numFmtId="0" fontId="4" fillId="0" borderId="41" xfId="0" applyFont="1" applyFill="1" applyBorder="1" applyAlignment="1">
      <alignment horizontal="center" vertical="center"/>
    </xf>
    <xf numFmtId="0" fontId="4" fillId="0" borderId="25" xfId="0" applyFont="1" applyFill="1" applyBorder="1" applyAlignment="1">
      <alignment horizontal="center" vertical="center"/>
    </xf>
    <xf numFmtId="0" fontId="89" fillId="0" borderId="0" xfId="0" applyFont="1" applyFill="1" applyAlignment="1">
      <alignment horizontal="left" vertical="center" wrapText="1"/>
    </xf>
    <xf numFmtId="0" fontId="2" fillId="0" borderId="29" xfId="0" applyFont="1" applyFill="1" applyBorder="1" applyAlignment="1">
      <alignment horizontal="center" vertical="center" wrapText="1"/>
    </xf>
    <xf numFmtId="0" fontId="2" fillId="0" borderId="13" xfId="0" applyFont="1" applyFill="1" applyBorder="1" applyAlignment="1">
      <alignment horizontal="center" vertical="center" wrapText="1"/>
    </xf>
    <xf numFmtId="49" fontId="7" fillId="0" borderId="20" xfId="0" applyNumberFormat="1" applyFont="1" applyFill="1" applyBorder="1" applyAlignment="1">
      <alignment horizontal="left"/>
    </xf>
    <xf numFmtId="49" fontId="7" fillId="0" borderId="54" xfId="0" applyNumberFormat="1" applyFont="1" applyFill="1" applyBorder="1" applyAlignment="1">
      <alignment horizontal="left"/>
    </xf>
    <xf numFmtId="49" fontId="7" fillId="0" borderId="27" xfId="0" applyNumberFormat="1" applyFont="1" applyFill="1" applyBorder="1" applyAlignment="1">
      <alignment horizontal="left"/>
    </xf>
    <xf numFmtId="49" fontId="2" fillId="0" borderId="29"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2" xfId="0" applyFont="1" applyFill="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2" xfId="39" applyFont="1" applyFill="1" applyBorder="1" applyAlignment="1">
      <alignment horizontal="center" vertical="center" wrapText="1"/>
    </xf>
    <xf numFmtId="0" fontId="6" fillId="0" borderId="84" xfId="39" applyFont="1" applyFill="1" applyBorder="1" applyAlignment="1">
      <alignment horizontal="center" vertical="center" wrapText="1"/>
    </xf>
    <xf numFmtId="49" fontId="3" fillId="0" borderId="20" xfId="0" applyNumberFormat="1" applyFont="1" applyFill="1" applyBorder="1" applyAlignment="1">
      <alignment horizontal="left"/>
    </xf>
    <xf numFmtId="49" fontId="3" fillId="0" borderId="54" xfId="0" applyNumberFormat="1" applyFont="1" applyFill="1" applyBorder="1" applyAlignment="1">
      <alignment horizontal="left"/>
    </xf>
    <xf numFmtId="49" fontId="3" fillId="0" borderId="27" xfId="0" applyNumberFormat="1" applyFont="1" applyFill="1" applyBorder="1" applyAlignment="1">
      <alignment horizontal="left"/>
    </xf>
    <xf numFmtId="0" fontId="6" fillId="0" borderId="61" xfId="39" applyFont="1" applyFill="1" applyBorder="1" applyAlignment="1">
      <alignment horizontal="center" vertical="center" wrapText="1"/>
    </xf>
    <xf numFmtId="0" fontId="6" fillId="0" borderId="46" xfId="39" applyFont="1" applyFill="1" applyBorder="1" applyAlignment="1">
      <alignment horizontal="center" vertical="center" wrapText="1"/>
    </xf>
    <xf numFmtId="0" fontId="6" fillId="0" borderId="71" xfId="40" applyFont="1" applyFill="1" applyBorder="1" applyAlignment="1">
      <alignment horizontal="center" vertical="center"/>
    </xf>
    <xf numFmtId="0" fontId="6" fillId="0" borderId="62" xfId="40" applyFont="1" applyFill="1" applyBorder="1" applyAlignment="1">
      <alignment horizontal="center" vertical="center"/>
    </xf>
    <xf numFmtId="0" fontId="6" fillId="0" borderId="64" xfId="40" applyFont="1" applyFill="1" applyBorder="1" applyAlignment="1">
      <alignment horizontal="center" vertical="center"/>
    </xf>
    <xf numFmtId="0" fontId="6" fillId="0" borderId="26" xfId="40" applyFont="1" applyFill="1" applyBorder="1" applyAlignment="1">
      <alignment horizontal="center" vertical="center" wrapText="1"/>
    </xf>
    <xf numFmtId="0" fontId="6" fillId="0" borderId="68" xfId="40" applyFont="1" applyFill="1" applyBorder="1" applyAlignment="1">
      <alignment horizontal="center" vertical="center" wrapText="1"/>
    </xf>
    <xf numFmtId="0" fontId="6" fillId="0" borderId="34" xfId="40" applyFont="1" applyFill="1" applyBorder="1" applyAlignment="1">
      <alignment horizontal="center" vertical="center" wrapText="1"/>
    </xf>
    <xf numFmtId="0" fontId="6" fillId="0" borderId="74" xfId="40" applyFont="1" applyFill="1" applyBorder="1" applyAlignment="1">
      <alignment horizontal="left" vertical="center" wrapText="1" indent="1"/>
    </xf>
    <xf numFmtId="0" fontId="6" fillId="0" borderId="75" xfId="40" applyFont="1" applyFill="1" applyBorder="1" applyAlignment="1">
      <alignment horizontal="left" vertical="center" wrapText="1" indent="1"/>
    </xf>
    <xf numFmtId="0" fontId="6" fillId="0" borderId="76" xfId="40" applyFont="1" applyFill="1" applyBorder="1" applyAlignment="1">
      <alignment horizontal="left" vertical="center" wrapText="1" indent="1"/>
    </xf>
    <xf numFmtId="0" fontId="6" fillId="0" borderId="15" xfId="40" applyFont="1" applyFill="1" applyBorder="1" applyAlignment="1">
      <alignment horizontal="center" vertical="center" wrapText="1"/>
    </xf>
    <xf numFmtId="0" fontId="6" fillId="0" borderId="19" xfId="40" applyFont="1" applyFill="1" applyBorder="1" applyAlignment="1">
      <alignment horizontal="center" vertical="center"/>
    </xf>
    <xf numFmtId="0" fontId="6" fillId="0" borderId="69" xfId="40" applyFont="1" applyFill="1" applyBorder="1" applyAlignment="1">
      <alignment horizontal="center" vertical="center"/>
    </xf>
    <xf numFmtId="0" fontId="6" fillId="0" borderId="29" xfId="40" applyFont="1" applyFill="1" applyBorder="1" applyAlignment="1">
      <alignment horizontal="center" vertical="center"/>
    </xf>
    <xf numFmtId="0" fontId="6" fillId="0" borderId="20" xfId="40" applyFont="1" applyFill="1" applyBorder="1" applyAlignment="1">
      <alignment horizontal="center" vertical="center" wrapText="1"/>
    </xf>
    <xf numFmtId="0" fontId="6" fillId="0" borderId="54" xfId="40" applyFont="1" applyFill="1" applyBorder="1" applyAlignment="1">
      <alignment horizontal="center" vertical="center" wrapText="1"/>
    </xf>
    <xf numFmtId="0" fontId="6" fillId="0" borderId="20" xfId="40" applyFont="1" applyFill="1" applyBorder="1" applyAlignment="1">
      <alignment horizontal="center" vertical="center"/>
    </xf>
    <xf numFmtId="0" fontId="6" fillId="0" borderId="27" xfId="40" applyFont="1" applyFill="1" applyBorder="1" applyAlignment="1">
      <alignment horizontal="center" vertical="center"/>
    </xf>
    <xf numFmtId="0" fontId="6" fillId="0" borderId="19" xfId="40" applyFont="1" applyFill="1" applyBorder="1" applyAlignment="1">
      <alignment horizontal="center" vertical="center" wrapText="1"/>
    </xf>
    <xf numFmtId="0" fontId="6" fillId="0" borderId="69" xfId="40" applyFont="1" applyFill="1" applyBorder="1" applyAlignment="1">
      <alignment horizontal="center" vertical="center" wrapText="1"/>
    </xf>
    <xf numFmtId="0" fontId="6" fillId="0" borderId="29" xfId="4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left" vertical="center" wrapText="1"/>
    </xf>
    <xf numFmtId="0" fontId="23" fillId="0" borderId="35" xfId="0" applyFont="1" applyFill="1" applyBorder="1" applyAlignment="1">
      <alignment horizontal="left" vertical="center"/>
    </xf>
    <xf numFmtId="0" fontId="23" fillId="0" borderId="48" xfId="0" applyFont="1" applyFill="1" applyBorder="1" applyAlignment="1">
      <alignment horizontal="left" vertical="center"/>
    </xf>
    <xf numFmtId="0" fontId="23" fillId="0" borderId="49"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52" xfId="0" applyFont="1" applyFill="1" applyBorder="1" applyAlignment="1">
      <alignment horizontal="left" vertical="center"/>
    </xf>
    <xf numFmtId="0" fontId="23" fillId="0" borderId="32" xfId="0" applyFont="1" applyFill="1" applyBorder="1" applyAlignment="1">
      <alignment horizontal="left" vertical="center"/>
    </xf>
    <xf numFmtId="0" fontId="10" fillId="0" borderId="78" xfId="0" applyFont="1" applyFill="1" applyBorder="1" applyAlignment="1">
      <alignment horizontal="center" vertical="center" wrapText="1"/>
    </xf>
    <xf numFmtId="0" fontId="10" fillId="0" borderId="79" xfId="0" applyFont="1" applyFill="1" applyBorder="1" applyAlignment="1">
      <alignment horizontal="center" vertical="center" wrapText="1"/>
    </xf>
    <xf numFmtId="0" fontId="10" fillId="0" borderId="8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8" xfId="0" applyFont="1" applyFill="1" applyBorder="1" applyAlignment="1">
      <alignment horizontal="center" vertical="center" wrapText="1"/>
    </xf>
    <xf numFmtId="49" fontId="6" fillId="0" borderId="49" xfId="0" applyNumberFormat="1" applyFont="1" applyFill="1" applyBorder="1" applyAlignment="1">
      <alignment horizontal="center" vertical="center" wrapText="1"/>
    </xf>
    <xf numFmtId="49" fontId="6" fillId="0" borderId="32"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41" xfId="0" applyFont="1" applyFill="1" applyBorder="1" applyAlignment="1">
      <alignment horizontal="left" vertical="center" wrapText="1" indent="1"/>
    </xf>
    <xf numFmtId="0" fontId="6" fillId="0" borderId="8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23" fillId="0" borderId="37" xfId="0" applyFont="1" applyFill="1" applyBorder="1" applyAlignment="1">
      <alignment horizontal="left" vertical="center" wrapText="1"/>
    </xf>
    <xf numFmtId="0" fontId="23" fillId="0" borderId="52"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 fillId="0" borderId="38" xfId="0" applyFont="1" applyFill="1" applyBorder="1" applyAlignment="1">
      <alignment horizontal="left" vertical="center" wrapText="1" indent="1"/>
    </xf>
    <xf numFmtId="0" fontId="23" fillId="0" borderId="37" xfId="39" applyFont="1" applyFill="1" applyBorder="1" applyAlignment="1">
      <alignment horizontal="left" vertical="center"/>
    </xf>
    <xf numFmtId="0" fontId="23" fillId="0" borderId="52" xfId="39" applyFont="1" applyFill="1" applyBorder="1" applyAlignment="1">
      <alignment horizontal="left" vertical="center"/>
    </xf>
    <xf numFmtId="0" fontId="23" fillId="0" borderId="32" xfId="39" applyFont="1" applyFill="1" applyBorder="1" applyAlignment="1">
      <alignment horizontal="left" vertical="center"/>
    </xf>
    <xf numFmtId="0" fontId="4" fillId="0" borderId="78" xfId="39" applyFont="1" applyFill="1" applyBorder="1" applyAlignment="1">
      <alignment horizontal="center" vertical="center" wrapText="1"/>
    </xf>
    <xf numFmtId="0" fontId="4" fillId="0" borderId="79" xfId="39" applyFont="1" applyFill="1" applyBorder="1" applyAlignment="1">
      <alignment horizontal="center" vertical="center"/>
    </xf>
    <xf numFmtId="0" fontId="4" fillId="0" borderId="80" xfId="39" applyFont="1" applyFill="1" applyBorder="1" applyAlignment="1">
      <alignment horizontal="center" vertical="center"/>
    </xf>
    <xf numFmtId="0" fontId="6" fillId="0" borderId="23" xfId="39" applyFont="1" applyFill="1" applyBorder="1" applyAlignment="1">
      <alignment horizontal="left" vertical="center" wrapText="1" indent="1"/>
    </xf>
    <xf numFmtId="0" fontId="6" fillId="0" borderId="25" xfId="39" applyFont="1" applyFill="1" applyBorder="1" applyAlignment="1">
      <alignment horizontal="left" vertical="center" wrapText="1" indent="1"/>
    </xf>
    <xf numFmtId="0" fontId="6" fillId="0" borderId="24" xfId="39" applyFont="1" applyFill="1" applyBorder="1" applyAlignment="1">
      <alignment horizontal="left" vertical="center" wrapText="1" indent="1"/>
    </xf>
    <xf numFmtId="0" fontId="23" fillId="0" borderId="35" xfId="39" applyFont="1" applyFill="1" applyBorder="1" applyAlignment="1">
      <alignment horizontal="left" vertical="center"/>
    </xf>
    <xf numFmtId="0" fontId="23" fillId="0" borderId="48" xfId="39" applyFont="1" applyFill="1" applyBorder="1" applyAlignment="1">
      <alignment horizontal="left" vertical="center"/>
    </xf>
    <xf numFmtId="0" fontId="23" fillId="0" borderId="49" xfId="39" applyFont="1" applyFill="1" applyBorder="1" applyAlignment="1">
      <alignment horizontal="left" vertical="center"/>
    </xf>
    <xf numFmtId="0" fontId="23" fillId="0" borderId="50" xfId="39" applyFont="1" applyFill="1" applyBorder="1" applyAlignment="1">
      <alignment horizontal="left" vertical="center"/>
    </xf>
    <xf numFmtId="0" fontId="23" fillId="0" borderId="0" xfId="39" applyFont="1" applyFill="1" applyBorder="1" applyAlignment="1">
      <alignment horizontal="left" vertical="center"/>
    </xf>
    <xf numFmtId="0" fontId="23" fillId="0" borderId="51" xfId="39" applyFont="1" applyFill="1" applyBorder="1" applyAlignment="1">
      <alignment horizontal="left" vertical="center"/>
    </xf>
    <xf numFmtId="0" fontId="4" fillId="0" borderId="3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2" fillId="0" borderId="38" xfId="0" applyFont="1" applyFill="1" applyBorder="1" applyAlignment="1">
      <alignment horizontal="center" vertical="center" wrapText="1"/>
    </xf>
    <xf numFmtId="49" fontId="3" fillId="0" borderId="0" xfId="0" applyNumberFormat="1" applyFont="1" applyFill="1" applyBorder="1" applyAlignment="1">
      <alignment horizontal="left" wrapText="1"/>
    </xf>
    <xf numFmtId="49" fontId="2" fillId="0" borderId="34"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2" fillId="0" borderId="66" xfId="0" applyFont="1" applyFill="1" applyBorder="1" applyAlignment="1">
      <alignment horizontal="left" vertical="center" wrapText="1" indent="1"/>
    </xf>
    <xf numFmtId="0" fontId="2" fillId="0" borderId="81" xfId="0" applyFont="1" applyFill="1" applyBorder="1" applyAlignment="1">
      <alignment horizontal="left" vertical="center" wrapText="1" indent="1"/>
    </xf>
    <xf numFmtId="0" fontId="2" fillId="0" borderId="42" xfId="0" applyFont="1" applyFill="1" applyBorder="1" applyAlignment="1">
      <alignment horizontal="left" vertical="center" wrapText="1" indent="1"/>
    </xf>
    <xf numFmtId="0" fontId="2" fillId="0" borderId="22" xfId="0" applyFont="1" applyFill="1" applyBorder="1" applyAlignment="1">
      <alignment horizontal="center" vertical="center"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23" fillId="0" borderId="0" xfId="0" applyFont="1" applyFill="1" applyBorder="1" applyAlignment="1">
      <alignment horizontal="left" wrapText="1"/>
    </xf>
    <xf numFmtId="0" fontId="4" fillId="0" borderId="7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69" fillId="0" borderId="15" xfId="0"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0" fontId="76" fillId="0" borderId="13"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4" fillId="0" borderId="30" xfId="42" applyFont="1" applyFill="1" applyBorder="1" applyAlignment="1">
      <alignment horizontal="center" vertical="center" wrapText="1"/>
    </xf>
    <xf numFmtId="0" fontId="4" fillId="0" borderId="31" xfId="42" applyFont="1" applyFill="1" applyBorder="1" applyAlignment="1">
      <alignment horizontal="center" vertical="center" wrapText="1"/>
    </xf>
    <xf numFmtId="0" fontId="4" fillId="0" borderId="36" xfId="42" applyFont="1" applyFill="1" applyBorder="1" applyAlignment="1">
      <alignment horizontal="center" vertical="center" wrapText="1"/>
    </xf>
    <xf numFmtId="0" fontId="2" fillId="0" borderId="34"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2" fillId="0" borderId="8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9" fillId="0" borderId="48" xfId="0" applyFont="1" applyFill="1" applyBorder="1" applyAlignment="1">
      <alignment horizontal="left" vertical="center" wrapText="1"/>
    </xf>
    <xf numFmtId="0" fontId="29" fillId="0" borderId="35" xfId="0" applyFont="1" applyFill="1" applyBorder="1" applyAlignment="1">
      <alignment horizontal="left" vertical="center"/>
    </xf>
    <xf numFmtId="0" fontId="29" fillId="0" borderId="48" xfId="0" applyFont="1" applyFill="1" applyBorder="1" applyAlignment="1">
      <alignment horizontal="left" vertical="center"/>
    </xf>
    <xf numFmtId="0" fontId="29" fillId="0" borderId="49"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52" xfId="0" applyFont="1" applyFill="1" applyBorder="1" applyAlignment="1">
      <alignment horizontal="left" vertical="center"/>
    </xf>
    <xf numFmtId="0" fontId="29" fillId="0" borderId="32" xfId="0" applyFont="1" applyFill="1" applyBorder="1" applyAlignment="1">
      <alignment horizontal="left" vertical="center"/>
    </xf>
    <xf numFmtId="0" fontId="2" fillId="0" borderId="41" xfId="0" applyFont="1" applyFill="1" applyBorder="1" applyAlignment="1">
      <alignment horizontal="left" vertical="center" wrapText="1" indent="1"/>
    </xf>
    <xf numFmtId="0" fontId="4" fillId="0" borderId="79" xfId="39" applyFont="1" applyFill="1" applyBorder="1" applyAlignment="1">
      <alignment horizontal="center" vertical="center" wrapText="1"/>
    </xf>
    <xf numFmtId="0" fontId="4" fillId="0" borderId="83" xfId="39" applyFont="1" applyFill="1" applyBorder="1" applyAlignment="1">
      <alignment horizontal="center" vertical="center" wrapText="1"/>
    </xf>
    <xf numFmtId="0" fontId="4" fillId="0" borderId="80" xfId="39" applyFont="1" applyFill="1" applyBorder="1" applyAlignment="1">
      <alignment horizontal="center" vertical="center" wrapText="1"/>
    </xf>
    <xf numFmtId="0" fontId="6" fillId="0" borderId="65" xfId="39" applyFont="1" applyFill="1" applyBorder="1" applyAlignment="1">
      <alignment horizontal="left" vertical="center" wrapText="1" indent="1"/>
    </xf>
    <xf numFmtId="0" fontId="6" fillId="0" borderId="52" xfId="39" applyFont="1" applyFill="1" applyBorder="1" applyAlignment="1">
      <alignment horizontal="center" vertical="center" wrapText="1"/>
    </xf>
    <xf numFmtId="0" fontId="6" fillId="0" borderId="56" xfId="39" applyFont="1" applyFill="1" applyBorder="1" applyAlignment="1">
      <alignment horizontal="center" vertical="center" wrapText="1"/>
    </xf>
    <xf numFmtId="0" fontId="23" fillId="0" borderId="13" xfId="39" applyFont="1" applyFill="1" applyBorder="1" applyAlignment="1">
      <alignment horizontal="left" vertical="center" wrapText="1"/>
    </xf>
    <xf numFmtId="0" fontId="3" fillId="0" borderId="52" xfId="39" applyFont="1" applyFill="1" applyBorder="1" applyAlignment="1">
      <alignment horizontal="left" vertical="center" wrapText="1"/>
    </xf>
    <xf numFmtId="3" fontId="10" fillId="0" borderId="71" xfId="44" applyNumberFormat="1" applyFont="1" applyFill="1" applyBorder="1" applyAlignment="1">
      <alignment horizontal="center" vertical="center" wrapText="1"/>
    </xf>
    <xf numFmtId="3" fontId="10" fillId="0" borderId="62" xfId="44" applyNumberFormat="1" applyFont="1" applyFill="1" applyBorder="1" applyAlignment="1">
      <alignment horizontal="center" vertical="center" wrapText="1"/>
    </xf>
    <xf numFmtId="3" fontId="10" fillId="0" borderId="64" xfId="44" applyNumberFormat="1" applyFont="1" applyFill="1" applyBorder="1" applyAlignment="1">
      <alignment horizontal="center" vertical="center" wrapText="1"/>
    </xf>
    <xf numFmtId="3" fontId="6" fillId="0" borderId="0" xfId="44" applyNumberFormat="1" applyFont="1" applyFill="1" applyBorder="1" applyAlignment="1">
      <alignment horizontal="left" vertical="center" wrapText="1"/>
    </xf>
    <xf numFmtId="3" fontId="6" fillId="0" borderId="22" xfId="44" applyNumberFormat="1" applyFont="1" applyFill="1" applyBorder="1" applyAlignment="1">
      <alignment horizontal="center" vertical="center" wrapText="1"/>
    </xf>
    <xf numFmtId="3" fontId="6" fillId="0" borderId="15" xfId="44" applyNumberFormat="1"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54" fillId="0" borderId="15" xfId="41" applyFont="1" applyFill="1" applyBorder="1" applyAlignment="1"/>
    <xf numFmtId="0" fontId="54" fillId="0" borderId="13" xfId="41" applyFont="1" applyFill="1" applyBorder="1" applyAlignment="1"/>
    <xf numFmtId="0" fontId="54" fillId="0" borderId="16" xfId="41" applyFont="1" applyFill="1" applyBorder="1" applyAlignment="1"/>
    <xf numFmtId="0" fontId="54" fillId="0" borderId="17" xfId="41" applyFont="1" applyFill="1" applyBorder="1" applyAlignment="1"/>
    <xf numFmtId="3" fontId="10" fillId="0" borderId="71" xfId="43" applyNumberFormat="1" applyFont="1" applyFill="1" applyBorder="1" applyAlignment="1">
      <alignment horizontal="center" vertical="center" wrapText="1"/>
    </xf>
    <xf numFmtId="3" fontId="10" fillId="0" borderId="62" xfId="43" applyNumberFormat="1" applyFont="1" applyFill="1" applyBorder="1" applyAlignment="1">
      <alignment horizontal="center" vertical="center" wrapText="1"/>
    </xf>
    <xf numFmtId="3" fontId="10" fillId="0" borderId="64" xfId="43" applyNumberFormat="1" applyFont="1" applyFill="1" applyBorder="1" applyAlignment="1">
      <alignment horizontal="center" vertical="center" wrapText="1"/>
    </xf>
    <xf numFmtId="3" fontId="6" fillId="0" borderId="71" xfId="43" applyNumberFormat="1" applyFont="1" applyFill="1" applyBorder="1" applyAlignment="1">
      <alignment horizontal="left" vertical="center" wrapText="1" indent="1"/>
    </xf>
    <xf numFmtId="3" fontId="6" fillId="0" borderId="62" xfId="43" applyNumberFormat="1" applyFont="1" applyFill="1" applyBorder="1" applyAlignment="1">
      <alignment horizontal="left" vertical="center" wrapText="1" indent="1"/>
    </xf>
    <xf numFmtId="3" fontId="6" fillId="0" borderId="64" xfId="43" applyNumberFormat="1" applyFont="1" applyFill="1" applyBorder="1" applyAlignment="1">
      <alignment horizontal="left" vertical="center" wrapText="1" indent="1"/>
    </xf>
    <xf numFmtId="0" fontId="6" fillId="0" borderId="71"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64" xfId="0" applyFont="1" applyFill="1" applyBorder="1" applyAlignment="1">
      <alignment horizontal="left" vertical="center" wrapText="1"/>
    </xf>
    <xf numFmtId="0" fontId="10" fillId="0" borderId="74" xfId="0" applyNumberFormat="1" applyFont="1" applyFill="1" applyBorder="1" applyAlignment="1">
      <alignment horizontal="center" vertical="center" wrapText="1"/>
    </xf>
    <xf numFmtId="0" fontId="10" fillId="0" borderId="75" xfId="0" applyNumberFormat="1" applyFont="1" applyFill="1" applyBorder="1" applyAlignment="1">
      <alignment horizontal="center" vertical="center" wrapText="1"/>
    </xf>
    <xf numFmtId="0" fontId="10" fillId="0" borderId="76" xfId="0" applyNumberFormat="1" applyFont="1" applyFill="1" applyBorder="1" applyAlignment="1">
      <alignment horizontal="center" vertical="center" wrapText="1"/>
    </xf>
    <xf numFmtId="0" fontId="54" fillId="0" borderId="30" xfId="41" applyFont="1" applyFill="1" applyBorder="1" applyAlignment="1">
      <alignment horizontal="left" vertical="center" indent="1"/>
    </xf>
    <xf numFmtId="0" fontId="54" fillId="0" borderId="31" xfId="41" applyFont="1" applyFill="1" applyBorder="1" applyAlignment="1">
      <alignment horizontal="left" vertical="center" indent="1"/>
    </xf>
    <xf numFmtId="0" fontId="6" fillId="0" borderId="84" xfId="41" applyFont="1" applyFill="1" applyBorder="1" applyAlignment="1" applyProtection="1">
      <alignment horizontal="left"/>
    </xf>
    <xf numFmtId="0" fontId="6" fillId="0" borderId="32" xfId="41" applyFont="1" applyFill="1" applyBorder="1" applyAlignment="1" applyProtection="1">
      <alignment horizontal="left"/>
    </xf>
    <xf numFmtId="0" fontId="6" fillId="0" borderId="22" xfId="41" applyFont="1" applyFill="1" applyBorder="1" applyAlignment="1" applyProtection="1">
      <alignment horizontal="center" vertical="top" wrapText="1"/>
    </xf>
    <xf numFmtId="0" fontId="6" fillId="0" borderId="15" xfId="41" applyFont="1" applyFill="1" applyBorder="1" applyAlignment="1" applyProtection="1">
      <alignment horizontal="center" vertical="top" wrapText="1"/>
    </xf>
    <xf numFmtId="0" fontId="61" fillId="0" borderId="70" xfId="41" applyFont="1" applyFill="1" applyBorder="1" applyAlignment="1" applyProtection="1">
      <alignment horizontal="left" vertical="center" wrapText="1"/>
    </xf>
    <xf numFmtId="0" fontId="61" fillId="0" borderId="48" xfId="41" applyFont="1" applyFill="1" applyBorder="1" applyAlignment="1" applyProtection="1">
      <alignment horizontal="left" vertical="center" wrapText="1"/>
    </xf>
    <xf numFmtId="0" fontId="61" fillId="0" borderId="77" xfId="41" applyFont="1" applyFill="1" applyBorder="1" applyAlignment="1" applyProtection="1">
      <alignment horizontal="left" vertical="center" wrapText="1"/>
    </xf>
    <xf numFmtId="0" fontId="4" fillId="0" borderId="66" xfId="0" applyFont="1" applyFill="1" applyBorder="1" applyAlignment="1">
      <alignment horizontal="center" vertical="center" wrapText="1"/>
    </xf>
    <xf numFmtId="0" fontId="4" fillId="0" borderId="8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6" fillId="0" borderId="23" xfId="41" applyFont="1" applyFill="1" applyBorder="1" applyAlignment="1" applyProtection="1">
      <alignment horizontal="center" vertical="center"/>
    </xf>
    <xf numFmtId="0" fontId="6" fillId="0" borderId="25" xfId="41" applyFont="1" applyFill="1" applyBorder="1" applyAlignment="1" applyProtection="1">
      <alignment horizontal="center" vertical="center"/>
    </xf>
    <xf numFmtId="0" fontId="6" fillId="0" borderId="21" xfId="41" applyFont="1" applyFill="1" applyBorder="1" applyAlignment="1" applyProtection="1">
      <alignment horizontal="center" vertical="center"/>
    </xf>
    <xf numFmtId="0" fontId="6" fillId="0" borderId="19" xfId="41" applyFont="1" applyFill="1" applyBorder="1" applyAlignment="1" applyProtection="1">
      <alignment horizontal="center" vertical="center"/>
    </xf>
    <xf numFmtId="168" fontId="6" fillId="0" borderId="25" xfId="41" applyNumberFormat="1" applyFont="1" applyFill="1" applyBorder="1" applyAlignment="1" applyProtection="1">
      <alignment horizontal="center" vertical="center"/>
    </xf>
    <xf numFmtId="0" fontId="7" fillId="0" borderId="30" xfId="41" applyFont="1" applyFill="1" applyBorder="1" applyAlignment="1" applyProtection="1">
      <alignment horizontal="center"/>
    </xf>
    <xf numFmtId="0" fontId="7" fillId="0" borderId="31" xfId="41" applyFont="1" applyFill="1" applyBorder="1" applyAlignment="1" applyProtection="1">
      <alignment horizontal="center"/>
    </xf>
    <xf numFmtId="0" fontId="6" fillId="0" borderId="71" xfId="41" applyFont="1" applyFill="1" applyBorder="1" applyAlignment="1">
      <alignment horizontal="left" vertical="center" wrapText="1"/>
    </xf>
    <xf numFmtId="0" fontId="6" fillId="0" borderId="47" xfId="41" applyFont="1" applyFill="1" applyBorder="1" applyAlignment="1">
      <alignment horizontal="left" vertical="center" wrapText="1"/>
    </xf>
    <xf numFmtId="0" fontId="61" fillId="0" borderId="84" xfId="41" applyFont="1" applyFill="1" applyBorder="1" applyAlignment="1" applyProtection="1">
      <alignment horizontal="left" vertical="center" wrapText="1"/>
    </xf>
    <xf numFmtId="0" fontId="61" fillId="0" borderId="52" xfId="41" applyFont="1" applyFill="1" applyBorder="1" applyAlignment="1" applyProtection="1">
      <alignment horizontal="left" vertical="center" wrapText="1"/>
    </xf>
    <xf numFmtId="0" fontId="61" fillId="0" borderId="56" xfId="41" applyFont="1" applyFill="1" applyBorder="1" applyAlignment="1" applyProtection="1">
      <alignment horizontal="left" vertical="center" wrapText="1"/>
    </xf>
    <xf numFmtId="0" fontId="6" fillId="0" borderId="33" xfId="41" applyFont="1" applyFill="1" applyBorder="1" applyAlignment="1">
      <alignment horizontal="center" vertical="center" wrapText="1"/>
    </xf>
    <xf numFmtId="0" fontId="6" fillId="0" borderId="22" xfId="41" applyFont="1" applyFill="1" applyBorder="1" applyAlignment="1">
      <alignment horizontal="center" vertical="center" wrapText="1"/>
    </xf>
    <xf numFmtId="0" fontId="6" fillId="0" borderId="71" xfId="41" applyFont="1" applyFill="1" applyBorder="1" applyAlignment="1">
      <alignment vertical="center" wrapText="1"/>
    </xf>
    <xf numFmtId="0" fontId="7" fillId="0" borderId="47" xfId="41" applyFont="1" applyFill="1" applyBorder="1" applyAlignment="1">
      <alignment vertical="center" wrapText="1"/>
    </xf>
    <xf numFmtId="0" fontId="6" fillId="0" borderId="22" xfId="41" applyFont="1" applyFill="1" applyBorder="1" applyAlignment="1">
      <alignment horizontal="center" vertical="center"/>
    </xf>
    <xf numFmtId="0" fontId="6" fillId="0" borderId="29" xfId="41" applyFont="1" applyFill="1" applyBorder="1" applyAlignment="1">
      <alignment horizontal="center" vertical="center"/>
    </xf>
    <xf numFmtId="0" fontId="6" fillId="0" borderId="21" xfId="41" applyFont="1" applyFill="1" applyBorder="1" applyAlignment="1">
      <alignment horizontal="center" vertical="center"/>
    </xf>
    <xf numFmtId="0" fontId="6" fillId="0" borderId="19" xfId="41" applyFont="1" applyFill="1" applyBorder="1" applyAlignment="1">
      <alignment horizontal="center" vertical="center"/>
    </xf>
    <xf numFmtId="3" fontId="6" fillId="0" borderId="29" xfId="41" applyNumberFormat="1" applyFont="1" applyFill="1" applyBorder="1" applyAlignment="1">
      <alignment horizontal="center" vertical="center"/>
    </xf>
    <xf numFmtId="0" fontId="7" fillId="0" borderId="30" xfId="41" applyFont="1" applyFill="1" applyBorder="1" applyAlignment="1">
      <alignment horizontal="center" vertical="center"/>
    </xf>
    <xf numFmtId="0" fontId="7" fillId="0" borderId="31" xfId="41" applyFont="1" applyFill="1" applyBorder="1" applyAlignment="1">
      <alignment horizontal="center" vertical="center"/>
    </xf>
    <xf numFmtId="0" fontId="6" fillId="0" borderId="84" xfId="41" applyFont="1" applyFill="1" applyBorder="1" applyAlignment="1">
      <alignment horizontal="left" vertical="center" wrapText="1"/>
    </xf>
    <xf numFmtId="0" fontId="6" fillId="0" borderId="32" xfId="41" applyFont="1" applyFill="1" applyBorder="1" applyAlignment="1">
      <alignment horizontal="left" vertical="center" wrapText="1"/>
    </xf>
    <xf numFmtId="0" fontId="6" fillId="0" borderId="15" xfId="41" applyFont="1" applyFill="1" applyBorder="1" applyAlignment="1">
      <alignment horizontal="center" vertical="center" wrapText="1"/>
    </xf>
    <xf numFmtId="0" fontId="7" fillId="0" borderId="22" xfId="41" applyFont="1" applyFill="1" applyBorder="1" applyAlignment="1">
      <alignment horizontal="center" vertical="center" wrapText="1"/>
    </xf>
    <xf numFmtId="0" fontId="6" fillId="0" borderId="21" xfId="41" applyFont="1" applyFill="1" applyBorder="1" applyAlignment="1">
      <alignment horizontal="center" vertical="center" wrapText="1"/>
    </xf>
    <xf numFmtId="0" fontId="6" fillId="0" borderId="70" xfId="41" applyFont="1" applyFill="1" applyBorder="1" applyAlignment="1">
      <alignment vertical="center" wrapText="1"/>
    </xf>
    <xf numFmtId="0" fontId="7" fillId="0" borderId="49" xfId="41" applyFont="1" applyFill="1" applyBorder="1" applyAlignment="1">
      <alignment vertical="center" wrapText="1"/>
    </xf>
    <xf numFmtId="0" fontId="6" fillId="0" borderId="87" xfId="41" applyFont="1" applyFill="1" applyBorder="1" applyAlignment="1">
      <alignment horizontal="left" vertical="center" wrapText="1"/>
    </xf>
    <xf numFmtId="0" fontId="6" fillId="0" borderId="86" xfId="41" applyFont="1" applyFill="1" applyBorder="1" applyAlignment="1">
      <alignment horizontal="left" vertical="center" wrapText="1"/>
    </xf>
    <xf numFmtId="0" fontId="54" fillId="0" borderId="71" xfId="41" applyFont="1" applyFill="1" applyBorder="1" applyAlignment="1" applyProtection="1">
      <alignment horizontal="left" vertical="center" wrapText="1"/>
    </xf>
    <xf numFmtId="0" fontId="54" fillId="0" borderId="62" xfId="41" applyFont="1" applyFill="1" applyBorder="1" applyAlignment="1" applyProtection="1">
      <alignment horizontal="left" vertical="center" wrapText="1"/>
    </xf>
    <xf numFmtId="0" fontId="54" fillId="0" borderId="64" xfId="41" applyFont="1" applyFill="1" applyBorder="1" applyAlignment="1" applyProtection="1">
      <alignment horizontal="left" vertical="center" wrapText="1"/>
    </xf>
    <xf numFmtId="0" fontId="6" fillId="0" borderId="67" xfId="41" applyFont="1" applyFill="1" applyBorder="1" applyAlignment="1">
      <alignment horizontal="left" vertical="center" wrapText="1"/>
    </xf>
    <xf numFmtId="0" fontId="6" fillId="0" borderId="27" xfId="41" applyFont="1" applyFill="1" applyBorder="1" applyAlignment="1">
      <alignment horizontal="left" vertical="center" wrapText="1"/>
    </xf>
    <xf numFmtId="0" fontId="54" fillId="0" borderId="22" xfId="41" applyFont="1" applyFill="1" applyBorder="1" applyAlignment="1">
      <alignment horizontal="center" vertical="center"/>
    </xf>
    <xf numFmtId="0" fontId="54" fillId="0" borderId="29" xfId="41" applyFont="1" applyFill="1" applyBorder="1" applyAlignment="1">
      <alignment horizontal="center" vertical="center"/>
    </xf>
    <xf numFmtId="0" fontId="54" fillId="0" borderId="16" xfId="41" applyFont="1" applyFill="1" applyBorder="1" applyAlignment="1">
      <alignment horizontal="center" vertical="center"/>
    </xf>
    <xf numFmtId="0" fontId="54" fillId="0" borderId="17" xfId="41" applyFont="1" applyFill="1" applyBorder="1" applyAlignment="1">
      <alignment horizontal="center" vertical="center"/>
    </xf>
    <xf numFmtId="0" fontId="54" fillId="0" borderId="50" xfId="41" applyFont="1" applyFill="1" applyBorder="1" applyAlignment="1">
      <alignment horizontal="center" vertical="center"/>
    </xf>
    <xf numFmtId="0" fontId="54" fillId="0" borderId="0" xfId="41" applyFont="1" applyFill="1" applyBorder="1" applyAlignment="1">
      <alignment horizontal="center" vertical="center"/>
    </xf>
    <xf numFmtId="0" fontId="54" fillId="0" borderId="51" xfId="41" applyFont="1" applyFill="1" applyBorder="1" applyAlignment="1">
      <alignment horizontal="center" vertical="center"/>
    </xf>
    <xf numFmtId="0" fontId="23" fillId="0" borderId="59" xfId="41" applyFont="1" applyFill="1" applyBorder="1" applyAlignment="1"/>
    <xf numFmtId="0" fontId="23" fillId="0" borderId="85" xfId="41" applyFont="1" applyFill="1" applyBorder="1" applyAlignment="1"/>
    <xf numFmtId="0" fontId="23" fillId="0" borderId="86" xfId="41" applyFont="1" applyFill="1" applyBorder="1" applyAlignment="1"/>
    <xf numFmtId="3" fontId="54" fillId="0" borderId="68" xfId="41" applyNumberFormat="1" applyFont="1" applyFill="1" applyBorder="1" applyAlignment="1">
      <alignment horizontal="center" vertical="center" wrapText="1"/>
    </xf>
    <xf numFmtId="0" fontId="23" fillId="0" borderId="53" xfId="41" applyFont="1" applyFill="1" applyBorder="1" applyAlignment="1">
      <alignment horizontal="center"/>
    </xf>
    <xf numFmtId="0" fontId="23" fillId="0" borderId="30" xfId="41" applyFont="1" applyFill="1" applyBorder="1" applyAlignment="1">
      <alignment horizontal="center"/>
    </xf>
    <xf numFmtId="0" fontId="23" fillId="0" borderId="31" xfId="41" applyFont="1" applyFill="1" applyBorder="1" applyAlignment="1">
      <alignment horizontal="center"/>
    </xf>
    <xf numFmtId="0" fontId="6" fillId="0" borderId="66" xfId="41" applyFont="1" applyFill="1" applyBorder="1" applyAlignment="1">
      <alignment vertical="center" wrapText="1"/>
    </xf>
    <xf numFmtId="0" fontId="7" fillId="0" borderId="41" xfId="41" applyFont="1" applyFill="1" applyBorder="1" applyAlignment="1">
      <alignmen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71"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64" xfId="0" applyFont="1" applyFill="1" applyBorder="1" applyAlignment="1">
      <alignment horizontal="center" vertical="center"/>
    </xf>
    <xf numFmtId="0" fontId="7" fillId="0" borderId="52" xfId="0" applyFont="1" applyBorder="1" applyAlignment="1">
      <alignment horizontal="left"/>
    </xf>
    <xf numFmtId="0" fontId="4" fillId="0" borderId="66"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41" xfId="0" applyFont="1" applyBorder="1" applyAlignment="1">
      <alignment horizontal="center" vertical="center" wrapText="1"/>
    </xf>
    <xf numFmtId="0" fontId="7" fillId="0" borderId="61" xfId="0" applyFont="1" applyBorder="1" applyAlignment="1">
      <alignment vertical="center" wrapText="1"/>
    </xf>
    <xf numFmtId="0" fontId="7" fillId="0" borderId="44" xfId="39" applyFont="1" applyFill="1" applyBorder="1" applyAlignment="1">
      <alignment vertical="center" wrapText="1"/>
    </xf>
  </cellXfs>
  <cellStyles count="9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Čiarka" xfId="27" builtinId="3"/>
    <cellStyle name="čiarky 2" xfId="28"/>
    <cellStyle name="Explanatory Text" xfId="29"/>
    <cellStyle name="Good" xfId="30"/>
    <cellStyle name="Heading 1" xfId="31"/>
    <cellStyle name="Heading 2" xfId="32"/>
    <cellStyle name="Heading 3" xfId="33"/>
    <cellStyle name="Heading 4" xfId="34"/>
    <cellStyle name="Check Cell" xfId="35"/>
    <cellStyle name="Input" xfId="36"/>
    <cellStyle name="Linked Cell" xfId="37"/>
    <cellStyle name="Neutral" xfId="38"/>
    <cellStyle name="Normálna 2" xfId="39"/>
    <cellStyle name="Normálne" xfId="0" builtinId="0"/>
    <cellStyle name="normálne 2" xfId="40"/>
    <cellStyle name="normálne 3" xfId="41"/>
    <cellStyle name="normálne 4" xfId="42"/>
    <cellStyle name="Normálne 5" xfId="89"/>
    <cellStyle name="Normálne 6" xfId="90"/>
    <cellStyle name="normálne_Databazy_VVŠ_2007_ severská" xfId="43"/>
    <cellStyle name="normálne_sprava_VVŠ_2004_tabuľky_vláda" xfId="44"/>
    <cellStyle name="normální_List1" xfId="45"/>
    <cellStyle name="Note" xfId="46"/>
    <cellStyle name="Output" xfId="47"/>
    <cellStyle name="SAPBEXaggData" xfId="48"/>
    <cellStyle name="SAPBEXaggDataEmph" xfId="49"/>
    <cellStyle name="SAPBEXaggItem" xfId="50"/>
    <cellStyle name="SAPBEXaggItemX" xfId="51"/>
    <cellStyle name="SAPBEXexcBad7" xfId="52"/>
    <cellStyle name="SAPBEXexcBad8" xfId="53"/>
    <cellStyle name="SAPBEXexcBad9" xfId="54"/>
    <cellStyle name="SAPBEXexcCritical4" xfId="55"/>
    <cellStyle name="SAPBEXexcCritical5" xfId="56"/>
    <cellStyle name="SAPBEXexcCritical6" xfId="57"/>
    <cellStyle name="SAPBEXexcGood1" xfId="58"/>
    <cellStyle name="SAPBEXexcGood2" xfId="59"/>
    <cellStyle name="SAPBEXexcGood3" xfId="60"/>
    <cellStyle name="SAPBEXfilterDrill" xfId="61"/>
    <cellStyle name="SAPBEXfilterItem" xfId="62"/>
    <cellStyle name="SAPBEXfilterText" xfId="63"/>
    <cellStyle name="SAPBEXformats" xfId="64"/>
    <cellStyle name="SAPBEXheaderItem" xfId="65"/>
    <cellStyle name="SAPBEXheaderText" xfId="66"/>
    <cellStyle name="SAPBEXHLevel0" xfId="67"/>
    <cellStyle name="SAPBEXHLevel0X" xfId="68"/>
    <cellStyle name="SAPBEXHLevel1" xfId="69"/>
    <cellStyle name="SAPBEXHLevel1X" xfId="70"/>
    <cellStyle name="SAPBEXHLevel2" xfId="71"/>
    <cellStyle name="SAPBEXHLevel2X" xfId="72"/>
    <cellStyle name="SAPBEXHLevel3" xfId="73"/>
    <cellStyle name="SAPBEXHLevel3X" xfId="74"/>
    <cellStyle name="SAPBEXchaText" xfId="75"/>
    <cellStyle name="SAPBEXresData" xfId="76"/>
    <cellStyle name="SAPBEXresDataEmph" xfId="77"/>
    <cellStyle name="SAPBEXresItem" xfId="78"/>
    <cellStyle name="SAPBEXresItemX" xfId="79"/>
    <cellStyle name="SAPBEXstdData" xfId="80"/>
    <cellStyle name="SAPBEXstdDataEmph" xfId="81"/>
    <cellStyle name="SAPBEXstdItem" xfId="82"/>
    <cellStyle name="SAPBEXstdItemX" xfId="83"/>
    <cellStyle name="SAPBEXtitle" xfId="84"/>
    <cellStyle name="SAPBEXundefined" xfId="85"/>
    <cellStyle name="Title" xfId="86"/>
    <cellStyle name="Total" xfId="87"/>
    <cellStyle name="Warning Text" xfId="8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0.0.145/Documents%20and%20Settings/mederly/Local%20Settings/Temporary%20Internet%20Files/OLK185F/struktura%20zamestnancov%20po%20fakultach_PM%2004-1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dita.pisarcikova\Documents\2015\V&#221;RO&#268;N&#193;%20SPR&#193;VA\Tab_VS_VV&#352;_za%202015_tab.%206,%206a_&#352;tef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stupy"/>
      <sheetName val="struktura profesorov"/>
      <sheetName val="struktura docentov"/>
      <sheetName val="T7-systemizacia po fakultach"/>
      <sheetName val="T8-vek profesorov"/>
      <sheetName val="T9-vek docentov"/>
      <sheetName val="10-ostatní_s_PhD"/>
      <sheetName val="studetni verzus miesta"/>
      <sheetName val="vahy"/>
      <sheetName val="nepublikovat"/>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ow r="1">
          <cell r="B1">
            <v>1</v>
          </cell>
        </row>
        <row r="2">
          <cell r="B2">
            <v>0.3</v>
          </cell>
        </row>
        <row r="3">
          <cell r="B3">
            <v>3</v>
          </cell>
        </row>
        <row r="4">
          <cell r="B4">
            <v>0</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zmeny"/>
      <sheetName val="Vysvetlivky"/>
      <sheetName val="Súvzťažnosti"/>
      <sheetName val="Kódy z CRŠ"/>
      <sheetName val="T1-Dotácie podľa DZ"/>
      <sheetName val="T2-Ostatné dot mimo MŠ SR"/>
      <sheetName val="T3-Výnosy"/>
      <sheetName val="T3a-Výnosy"/>
      <sheetName val="T4-Výnosy zo školného"/>
      <sheetName val="T5 - Analýza nákladov"/>
      <sheetName val="T5a - Náklady "/>
      <sheetName val="T6-Zamestnanci_a_mzdy"/>
      <sheetName val="T6a-Zamestnanci_a_mzdy (ženy)"/>
      <sheetName val="T7_Doktorandi "/>
      <sheetName val="T8-Soc_štipendiá"/>
      <sheetName val="T9_ŠD "/>
      <sheetName val="T10-ŠJ "/>
      <sheetName val="T11-Zdroje KV"/>
      <sheetName val="T12-KV"/>
      <sheetName val="T13-Fondy"/>
      <sheetName val="T16 - Štruktúra hotovosti"/>
      <sheetName val="T17-Dotácie zo ŠF EU"/>
      <sheetName val="T18-Ostatné dotacie z kap MŠ SR"/>
      <sheetName val="T19-Štip_ z vlastných "/>
      <sheetName val="T20_motivačné štipendiá_nová"/>
      <sheetName val="T21-štruktúra_384"/>
      <sheetName val="T22_Výnosy_soc_oblasť"/>
      <sheetName val="T23_Náklady_soc_oblasť"/>
      <sheetName val="T24a_Aktíva_1"/>
      <sheetName val="T24b_Aktíva_2"/>
      <sheetName val="T25_Pasíva "/>
      <sheetName val="T24__Aktív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F7">
            <v>646.70999999999992</v>
          </cell>
          <cell r="J7">
            <v>12316900.950000001</v>
          </cell>
        </row>
        <row r="8">
          <cell r="F8">
            <v>110.34</v>
          </cell>
          <cell r="J8">
            <v>3248513.5</v>
          </cell>
        </row>
        <row r="9">
          <cell r="F9">
            <v>133.78</v>
          </cell>
          <cell r="J9">
            <v>2806097.08</v>
          </cell>
        </row>
        <row r="10">
          <cell r="F10">
            <v>344.78000000000003</v>
          </cell>
          <cell r="J10">
            <v>5570087.71</v>
          </cell>
        </row>
        <row r="11">
          <cell r="F11">
            <v>41.84</v>
          </cell>
          <cell r="J11">
            <v>520734.17</v>
          </cell>
        </row>
        <row r="12">
          <cell r="F12">
            <v>15.969999999999999</v>
          </cell>
          <cell r="J12">
            <v>171468.49</v>
          </cell>
        </row>
        <row r="13">
          <cell r="F13">
            <v>202.83</v>
          </cell>
          <cell r="J13">
            <v>2200189.3199999998</v>
          </cell>
        </row>
        <row r="15">
          <cell r="F15">
            <v>48.06</v>
          </cell>
          <cell r="J15">
            <v>646925.13</v>
          </cell>
        </row>
        <row r="16">
          <cell r="F16">
            <v>210.79</v>
          </cell>
          <cell r="J16">
            <v>2217236.4900000002</v>
          </cell>
        </row>
        <row r="17">
          <cell r="F17">
            <v>70.23</v>
          </cell>
          <cell r="J17">
            <v>767432.2</v>
          </cell>
        </row>
        <row r="18">
          <cell r="F18">
            <v>88.12</v>
          </cell>
          <cell r="J18">
            <v>1014048.3900000001</v>
          </cell>
        </row>
        <row r="19">
          <cell r="F19">
            <v>52.44</v>
          </cell>
          <cell r="J19">
            <v>435755.9</v>
          </cell>
        </row>
        <row r="20">
          <cell r="F20">
            <v>128.43</v>
          </cell>
          <cell r="J20">
            <v>2114017.5</v>
          </cell>
        </row>
        <row r="21">
          <cell r="F21">
            <v>154.25</v>
          </cell>
          <cell r="J21">
            <v>1040832.08</v>
          </cell>
        </row>
        <row r="22">
          <cell r="F22">
            <v>0</v>
          </cell>
          <cell r="J22">
            <v>271434.19</v>
          </cell>
        </row>
        <row r="23">
          <cell r="F23">
            <v>39.4</v>
          </cell>
          <cell r="J23">
            <v>271434.19</v>
          </cell>
        </row>
        <row r="24">
          <cell r="F24">
            <v>0</v>
          </cell>
          <cell r="J24">
            <v>0</v>
          </cell>
        </row>
        <row r="25">
          <cell r="F25">
            <v>0</v>
          </cell>
          <cell r="J25">
            <v>0</v>
          </cell>
        </row>
        <row r="26">
          <cell r="F26">
            <v>0</v>
          </cell>
          <cell r="J26">
            <v>0</v>
          </cell>
        </row>
        <row r="28">
          <cell r="F28">
            <v>60.1</v>
          </cell>
          <cell r="J28">
            <v>431120.44999999995</v>
          </cell>
        </row>
        <row r="29">
          <cell r="F29">
            <v>36.299999999999997</v>
          </cell>
          <cell r="J29">
            <v>236809.50999999998</v>
          </cell>
        </row>
        <row r="30">
          <cell r="F30">
            <v>1439.4099999999999</v>
          </cell>
          <cell r="J30">
            <v>20557106.300000001</v>
          </cell>
        </row>
      </sheetData>
      <sheetData sheetId="13">
        <row r="7">
          <cell r="F7">
            <v>320.60399999999998</v>
          </cell>
          <cell r="J7">
            <v>5630702.8700000001</v>
          </cell>
        </row>
        <row r="8">
          <cell r="F8">
            <v>28.92</v>
          </cell>
          <cell r="J8">
            <v>913326.26</v>
          </cell>
        </row>
        <row r="9">
          <cell r="F9">
            <v>63.44</v>
          </cell>
          <cell r="J9">
            <v>1329474.92</v>
          </cell>
        </row>
        <row r="10">
          <cell r="F10">
            <v>191.7</v>
          </cell>
          <cell r="J10">
            <v>2959010.69</v>
          </cell>
        </row>
        <row r="11">
          <cell r="F11">
            <v>27.094000000000001</v>
          </cell>
          <cell r="J11">
            <v>330000.75</v>
          </cell>
        </row>
        <row r="12">
          <cell r="F12">
            <v>9.4499999999999993</v>
          </cell>
          <cell r="J12">
            <v>98890.25</v>
          </cell>
        </row>
        <row r="13">
          <cell r="F13">
            <v>131.88999999999999</v>
          </cell>
          <cell r="J13">
            <v>1236876.03</v>
          </cell>
        </row>
        <row r="15">
          <cell r="F15">
            <v>14.698</v>
          </cell>
          <cell r="J15">
            <v>151761.85</v>
          </cell>
        </row>
        <row r="16">
          <cell r="F16">
            <v>201.90900000000002</v>
          </cell>
          <cell r="J16">
            <v>2087827.2000000002</v>
          </cell>
        </row>
        <row r="17">
          <cell r="F17">
            <v>63.519999999999996</v>
          </cell>
          <cell r="J17">
            <v>656662.13</v>
          </cell>
        </row>
        <row r="18">
          <cell r="F18">
            <v>85.95</v>
          </cell>
          <cell r="J18">
            <v>995409.16999999993</v>
          </cell>
        </row>
        <row r="19">
          <cell r="F19">
            <v>52.439</v>
          </cell>
          <cell r="J19">
            <v>435755.9</v>
          </cell>
        </row>
        <row r="20">
          <cell r="F20">
            <v>71.22</v>
          </cell>
          <cell r="J20">
            <v>1128509.22</v>
          </cell>
        </row>
        <row r="21">
          <cell r="F21">
            <v>87.53</v>
          </cell>
          <cell r="J21">
            <v>514095.48</v>
          </cell>
        </row>
        <row r="22">
          <cell r="F22">
            <v>0</v>
          </cell>
          <cell r="J22">
            <v>125329.37</v>
          </cell>
        </row>
        <row r="23">
          <cell r="F23">
            <v>21.14</v>
          </cell>
          <cell r="J23">
            <v>125329.37</v>
          </cell>
        </row>
        <row r="24">
          <cell r="F24">
            <v>0</v>
          </cell>
          <cell r="J24">
            <v>0</v>
          </cell>
        </row>
        <row r="25">
          <cell r="F25">
            <v>0</v>
          </cell>
          <cell r="J25">
            <v>0</v>
          </cell>
        </row>
        <row r="26">
          <cell r="F26">
            <v>0</v>
          </cell>
          <cell r="J26">
            <v>0</v>
          </cell>
        </row>
        <row r="28">
          <cell r="F28">
            <v>37.17</v>
          </cell>
          <cell r="J28">
            <v>254318.52</v>
          </cell>
        </row>
        <row r="29">
          <cell r="F29">
            <v>33.31</v>
          </cell>
          <cell r="J29">
            <v>216519.73</v>
          </cell>
        </row>
        <row r="30">
          <cell r="F30">
            <v>883.63300000000004</v>
          </cell>
          <cell r="J30">
            <v>11068849.050000003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tabColor indexed="42"/>
    <pageSetUpPr fitToPage="1"/>
  </sheetPr>
  <dimension ref="A1:E23"/>
  <sheetViews>
    <sheetView zoomScaleNormal="100" workbookViewId="0">
      <pane xSplit="2" ySplit="4" topLeftCell="C5" activePane="bottomRight" state="frozen"/>
      <selection pane="topRight" activeCell="C1" sqref="C1"/>
      <selection pane="bottomLeft" activeCell="A5" sqref="A5"/>
      <selection pane="bottomRight" activeCell="B4" sqref="B4"/>
    </sheetView>
  </sheetViews>
  <sheetFormatPr defaultColWidth="9.109375" defaultRowHeight="15.6" x14ac:dyDescent="0.25"/>
  <cols>
    <col min="1" max="1" width="9.109375" style="142" customWidth="1"/>
    <col min="2" max="2" width="77.88671875" style="143" customWidth="1"/>
    <col min="3" max="5" width="17.44140625" style="27" customWidth="1"/>
    <col min="6" max="6" width="12.44140625" style="27" customWidth="1"/>
    <col min="7" max="16384" width="9.109375" style="27"/>
  </cols>
  <sheetData>
    <row r="1" spans="1:5" s="130" customFormat="1" ht="87" customHeight="1" thickBot="1" x14ac:dyDescent="0.3">
      <c r="A1" s="644" t="s">
        <v>1433</v>
      </c>
      <c r="B1" s="645"/>
      <c r="C1" s="645"/>
      <c r="D1" s="645"/>
      <c r="E1" s="646"/>
    </row>
    <row r="2" spans="1:5" s="130" customFormat="1" ht="35.1" customHeight="1" x14ac:dyDescent="0.25">
      <c r="A2" s="647" t="s">
        <v>1216</v>
      </c>
      <c r="B2" s="648"/>
      <c r="C2" s="648"/>
      <c r="D2" s="648"/>
      <c r="E2" s="649"/>
    </row>
    <row r="3" spans="1:5" ht="43.5" customHeight="1" x14ac:dyDescent="0.25">
      <c r="A3" s="157" t="s">
        <v>205</v>
      </c>
      <c r="B3" s="131" t="s">
        <v>204</v>
      </c>
      <c r="C3" s="133" t="s">
        <v>301</v>
      </c>
      <c r="D3" s="133" t="s">
        <v>302</v>
      </c>
      <c r="E3" s="6" t="s">
        <v>222</v>
      </c>
    </row>
    <row r="4" spans="1:5" ht="17.25" customHeight="1" x14ac:dyDescent="0.25">
      <c r="A4" s="7"/>
      <c r="B4" s="11"/>
      <c r="C4" s="2" t="s">
        <v>283</v>
      </c>
      <c r="D4" s="2" t="s">
        <v>284</v>
      </c>
      <c r="E4" s="3" t="s">
        <v>22</v>
      </c>
    </row>
    <row r="5" spans="1:5" x14ac:dyDescent="0.25">
      <c r="A5" s="7">
        <v>1</v>
      </c>
      <c r="B5" s="11" t="s">
        <v>360</v>
      </c>
      <c r="C5" s="135">
        <f>C6</f>
        <v>15381417</v>
      </c>
      <c r="D5" s="135">
        <f>D6</f>
        <v>200000</v>
      </c>
      <c r="E5" s="33">
        <f>C5+D5</f>
        <v>15581417</v>
      </c>
    </row>
    <row r="6" spans="1:5" x14ac:dyDescent="0.25">
      <c r="A6" s="7">
        <f>A5+1</f>
        <v>2</v>
      </c>
      <c r="B6" s="10" t="s">
        <v>261</v>
      </c>
      <c r="C6" s="119">
        <v>15381417</v>
      </c>
      <c r="D6" s="119">
        <v>200000</v>
      </c>
      <c r="E6" s="33">
        <f>C6+D6</f>
        <v>15581417</v>
      </c>
    </row>
    <row r="7" spans="1:5" ht="15.75" customHeight="1" x14ac:dyDescent="0.25">
      <c r="A7" s="7">
        <f>A6+1</f>
        <v>3</v>
      </c>
      <c r="B7" s="11" t="s">
        <v>361</v>
      </c>
      <c r="C7" s="135">
        <f>C8+C9+C10+C11+C12</f>
        <v>11321622</v>
      </c>
      <c r="D7" s="135">
        <f>D8+D9+D10+D11+D12</f>
        <v>0</v>
      </c>
      <c r="E7" s="33">
        <f>C7+D7</f>
        <v>11321622</v>
      </c>
    </row>
    <row r="8" spans="1:5" x14ac:dyDescent="0.25">
      <c r="A8" s="7">
        <f t="shared" ref="A8:A19" si="0">A7+1</f>
        <v>4</v>
      </c>
      <c r="B8" s="10" t="s">
        <v>262</v>
      </c>
      <c r="C8" s="119">
        <v>10526154</v>
      </c>
      <c r="D8" s="119"/>
      <c r="E8" s="33">
        <f>C8+D8</f>
        <v>10526154</v>
      </c>
    </row>
    <row r="9" spans="1:5" x14ac:dyDescent="0.25">
      <c r="A9" s="7">
        <f t="shared" si="0"/>
        <v>5</v>
      </c>
      <c r="B9" s="10" t="s">
        <v>263</v>
      </c>
      <c r="C9" s="119">
        <v>689196</v>
      </c>
      <c r="D9" s="119"/>
      <c r="E9" s="33">
        <f>C9+D9</f>
        <v>689196</v>
      </c>
    </row>
    <row r="10" spans="1:5" x14ac:dyDescent="0.25">
      <c r="A10" s="7">
        <f t="shared" si="0"/>
        <v>6</v>
      </c>
      <c r="B10" s="10" t="s">
        <v>264</v>
      </c>
      <c r="C10" s="119"/>
      <c r="D10" s="119"/>
      <c r="E10" s="33">
        <f t="shared" ref="E10:E19" si="1">C10+D10</f>
        <v>0</v>
      </c>
    </row>
    <row r="11" spans="1:5" x14ac:dyDescent="0.25">
      <c r="A11" s="7">
        <f t="shared" si="0"/>
        <v>7</v>
      </c>
      <c r="B11" s="10" t="s">
        <v>265</v>
      </c>
      <c r="C11" s="119"/>
      <c r="D11" s="119"/>
      <c r="E11" s="33">
        <f t="shared" si="1"/>
        <v>0</v>
      </c>
    </row>
    <row r="12" spans="1:5" x14ac:dyDescent="0.25">
      <c r="A12" s="7">
        <f t="shared" si="0"/>
        <v>8</v>
      </c>
      <c r="B12" s="10" t="s">
        <v>143</v>
      </c>
      <c r="C12" s="119">
        <v>106272</v>
      </c>
      <c r="D12" s="119"/>
      <c r="E12" s="33">
        <f t="shared" si="1"/>
        <v>106272</v>
      </c>
    </row>
    <row r="13" spans="1:5" ht="15.75" customHeight="1" x14ac:dyDescent="0.25">
      <c r="A13" s="7">
        <f t="shared" si="0"/>
        <v>9</v>
      </c>
      <c r="B13" s="11" t="s">
        <v>362</v>
      </c>
      <c r="C13" s="135">
        <f>C14</f>
        <v>0</v>
      </c>
      <c r="D13" s="135">
        <f>D14</f>
        <v>0</v>
      </c>
      <c r="E13" s="33">
        <f t="shared" si="1"/>
        <v>0</v>
      </c>
    </row>
    <row r="14" spans="1:5" x14ac:dyDescent="0.25">
      <c r="A14" s="7">
        <f t="shared" si="0"/>
        <v>10</v>
      </c>
      <c r="B14" s="10" t="s">
        <v>144</v>
      </c>
      <c r="C14" s="119"/>
      <c r="D14" s="119"/>
      <c r="E14" s="33">
        <f t="shared" si="1"/>
        <v>0</v>
      </c>
    </row>
    <row r="15" spans="1:5" x14ac:dyDescent="0.25">
      <c r="A15" s="7">
        <f t="shared" si="0"/>
        <v>11</v>
      </c>
      <c r="B15" s="11" t="s">
        <v>363</v>
      </c>
      <c r="C15" s="135">
        <f>SUM(C16:C18)</f>
        <v>2410644</v>
      </c>
      <c r="D15" s="135">
        <f>SUM(D16:D18)</f>
        <v>0</v>
      </c>
      <c r="E15" s="33">
        <f t="shared" si="1"/>
        <v>2410644</v>
      </c>
    </row>
    <row r="16" spans="1:5" x14ac:dyDescent="0.25">
      <c r="A16" s="7">
        <f t="shared" si="0"/>
        <v>12</v>
      </c>
      <c r="B16" s="10" t="s">
        <v>145</v>
      </c>
      <c r="C16" s="119">
        <v>1225530</v>
      </c>
      <c r="D16" s="119"/>
      <c r="E16" s="33">
        <f t="shared" si="1"/>
        <v>1225530</v>
      </c>
    </row>
    <row r="17" spans="1:5" x14ac:dyDescent="0.25">
      <c r="A17" s="7">
        <f t="shared" si="0"/>
        <v>13</v>
      </c>
      <c r="B17" s="10" t="s">
        <v>146</v>
      </c>
      <c r="C17" s="119">
        <v>342255</v>
      </c>
      <c r="D17" s="119"/>
      <c r="E17" s="33">
        <f t="shared" si="1"/>
        <v>342255</v>
      </c>
    </row>
    <row r="18" spans="1:5" x14ac:dyDescent="0.25">
      <c r="A18" s="7">
        <f t="shared" si="0"/>
        <v>14</v>
      </c>
      <c r="B18" s="10" t="s">
        <v>147</v>
      </c>
      <c r="C18" s="119">
        <v>842859</v>
      </c>
      <c r="D18" s="119"/>
      <c r="E18" s="33">
        <f t="shared" si="1"/>
        <v>842859</v>
      </c>
    </row>
    <row r="19" spans="1:5" ht="16.2" thickBot="1" x14ac:dyDescent="0.3">
      <c r="A19" s="66">
        <f t="shared" si="0"/>
        <v>15</v>
      </c>
      <c r="B19" s="12" t="s">
        <v>364</v>
      </c>
      <c r="C19" s="136">
        <f>C5+C7+C13+C15</f>
        <v>29113683</v>
      </c>
      <c r="D19" s="136">
        <f>D5+D7+D13+D15</f>
        <v>200000</v>
      </c>
      <c r="E19" s="137">
        <f t="shared" si="1"/>
        <v>29313683</v>
      </c>
    </row>
    <row r="20" spans="1:5" x14ac:dyDescent="0.25">
      <c r="A20" s="138"/>
      <c r="B20" s="139"/>
      <c r="C20" s="140"/>
      <c r="D20" s="140"/>
    </row>
    <row r="21" spans="1:5" x14ac:dyDescent="0.25">
      <c r="A21" s="141"/>
    </row>
    <row r="23" spans="1:5" x14ac:dyDescent="0.25">
      <c r="B23" s="143" t="s">
        <v>157</v>
      </c>
    </row>
  </sheetData>
  <sheetProtection selectLockedCells="1"/>
  <protectedRanges>
    <protectedRange sqref="C8:D12 C16 C14:D14 C6:D6 C18" name="Rozsah2"/>
    <protectedRange sqref="C19:D19" name="Rozsah1"/>
  </protectedRanges>
  <mergeCells count="2">
    <mergeCell ref="A1:E1"/>
    <mergeCell ref="A2:E2"/>
  </mergeCells>
  <phoneticPr fontId="0" type="noConversion"/>
  <printOptions gridLines="1"/>
  <pageMargins left="0.74803149606299213" right="0.74803149606299213" top="0.98425196850393704" bottom="0.98425196850393704" header="0.51181102362204722" footer="0.51181102362204722"/>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CC"/>
    <pageSetUpPr fitToPage="1"/>
  </sheetPr>
  <dimension ref="A1:J21"/>
  <sheetViews>
    <sheetView zoomScale="90" zoomScaleNormal="90" workbookViewId="0">
      <pane xSplit="2" ySplit="6" topLeftCell="D7" activePane="bottomRight" state="frozen"/>
      <selection pane="topRight" activeCell="C1" sqref="C1"/>
      <selection pane="bottomLeft" activeCell="A7" sqref="A7"/>
      <selection pane="bottomRight" activeCell="D27" sqref="D27"/>
    </sheetView>
  </sheetViews>
  <sheetFormatPr defaultColWidth="9.109375" defaultRowHeight="15.6" x14ac:dyDescent="0.3"/>
  <cols>
    <col min="1" max="1" width="9.109375" style="548"/>
    <col min="2" max="2" width="70.44140625" style="548" customWidth="1"/>
    <col min="3" max="3" width="23.109375" style="548" customWidth="1"/>
    <col min="4" max="4" width="23.88671875" style="548" customWidth="1"/>
    <col min="5" max="5" width="20.33203125" style="548" customWidth="1"/>
    <col min="6" max="6" width="23.109375" style="548" customWidth="1"/>
    <col min="7" max="7" width="24" style="548" customWidth="1"/>
    <col min="8" max="8" width="15.44140625" style="548" customWidth="1"/>
    <col min="9" max="10" width="13.88671875" style="548" customWidth="1"/>
    <col min="11" max="16384" width="9.109375" style="548"/>
  </cols>
  <sheetData>
    <row r="1" spans="1:10" ht="39.75" customHeight="1" thickBot="1" x14ac:dyDescent="0.35">
      <c r="A1" s="728" t="s">
        <v>1173</v>
      </c>
      <c r="B1" s="729"/>
      <c r="C1" s="729"/>
      <c r="D1" s="729"/>
      <c r="E1" s="729"/>
      <c r="F1" s="729"/>
      <c r="G1" s="730"/>
    </row>
    <row r="2" spans="1:10" ht="44.25" customHeight="1" x14ac:dyDescent="0.3">
      <c r="A2" s="734" t="s">
        <v>1222</v>
      </c>
      <c r="B2" s="735"/>
      <c r="C2" s="735"/>
      <c r="D2" s="735"/>
      <c r="E2" s="735"/>
      <c r="F2" s="735"/>
      <c r="G2" s="736"/>
    </row>
    <row r="3" spans="1:10" ht="41.25" customHeight="1" x14ac:dyDescent="0.3">
      <c r="A3" s="737" t="s">
        <v>205</v>
      </c>
      <c r="B3" s="738" t="s">
        <v>327</v>
      </c>
      <c r="C3" s="741" t="s">
        <v>1160</v>
      </c>
      <c r="D3" s="742"/>
      <c r="E3" s="745" t="s">
        <v>1322</v>
      </c>
      <c r="F3" s="745" t="s">
        <v>1323</v>
      </c>
      <c r="G3" s="731" t="s">
        <v>940</v>
      </c>
    </row>
    <row r="4" spans="1:10" ht="18.75" customHeight="1" x14ac:dyDescent="0.3">
      <c r="A4" s="737"/>
      <c r="B4" s="739"/>
      <c r="C4" s="743" t="s">
        <v>337</v>
      </c>
      <c r="D4" s="744"/>
      <c r="E4" s="746"/>
      <c r="F4" s="746"/>
      <c r="G4" s="732"/>
    </row>
    <row r="5" spans="1:10" ht="47.25" customHeight="1" x14ac:dyDescent="0.3">
      <c r="A5" s="737"/>
      <c r="B5" s="740"/>
      <c r="C5" s="549" t="s">
        <v>1014</v>
      </c>
      <c r="D5" s="243" t="s">
        <v>1324</v>
      </c>
      <c r="E5" s="747"/>
      <c r="F5" s="747"/>
      <c r="G5" s="733"/>
    </row>
    <row r="6" spans="1:10" ht="26.25" customHeight="1" x14ac:dyDescent="0.3">
      <c r="A6" s="550"/>
      <c r="B6" s="551"/>
      <c r="C6" s="552" t="s">
        <v>283</v>
      </c>
      <c r="D6" s="552" t="s">
        <v>284</v>
      </c>
      <c r="E6" s="552" t="s">
        <v>285</v>
      </c>
      <c r="F6" s="553" t="s">
        <v>292</v>
      </c>
      <c r="G6" s="554" t="s">
        <v>895</v>
      </c>
      <c r="H6" s="555"/>
      <c r="I6" s="555"/>
      <c r="J6" s="555"/>
    </row>
    <row r="7" spans="1:10" ht="21.75" customHeight="1" x14ac:dyDescent="0.3">
      <c r="A7" s="556">
        <v>1</v>
      </c>
      <c r="B7" s="557" t="s">
        <v>1325</v>
      </c>
      <c r="C7" s="145">
        <f>C8+C11</f>
        <v>283486.02</v>
      </c>
      <c r="D7" s="145">
        <f>D8+D11</f>
        <v>3951.45</v>
      </c>
      <c r="E7" s="145">
        <f>E8+E11</f>
        <v>0</v>
      </c>
      <c r="F7" s="145">
        <f>F8+F11</f>
        <v>1801211.9000000001</v>
      </c>
      <c r="G7" s="145">
        <f>SUM(C7:F7)</f>
        <v>2088649.37</v>
      </c>
      <c r="H7" s="558"/>
      <c r="I7" s="558"/>
      <c r="J7" s="558"/>
    </row>
    <row r="8" spans="1:10" ht="31.2" x14ac:dyDescent="0.3">
      <c r="A8" s="556">
        <v>2</v>
      </c>
      <c r="B8" s="245" t="s">
        <v>1326</v>
      </c>
      <c r="C8" s="145">
        <f>C9</f>
        <v>174250</v>
      </c>
      <c r="D8" s="145">
        <f>D10</f>
        <v>0</v>
      </c>
      <c r="E8" s="145">
        <f>SUM(E9:E10)</f>
        <v>0</v>
      </c>
      <c r="F8" s="145">
        <f>SUM(F9:F10)</f>
        <v>1231253.1200000001</v>
      </c>
      <c r="G8" s="244">
        <f t="shared" ref="G8:G17" si="0">SUM(C8:F8)</f>
        <v>1405503.12</v>
      </c>
      <c r="H8" s="558"/>
      <c r="I8" s="558"/>
      <c r="J8" s="558"/>
    </row>
    <row r="9" spans="1:10" ht="31.2" x14ac:dyDescent="0.3">
      <c r="A9" s="556">
        <v>3</v>
      </c>
      <c r="B9" s="245" t="s">
        <v>1016</v>
      </c>
      <c r="C9" s="148">
        <v>174250</v>
      </c>
      <c r="D9" s="200" t="s">
        <v>312</v>
      </c>
      <c r="E9" s="148"/>
      <c r="F9" s="559">
        <v>1204490.8</v>
      </c>
      <c r="G9" s="244">
        <f t="shared" si="0"/>
        <v>1378740.8</v>
      </c>
    </row>
    <row r="10" spans="1:10" ht="31.2" x14ac:dyDescent="0.3">
      <c r="A10" s="556">
        <v>4</v>
      </c>
      <c r="B10" s="245" t="s">
        <v>1171</v>
      </c>
      <c r="C10" s="200" t="s">
        <v>312</v>
      </c>
      <c r="D10" s="148"/>
      <c r="E10" s="148"/>
      <c r="F10" s="559">
        <v>26762.32</v>
      </c>
      <c r="G10" s="244">
        <f t="shared" si="0"/>
        <v>26762.32</v>
      </c>
    </row>
    <row r="11" spans="1:10" ht="31.2" x14ac:dyDescent="0.3">
      <c r="A11" s="556">
        <v>5</v>
      </c>
      <c r="B11" s="245" t="s">
        <v>1327</v>
      </c>
      <c r="C11" s="145">
        <f>C12</f>
        <v>109236.02</v>
      </c>
      <c r="D11" s="145">
        <f>D13</f>
        <v>3951.45</v>
      </c>
      <c r="E11" s="145">
        <f>SUM(E12:E13)</f>
        <v>0</v>
      </c>
      <c r="F11" s="145">
        <f>SUM(F12:F13)</f>
        <v>569958.78</v>
      </c>
      <c r="G11" s="244">
        <f>SUM(C11:E11)</f>
        <v>113187.47</v>
      </c>
    </row>
    <row r="12" spans="1:10" ht="31.2" x14ac:dyDescent="0.3">
      <c r="A12" s="556">
        <v>6</v>
      </c>
      <c r="B12" s="245" t="s">
        <v>1017</v>
      </c>
      <c r="C12" s="148">
        <v>109236.02</v>
      </c>
      <c r="D12" s="200" t="s">
        <v>312</v>
      </c>
      <c r="E12" s="148"/>
      <c r="F12" s="148">
        <v>513345.36</v>
      </c>
      <c r="G12" s="244">
        <f t="shared" si="0"/>
        <v>622581.38</v>
      </c>
    </row>
    <row r="13" spans="1:10" s="22" customFormat="1" ht="31.2" x14ac:dyDescent="0.3">
      <c r="A13" s="556">
        <v>7</v>
      </c>
      <c r="B13" s="245" t="s">
        <v>1172</v>
      </c>
      <c r="C13" s="200" t="s">
        <v>312</v>
      </c>
      <c r="D13" s="148">
        <v>3951.45</v>
      </c>
      <c r="E13" s="148"/>
      <c r="F13" s="148">
        <v>56613.42</v>
      </c>
      <c r="G13" s="244">
        <f t="shared" si="0"/>
        <v>60564.869999999995</v>
      </c>
      <c r="H13" s="548"/>
    </row>
    <row r="14" spans="1:10" ht="31.2" x14ac:dyDescent="0.3">
      <c r="A14" s="556">
        <v>8</v>
      </c>
      <c r="B14" s="31" t="s">
        <v>1158</v>
      </c>
      <c r="C14" s="148">
        <v>168533.67</v>
      </c>
      <c r="D14" s="200" t="s">
        <v>312</v>
      </c>
      <c r="E14" s="200" t="s">
        <v>312</v>
      </c>
      <c r="F14" s="200" t="s">
        <v>312</v>
      </c>
      <c r="G14" s="244">
        <f>SUM(C14:F14)</f>
        <v>168533.67</v>
      </c>
      <c r="I14" s="558"/>
    </row>
    <row r="15" spans="1:10" ht="31.2" x14ac:dyDescent="0.3">
      <c r="A15" s="556">
        <v>9</v>
      </c>
      <c r="B15" s="245" t="s">
        <v>1328</v>
      </c>
      <c r="C15" s="148">
        <v>403367</v>
      </c>
      <c r="D15" s="148"/>
      <c r="E15" s="200" t="s">
        <v>312</v>
      </c>
      <c r="F15" s="200" t="s">
        <v>312</v>
      </c>
      <c r="G15" s="244">
        <f t="shared" si="0"/>
        <v>403367</v>
      </c>
    </row>
    <row r="16" spans="1:10" ht="39" customHeight="1" x14ac:dyDescent="0.3">
      <c r="A16" s="556">
        <v>10</v>
      </c>
      <c r="B16" s="245" t="s">
        <v>1329</v>
      </c>
      <c r="C16" s="148">
        <f>C14+C15-C7</f>
        <v>288414.65000000002</v>
      </c>
      <c r="D16" s="200" t="s">
        <v>312</v>
      </c>
      <c r="E16" s="200" t="s">
        <v>312</v>
      </c>
      <c r="F16" s="200" t="s">
        <v>312</v>
      </c>
      <c r="G16" s="244">
        <f t="shared" si="0"/>
        <v>288414.65000000002</v>
      </c>
      <c r="H16" s="558"/>
      <c r="I16" s="558"/>
    </row>
    <row r="17" spans="1:7" ht="21" customHeight="1" x14ac:dyDescent="0.3">
      <c r="A17" s="556">
        <v>11</v>
      </c>
      <c r="B17" s="560" t="s">
        <v>1330</v>
      </c>
      <c r="C17" s="148">
        <v>471</v>
      </c>
      <c r="D17" s="200" t="s">
        <v>312</v>
      </c>
      <c r="E17" s="148"/>
      <c r="F17" s="559">
        <v>3076</v>
      </c>
      <c r="G17" s="244">
        <f t="shared" si="0"/>
        <v>3547</v>
      </c>
    </row>
    <row r="18" spans="1:7" ht="21" customHeight="1" thickBot="1" x14ac:dyDescent="0.35">
      <c r="A18" s="561">
        <v>12</v>
      </c>
      <c r="B18" s="562" t="s">
        <v>394</v>
      </c>
      <c r="C18" s="442">
        <f>IF(C17=0,0,+(C7+D7)/C17)</f>
        <v>610.2706369426752</v>
      </c>
      <c r="D18" s="563" t="s">
        <v>312</v>
      </c>
      <c r="E18" s="442">
        <f>IF(E17=0,0,+E7/E17)</f>
        <v>0</v>
      </c>
      <c r="F18" s="442">
        <f>IF(F17=0,0,+F7/F17)</f>
        <v>585.56953836150853</v>
      </c>
      <c r="G18" s="247">
        <f>IF(G17=0,0,+G7/G17)</f>
        <v>588.84955455314355</v>
      </c>
    </row>
    <row r="20" spans="1:7" x14ac:dyDescent="0.3">
      <c r="A20" s="564" t="s">
        <v>1331</v>
      </c>
      <c r="B20" s="565"/>
      <c r="C20" s="565"/>
      <c r="D20" s="565"/>
      <c r="E20" s="565"/>
      <c r="F20" s="565"/>
      <c r="G20" s="566"/>
    </row>
    <row r="21" spans="1:7" x14ac:dyDescent="0.3">
      <c r="A21" s="567" t="s">
        <v>1159</v>
      </c>
      <c r="B21" s="568"/>
      <c r="C21" s="568"/>
      <c r="D21" s="568"/>
      <c r="E21" s="568"/>
      <c r="F21" s="568"/>
      <c r="G21" s="569"/>
    </row>
  </sheetData>
  <mergeCells count="9">
    <mergeCell ref="A1:G1"/>
    <mergeCell ref="G3:G5"/>
    <mergeCell ref="A2:G2"/>
    <mergeCell ref="A3:A5"/>
    <mergeCell ref="B3:B5"/>
    <mergeCell ref="C3:D3"/>
    <mergeCell ref="C4:D4"/>
    <mergeCell ref="E3:E5"/>
    <mergeCell ref="F3:F5"/>
  </mergeCells>
  <pageMargins left="0.45" right="0.33" top="0.74803149606299213" bottom="0.74803149606299213" header="0.31496062992125984" footer="0.31496062992125984"/>
  <pageSetup paperSize="9" scale="73"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tabColor indexed="42"/>
    <pageSetUpPr fitToPage="1"/>
  </sheetPr>
  <dimension ref="A1:K17"/>
  <sheetViews>
    <sheetView workbookViewId="0">
      <pane xSplit="2" ySplit="5" topLeftCell="C6" activePane="bottomRight" state="frozen"/>
      <selection pane="topRight" activeCell="C1" sqref="C1"/>
      <selection pane="bottomLeft" activeCell="A6" sqref="A6"/>
      <selection pane="bottomRight" activeCell="B3" sqref="B3:B4"/>
    </sheetView>
  </sheetViews>
  <sheetFormatPr defaultColWidth="9.109375" defaultRowHeight="15.6" x14ac:dyDescent="0.25"/>
  <cols>
    <col min="1" max="1" width="8.109375" style="22" customWidth="1"/>
    <col min="2" max="2" width="93.109375" style="547" customWidth="1"/>
    <col min="3" max="3" width="17.33203125" style="22" customWidth="1"/>
    <col min="4" max="4" width="17.109375" style="22" customWidth="1"/>
    <col min="5" max="5" width="15.6640625" style="22" customWidth="1"/>
    <col min="6" max="6" width="18" style="22" customWidth="1"/>
    <col min="7" max="7" width="7.5546875" style="22" customWidth="1"/>
    <col min="8" max="9" width="11.88671875" style="22" bestFit="1" customWidth="1"/>
    <col min="10" max="16384" width="9.109375" style="22"/>
  </cols>
  <sheetData>
    <row r="1" spans="1:11" ht="50.1" customHeight="1" thickBot="1" x14ac:dyDescent="0.3">
      <c r="A1" s="757" t="s">
        <v>1320</v>
      </c>
      <c r="B1" s="758"/>
      <c r="C1" s="758"/>
      <c r="D1" s="758"/>
      <c r="E1" s="758"/>
      <c r="F1" s="759"/>
      <c r="G1" s="224"/>
      <c r="H1" s="313"/>
    </row>
    <row r="2" spans="1:11" ht="36.75" customHeight="1" x14ac:dyDescent="0.25">
      <c r="A2" s="690" t="s">
        <v>1220</v>
      </c>
      <c r="B2" s="768"/>
      <c r="C2" s="769" t="s">
        <v>989</v>
      </c>
      <c r="D2" s="769"/>
      <c r="E2" s="769"/>
      <c r="F2" s="770"/>
      <c r="G2" s="248"/>
    </row>
    <row r="3" spans="1:11" ht="33" customHeight="1" x14ac:dyDescent="0.25">
      <c r="A3" s="766" t="s">
        <v>205</v>
      </c>
      <c r="B3" s="764" t="s">
        <v>327</v>
      </c>
      <c r="C3" s="760">
        <v>2014</v>
      </c>
      <c r="D3" s="761"/>
      <c r="E3" s="762">
        <v>2015</v>
      </c>
      <c r="F3" s="763"/>
      <c r="G3" s="248"/>
    </row>
    <row r="4" spans="1:11" ht="69" customHeight="1" x14ac:dyDescent="0.25">
      <c r="A4" s="767"/>
      <c r="B4" s="765"/>
      <c r="C4" s="249" t="s">
        <v>863</v>
      </c>
      <c r="D4" s="249" t="s">
        <v>189</v>
      </c>
      <c r="E4" s="249" t="s">
        <v>863</v>
      </c>
      <c r="F4" s="6" t="s">
        <v>269</v>
      </c>
      <c r="G4" s="248"/>
    </row>
    <row r="5" spans="1:11" x14ac:dyDescent="0.25">
      <c r="A5" s="545"/>
      <c r="B5" s="252"/>
      <c r="C5" s="16" t="s">
        <v>283</v>
      </c>
      <c r="D5" s="16" t="s">
        <v>284</v>
      </c>
      <c r="E5" s="16" t="s">
        <v>285</v>
      </c>
      <c r="F5" s="17" t="s">
        <v>292</v>
      </c>
      <c r="G5" s="248"/>
    </row>
    <row r="6" spans="1:11" ht="38.25" customHeight="1" x14ac:dyDescent="0.25">
      <c r="A6" s="32">
        <v>1</v>
      </c>
      <c r="B6" s="18" t="s">
        <v>69</v>
      </c>
      <c r="C6" s="229">
        <v>1417320</v>
      </c>
      <c r="D6" s="200" t="s">
        <v>312</v>
      </c>
      <c r="E6" s="229">
        <v>1267125</v>
      </c>
      <c r="F6" s="253" t="s">
        <v>312</v>
      </c>
      <c r="G6" s="748"/>
      <c r="H6" s="749"/>
      <c r="I6" s="749"/>
      <c r="J6" s="749"/>
      <c r="K6" s="749"/>
    </row>
    <row r="7" spans="1:11" ht="38.25" customHeight="1" x14ac:dyDescent="0.25">
      <c r="A7" s="32">
        <f>A6+1</f>
        <v>2</v>
      </c>
      <c r="B7" s="18" t="s">
        <v>338</v>
      </c>
      <c r="C7" s="200" t="s">
        <v>312</v>
      </c>
      <c r="D7" s="145">
        <v>8388</v>
      </c>
      <c r="E7" s="200" t="s">
        <v>312</v>
      </c>
      <c r="F7" s="244">
        <v>6047</v>
      </c>
      <c r="G7" s="248"/>
    </row>
    <row r="8" spans="1:11" ht="38.25" customHeight="1" x14ac:dyDescent="0.25">
      <c r="A8" s="32">
        <f>A7+1</f>
        <v>3</v>
      </c>
      <c r="B8" s="18" t="s">
        <v>1321</v>
      </c>
      <c r="C8" s="200" t="s">
        <v>312</v>
      </c>
      <c r="D8" s="145">
        <v>1099</v>
      </c>
      <c r="E8" s="200" t="s">
        <v>312</v>
      </c>
      <c r="F8" s="244">
        <v>864</v>
      </c>
      <c r="G8" s="248"/>
    </row>
    <row r="9" spans="1:11" ht="35.25" customHeight="1" x14ac:dyDescent="0.25">
      <c r="A9" s="32">
        <f>A8+1</f>
        <v>4</v>
      </c>
      <c r="B9" s="18" t="s">
        <v>812</v>
      </c>
      <c r="C9" s="229">
        <v>516667.81</v>
      </c>
      <c r="D9" s="200" t="s">
        <v>312</v>
      </c>
      <c r="E9" s="254">
        <f>+C11</f>
        <v>231811.81000000006</v>
      </c>
      <c r="F9" s="253" t="s">
        <v>312</v>
      </c>
      <c r="G9" s="248"/>
    </row>
    <row r="10" spans="1:11" ht="37.5" customHeight="1" x14ac:dyDescent="0.25">
      <c r="A10" s="32">
        <f>A9+1</f>
        <v>5</v>
      </c>
      <c r="B10" s="18" t="s">
        <v>889</v>
      </c>
      <c r="C10" s="229">
        <v>1132464</v>
      </c>
      <c r="D10" s="200" t="s">
        <v>312</v>
      </c>
      <c r="E10" s="254">
        <v>1225530</v>
      </c>
      <c r="F10" s="253" t="s">
        <v>312</v>
      </c>
      <c r="G10" s="248"/>
    </row>
    <row r="11" spans="1:11" ht="33" customHeight="1" x14ac:dyDescent="0.25">
      <c r="A11" s="32">
        <v>6</v>
      </c>
      <c r="B11" s="18" t="s">
        <v>244</v>
      </c>
      <c r="C11" s="229">
        <f>+C9+C10-C6</f>
        <v>231811.81000000006</v>
      </c>
      <c r="D11" s="200" t="s">
        <v>312</v>
      </c>
      <c r="E11" s="254">
        <f>+E9+E10-E6</f>
        <v>190216.81000000006</v>
      </c>
      <c r="F11" s="253" t="s">
        <v>312</v>
      </c>
      <c r="G11" s="248"/>
    </row>
    <row r="12" spans="1:11" ht="36" customHeight="1" thickBot="1" x14ac:dyDescent="0.3">
      <c r="A12" s="288">
        <v>7</v>
      </c>
      <c r="B12" s="26" t="s">
        <v>245</v>
      </c>
      <c r="C12" s="233">
        <f>IF(C6=0,0,C6/D7)</f>
        <v>168.96995708154506</v>
      </c>
      <c r="D12" s="255" t="s">
        <v>312</v>
      </c>
      <c r="E12" s="233">
        <f>IF(E6=0,0,E6/F7)</f>
        <v>209.54605589548535</v>
      </c>
      <c r="F12" s="256" t="s">
        <v>312</v>
      </c>
      <c r="G12" s="248"/>
    </row>
    <row r="13" spans="1:11" x14ac:dyDescent="0.25">
      <c r="B13" s="546"/>
      <c r="G13" s="248"/>
    </row>
    <row r="14" spans="1:11" x14ac:dyDescent="0.25">
      <c r="A14" s="751" t="s">
        <v>76</v>
      </c>
      <c r="B14" s="752"/>
      <c r="C14" s="752"/>
      <c r="D14" s="752"/>
      <c r="E14" s="752"/>
      <c r="F14" s="753"/>
      <c r="G14" s="248"/>
    </row>
    <row r="15" spans="1:11" x14ac:dyDescent="0.25">
      <c r="A15" s="754" t="s">
        <v>375</v>
      </c>
      <c r="B15" s="755"/>
      <c r="C15" s="755"/>
      <c r="D15" s="755"/>
      <c r="E15" s="755"/>
      <c r="F15" s="756"/>
      <c r="G15" s="248"/>
    </row>
    <row r="17" spans="1:6" ht="31.5" customHeight="1" x14ac:dyDescent="0.25">
      <c r="A17" s="750" t="s">
        <v>1276</v>
      </c>
      <c r="B17" s="750"/>
      <c r="C17" s="750"/>
      <c r="D17" s="750"/>
      <c r="E17" s="750"/>
      <c r="F17" s="750"/>
    </row>
  </sheetData>
  <mergeCells count="11">
    <mergeCell ref="G6:K6"/>
    <mergeCell ref="A17:F17"/>
    <mergeCell ref="A14:F14"/>
    <mergeCell ref="A15:F15"/>
    <mergeCell ref="A1:F1"/>
    <mergeCell ref="C3:D3"/>
    <mergeCell ref="E3:F3"/>
    <mergeCell ref="B3:B4"/>
    <mergeCell ref="A3:A4"/>
    <mergeCell ref="A2:B2"/>
    <mergeCell ref="C2:F2"/>
  </mergeCells>
  <phoneticPr fontId="0" type="noConversion"/>
  <pageMargins left="0.5" right="0.39" top="0.98425196850393704" bottom="0.98425196850393704" header="0.51181102362204722" footer="0.51181102362204722"/>
  <pageSetup paperSize="9" scale="8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tabColor indexed="42"/>
    <pageSetUpPr fitToPage="1"/>
  </sheetPr>
  <dimension ref="A1:H24"/>
  <sheetViews>
    <sheetView workbookViewId="0">
      <pane xSplit="2" ySplit="5" topLeftCell="C6" activePane="bottomRight" state="frozen"/>
      <selection pane="topRight" activeCell="C1" sqref="C1"/>
      <selection pane="bottomLeft" activeCell="A6" sqref="A6"/>
      <selection pane="bottomRight" activeCell="I13" sqref="I13"/>
    </sheetView>
  </sheetViews>
  <sheetFormatPr defaultColWidth="9.109375" defaultRowHeight="13.2" x14ac:dyDescent="0.25"/>
  <cols>
    <col min="1" max="1" width="8.33203125" style="258" customWidth="1"/>
    <col min="2" max="2" width="77.6640625" style="258" customWidth="1"/>
    <col min="3" max="6" width="14.6640625" style="258" customWidth="1"/>
    <col min="7" max="16384" width="9.109375" style="258"/>
  </cols>
  <sheetData>
    <row r="1" spans="1:8" ht="50.1" customHeight="1" x14ac:dyDescent="0.25">
      <c r="A1" s="774" t="s">
        <v>1133</v>
      </c>
      <c r="B1" s="775"/>
      <c r="C1" s="775"/>
      <c r="D1" s="775"/>
      <c r="E1" s="775"/>
      <c r="F1" s="776"/>
      <c r="H1" s="259"/>
    </row>
    <row r="2" spans="1:8" ht="33" customHeight="1" x14ac:dyDescent="0.25">
      <c r="A2" s="674" t="s">
        <v>1223</v>
      </c>
      <c r="B2" s="675"/>
      <c r="C2" s="675"/>
      <c r="D2" s="675"/>
      <c r="E2" s="675"/>
      <c r="F2" s="779"/>
    </row>
    <row r="3" spans="1:8" ht="18.75" customHeight="1" x14ac:dyDescent="0.25">
      <c r="A3" s="679" t="s">
        <v>205</v>
      </c>
      <c r="B3" s="712" t="s">
        <v>327</v>
      </c>
      <c r="C3" s="707" t="s">
        <v>929</v>
      </c>
      <c r="D3" s="707"/>
      <c r="E3" s="707" t="s">
        <v>351</v>
      </c>
      <c r="F3" s="778"/>
    </row>
    <row r="4" spans="1:8" ht="18.75" customHeight="1" x14ac:dyDescent="0.25">
      <c r="A4" s="777"/>
      <c r="B4" s="712"/>
      <c r="C4" s="5">
        <v>2014</v>
      </c>
      <c r="D4" s="5">
        <v>2015</v>
      </c>
      <c r="E4" s="126">
        <v>2014</v>
      </c>
      <c r="F4" s="127">
        <v>2015</v>
      </c>
    </row>
    <row r="5" spans="1:8" ht="15.6" x14ac:dyDescent="0.25">
      <c r="A5" s="7"/>
      <c r="B5" s="64"/>
      <c r="C5" s="1" t="s">
        <v>283</v>
      </c>
      <c r="D5" s="1" t="s">
        <v>284</v>
      </c>
      <c r="E5" s="1" t="s">
        <v>285</v>
      </c>
      <c r="F5" s="17" t="s">
        <v>292</v>
      </c>
    </row>
    <row r="6" spans="1:8" ht="31.2" x14ac:dyDescent="0.25">
      <c r="A6" s="7">
        <v>1</v>
      </c>
      <c r="B6" s="11" t="s">
        <v>821</v>
      </c>
      <c r="C6" s="113" t="s">
        <v>312</v>
      </c>
      <c r="D6" s="113" t="s">
        <v>312</v>
      </c>
      <c r="E6" s="148">
        <v>1951</v>
      </c>
      <c r="F6" s="260">
        <v>1951</v>
      </c>
      <c r="G6" s="261"/>
    </row>
    <row r="7" spans="1:8" ht="36" x14ac:dyDescent="0.25">
      <c r="A7" s="7">
        <f>A6+1</f>
        <v>2</v>
      </c>
      <c r="B7" s="11" t="s">
        <v>339</v>
      </c>
      <c r="C7" s="113" t="s">
        <v>312</v>
      </c>
      <c r="D7" s="113" t="s">
        <v>312</v>
      </c>
      <c r="E7" s="148">
        <v>19470</v>
      </c>
      <c r="F7" s="260">
        <v>19232</v>
      </c>
    </row>
    <row r="8" spans="1:8" ht="15.6" x14ac:dyDescent="0.25">
      <c r="A8" s="7">
        <v>3</v>
      </c>
      <c r="B8" s="15" t="s">
        <v>266</v>
      </c>
      <c r="C8" s="113" t="s">
        <v>312</v>
      </c>
      <c r="D8" s="113" t="s">
        <v>312</v>
      </c>
      <c r="E8" s="145">
        <f>E7/12</f>
        <v>1622.5</v>
      </c>
      <c r="F8" s="244">
        <f>F7/12</f>
        <v>1602.6666666666667</v>
      </c>
    </row>
    <row r="9" spans="1:8" ht="31.2" x14ac:dyDescent="0.25">
      <c r="A9" s="7">
        <f t="shared" ref="A9:A18" si="0">A8+1</f>
        <v>4</v>
      </c>
      <c r="B9" s="11" t="s">
        <v>354</v>
      </c>
      <c r="C9" s="119">
        <v>724945.44</v>
      </c>
      <c r="D9" s="204">
        <v>778585.91</v>
      </c>
      <c r="E9" s="113" t="s">
        <v>312</v>
      </c>
      <c r="F9" s="262" t="s">
        <v>312</v>
      </c>
    </row>
    <row r="10" spans="1:8" ht="31.2" x14ac:dyDescent="0.25">
      <c r="A10" s="7">
        <f t="shared" si="0"/>
        <v>5</v>
      </c>
      <c r="B10" s="11" t="s">
        <v>368</v>
      </c>
      <c r="C10" s="119">
        <v>46100</v>
      </c>
      <c r="D10" s="119">
        <v>49985</v>
      </c>
      <c r="E10" s="119">
        <v>570</v>
      </c>
      <c r="F10" s="263">
        <v>871</v>
      </c>
    </row>
    <row r="11" spans="1:8" ht="31.2" x14ac:dyDescent="0.25">
      <c r="A11" s="7">
        <f t="shared" si="0"/>
        <v>6</v>
      </c>
      <c r="B11" s="11" t="s">
        <v>275</v>
      </c>
      <c r="C11" s="148">
        <v>706376</v>
      </c>
      <c r="D11" s="148">
        <v>706408</v>
      </c>
      <c r="E11" s="113" t="s">
        <v>312</v>
      </c>
      <c r="F11" s="262" t="s">
        <v>312</v>
      </c>
      <c r="G11" s="261"/>
    </row>
    <row r="12" spans="1:8" ht="15.6" x14ac:dyDescent="0.25">
      <c r="A12" s="7">
        <f t="shared" si="0"/>
        <v>7</v>
      </c>
      <c r="B12" s="11" t="s">
        <v>352</v>
      </c>
      <c r="C12" s="119">
        <v>9452.68</v>
      </c>
      <c r="D12" s="119">
        <f>94.83+18248.85</f>
        <v>18343.68</v>
      </c>
      <c r="E12" s="113" t="s">
        <v>312</v>
      </c>
      <c r="F12" s="262" t="s">
        <v>312</v>
      </c>
    </row>
    <row r="13" spans="1:8" ht="15.6" x14ac:dyDescent="0.25">
      <c r="A13" s="7">
        <f t="shared" si="0"/>
        <v>8</v>
      </c>
      <c r="B13" s="11" t="s">
        <v>369</v>
      </c>
      <c r="C13" s="145">
        <f>SUM(C9:C12)</f>
        <v>1486874.1199999999</v>
      </c>
      <c r="D13" s="145">
        <f>SUM(D9:D12)</f>
        <v>1553322.59</v>
      </c>
      <c r="E13" s="113" t="s">
        <v>312</v>
      </c>
      <c r="F13" s="262" t="s">
        <v>312</v>
      </c>
    </row>
    <row r="14" spans="1:8" ht="15.6" x14ac:dyDescent="0.25">
      <c r="A14" s="7">
        <f t="shared" si="0"/>
        <v>9</v>
      </c>
      <c r="B14" s="11" t="s">
        <v>370</v>
      </c>
      <c r="C14" s="145">
        <f>C15+C16</f>
        <v>1354045.49</v>
      </c>
      <c r="D14" s="145">
        <f>D15+D16</f>
        <v>1234437.6600000001</v>
      </c>
      <c r="E14" s="113" t="s">
        <v>312</v>
      </c>
      <c r="F14" s="262" t="s">
        <v>312</v>
      </c>
    </row>
    <row r="15" spans="1:8" ht="15.6" x14ac:dyDescent="0.25">
      <c r="A15" s="7">
        <f t="shared" si="0"/>
        <v>10</v>
      </c>
      <c r="B15" s="10" t="s">
        <v>57</v>
      </c>
      <c r="C15" s="119">
        <v>487588.39</v>
      </c>
      <c r="D15" s="119">
        <v>502000</v>
      </c>
      <c r="E15" s="113" t="s">
        <v>312</v>
      </c>
      <c r="F15" s="262" t="s">
        <v>312</v>
      </c>
    </row>
    <row r="16" spans="1:8" ht="15.6" x14ac:dyDescent="0.25">
      <c r="A16" s="7">
        <f t="shared" si="0"/>
        <v>11</v>
      </c>
      <c r="B16" s="10" t="s">
        <v>58</v>
      </c>
      <c r="C16" s="119">
        <v>866457.1</v>
      </c>
      <c r="D16" s="119">
        <v>732437.66</v>
      </c>
      <c r="E16" s="113" t="s">
        <v>312</v>
      </c>
      <c r="F16" s="262" t="s">
        <v>312</v>
      </c>
    </row>
    <row r="17" spans="1:6" ht="31.2" x14ac:dyDescent="0.25">
      <c r="A17" s="7">
        <f t="shared" si="0"/>
        <v>12</v>
      </c>
      <c r="B17" s="11" t="s">
        <v>371</v>
      </c>
      <c r="C17" s="145">
        <f>+C13-C14</f>
        <v>132828.62999999989</v>
      </c>
      <c r="D17" s="145">
        <f>+D13-D14</f>
        <v>318884.92999999993</v>
      </c>
      <c r="E17" s="113" t="s">
        <v>312</v>
      </c>
      <c r="F17" s="262" t="s">
        <v>312</v>
      </c>
    </row>
    <row r="18" spans="1:6" ht="16.2" thickBot="1" x14ac:dyDescent="0.3">
      <c r="A18" s="66">
        <f t="shared" si="0"/>
        <v>13</v>
      </c>
      <c r="B18" s="21" t="s">
        <v>372</v>
      </c>
      <c r="C18" s="112">
        <f>IF(E8=0,0,C14/E8)</f>
        <v>834.54267488443759</v>
      </c>
      <c r="D18" s="112">
        <f>IF(F8=0,0,D14/F8)</f>
        <v>770.23980449251258</v>
      </c>
      <c r="E18" s="121" t="s">
        <v>312</v>
      </c>
      <c r="F18" s="264" t="s">
        <v>312</v>
      </c>
    </row>
    <row r="20" spans="1:6" ht="13.8" x14ac:dyDescent="0.25">
      <c r="A20" s="751" t="s">
        <v>353</v>
      </c>
      <c r="B20" s="752"/>
      <c r="C20" s="752"/>
      <c r="D20" s="752"/>
      <c r="E20" s="752"/>
      <c r="F20" s="753"/>
    </row>
    <row r="21" spans="1:6" ht="35.25" customHeight="1" x14ac:dyDescent="0.25">
      <c r="A21" s="771" t="s">
        <v>77</v>
      </c>
      <c r="B21" s="772"/>
      <c r="C21" s="772"/>
      <c r="D21" s="772"/>
      <c r="E21" s="772"/>
      <c r="F21" s="773"/>
    </row>
    <row r="24" spans="1:6" x14ac:dyDescent="0.25">
      <c r="F24" s="261"/>
    </row>
  </sheetData>
  <mergeCells count="8">
    <mergeCell ref="A21:F21"/>
    <mergeCell ref="A1:F1"/>
    <mergeCell ref="A3:A4"/>
    <mergeCell ref="B3:B4"/>
    <mergeCell ref="C3:D3"/>
    <mergeCell ref="E3:F3"/>
    <mergeCell ref="A2:F2"/>
    <mergeCell ref="A20:F20"/>
  </mergeCells>
  <phoneticPr fontId="5" type="noConversion"/>
  <pageMargins left="0.66" right="0.45" top="0.98425196850393704" bottom="0.77"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E29"/>
  <sheetViews>
    <sheetView workbookViewId="0">
      <pane xSplit="2" ySplit="4" topLeftCell="C5" activePane="bottomRight" state="frozen"/>
      <selection pane="topRight" activeCell="C1" sqref="C1"/>
      <selection pane="bottomLeft" activeCell="A5" sqref="A5"/>
      <selection pane="bottomRight" activeCell="E17" sqref="E17"/>
    </sheetView>
  </sheetViews>
  <sheetFormatPr defaultColWidth="9.109375" defaultRowHeight="15.6" x14ac:dyDescent="0.3"/>
  <cols>
    <col min="1" max="1" width="8.109375" style="71" customWidth="1"/>
    <col min="2" max="2" width="94" style="283" customWidth="1"/>
    <col min="3" max="3" width="18.6640625" style="71" customWidth="1"/>
    <col min="4" max="4" width="18.5546875" style="71" customWidth="1"/>
    <col min="5" max="5" width="11.44140625" style="70" customWidth="1"/>
    <col min="6" max="16384" width="9.109375" style="71"/>
  </cols>
  <sheetData>
    <row r="1" spans="1:5" ht="50.1" customHeight="1" thickBot="1" x14ac:dyDescent="0.35">
      <c r="A1" s="783" t="s">
        <v>1134</v>
      </c>
      <c r="B1" s="784"/>
      <c r="C1" s="784"/>
      <c r="D1" s="785"/>
      <c r="E1" s="265"/>
    </row>
    <row r="2" spans="1:5" ht="29.25" customHeight="1" x14ac:dyDescent="0.3">
      <c r="A2" s="786" t="s">
        <v>1224</v>
      </c>
      <c r="B2" s="787"/>
      <c r="C2" s="787"/>
      <c r="D2" s="788"/>
    </row>
    <row r="3" spans="1:5" ht="33" customHeight="1" x14ac:dyDescent="0.3">
      <c r="A3" s="266" t="s">
        <v>205</v>
      </c>
      <c r="B3" s="267" t="s">
        <v>327</v>
      </c>
      <c r="C3" s="268">
        <v>2014</v>
      </c>
      <c r="D3" s="269">
        <v>2015</v>
      </c>
    </row>
    <row r="4" spans="1:5" x14ac:dyDescent="0.3">
      <c r="A4" s="270"/>
      <c r="B4" s="271"/>
      <c r="C4" s="69" t="s">
        <v>283</v>
      </c>
      <c r="D4" s="77" t="s">
        <v>284</v>
      </c>
    </row>
    <row r="5" spans="1:5" ht="18.600000000000001" x14ac:dyDescent="0.3">
      <c r="A5" s="81">
        <v>1</v>
      </c>
      <c r="B5" s="272" t="s">
        <v>276</v>
      </c>
      <c r="C5" s="273">
        <f>+C6+C9</f>
        <v>265841.17000000004</v>
      </c>
      <c r="D5" s="274">
        <f>D6+D9</f>
        <v>342082.5</v>
      </c>
    </row>
    <row r="6" spans="1:5" ht="18.75" customHeight="1" x14ac:dyDescent="0.3">
      <c r="A6" s="81">
        <f t="shared" ref="A6:A13" si="0">A5+1</f>
        <v>2</v>
      </c>
      <c r="B6" s="272" t="s">
        <v>358</v>
      </c>
      <c r="C6" s="273">
        <f>+C7+C8</f>
        <v>162428.17000000001</v>
      </c>
      <c r="D6" s="274">
        <f>+D7+D8</f>
        <v>207190.5</v>
      </c>
    </row>
    <row r="7" spans="1:5" x14ac:dyDescent="0.3">
      <c r="A7" s="81">
        <f t="shared" si="0"/>
        <v>3</v>
      </c>
      <c r="B7" s="78" t="s">
        <v>356</v>
      </c>
      <c r="C7" s="114">
        <v>162428.17000000001</v>
      </c>
      <c r="D7" s="115">
        <v>207190.5</v>
      </c>
    </row>
    <row r="8" spans="1:5" x14ac:dyDescent="0.3">
      <c r="A8" s="81">
        <f t="shared" si="0"/>
        <v>4</v>
      </c>
      <c r="B8" s="78" t="s">
        <v>357</v>
      </c>
      <c r="C8" s="114"/>
      <c r="D8" s="115"/>
    </row>
    <row r="9" spans="1:5" x14ac:dyDescent="0.3">
      <c r="A9" s="81">
        <f t="shared" si="0"/>
        <v>5</v>
      </c>
      <c r="B9" s="272" t="s">
        <v>246</v>
      </c>
      <c r="C9" s="114">
        <f>+C10+C11-C12</f>
        <v>103413</v>
      </c>
      <c r="D9" s="115">
        <f>+D10+D11-D12</f>
        <v>134892</v>
      </c>
    </row>
    <row r="10" spans="1:5" ht="19.5" customHeight="1" x14ac:dyDescent="0.3">
      <c r="A10" s="81">
        <f t="shared" si="0"/>
        <v>6</v>
      </c>
      <c r="B10" s="78" t="s">
        <v>190</v>
      </c>
      <c r="C10" s="114">
        <v>62233.21</v>
      </c>
      <c r="D10" s="115">
        <f>+C12</f>
        <v>34979.209999999992</v>
      </c>
    </row>
    <row r="11" spans="1:5" x14ac:dyDescent="0.3">
      <c r="A11" s="81">
        <f t="shared" si="0"/>
        <v>7</v>
      </c>
      <c r="B11" s="78" t="s">
        <v>217</v>
      </c>
      <c r="C11" s="114">
        <v>76159</v>
      </c>
      <c r="D11" s="115">
        <v>100280</v>
      </c>
    </row>
    <row r="12" spans="1:5" x14ac:dyDescent="0.3">
      <c r="A12" s="81">
        <f t="shared" si="0"/>
        <v>8</v>
      </c>
      <c r="B12" s="78" t="s">
        <v>871</v>
      </c>
      <c r="C12" s="114">
        <f>C10+C11-C20</f>
        <v>34979.209999999992</v>
      </c>
      <c r="D12" s="115">
        <f>D10+D11-D20</f>
        <v>367.20999999999185</v>
      </c>
    </row>
    <row r="13" spans="1:5" ht="30" customHeight="1" x14ac:dyDescent="0.3">
      <c r="A13" s="81">
        <f t="shared" si="0"/>
        <v>9</v>
      </c>
      <c r="B13" s="272" t="s">
        <v>872</v>
      </c>
      <c r="C13" s="273">
        <f>C15</f>
        <v>316160.76</v>
      </c>
      <c r="D13" s="274">
        <f>D15</f>
        <v>385006.13</v>
      </c>
    </row>
    <row r="14" spans="1:5" x14ac:dyDescent="0.3">
      <c r="A14" s="81"/>
      <c r="B14" s="275" t="s">
        <v>300</v>
      </c>
      <c r="C14" s="114"/>
      <c r="D14" s="115"/>
    </row>
    <row r="15" spans="1:5" ht="18.600000000000001" x14ac:dyDescent="0.3">
      <c r="A15" s="81">
        <f>A13+1</f>
        <v>10</v>
      </c>
      <c r="B15" s="78" t="s">
        <v>359</v>
      </c>
      <c r="C15" s="114">
        <v>316160.76</v>
      </c>
      <c r="D15" s="115">
        <v>385006.13</v>
      </c>
    </row>
    <row r="16" spans="1:5" ht="30.75" customHeight="1" x14ac:dyDescent="0.3">
      <c r="A16" s="81">
        <f t="shared" ref="A16:A21" si="1">+A15+1</f>
        <v>11</v>
      </c>
      <c r="B16" s="272" t="s">
        <v>873</v>
      </c>
      <c r="C16" s="273">
        <f>C5-C13</f>
        <v>-50319.589999999967</v>
      </c>
      <c r="D16" s="274">
        <f>D5-D13</f>
        <v>-42923.630000000005</v>
      </c>
    </row>
    <row r="17" spans="1:5" ht="18" x14ac:dyDescent="0.3">
      <c r="A17" s="81">
        <f t="shared" si="1"/>
        <v>12</v>
      </c>
      <c r="B17" s="272" t="s">
        <v>874</v>
      </c>
      <c r="C17" s="273">
        <f>C18+C19</f>
        <v>103413</v>
      </c>
      <c r="D17" s="274">
        <f>D18+D19</f>
        <v>134892</v>
      </c>
    </row>
    <row r="18" spans="1:5" x14ac:dyDescent="0.3">
      <c r="A18" s="81">
        <f t="shared" si="1"/>
        <v>13</v>
      </c>
      <c r="B18" s="275" t="s">
        <v>1163</v>
      </c>
      <c r="C18" s="273">
        <v>103413</v>
      </c>
      <c r="D18" s="276">
        <v>134892</v>
      </c>
    </row>
    <row r="19" spans="1:5" ht="18.600000000000001" x14ac:dyDescent="0.3">
      <c r="A19" s="81">
        <f>+A18+1</f>
        <v>14</v>
      </c>
      <c r="B19" s="275" t="s">
        <v>875</v>
      </c>
      <c r="C19" s="273"/>
      <c r="D19" s="276"/>
    </row>
    <row r="20" spans="1:5" x14ac:dyDescent="0.3">
      <c r="A20" s="81">
        <f>+A19+1</f>
        <v>15</v>
      </c>
      <c r="B20" s="272" t="s">
        <v>885</v>
      </c>
      <c r="C20" s="273">
        <f>(C18*1+C19*1)</f>
        <v>103413</v>
      </c>
      <c r="D20" s="274">
        <f>(D18*1+D19*1)</f>
        <v>134892</v>
      </c>
    </row>
    <row r="21" spans="1:5" ht="16.2" thickBot="1" x14ac:dyDescent="0.35">
      <c r="A21" s="82">
        <f t="shared" si="1"/>
        <v>16</v>
      </c>
      <c r="B21" s="277" t="s">
        <v>928</v>
      </c>
      <c r="C21" s="278">
        <f>IF(C18=0,0,C15/C18)</f>
        <v>3.057263206753503</v>
      </c>
      <c r="D21" s="279">
        <f>IF(D18=0,0,D15/D18)</f>
        <v>2.854180603742253</v>
      </c>
    </row>
    <row r="22" spans="1:5" x14ac:dyDescent="0.3">
      <c r="A22" s="72"/>
      <c r="B22" s="73"/>
      <c r="C22" s="74"/>
      <c r="D22" s="74"/>
    </row>
    <row r="23" spans="1:5" s="281" customFormat="1" x14ac:dyDescent="0.3">
      <c r="A23" s="789" t="s">
        <v>355</v>
      </c>
      <c r="B23" s="790"/>
      <c r="C23" s="790"/>
      <c r="D23" s="791"/>
      <c r="E23" s="280"/>
    </row>
    <row r="24" spans="1:5" s="281" customFormat="1" x14ac:dyDescent="0.3">
      <c r="A24" s="792" t="s">
        <v>803</v>
      </c>
      <c r="B24" s="793"/>
      <c r="C24" s="793"/>
      <c r="D24" s="794"/>
      <c r="E24" s="280"/>
    </row>
    <row r="25" spans="1:5" s="281" customFormat="1" x14ac:dyDescent="0.3">
      <c r="A25" s="792" t="s">
        <v>1162</v>
      </c>
      <c r="B25" s="793"/>
      <c r="C25" s="793"/>
      <c r="D25" s="794"/>
      <c r="E25" s="280"/>
    </row>
    <row r="26" spans="1:5" s="281" customFormat="1" x14ac:dyDescent="0.3">
      <c r="A26" s="780" t="s">
        <v>810</v>
      </c>
      <c r="B26" s="781"/>
      <c r="C26" s="781"/>
      <c r="D26" s="782"/>
      <c r="E26" s="280"/>
    </row>
    <row r="27" spans="1:5" s="281" customFormat="1" x14ac:dyDescent="0.3">
      <c r="B27" s="282"/>
      <c r="E27" s="280"/>
    </row>
    <row r="28" spans="1:5" s="281" customFormat="1" x14ac:dyDescent="0.3">
      <c r="B28" s="282"/>
      <c r="E28" s="280"/>
    </row>
    <row r="29" spans="1:5" s="281" customFormat="1" x14ac:dyDescent="0.3">
      <c r="B29" s="282"/>
      <c r="E29" s="280"/>
    </row>
  </sheetData>
  <mergeCells count="6">
    <mergeCell ref="A26:D26"/>
    <mergeCell ref="A1:D1"/>
    <mergeCell ref="A2:D2"/>
    <mergeCell ref="A23:D23"/>
    <mergeCell ref="A24:D24"/>
    <mergeCell ref="A25:D25"/>
  </mergeCells>
  <pageMargins left="0.74803149606299213" right="0.74803149606299213" top="0.59055118110236227" bottom="0.59055118110236227" header="0.51181102362204722" footer="0.51181102362204722"/>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5">
    <tabColor indexed="42"/>
    <pageSetUpPr fitToPage="1"/>
  </sheetPr>
  <dimension ref="A1:I23"/>
  <sheetViews>
    <sheetView workbookViewId="0">
      <pane xSplit="2" ySplit="5" topLeftCell="C6" activePane="bottomRight" state="frozen"/>
      <selection pane="topRight" activeCell="C1" sqref="C1"/>
      <selection pane="bottomLeft" activeCell="A6" sqref="A6"/>
      <selection pane="bottomRight" activeCell="B11" sqref="B11"/>
    </sheetView>
  </sheetViews>
  <sheetFormatPr defaultColWidth="9.109375" defaultRowHeight="15.6" x14ac:dyDescent="0.3"/>
  <cols>
    <col min="1" max="1" width="9.109375" style="62"/>
    <col min="2" max="2" width="88.6640625" style="290" customWidth="1"/>
    <col min="3" max="3" width="23.44140625" style="62" customWidth="1"/>
    <col min="4" max="4" width="24.44140625" style="62" customWidth="1"/>
    <col min="5" max="5" width="15.33203125" style="284" bestFit="1" customWidth="1"/>
    <col min="6" max="6" width="9.109375" style="284"/>
    <col min="7" max="16384" width="9.109375" style="62"/>
  </cols>
  <sheetData>
    <row r="1" spans="1:6" ht="50.1" customHeight="1" thickBot="1" x14ac:dyDescent="0.35">
      <c r="A1" s="644" t="s">
        <v>1170</v>
      </c>
      <c r="B1" s="795"/>
      <c r="C1" s="795"/>
      <c r="D1" s="796"/>
    </row>
    <row r="2" spans="1:6" ht="27.75" customHeight="1" x14ac:dyDescent="0.3">
      <c r="A2" s="647" t="s">
        <v>1224</v>
      </c>
      <c r="B2" s="648"/>
      <c r="C2" s="648"/>
      <c r="D2" s="649"/>
    </row>
    <row r="3" spans="1:6" ht="18.75" customHeight="1" x14ac:dyDescent="0.3">
      <c r="A3" s="678" t="s">
        <v>205</v>
      </c>
      <c r="B3" s="712" t="s">
        <v>327</v>
      </c>
      <c r="C3" s="718" t="s">
        <v>303</v>
      </c>
      <c r="D3" s="797"/>
    </row>
    <row r="4" spans="1:6" s="63" customFormat="1" ht="19.5" customHeight="1" x14ac:dyDescent="0.25">
      <c r="A4" s="678"/>
      <c r="B4" s="712"/>
      <c r="C4" s="126">
        <v>2014</v>
      </c>
      <c r="D4" s="127">
        <v>2015</v>
      </c>
      <c r="E4" s="285"/>
      <c r="F4" s="285"/>
    </row>
    <row r="5" spans="1:6" s="63" customFormat="1" x14ac:dyDescent="0.25">
      <c r="A5" s="7"/>
      <c r="B5" s="286"/>
      <c r="C5" s="126" t="s">
        <v>283</v>
      </c>
      <c r="D5" s="127" t="s">
        <v>284</v>
      </c>
      <c r="E5" s="285"/>
      <c r="F5" s="285"/>
    </row>
    <row r="6" spans="1:6" s="63" customFormat="1" x14ac:dyDescent="0.25">
      <c r="A6" s="32">
        <v>1</v>
      </c>
      <c r="B6" s="97" t="s">
        <v>208</v>
      </c>
      <c r="C6" s="135">
        <v>5313612.32</v>
      </c>
      <c r="D6" s="287">
        <v>4398207.75</v>
      </c>
      <c r="E6" s="285"/>
      <c r="F6" s="285"/>
    </row>
    <row r="7" spans="1:6" s="63" customFormat="1" x14ac:dyDescent="0.25">
      <c r="A7" s="32">
        <f t="shared" ref="A7:A20" si="0">A6+1</f>
        <v>2</v>
      </c>
      <c r="B7" s="11" t="s">
        <v>163</v>
      </c>
      <c r="C7" s="135">
        <f>SUM(C8:C13)</f>
        <v>1315271.77</v>
      </c>
      <c r="D7" s="287">
        <f>SUM(D8:D13)</f>
        <v>1729460.5299999998</v>
      </c>
      <c r="E7" s="285"/>
      <c r="F7" s="285"/>
    </row>
    <row r="8" spans="1:6" s="63" customFormat="1" ht="18.600000000000001" x14ac:dyDescent="0.25">
      <c r="A8" s="32">
        <f t="shared" si="0"/>
        <v>3</v>
      </c>
      <c r="B8" s="96" t="s">
        <v>378</v>
      </c>
      <c r="C8" s="148"/>
      <c r="D8" s="260"/>
      <c r="E8" s="285"/>
      <c r="F8" s="285"/>
    </row>
    <row r="9" spans="1:6" s="63" customFormat="1" x14ac:dyDescent="0.25">
      <c r="A9" s="32">
        <f t="shared" si="0"/>
        <v>4</v>
      </c>
      <c r="B9" s="96" t="s">
        <v>381</v>
      </c>
      <c r="C9" s="148">
        <v>1220048.1000000001</v>
      </c>
      <c r="D9" s="260">
        <f>930274.58+29185.95</f>
        <v>959460.52999999991</v>
      </c>
      <c r="E9" s="285"/>
      <c r="F9" s="285"/>
    </row>
    <row r="10" spans="1:6" s="63" customFormat="1" x14ac:dyDescent="0.25">
      <c r="A10" s="32">
        <f t="shared" si="0"/>
        <v>5</v>
      </c>
      <c r="B10" s="96" t="s">
        <v>382</v>
      </c>
      <c r="C10" s="148">
        <v>95223.67</v>
      </c>
      <c r="D10" s="260"/>
      <c r="E10" s="285"/>
      <c r="F10" s="285"/>
    </row>
    <row r="11" spans="1:6" s="63" customFormat="1" x14ac:dyDescent="0.25">
      <c r="A11" s="32">
        <f t="shared" si="0"/>
        <v>6</v>
      </c>
      <c r="B11" s="96" t="s">
        <v>379</v>
      </c>
      <c r="C11" s="148"/>
      <c r="D11" s="260">
        <v>770000</v>
      </c>
      <c r="E11" s="285"/>
      <c r="F11" s="285"/>
    </row>
    <row r="12" spans="1:6" s="63" customFormat="1" x14ac:dyDescent="0.25">
      <c r="A12" s="32">
        <f t="shared" si="0"/>
        <v>7</v>
      </c>
      <c r="B12" s="96" t="s">
        <v>380</v>
      </c>
      <c r="C12" s="148"/>
      <c r="D12" s="260"/>
      <c r="E12" s="285"/>
      <c r="F12" s="285"/>
    </row>
    <row r="13" spans="1:6" s="63" customFormat="1" ht="19.5" customHeight="1" x14ac:dyDescent="0.25">
      <c r="A13" s="32">
        <f t="shared" si="0"/>
        <v>8</v>
      </c>
      <c r="B13" s="96" t="s">
        <v>383</v>
      </c>
      <c r="C13" s="148"/>
      <c r="D13" s="260"/>
      <c r="E13" s="285"/>
      <c r="F13" s="285"/>
    </row>
    <row r="14" spans="1:6" s="63" customFormat="1" ht="21.75" customHeight="1" x14ac:dyDescent="0.25">
      <c r="A14" s="32">
        <f t="shared" si="0"/>
        <v>9</v>
      </c>
      <c r="B14" s="11" t="s">
        <v>54</v>
      </c>
      <c r="C14" s="135">
        <f>C6+C7</f>
        <v>6628884.0899999999</v>
      </c>
      <c r="D14" s="287">
        <f>D6+D7</f>
        <v>6127668.2799999993</v>
      </c>
      <c r="E14" s="285"/>
      <c r="F14" s="285"/>
    </row>
    <row r="15" spans="1:6" s="63" customFormat="1" ht="40.5" customHeight="1" x14ac:dyDescent="0.25">
      <c r="A15" s="32">
        <f t="shared" si="0"/>
        <v>10</v>
      </c>
      <c r="B15" s="11" t="s">
        <v>258</v>
      </c>
      <c r="C15" s="135">
        <v>2132700</v>
      </c>
      <c r="D15" s="287">
        <v>204910</v>
      </c>
      <c r="E15" s="285"/>
      <c r="F15" s="285"/>
    </row>
    <row r="16" spans="1:6" s="63" customFormat="1" ht="31.2" x14ac:dyDescent="0.25">
      <c r="A16" s="32" t="s">
        <v>828</v>
      </c>
      <c r="B16" s="11" t="s">
        <v>942</v>
      </c>
      <c r="C16" s="135">
        <v>4290002.4000000004</v>
      </c>
      <c r="D16" s="287">
        <v>24750382.629999999</v>
      </c>
      <c r="E16" s="285"/>
      <c r="F16" s="285"/>
    </row>
    <row r="17" spans="1:9" s="63" customFormat="1" ht="28.5" customHeight="1" x14ac:dyDescent="0.25">
      <c r="A17" s="32">
        <f>A15+1</f>
        <v>11</v>
      </c>
      <c r="B17" s="11" t="s">
        <v>943</v>
      </c>
      <c r="C17" s="135">
        <v>3133044.59</v>
      </c>
      <c r="D17" s="287">
        <v>1921133.52</v>
      </c>
      <c r="E17" s="285"/>
      <c r="F17" s="285"/>
    </row>
    <row r="18" spans="1:9" s="63" customFormat="1" ht="23.25" customHeight="1" x14ac:dyDescent="0.25">
      <c r="A18" s="32">
        <f t="shared" si="0"/>
        <v>12</v>
      </c>
      <c r="B18" s="11" t="s">
        <v>257</v>
      </c>
      <c r="C18" s="135"/>
      <c r="D18" s="287"/>
      <c r="E18" s="285"/>
      <c r="F18" s="285"/>
    </row>
    <row r="19" spans="1:9" s="63" customFormat="1" ht="33" customHeight="1" x14ac:dyDescent="0.25">
      <c r="A19" s="32">
        <f t="shared" si="0"/>
        <v>13</v>
      </c>
      <c r="B19" s="11" t="s">
        <v>944</v>
      </c>
      <c r="C19" s="135">
        <v>1775830.66</v>
      </c>
      <c r="D19" s="287">
        <f>143408.03+2436979.32+116540.03+298670.72</f>
        <v>2995598.0999999996</v>
      </c>
      <c r="E19" s="285"/>
      <c r="F19" s="285"/>
    </row>
    <row r="20" spans="1:9" s="63" customFormat="1" ht="21" customHeight="1" thickBot="1" x14ac:dyDescent="0.3">
      <c r="A20" s="288">
        <f t="shared" si="0"/>
        <v>14</v>
      </c>
      <c r="B20" s="12" t="s">
        <v>79</v>
      </c>
      <c r="C20" s="150">
        <f>SUM(C14:C19)</f>
        <v>17960461.739999998</v>
      </c>
      <c r="D20" s="289">
        <f>SUM(D14:D19)</f>
        <v>35999692.529999994</v>
      </c>
      <c r="E20" s="285"/>
      <c r="F20" s="285"/>
    </row>
    <row r="21" spans="1:9" ht="9" customHeight="1" x14ac:dyDescent="0.3"/>
    <row r="22" spans="1:9" ht="18" customHeight="1" x14ac:dyDescent="0.3">
      <c r="A22" s="751" t="s">
        <v>83</v>
      </c>
      <c r="B22" s="752"/>
      <c r="C22" s="752"/>
      <c r="D22" s="753"/>
    </row>
    <row r="23" spans="1:9" x14ac:dyDescent="0.3">
      <c r="A23" s="771" t="s">
        <v>10</v>
      </c>
      <c r="B23" s="772"/>
      <c r="C23" s="772"/>
      <c r="D23" s="773"/>
      <c r="E23" s="285"/>
      <c r="F23" s="285"/>
      <c r="G23" s="68"/>
      <c r="H23" s="68"/>
      <c r="I23" s="68"/>
    </row>
  </sheetData>
  <mergeCells count="7">
    <mergeCell ref="A23:D23"/>
    <mergeCell ref="A22:D22"/>
    <mergeCell ref="A1:D1"/>
    <mergeCell ref="A3:A4"/>
    <mergeCell ref="B3:B4"/>
    <mergeCell ref="C3:D3"/>
    <mergeCell ref="A2:D2"/>
  </mergeCells>
  <phoneticPr fontId="0" type="noConversion"/>
  <printOptions gridLines="1"/>
  <pageMargins left="0.74803149606299213" right="0.74803149606299213" top="0.98425196850393704" bottom="0.98425196850393704" header="0.51181102362204722" footer="0.51181102362204722"/>
  <pageSetup paperSize="9" scale="9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
    <tabColor indexed="42"/>
    <pageSetUpPr fitToPage="1"/>
  </sheetPr>
  <dimension ref="A1:J82"/>
  <sheetViews>
    <sheetView zoomScaleNormal="100" workbookViewId="0">
      <pane xSplit="2" ySplit="5" topLeftCell="C18" activePane="bottomRight" state="frozen"/>
      <selection pane="topRight" activeCell="C1" sqref="C1"/>
      <selection pane="bottomLeft" activeCell="A6" sqref="A6"/>
      <selection pane="bottomRight" activeCell="D23" sqref="D23"/>
    </sheetView>
  </sheetViews>
  <sheetFormatPr defaultColWidth="9.109375" defaultRowHeight="15.6" x14ac:dyDescent="0.3"/>
  <cols>
    <col min="1" max="1" width="7.44140625" style="62" customWidth="1"/>
    <col min="2" max="2" width="51.5546875" style="290" customWidth="1"/>
    <col min="3" max="3" width="17" style="290" customWidth="1"/>
    <col min="4" max="4" width="18.109375" style="62" customWidth="1"/>
    <col min="5" max="5" width="18.5546875" style="62" customWidth="1"/>
    <col min="6" max="6" width="16.33203125" style="62" customWidth="1"/>
    <col min="7" max="7" width="15.33203125" style="62" customWidth="1"/>
    <col min="8" max="8" width="15.6640625" style="62" customWidth="1"/>
    <col min="9" max="9" width="20.109375" style="62" customWidth="1"/>
    <col min="10" max="10" width="9.88671875" style="62" customWidth="1"/>
    <col min="11" max="16384" width="9.109375" style="62"/>
  </cols>
  <sheetData>
    <row r="1" spans="1:10" ht="35.1" customHeight="1" thickBot="1" x14ac:dyDescent="0.35">
      <c r="A1" s="801" t="s">
        <v>1168</v>
      </c>
      <c r="B1" s="802"/>
      <c r="C1" s="802"/>
      <c r="D1" s="802"/>
      <c r="E1" s="802"/>
      <c r="F1" s="802"/>
      <c r="G1" s="802"/>
      <c r="H1" s="802"/>
      <c r="I1" s="803"/>
    </row>
    <row r="2" spans="1:10" ht="35.1" customHeight="1" x14ac:dyDescent="0.3">
      <c r="A2" s="804" t="s">
        <v>1224</v>
      </c>
      <c r="B2" s="805"/>
      <c r="C2" s="805"/>
      <c r="D2" s="805"/>
      <c r="E2" s="805"/>
      <c r="F2" s="805"/>
      <c r="G2" s="805"/>
      <c r="H2" s="805"/>
      <c r="I2" s="806"/>
    </row>
    <row r="3" spans="1:10" s="63" customFormat="1" ht="35.25" customHeight="1" x14ac:dyDescent="0.25">
      <c r="A3" s="807" t="s">
        <v>205</v>
      </c>
      <c r="B3" s="711" t="s">
        <v>327</v>
      </c>
      <c r="C3" s="711" t="s">
        <v>1140</v>
      </c>
      <c r="D3" s="711" t="s">
        <v>1319</v>
      </c>
      <c r="E3" s="711" t="s">
        <v>1141</v>
      </c>
      <c r="F3" s="711" t="s">
        <v>177</v>
      </c>
      <c r="G3" s="711" t="s">
        <v>224</v>
      </c>
      <c r="H3" s="711" t="s">
        <v>843</v>
      </c>
      <c r="I3" s="799" t="s">
        <v>225</v>
      </c>
    </row>
    <row r="4" spans="1:10" s="63" customFormat="1" ht="72" customHeight="1" x14ac:dyDescent="0.25">
      <c r="A4" s="678"/>
      <c r="B4" s="712"/>
      <c r="C4" s="712"/>
      <c r="D4" s="712"/>
      <c r="E4" s="712"/>
      <c r="F4" s="712"/>
      <c r="G4" s="712"/>
      <c r="H4" s="712"/>
      <c r="I4" s="800"/>
    </row>
    <row r="5" spans="1:10" s="63" customFormat="1" x14ac:dyDescent="0.25">
      <c r="A5" s="7"/>
      <c r="B5" s="536"/>
      <c r="C5" s="20" t="s">
        <v>283</v>
      </c>
      <c r="D5" s="20" t="s">
        <v>284</v>
      </c>
      <c r="E5" s="1" t="s">
        <v>285</v>
      </c>
      <c r="F5" s="1" t="s">
        <v>292</v>
      </c>
      <c r="G5" s="1" t="s">
        <v>286</v>
      </c>
      <c r="H5" s="1" t="s">
        <v>287</v>
      </c>
      <c r="I5" s="59" t="s">
        <v>829</v>
      </c>
    </row>
    <row r="6" spans="1:10" s="63" customFormat="1" x14ac:dyDescent="0.25">
      <c r="A6" s="7">
        <v>1</v>
      </c>
      <c r="B6" s="323" t="s">
        <v>374</v>
      </c>
      <c r="C6" s="119">
        <v>1640001</v>
      </c>
      <c r="D6" s="119">
        <v>32775</v>
      </c>
      <c r="E6" s="119">
        <v>7468.9</v>
      </c>
      <c r="F6" s="119">
        <v>25925</v>
      </c>
      <c r="G6" s="13"/>
      <c r="H6" s="13"/>
      <c r="I6" s="33">
        <f t="shared" ref="I6:I16" si="0">SUM(C6:H6)</f>
        <v>1706169.9</v>
      </c>
    </row>
    <row r="7" spans="1:10" s="63" customFormat="1" x14ac:dyDescent="0.25">
      <c r="A7" s="7"/>
      <c r="B7" s="537" t="s">
        <v>300</v>
      </c>
      <c r="C7" s="119"/>
      <c r="D7" s="119"/>
      <c r="E7" s="119"/>
      <c r="F7" s="119"/>
      <c r="G7" s="13"/>
      <c r="H7" s="13"/>
      <c r="I7" s="33"/>
    </row>
    <row r="8" spans="1:10" s="63" customFormat="1" x14ac:dyDescent="0.25">
      <c r="A8" s="7">
        <v>2</v>
      </c>
      <c r="B8" s="10" t="s">
        <v>55</v>
      </c>
      <c r="C8" s="119"/>
      <c r="D8" s="119">
        <v>32775</v>
      </c>
      <c r="E8" s="119">
        <v>7468.9</v>
      </c>
      <c r="F8" s="119">
        <v>14700</v>
      </c>
      <c r="G8" s="13"/>
      <c r="H8" s="13"/>
      <c r="I8" s="33">
        <f t="shared" si="0"/>
        <v>54943.9</v>
      </c>
    </row>
    <row r="9" spans="1:10" x14ac:dyDescent="0.3">
      <c r="A9" s="7">
        <v>3</v>
      </c>
      <c r="B9" s="323" t="s">
        <v>282</v>
      </c>
      <c r="C9" s="13"/>
      <c r="D9" s="13"/>
      <c r="E9" s="13"/>
      <c r="F9" s="13"/>
      <c r="G9" s="13"/>
      <c r="H9" s="13"/>
      <c r="I9" s="33">
        <f t="shared" si="0"/>
        <v>0</v>
      </c>
    </row>
    <row r="10" spans="1:10" ht="31.2" x14ac:dyDescent="0.3">
      <c r="A10" s="7">
        <v>4</v>
      </c>
      <c r="B10" s="323" t="s">
        <v>243</v>
      </c>
      <c r="C10" s="135">
        <f t="shared" ref="C10:H10" si="1">SUM(C11:C15)</f>
        <v>5745.32</v>
      </c>
      <c r="D10" s="135">
        <f t="shared" si="1"/>
        <v>9085498.9399999995</v>
      </c>
      <c r="E10" s="135">
        <f t="shared" si="1"/>
        <v>29348.76</v>
      </c>
      <c r="F10" s="135">
        <f t="shared" si="1"/>
        <v>1723221.27</v>
      </c>
      <c r="G10" s="135">
        <f t="shared" si="1"/>
        <v>0</v>
      </c>
      <c r="H10" s="135">
        <f t="shared" si="1"/>
        <v>13129.2</v>
      </c>
      <c r="I10" s="33">
        <f t="shared" si="0"/>
        <v>10856943.489999998</v>
      </c>
    </row>
    <row r="11" spans="1:10" x14ac:dyDescent="0.3">
      <c r="A11" s="7">
        <v>5</v>
      </c>
      <c r="B11" s="10" t="s">
        <v>346</v>
      </c>
      <c r="C11" s="119"/>
      <c r="D11" s="119">
        <v>3954.43</v>
      </c>
      <c r="E11" s="119"/>
      <c r="F11" s="119">
        <v>2996.01</v>
      </c>
      <c r="G11" s="119"/>
      <c r="H11" s="119">
        <v>8225</v>
      </c>
      <c r="I11" s="33">
        <f t="shared" si="0"/>
        <v>15175.44</v>
      </c>
    </row>
    <row r="12" spans="1:10" x14ac:dyDescent="0.3">
      <c r="A12" s="7">
        <v>6</v>
      </c>
      <c r="B12" s="10" t="s">
        <v>347</v>
      </c>
      <c r="C12" s="119"/>
      <c r="D12" s="119"/>
      <c r="E12" s="119"/>
      <c r="F12" s="119"/>
      <c r="G12" s="119"/>
      <c r="H12" s="119"/>
      <c r="I12" s="33">
        <f t="shared" si="0"/>
        <v>0</v>
      </c>
    </row>
    <row r="13" spans="1:10" x14ac:dyDescent="0.3">
      <c r="A13" s="7">
        <v>7</v>
      </c>
      <c r="B13" s="10" t="s">
        <v>348</v>
      </c>
      <c r="C13" s="119">
        <f>950+835.32</f>
        <v>1785.3200000000002</v>
      </c>
      <c r="D13" s="119">
        <v>4930125.2699999996</v>
      </c>
      <c r="E13" s="119">
        <v>3110</v>
      </c>
      <c r="F13" s="119">
        <f>263240.26+247.6</f>
        <v>263487.86</v>
      </c>
      <c r="G13" s="119"/>
      <c r="H13" s="119"/>
      <c r="I13" s="33">
        <f t="shared" si="0"/>
        <v>5198508.45</v>
      </c>
    </row>
    <row r="14" spans="1:10" ht="31.2" x14ac:dyDescent="0.3">
      <c r="A14" s="7">
        <v>8</v>
      </c>
      <c r="B14" s="10" t="s">
        <v>349</v>
      </c>
      <c r="C14" s="119"/>
      <c r="D14" s="119">
        <v>4039221.24</v>
      </c>
      <c r="E14" s="119">
        <v>2491.98</v>
      </c>
      <c r="F14" s="119">
        <v>1421437.4</v>
      </c>
      <c r="G14" s="119"/>
      <c r="H14" s="119">
        <v>4904.2</v>
      </c>
      <c r="I14" s="33">
        <f t="shared" si="0"/>
        <v>5468054.8200000003</v>
      </c>
      <c r="J14" s="291"/>
    </row>
    <row r="15" spans="1:10" ht="31.2" x14ac:dyDescent="0.3">
      <c r="A15" s="7">
        <v>9</v>
      </c>
      <c r="B15" s="10" t="s">
        <v>350</v>
      </c>
      <c r="C15" s="119">
        <v>3960</v>
      </c>
      <c r="D15" s="119">
        <v>112198</v>
      </c>
      <c r="E15" s="119">
        <v>23746.78</v>
      </c>
      <c r="F15" s="119">
        <v>35300</v>
      </c>
      <c r="G15" s="119"/>
      <c r="H15" s="119"/>
      <c r="I15" s="33">
        <f t="shared" si="0"/>
        <v>175204.78</v>
      </c>
    </row>
    <row r="16" spans="1:10" x14ac:dyDescent="0.3">
      <c r="A16" s="7">
        <v>10</v>
      </c>
      <c r="B16" s="11" t="s">
        <v>181</v>
      </c>
      <c r="C16" s="119"/>
      <c r="D16" s="119"/>
      <c r="E16" s="119">
        <v>21717</v>
      </c>
      <c r="F16" s="119"/>
      <c r="G16" s="119"/>
      <c r="H16" s="119">
        <v>28596</v>
      </c>
      <c r="I16" s="33">
        <f t="shared" si="0"/>
        <v>50313</v>
      </c>
    </row>
    <row r="17" spans="1:9" x14ac:dyDescent="0.3">
      <c r="A17" s="7">
        <v>11</v>
      </c>
      <c r="B17" s="323" t="s">
        <v>182</v>
      </c>
      <c r="C17" s="119"/>
      <c r="D17" s="119">
        <v>14044.8</v>
      </c>
      <c r="E17" s="119">
        <v>23580</v>
      </c>
      <c r="F17" s="119">
        <v>27347.200000000001</v>
      </c>
      <c r="G17" s="119"/>
      <c r="H17" s="119"/>
      <c r="I17" s="33">
        <f>SUM(C17:H17)</f>
        <v>64972</v>
      </c>
    </row>
    <row r="18" spans="1:9" x14ac:dyDescent="0.3">
      <c r="A18" s="7">
        <v>12</v>
      </c>
      <c r="B18" s="323" t="s">
        <v>297</v>
      </c>
      <c r="C18" s="119">
        <v>83950.93</v>
      </c>
      <c r="D18" s="119">
        <f>8468110+68485.56</f>
        <v>8536595.5600000005</v>
      </c>
      <c r="E18" s="119">
        <f>193640.08+1326.4</f>
        <v>194966.47999999998</v>
      </c>
      <c r="F18" s="119">
        <v>2021980.03</v>
      </c>
      <c r="G18" s="119"/>
      <c r="H18" s="119"/>
      <c r="I18" s="33">
        <f>SUM(C18:H18)</f>
        <v>10837493</v>
      </c>
    </row>
    <row r="19" spans="1:9" x14ac:dyDescent="0.3">
      <c r="A19" s="7">
        <v>13</v>
      </c>
      <c r="B19" s="323" t="s">
        <v>183</v>
      </c>
      <c r="C19" s="119"/>
      <c r="D19" s="119">
        <v>8371.4</v>
      </c>
      <c r="E19" s="119">
        <v>21589.58</v>
      </c>
      <c r="F19" s="119">
        <v>440.6</v>
      </c>
      <c r="G19" s="119"/>
      <c r="H19" s="119"/>
      <c r="I19" s="33">
        <f>SUM(C19:H19)</f>
        <v>30401.58</v>
      </c>
    </row>
    <row r="20" spans="1:9" x14ac:dyDescent="0.3">
      <c r="A20" s="7">
        <v>14</v>
      </c>
      <c r="B20" s="323" t="s">
        <v>304</v>
      </c>
      <c r="C20" s="119">
        <v>298.08</v>
      </c>
      <c r="D20" s="119">
        <v>34106.15</v>
      </c>
      <c r="E20" s="119"/>
      <c r="F20" s="119">
        <v>9470</v>
      </c>
      <c r="G20" s="119"/>
      <c r="H20" s="119"/>
      <c r="I20" s="33">
        <f>SUM(C20:H20)</f>
        <v>43874.23</v>
      </c>
    </row>
    <row r="21" spans="1:9" ht="47.4" thickBot="1" x14ac:dyDescent="0.35">
      <c r="A21" s="66">
        <v>15</v>
      </c>
      <c r="B21" s="538" t="s">
        <v>56</v>
      </c>
      <c r="C21" s="539">
        <f t="shared" ref="C21:H21" si="2">+C6+C9+C10+C16+C17+C18+C19+C20</f>
        <v>1729995.33</v>
      </c>
      <c r="D21" s="539">
        <f t="shared" si="2"/>
        <v>17711391.849999998</v>
      </c>
      <c r="E21" s="539">
        <f t="shared" si="2"/>
        <v>298670.72000000003</v>
      </c>
      <c r="F21" s="539">
        <f t="shared" si="2"/>
        <v>3808384.1</v>
      </c>
      <c r="G21" s="539">
        <f t="shared" si="2"/>
        <v>0</v>
      </c>
      <c r="H21" s="539">
        <f t="shared" si="2"/>
        <v>41725.199999999997</v>
      </c>
      <c r="I21" s="540">
        <f>SUM(C21:H21)</f>
        <v>23590167.199999999</v>
      </c>
    </row>
    <row r="22" spans="1:9" s="541" customFormat="1" x14ac:dyDescent="0.3">
      <c r="B22" s="542" t="s">
        <v>1164</v>
      </c>
      <c r="C22" s="543" t="s">
        <v>312</v>
      </c>
      <c r="D22" s="543" t="s">
        <v>312</v>
      </c>
      <c r="E22" s="543" t="s">
        <v>312</v>
      </c>
      <c r="F22" s="543" t="s">
        <v>312</v>
      </c>
      <c r="G22" s="543" t="s">
        <v>312</v>
      </c>
      <c r="H22" s="543" t="s">
        <v>312</v>
      </c>
      <c r="I22" s="544">
        <v>41725.199999999997</v>
      </c>
    </row>
    <row r="23" spans="1:9" x14ac:dyDescent="0.3">
      <c r="C23" s="292"/>
      <c r="D23" s="293"/>
      <c r="E23" s="293"/>
      <c r="F23" s="293"/>
      <c r="G23" s="293"/>
      <c r="H23" s="293"/>
    </row>
    <row r="24" spans="1:9" x14ac:dyDescent="0.3">
      <c r="C24" s="293"/>
      <c r="D24" s="293"/>
      <c r="E24" s="293"/>
      <c r="F24" s="293"/>
      <c r="G24" s="293"/>
      <c r="H24" s="293"/>
    </row>
    <row r="25" spans="1:9" ht="33.6" customHeight="1" x14ac:dyDescent="0.3">
      <c r="B25" s="798" t="s">
        <v>1282</v>
      </c>
      <c r="C25" s="798"/>
      <c r="D25" s="798"/>
      <c r="E25" s="798"/>
      <c r="F25" s="798"/>
      <c r="G25" s="798"/>
      <c r="H25" s="798"/>
      <c r="I25" s="798"/>
    </row>
    <row r="26" spans="1:9" x14ac:dyDescent="0.3">
      <c r="C26" s="293"/>
      <c r="D26" s="293"/>
      <c r="E26" s="293"/>
      <c r="F26" s="293"/>
      <c r="G26" s="293"/>
      <c r="H26" s="293"/>
    </row>
    <row r="27" spans="1:9" x14ac:dyDescent="0.3">
      <c r="C27" s="293"/>
      <c r="D27" s="293"/>
      <c r="E27" s="293"/>
      <c r="F27" s="293"/>
      <c r="G27" s="293"/>
      <c r="H27" s="293"/>
    </row>
    <row r="28" spans="1:9" x14ac:dyDescent="0.3">
      <c r="C28" s="293"/>
      <c r="D28" s="293"/>
      <c r="E28" s="293"/>
      <c r="F28" s="293"/>
      <c r="G28" s="293"/>
      <c r="H28" s="293"/>
    </row>
    <row r="29" spans="1:9" x14ac:dyDescent="0.3">
      <c r="C29" s="293"/>
      <c r="D29" s="293"/>
      <c r="E29" s="293"/>
      <c r="F29" s="293"/>
      <c r="G29" s="293"/>
      <c r="H29" s="293"/>
    </row>
    <row r="30" spans="1:9" x14ac:dyDescent="0.3">
      <c r="C30" s="293"/>
      <c r="D30" s="293"/>
      <c r="E30" s="293"/>
      <c r="F30" s="293"/>
      <c r="G30" s="293"/>
      <c r="H30" s="293"/>
    </row>
    <row r="31" spans="1:9" x14ac:dyDescent="0.3">
      <c r="C31" s="293"/>
      <c r="D31" s="293"/>
      <c r="E31" s="293"/>
      <c r="F31" s="293"/>
      <c r="G31" s="293"/>
      <c r="H31" s="293"/>
    </row>
    <row r="32" spans="1:9" x14ac:dyDescent="0.3">
      <c r="C32" s="293"/>
      <c r="D32" s="293"/>
      <c r="E32" s="293"/>
      <c r="F32" s="293"/>
      <c r="G32" s="293"/>
      <c r="H32" s="293"/>
    </row>
    <row r="33" spans="3:8" x14ac:dyDescent="0.3">
      <c r="C33" s="293"/>
      <c r="D33" s="293"/>
      <c r="E33" s="293"/>
      <c r="F33" s="293"/>
      <c r="G33" s="293"/>
      <c r="H33" s="293"/>
    </row>
    <row r="34" spans="3:8" x14ac:dyDescent="0.3">
      <c r="C34" s="293"/>
      <c r="D34" s="293"/>
      <c r="E34" s="293"/>
      <c r="F34" s="293"/>
      <c r="G34" s="293"/>
      <c r="H34" s="293"/>
    </row>
    <row r="35" spans="3:8" x14ac:dyDescent="0.3">
      <c r="C35" s="293"/>
      <c r="D35" s="293"/>
      <c r="E35" s="293"/>
      <c r="F35" s="293"/>
      <c r="G35" s="293"/>
      <c r="H35" s="293"/>
    </row>
    <row r="36" spans="3:8" x14ac:dyDescent="0.3">
      <c r="C36" s="293"/>
      <c r="D36" s="293"/>
      <c r="E36" s="293"/>
      <c r="F36" s="293"/>
      <c r="G36" s="293"/>
      <c r="H36" s="293"/>
    </row>
    <row r="37" spans="3:8" x14ac:dyDescent="0.3">
      <c r="C37" s="293"/>
      <c r="D37" s="293"/>
      <c r="E37" s="293"/>
      <c r="F37" s="293"/>
      <c r="G37" s="293"/>
      <c r="H37" s="293"/>
    </row>
    <row r="38" spans="3:8" x14ac:dyDescent="0.3">
      <c r="C38" s="293"/>
      <c r="D38" s="293"/>
      <c r="E38" s="293"/>
      <c r="F38" s="293"/>
      <c r="G38" s="293"/>
      <c r="H38" s="293"/>
    </row>
    <row r="39" spans="3:8" x14ac:dyDescent="0.3">
      <c r="C39" s="293"/>
      <c r="D39" s="293"/>
      <c r="E39" s="293"/>
      <c r="F39" s="293"/>
      <c r="G39" s="293"/>
      <c r="H39" s="293"/>
    </row>
    <row r="40" spans="3:8" x14ac:dyDescent="0.3">
      <c r="C40" s="293"/>
      <c r="D40" s="293"/>
      <c r="E40" s="293"/>
      <c r="F40" s="293"/>
      <c r="G40" s="293"/>
      <c r="H40" s="293"/>
    </row>
    <row r="41" spans="3:8" x14ac:dyDescent="0.3">
      <c r="C41" s="293"/>
      <c r="D41" s="293"/>
      <c r="E41" s="293"/>
      <c r="F41" s="293"/>
      <c r="G41" s="293"/>
      <c r="H41" s="293"/>
    </row>
    <row r="42" spans="3:8" x14ac:dyDescent="0.3">
      <c r="C42" s="293"/>
      <c r="D42" s="293"/>
      <c r="E42" s="293"/>
      <c r="F42" s="293"/>
      <c r="G42" s="293"/>
      <c r="H42" s="293"/>
    </row>
    <row r="43" spans="3:8" x14ac:dyDescent="0.3">
      <c r="C43" s="293"/>
      <c r="D43" s="293"/>
      <c r="E43" s="293"/>
      <c r="F43" s="293"/>
      <c r="G43" s="293"/>
      <c r="H43" s="293"/>
    </row>
    <row r="44" spans="3:8" x14ac:dyDescent="0.3">
      <c r="C44" s="293"/>
      <c r="D44" s="293"/>
      <c r="E44" s="293"/>
      <c r="F44" s="293"/>
      <c r="G44" s="293"/>
      <c r="H44" s="293"/>
    </row>
    <row r="45" spans="3:8" x14ac:dyDescent="0.3">
      <c r="C45" s="293"/>
      <c r="D45" s="293"/>
      <c r="E45" s="293"/>
      <c r="F45" s="293"/>
      <c r="G45" s="293"/>
      <c r="H45" s="293"/>
    </row>
    <row r="46" spans="3:8" x14ac:dyDescent="0.3">
      <c r="C46" s="293"/>
      <c r="D46" s="293"/>
      <c r="E46" s="293"/>
      <c r="F46" s="293"/>
      <c r="G46" s="293"/>
      <c r="H46" s="293"/>
    </row>
    <row r="47" spans="3:8" x14ac:dyDescent="0.3">
      <c r="C47" s="293"/>
      <c r="D47" s="293"/>
      <c r="E47" s="293"/>
      <c r="F47" s="293"/>
      <c r="G47" s="293"/>
      <c r="H47" s="293"/>
    </row>
    <row r="48" spans="3:8" x14ac:dyDescent="0.3">
      <c r="C48" s="293"/>
      <c r="D48" s="293"/>
      <c r="E48" s="293"/>
      <c r="F48" s="293"/>
      <c r="G48" s="293"/>
      <c r="H48" s="293"/>
    </row>
    <row r="49" spans="3:8" x14ac:dyDescent="0.3">
      <c r="C49" s="293"/>
      <c r="D49" s="293"/>
      <c r="E49" s="293"/>
      <c r="F49" s="293"/>
      <c r="G49" s="293"/>
      <c r="H49" s="293"/>
    </row>
    <row r="50" spans="3:8" x14ac:dyDescent="0.3">
      <c r="C50" s="293"/>
      <c r="D50" s="293"/>
      <c r="E50" s="293"/>
      <c r="F50" s="293"/>
      <c r="G50" s="293"/>
      <c r="H50" s="293"/>
    </row>
    <row r="51" spans="3:8" x14ac:dyDescent="0.3">
      <c r="C51" s="293"/>
      <c r="D51" s="293"/>
      <c r="E51" s="293"/>
      <c r="F51" s="293"/>
      <c r="G51" s="293"/>
      <c r="H51" s="293"/>
    </row>
    <row r="52" spans="3:8" x14ac:dyDescent="0.3">
      <c r="C52" s="293"/>
      <c r="D52" s="293"/>
      <c r="E52" s="293"/>
      <c r="F52" s="293"/>
      <c r="G52" s="293"/>
      <c r="H52" s="293"/>
    </row>
    <row r="53" spans="3:8" x14ac:dyDescent="0.3">
      <c r="C53" s="293"/>
      <c r="D53" s="293"/>
      <c r="E53" s="293"/>
      <c r="F53" s="293"/>
      <c r="G53" s="293"/>
      <c r="H53" s="293"/>
    </row>
    <row r="54" spans="3:8" x14ac:dyDescent="0.3">
      <c r="C54" s="293"/>
      <c r="D54" s="293"/>
      <c r="E54" s="293"/>
      <c r="F54" s="293"/>
      <c r="G54" s="293"/>
      <c r="H54" s="293"/>
    </row>
    <row r="55" spans="3:8" x14ac:dyDescent="0.3">
      <c r="C55" s="293"/>
      <c r="D55" s="293"/>
      <c r="E55" s="293"/>
      <c r="F55" s="293"/>
      <c r="G55" s="293"/>
      <c r="H55" s="293"/>
    </row>
    <row r="56" spans="3:8" x14ac:dyDescent="0.3">
      <c r="C56" s="293"/>
      <c r="D56" s="293"/>
      <c r="E56" s="293"/>
      <c r="F56" s="293"/>
      <c r="G56" s="293"/>
      <c r="H56" s="293"/>
    </row>
    <row r="57" spans="3:8" x14ac:dyDescent="0.3">
      <c r="C57" s="293"/>
      <c r="D57" s="293"/>
      <c r="E57" s="293"/>
      <c r="F57" s="293"/>
      <c r="G57" s="293"/>
      <c r="H57" s="293"/>
    </row>
    <row r="58" spans="3:8" x14ac:dyDescent="0.3">
      <c r="C58" s="293"/>
      <c r="D58" s="293"/>
      <c r="E58" s="293"/>
      <c r="F58" s="293"/>
      <c r="G58" s="293"/>
      <c r="H58" s="293"/>
    </row>
    <row r="59" spans="3:8" x14ac:dyDescent="0.3">
      <c r="C59" s="293"/>
      <c r="D59" s="293"/>
      <c r="E59" s="293"/>
      <c r="F59" s="293"/>
      <c r="G59" s="293"/>
      <c r="H59" s="293"/>
    </row>
    <row r="60" spans="3:8" x14ac:dyDescent="0.3">
      <c r="C60" s="293"/>
      <c r="D60" s="293"/>
      <c r="E60" s="293"/>
      <c r="F60" s="293"/>
      <c r="G60" s="293"/>
      <c r="H60" s="293"/>
    </row>
    <row r="61" spans="3:8" x14ac:dyDescent="0.3">
      <c r="C61" s="293"/>
      <c r="D61" s="293"/>
      <c r="E61" s="293"/>
      <c r="F61" s="293"/>
      <c r="G61" s="293"/>
      <c r="H61" s="293"/>
    </row>
    <row r="62" spans="3:8" x14ac:dyDescent="0.3">
      <c r="C62" s="293"/>
      <c r="D62" s="293"/>
      <c r="E62" s="293"/>
      <c r="F62" s="293"/>
      <c r="G62" s="293"/>
      <c r="H62" s="293"/>
    </row>
    <row r="63" spans="3:8" x14ac:dyDescent="0.3">
      <c r="C63" s="293"/>
      <c r="D63" s="293"/>
      <c r="E63" s="293"/>
      <c r="F63" s="293"/>
      <c r="G63" s="293"/>
      <c r="H63" s="293"/>
    </row>
    <row r="64" spans="3:8" x14ac:dyDescent="0.3">
      <c r="C64" s="293"/>
      <c r="D64" s="293"/>
      <c r="E64" s="293"/>
      <c r="F64" s="293"/>
      <c r="G64" s="293"/>
      <c r="H64" s="293"/>
    </row>
    <row r="65" spans="3:8" x14ac:dyDescent="0.3">
      <c r="C65" s="293"/>
      <c r="D65" s="293"/>
      <c r="E65" s="293"/>
      <c r="F65" s="293"/>
      <c r="G65" s="293"/>
      <c r="H65" s="293"/>
    </row>
    <row r="66" spans="3:8" x14ac:dyDescent="0.3">
      <c r="C66" s="293"/>
      <c r="D66" s="293"/>
      <c r="E66" s="293"/>
      <c r="F66" s="293"/>
      <c r="G66" s="293"/>
      <c r="H66" s="293"/>
    </row>
    <row r="67" spans="3:8" x14ac:dyDescent="0.3">
      <c r="C67" s="293"/>
      <c r="D67" s="293"/>
      <c r="E67" s="293"/>
      <c r="F67" s="293"/>
      <c r="G67" s="293"/>
      <c r="H67" s="293"/>
    </row>
    <row r="68" spans="3:8" x14ac:dyDescent="0.3">
      <c r="C68" s="293"/>
      <c r="D68" s="293"/>
      <c r="E68" s="293"/>
      <c r="F68" s="293"/>
      <c r="G68" s="293"/>
      <c r="H68" s="293"/>
    </row>
    <row r="69" spans="3:8" x14ac:dyDescent="0.3">
      <c r="C69" s="293"/>
      <c r="D69" s="293"/>
      <c r="E69" s="293"/>
      <c r="F69" s="293"/>
      <c r="G69" s="293"/>
      <c r="H69" s="293"/>
    </row>
    <row r="70" spans="3:8" x14ac:dyDescent="0.3">
      <c r="C70" s="293"/>
      <c r="D70" s="293"/>
      <c r="E70" s="293"/>
      <c r="F70" s="293"/>
      <c r="G70" s="293"/>
      <c r="H70" s="293"/>
    </row>
    <row r="71" spans="3:8" x14ac:dyDescent="0.3">
      <c r="C71" s="293"/>
      <c r="D71" s="293"/>
      <c r="E71" s="293"/>
      <c r="F71" s="293"/>
      <c r="G71" s="293"/>
      <c r="H71" s="293"/>
    </row>
    <row r="72" spans="3:8" x14ac:dyDescent="0.3">
      <c r="C72" s="293"/>
      <c r="D72" s="293"/>
      <c r="E72" s="293"/>
      <c r="F72" s="293"/>
      <c r="G72" s="293"/>
      <c r="H72" s="293"/>
    </row>
    <row r="73" spans="3:8" x14ac:dyDescent="0.3">
      <c r="C73" s="293"/>
      <c r="D73" s="293"/>
      <c r="E73" s="293"/>
      <c r="F73" s="293"/>
      <c r="G73" s="293"/>
      <c r="H73" s="293"/>
    </row>
    <row r="74" spans="3:8" x14ac:dyDescent="0.3">
      <c r="C74" s="293"/>
      <c r="D74" s="293"/>
      <c r="E74" s="293"/>
      <c r="F74" s="293"/>
      <c r="G74" s="293"/>
      <c r="H74" s="293"/>
    </row>
    <row r="75" spans="3:8" x14ac:dyDescent="0.3">
      <c r="C75" s="293"/>
      <c r="D75" s="293"/>
      <c r="E75" s="293"/>
      <c r="F75" s="293"/>
      <c r="G75" s="293"/>
      <c r="H75" s="293"/>
    </row>
    <row r="76" spans="3:8" x14ac:dyDescent="0.3">
      <c r="C76" s="293"/>
      <c r="D76" s="293"/>
      <c r="E76" s="293"/>
      <c r="F76" s="293"/>
      <c r="G76" s="293"/>
      <c r="H76" s="293"/>
    </row>
    <row r="77" spans="3:8" x14ac:dyDescent="0.3">
      <c r="C77" s="293"/>
      <c r="D77" s="293"/>
      <c r="E77" s="293"/>
      <c r="F77" s="293"/>
      <c r="G77" s="293"/>
      <c r="H77" s="293"/>
    </row>
    <row r="78" spans="3:8" x14ac:dyDescent="0.3">
      <c r="C78" s="293"/>
      <c r="D78" s="293"/>
      <c r="E78" s="293"/>
      <c r="F78" s="293"/>
      <c r="G78" s="293"/>
      <c r="H78" s="293"/>
    </row>
    <row r="79" spans="3:8" x14ac:dyDescent="0.3">
      <c r="C79" s="293"/>
      <c r="D79" s="293"/>
      <c r="E79" s="293"/>
      <c r="F79" s="293"/>
      <c r="G79" s="293"/>
      <c r="H79" s="293"/>
    </row>
    <row r="80" spans="3:8" x14ac:dyDescent="0.3">
      <c r="C80" s="293"/>
      <c r="D80" s="293"/>
      <c r="E80" s="293"/>
      <c r="F80" s="293"/>
      <c r="G80" s="293"/>
      <c r="H80" s="293"/>
    </row>
    <row r="81" spans="3:8" x14ac:dyDescent="0.3">
      <c r="C81" s="293"/>
      <c r="D81" s="293"/>
      <c r="E81" s="293"/>
      <c r="F81" s="293"/>
      <c r="G81" s="293"/>
      <c r="H81" s="293"/>
    </row>
    <row r="82" spans="3:8" x14ac:dyDescent="0.3">
      <c r="C82" s="293"/>
      <c r="D82" s="293"/>
      <c r="E82" s="293"/>
      <c r="F82" s="293"/>
      <c r="G82" s="293"/>
      <c r="H82" s="293"/>
    </row>
  </sheetData>
  <mergeCells count="12">
    <mergeCell ref="B25:I25"/>
    <mergeCell ref="E3:E4"/>
    <mergeCell ref="I3:I4"/>
    <mergeCell ref="A1:I1"/>
    <mergeCell ref="A2:I2"/>
    <mergeCell ref="G3:G4"/>
    <mergeCell ref="C3:C4"/>
    <mergeCell ref="H3:H4"/>
    <mergeCell ref="A3:A4"/>
    <mergeCell ref="B3:B4"/>
    <mergeCell ref="D3:D4"/>
    <mergeCell ref="F3:F4"/>
  </mergeCells>
  <phoneticPr fontId="0" type="noConversion"/>
  <printOptions gridLines="1"/>
  <pageMargins left="0.48" right="0.44" top="0.98425196850393704" bottom="0.98425196850393704" header="0.51181102362204722" footer="0.51181102362204722"/>
  <pageSetup paperSize="9" scale="7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IV25"/>
  <sheetViews>
    <sheetView workbookViewId="0">
      <pane xSplit="2" ySplit="5" topLeftCell="C6" activePane="bottomRight" state="frozen"/>
      <selection pane="topRight" activeCell="C1" sqref="C1"/>
      <selection pane="bottomLeft" activeCell="A6" sqref="A6"/>
      <selection pane="bottomRight" activeCell="B7" sqref="B7"/>
    </sheetView>
  </sheetViews>
  <sheetFormatPr defaultColWidth="9.109375" defaultRowHeight="15.6" x14ac:dyDescent="0.3"/>
  <cols>
    <col min="1" max="1" width="7.33203125" style="62" customWidth="1"/>
    <col min="2" max="2" width="38.88671875" style="67" customWidth="1"/>
    <col min="3" max="3" width="14.88671875" style="62" customWidth="1"/>
    <col min="4" max="4" width="14.5546875" style="62" customWidth="1"/>
    <col min="5" max="5" width="15.109375" style="62" customWidth="1"/>
    <col min="6" max="6" width="14.109375" style="62" customWidth="1"/>
    <col min="7" max="7" width="13.5546875" style="62" customWidth="1"/>
    <col min="8" max="8" width="14" style="62" customWidth="1"/>
    <col min="9" max="9" width="13.44140625" style="62" customWidth="1"/>
    <col min="10" max="10" width="12.44140625" style="62" customWidth="1"/>
    <col min="11" max="11" width="14.5546875" style="62" customWidth="1"/>
    <col min="12" max="12" width="14.44140625" style="62" customWidth="1"/>
    <col min="13" max="13" width="14.88671875" style="62" customWidth="1"/>
    <col min="14" max="14" width="14.6640625" style="62" customWidth="1"/>
    <col min="15" max="15" width="14.109375" style="62" customWidth="1"/>
    <col min="16" max="16" width="14.33203125" style="62" customWidth="1"/>
    <col min="17" max="16384" width="9.109375" style="62"/>
  </cols>
  <sheetData>
    <row r="1" spans="1:256" ht="27.75" customHeight="1" thickBot="1" x14ac:dyDescent="0.35">
      <c r="A1" s="811" t="s">
        <v>1167</v>
      </c>
      <c r="B1" s="812"/>
      <c r="C1" s="812"/>
      <c r="D1" s="812"/>
      <c r="E1" s="812"/>
      <c r="F1" s="812"/>
      <c r="G1" s="812"/>
      <c r="H1" s="812"/>
      <c r="I1" s="812"/>
      <c r="J1" s="812"/>
      <c r="K1" s="812"/>
      <c r="L1" s="812"/>
      <c r="M1" s="812"/>
      <c r="N1" s="813"/>
    </row>
    <row r="2" spans="1:256" ht="28.5" customHeight="1" x14ac:dyDescent="0.3">
      <c r="A2" s="690" t="s">
        <v>1224</v>
      </c>
      <c r="B2" s="691"/>
      <c r="C2" s="691"/>
      <c r="D2" s="691"/>
      <c r="E2" s="691"/>
      <c r="F2" s="691"/>
      <c r="G2" s="691"/>
      <c r="H2" s="691"/>
      <c r="I2" s="698"/>
      <c r="J2" s="698"/>
      <c r="K2" s="691"/>
      <c r="L2" s="691"/>
      <c r="M2" s="691"/>
      <c r="N2" s="692"/>
    </row>
    <row r="3" spans="1:256" ht="51.75" customHeight="1" x14ac:dyDescent="0.3">
      <c r="A3" s="814" t="s">
        <v>205</v>
      </c>
      <c r="B3" s="815" t="s">
        <v>1157</v>
      </c>
      <c r="C3" s="707" t="s">
        <v>328</v>
      </c>
      <c r="D3" s="707"/>
      <c r="E3" s="707" t="s">
        <v>329</v>
      </c>
      <c r="F3" s="707"/>
      <c r="G3" s="707" t="s">
        <v>330</v>
      </c>
      <c r="H3" s="718"/>
      <c r="I3" s="816" t="s">
        <v>896</v>
      </c>
      <c r="J3" s="816"/>
      <c r="K3" s="817" t="s">
        <v>305</v>
      </c>
      <c r="L3" s="707"/>
      <c r="M3" s="707" t="s">
        <v>324</v>
      </c>
      <c r="N3" s="778"/>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c r="IR3" s="63"/>
      <c r="IS3" s="63"/>
      <c r="IT3" s="63"/>
      <c r="IU3" s="63"/>
      <c r="IV3" s="63"/>
    </row>
    <row r="4" spans="1:256" ht="17.25" customHeight="1" x14ac:dyDescent="0.3">
      <c r="A4" s="814"/>
      <c r="B4" s="711"/>
      <c r="C4" s="126">
        <v>2014</v>
      </c>
      <c r="D4" s="126">
        <v>2015</v>
      </c>
      <c r="E4" s="126">
        <v>2014</v>
      </c>
      <c r="F4" s="126">
        <v>2015</v>
      </c>
      <c r="G4" s="126">
        <v>2014</v>
      </c>
      <c r="H4" s="126">
        <v>2015</v>
      </c>
      <c r="I4" s="126">
        <v>2014</v>
      </c>
      <c r="J4" s="126">
        <v>2015</v>
      </c>
      <c r="K4" s="126">
        <v>2014</v>
      </c>
      <c r="L4" s="126">
        <v>2015</v>
      </c>
      <c r="M4" s="126">
        <v>2014</v>
      </c>
      <c r="N4" s="127">
        <v>2015</v>
      </c>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row>
    <row r="5" spans="1:256" ht="31.2" x14ac:dyDescent="0.3">
      <c r="A5" s="7"/>
      <c r="B5" s="64"/>
      <c r="C5" s="1" t="s">
        <v>283</v>
      </c>
      <c r="D5" s="1" t="s">
        <v>284</v>
      </c>
      <c r="E5" s="1" t="s">
        <v>285</v>
      </c>
      <c r="F5" s="1" t="s">
        <v>292</v>
      </c>
      <c r="G5" s="1" t="s">
        <v>286</v>
      </c>
      <c r="H5" s="75" t="s">
        <v>287</v>
      </c>
      <c r="I5" s="1" t="s">
        <v>288</v>
      </c>
      <c r="J5" s="1" t="s">
        <v>289</v>
      </c>
      <c r="K5" s="1" t="s">
        <v>290</v>
      </c>
      <c r="L5" s="1" t="s">
        <v>826</v>
      </c>
      <c r="M5" s="83" t="s">
        <v>1050</v>
      </c>
      <c r="N5" s="84" t="s">
        <v>1051</v>
      </c>
      <c r="O5" s="63"/>
      <c r="P5" s="63"/>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row>
    <row r="6" spans="1:256" ht="31.2" x14ac:dyDescent="0.3">
      <c r="A6" s="7">
        <v>1</v>
      </c>
      <c r="B6" s="98" t="s">
        <v>201</v>
      </c>
      <c r="C6" s="294">
        <v>2355283.81</v>
      </c>
      <c r="D6" s="294">
        <f>C17</f>
        <v>2931290.29</v>
      </c>
      <c r="E6" s="294">
        <v>5313612.32</v>
      </c>
      <c r="F6" s="294">
        <f>E17</f>
        <v>4398207.75</v>
      </c>
      <c r="G6" s="294">
        <v>617425.03</v>
      </c>
      <c r="H6" s="294">
        <f>G17</f>
        <v>328416.90000000037</v>
      </c>
      <c r="I6" s="294">
        <v>10000</v>
      </c>
      <c r="J6" s="294">
        <f>SUM(I17)</f>
        <v>9960.0400000000009</v>
      </c>
      <c r="K6" s="294"/>
      <c r="L6" s="294">
        <f>SUM(K17)</f>
        <v>0</v>
      </c>
      <c r="M6" s="295">
        <f t="shared" ref="M6:N8" si="0">C6+E6+G6+I6+K6</f>
        <v>8296321.1600000011</v>
      </c>
      <c r="N6" s="296">
        <f t="shared" si="0"/>
        <v>7667874.9800000004</v>
      </c>
      <c r="O6" s="63"/>
      <c r="P6" s="63"/>
    </row>
    <row r="7" spans="1:256" ht="31.2" x14ac:dyDescent="0.3">
      <c r="A7" s="7">
        <v>2</v>
      </c>
      <c r="B7" s="99" t="s">
        <v>870</v>
      </c>
      <c r="C7" s="294">
        <f t="shared" ref="C7:L7" si="1">SUM(C8:C15)</f>
        <v>587882.87</v>
      </c>
      <c r="D7" s="294">
        <f t="shared" si="1"/>
        <v>862585.17</v>
      </c>
      <c r="E7" s="294">
        <f t="shared" si="1"/>
        <v>1315271.77</v>
      </c>
      <c r="F7" s="294">
        <f t="shared" si="1"/>
        <v>1729460.53</v>
      </c>
      <c r="G7" s="294">
        <f>SUM(G8:G15)</f>
        <v>1561096.87</v>
      </c>
      <c r="H7" s="294">
        <f>SUM(H8:H15)</f>
        <v>1614707.6</v>
      </c>
      <c r="I7" s="294">
        <f t="shared" si="1"/>
        <v>10000</v>
      </c>
      <c r="J7" s="294">
        <f t="shared" si="1"/>
        <v>0</v>
      </c>
      <c r="K7" s="294">
        <f t="shared" si="1"/>
        <v>0</v>
      </c>
      <c r="L7" s="294">
        <f t="shared" si="1"/>
        <v>0</v>
      </c>
      <c r="M7" s="295">
        <f t="shared" si="0"/>
        <v>3474251.5100000002</v>
      </c>
      <c r="N7" s="296">
        <f t="shared" si="0"/>
        <v>4206753.3000000007</v>
      </c>
      <c r="O7" s="63"/>
      <c r="P7" s="63"/>
    </row>
    <row r="8" spans="1:256" ht="22.5" customHeight="1" x14ac:dyDescent="0.3">
      <c r="A8" s="7">
        <v>3</v>
      </c>
      <c r="B8" s="100" t="s">
        <v>80</v>
      </c>
      <c r="C8" s="297">
        <v>587882.87</v>
      </c>
      <c r="D8" s="297">
        <v>862585.17</v>
      </c>
      <c r="E8" s="297"/>
      <c r="F8" s="297"/>
      <c r="G8" s="297"/>
      <c r="H8" s="297"/>
      <c r="I8" s="297"/>
      <c r="J8" s="297"/>
      <c r="K8" s="297"/>
      <c r="L8" s="297"/>
      <c r="M8" s="295">
        <f t="shared" si="0"/>
        <v>587882.87</v>
      </c>
      <c r="N8" s="296">
        <f t="shared" si="0"/>
        <v>862585.17</v>
      </c>
    </row>
    <row r="9" spans="1:256" ht="21.75" customHeight="1" x14ac:dyDescent="0.3">
      <c r="A9" s="7">
        <v>4</v>
      </c>
      <c r="B9" s="100" t="s">
        <v>313</v>
      </c>
      <c r="C9" s="117" t="s">
        <v>312</v>
      </c>
      <c r="D9" s="117" t="s">
        <v>312</v>
      </c>
      <c r="E9" s="297">
        <v>1220048.1000000001</v>
      </c>
      <c r="F9" s="298">
        <v>959460.53</v>
      </c>
      <c r="G9" s="117" t="s">
        <v>312</v>
      </c>
      <c r="H9" s="117" t="s">
        <v>312</v>
      </c>
      <c r="I9" s="118" t="s">
        <v>312</v>
      </c>
      <c r="J9" s="118" t="s">
        <v>312</v>
      </c>
      <c r="K9" s="117" t="s">
        <v>312</v>
      </c>
      <c r="L9" s="117" t="s">
        <v>312</v>
      </c>
      <c r="M9" s="295">
        <f>E9</f>
        <v>1220048.1000000001</v>
      </c>
      <c r="N9" s="296">
        <f>F9</f>
        <v>959460.53</v>
      </c>
    </row>
    <row r="10" spans="1:256" ht="31.2" x14ac:dyDescent="0.3">
      <c r="A10" s="7">
        <v>5</v>
      </c>
      <c r="B10" s="100" t="s">
        <v>1</v>
      </c>
      <c r="C10" s="117" t="s">
        <v>312</v>
      </c>
      <c r="D10" s="117" t="s">
        <v>312</v>
      </c>
      <c r="E10" s="297">
        <v>95223.67</v>
      </c>
      <c r="F10" s="297"/>
      <c r="G10" s="117" t="s">
        <v>312</v>
      </c>
      <c r="H10" s="117" t="s">
        <v>312</v>
      </c>
      <c r="I10" s="118" t="s">
        <v>312</v>
      </c>
      <c r="J10" s="118" t="s">
        <v>312</v>
      </c>
      <c r="K10" s="117" t="s">
        <v>312</v>
      </c>
      <c r="L10" s="117" t="s">
        <v>312</v>
      </c>
      <c r="M10" s="295">
        <f>E10</f>
        <v>95223.67</v>
      </c>
      <c r="N10" s="296">
        <f>F10</f>
        <v>0</v>
      </c>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ht="31.2" x14ac:dyDescent="0.3">
      <c r="A11" s="7">
        <v>6</v>
      </c>
      <c r="B11" s="100" t="s">
        <v>314</v>
      </c>
      <c r="C11" s="117" t="s">
        <v>312</v>
      </c>
      <c r="D11" s="117" t="s">
        <v>312</v>
      </c>
      <c r="E11" s="297"/>
      <c r="F11" s="297">
        <v>770000</v>
      </c>
      <c r="G11" s="297"/>
      <c r="H11" s="297"/>
      <c r="I11" s="299">
        <v>10000</v>
      </c>
      <c r="J11" s="299"/>
      <c r="K11" s="294"/>
      <c r="L11" s="294"/>
      <c r="M11" s="295">
        <f>E11+G11+I11+K11</f>
        <v>10000</v>
      </c>
      <c r="N11" s="296">
        <f>F11+H11+J11+L11</f>
        <v>770000</v>
      </c>
    </row>
    <row r="12" spans="1:256" ht="17.25" customHeight="1" x14ac:dyDescent="0.3">
      <c r="A12" s="7">
        <v>7</v>
      </c>
      <c r="B12" s="100" t="s">
        <v>315</v>
      </c>
      <c r="C12" s="297"/>
      <c r="D12" s="297"/>
      <c r="E12" s="297"/>
      <c r="F12" s="297"/>
      <c r="G12" s="297"/>
      <c r="H12" s="297"/>
      <c r="I12" s="299"/>
      <c r="J12" s="299"/>
      <c r="K12" s="297"/>
      <c r="L12" s="297"/>
      <c r="M12" s="295">
        <f>C12+E12+G12+I12+K12</f>
        <v>0</v>
      </c>
      <c r="N12" s="296">
        <f>D12+F12+H12+J12+L12</f>
        <v>0</v>
      </c>
    </row>
    <row r="13" spans="1:256" ht="18.600000000000001" x14ac:dyDescent="0.3">
      <c r="A13" s="7">
        <v>8</v>
      </c>
      <c r="B13" s="101" t="s">
        <v>81</v>
      </c>
      <c r="C13" s="117" t="s">
        <v>312</v>
      </c>
      <c r="D13" s="117" t="s">
        <v>312</v>
      </c>
      <c r="E13" s="117" t="s">
        <v>312</v>
      </c>
      <c r="F13" s="117" t="s">
        <v>312</v>
      </c>
      <c r="G13" s="297">
        <v>1504488.87</v>
      </c>
      <c r="H13" s="297">
        <f>1281530+357975-56000-15720</f>
        <v>1567785</v>
      </c>
      <c r="I13" s="300" t="s">
        <v>312</v>
      </c>
      <c r="J13" s="300" t="s">
        <v>312</v>
      </c>
      <c r="K13" s="117" t="s">
        <v>312</v>
      </c>
      <c r="L13" s="117" t="s">
        <v>312</v>
      </c>
      <c r="M13" s="295">
        <f>G13</f>
        <v>1504488.87</v>
      </c>
      <c r="N13" s="296">
        <f>H13</f>
        <v>1567785</v>
      </c>
    </row>
    <row r="14" spans="1:256" ht="19.5" customHeight="1" x14ac:dyDescent="0.3">
      <c r="A14" s="7">
        <v>9</v>
      </c>
      <c r="B14" s="100" t="s">
        <v>16</v>
      </c>
      <c r="C14" s="117" t="s">
        <v>312</v>
      </c>
      <c r="D14" s="117" t="s">
        <v>312</v>
      </c>
      <c r="E14" s="117" t="s">
        <v>312</v>
      </c>
      <c r="F14" s="117" t="s">
        <v>312</v>
      </c>
      <c r="G14" s="297">
        <v>56608</v>
      </c>
      <c r="H14" s="297">
        <v>46922.6</v>
      </c>
      <c r="I14" s="118" t="s">
        <v>312</v>
      </c>
      <c r="J14" s="118" t="s">
        <v>312</v>
      </c>
      <c r="K14" s="117" t="s">
        <v>312</v>
      </c>
      <c r="L14" s="117" t="s">
        <v>312</v>
      </c>
      <c r="M14" s="295">
        <f>G14</f>
        <v>56608</v>
      </c>
      <c r="N14" s="296">
        <f>H14</f>
        <v>46922.6</v>
      </c>
    </row>
    <row r="15" spans="1:256" ht="18.600000000000001" x14ac:dyDescent="0.3">
      <c r="A15" s="7">
        <v>10</v>
      </c>
      <c r="B15" s="100" t="s">
        <v>82</v>
      </c>
      <c r="C15" s="297"/>
      <c r="D15" s="297"/>
      <c r="E15" s="297"/>
      <c r="F15" s="297"/>
      <c r="G15" s="297"/>
      <c r="H15" s="297"/>
      <c r="I15" s="299"/>
      <c r="J15" s="299"/>
      <c r="K15" s="297"/>
      <c r="L15" s="297"/>
      <c r="M15" s="295">
        <f>C15+E15+G15+I15+K15</f>
        <v>0</v>
      </c>
      <c r="N15" s="296">
        <f>D15+F15+H15+J15+L15</f>
        <v>0</v>
      </c>
    </row>
    <row r="16" spans="1:256" ht="31.2" x14ac:dyDescent="0.3">
      <c r="A16" s="7">
        <v>11</v>
      </c>
      <c r="B16" s="98" t="s">
        <v>202</v>
      </c>
      <c r="C16" s="294">
        <v>11876.39</v>
      </c>
      <c r="D16" s="294">
        <v>777497.54</v>
      </c>
      <c r="E16" s="294">
        <v>2230676.34</v>
      </c>
      <c r="F16" s="294">
        <v>5571589.6200000001</v>
      </c>
      <c r="G16" s="301">
        <v>1850105</v>
      </c>
      <c r="H16" s="301">
        <v>1644916.94</v>
      </c>
      <c r="I16" s="294">
        <v>10039.959999999999</v>
      </c>
      <c r="J16" s="294">
        <v>9960.0400000000009</v>
      </c>
      <c r="K16" s="294"/>
      <c r="L16" s="294"/>
      <c r="M16" s="295">
        <f t="shared" ref="M16:N18" si="2">C16+E16+G16+I16+K16</f>
        <v>4102697.69</v>
      </c>
      <c r="N16" s="296">
        <f t="shared" si="2"/>
        <v>8003964.1399999997</v>
      </c>
    </row>
    <row r="17" spans="1:14" ht="31.2" x14ac:dyDescent="0.3">
      <c r="A17" s="7">
        <v>12</v>
      </c>
      <c r="B17" s="98" t="s">
        <v>17</v>
      </c>
      <c r="C17" s="294">
        <f t="shared" ref="C17:L17" si="3">C6+C7-C16</f>
        <v>2931290.29</v>
      </c>
      <c r="D17" s="294">
        <f t="shared" si="3"/>
        <v>3016377.92</v>
      </c>
      <c r="E17" s="294">
        <f t="shared" si="3"/>
        <v>4398207.75</v>
      </c>
      <c r="F17" s="294">
        <f t="shared" si="3"/>
        <v>556078.66000000015</v>
      </c>
      <c r="G17" s="294">
        <f t="shared" si="3"/>
        <v>328416.90000000037</v>
      </c>
      <c r="H17" s="294">
        <f t="shared" si="3"/>
        <v>298207.56000000052</v>
      </c>
      <c r="I17" s="294">
        <f t="shared" si="3"/>
        <v>9960.0400000000009</v>
      </c>
      <c r="J17" s="294">
        <f t="shared" si="3"/>
        <v>0</v>
      </c>
      <c r="K17" s="294">
        <f t="shared" si="3"/>
        <v>0</v>
      </c>
      <c r="L17" s="294">
        <f t="shared" si="3"/>
        <v>0</v>
      </c>
      <c r="M17" s="295">
        <f t="shared" si="2"/>
        <v>7667874.9800000004</v>
      </c>
      <c r="N17" s="296">
        <f t="shared" si="2"/>
        <v>3870664.1400000006</v>
      </c>
    </row>
    <row r="18" spans="1:14" ht="48.75" customHeight="1" thickBot="1" x14ac:dyDescent="0.35">
      <c r="A18" s="66">
        <v>13</v>
      </c>
      <c r="B18" s="102" t="s">
        <v>1156</v>
      </c>
      <c r="C18" s="302">
        <v>0</v>
      </c>
      <c r="D18" s="302">
        <v>0</v>
      </c>
      <c r="E18" s="302">
        <v>350000</v>
      </c>
      <c r="F18" s="302">
        <v>0</v>
      </c>
      <c r="G18" s="302">
        <v>0</v>
      </c>
      <c r="H18" s="302">
        <v>0</v>
      </c>
      <c r="I18" s="302">
        <v>0</v>
      </c>
      <c r="J18" s="302">
        <v>0</v>
      </c>
      <c r="K18" s="302">
        <v>0</v>
      </c>
      <c r="L18" s="302">
        <v>0</v>
      </c>
      <c r="M18" s="303">
        <f t="shared" si="2"/>
        <v>350000</v>
      </c>
      <c r="N18" s="304">
        <f t="shared" si="2"/>
        <v>0</v>
      </c>
    </row>
    <row r="19" spans="1:14" x14ac:dyDescent="0.3">
      <c r="H19" s="124">
        <f>'T8-Soc_štipendiá'!E10+'T20_motivačné štipendiá_nová'!D7+'T20_motivačné štipendiá_nová'!E7</f>
        <v>1567785</v>
      </c>
      <c r="I19" s="68"/>
      <c r="J19" s="68"/>
    </row>
    <row r="20" spans="1:14" x14ac:dyDescent="0.3">
      <c r="A20" s="68" t="s">
        <v>83</v>
      </c>
      <c r="B20" s="68"/>
      <c r="C20" s="68"/>
      <c r="E20" s="68"/>
      <c r="F20" s="68"/>
      <c r="G20" s="68"/>
      <c r="H20" s="125">
        <f>'T4-Výnosy zo školného'!D19</f>
        <v>46922.6</v>
      </c>
      <c r="I20" s="68"/>
      <c r="J20" s="68"/>
      <c r="K20" s="68"/>
      <c r="L20" s="68"/>
      <c r="M20" s="68"/>
      <c r="N20" s="68" t="s">
        <v>1280</v>
      </c>
    </row>
    <row r="21" spans="1:14" x14ac:dyDescent="0.3">
      <c r="A21" s="68" t="s">
        <v>84</v>
      </c>
      <c r="B21" s="68"/>
      <c r="C21" s="68"/>
      <c r="D21" s="68"/>
      <c r="E21" s="68"/>
      <c r="F21" s="68"/>
      <c r="G21" s="68"/>
      <c r="H21" s="125">
        <f>'T8-Soc_štipendiá'!E6+'T20_motivačné štipendiá_nová'!D8+'T20_motivačné štipendiá_nová'!E8+'T19-Štip_ z vlastných '!E6</f>
        <v>1644916.94</v>
      </c>
      <c r="I21" s="68"/>
      <c r="J21" s="68"/>
      <c r="K21" s="68"/>
      <c r="L21" s="68"/>
      <c r="M21" s="68"/>
      <c r="N21" s="68"/>
    </row>
    <row r="22" spans="1:14" ht="33" customHeight="1" x14ac:dyDescent="0.3">
      <c r="A22" s="810" t="s">
        <v>85</v>
      </c>
      <c r="B22" s="810"/>
      <c r="C22" s="810"/>
      <c r="D22" s="68"/>
      <c r="E22" s="68"/>
      <c r="F22" s="68"/>
      <c r="G22" s="68"/>
      <c r="H22" s="68" t="s">
        <v>1279</v>
      </c>
      <c r="I22" s="68"/>
      <c r="J22" s="68"/>
      <c r="K22" s="68"/>
      <c r="L22" s="68"/>
      <c r="M22" s="68"/>
      <c r="N22" s="68"/>
    </row>
    <row r="23" spans="1:14" x14ac:dyDescent="0.3">
      <c r="L23" s="68"/>
    </row>
    <row r="24" spans="1:14" x14ac:dyDescent="0.3">
      <c r="A24" s="808" t="s">
        <v>1278</v>
      </c>
      <c r="B24" s="809"/>
      <c r="C24" s="809"/>
      <c r="D24" s="809"/>
      <c r="E24" s="809"/>
      <c r="F24" s="809"/>
      <c r="G24" s="809"/>
      <c r="H24" s="809"/>
      <c r="I24" s="809"/>
      <c r="J24" s="809"/>
      <c r="K24" s="809"/>
      <c r="L24" s="809"/>
      <c r="M24" s="809"/>
      <c r="N24" s="809"/>
    </row>
    <row r="25" spans="1:14" ht="33.75" customHeight="1" x14ac:dyDescent="0.3">
      <c r="A25" s="809"/>
      <c r="B25" s="809"/>
      <c r="C25" s="809"/>
      <c r="D25" s="809"/>
      <c r="E25" s="809"/>
      <c r="F25" s="809"/>
      <c r="G25" s="809"/>
      <c r="H25" s="809"/>
      <c r="I25" s="809"/>
      <c r="J25" s="809"/>
      <c r="K25" s="809"/>
      <c r="L25" s="809"/>
      <c r="M25" s="809"/>
      <c r="N25" s="809"/>
    </row>
  </sheetData>
  <mergeCells count="12">
    <mergeCell ref="A24:N25"/>
    <mergeCell ref="M3:N3"/>
    <mergeCell ref="A22:C22"/>
    <mergeCell ref="A1:N1"/>
    <mergeCell ref="A2:N2"/>
    <mergeCell ref="A3:A4"/>
    <mergeCell ref="B3:B4"/>
    <mergeCell ref="C3:D3"/>
    <mergeCell ref="E3:F3"/>
    <mergeCell ref="G3:H3"/>
    <mergeCell ref="I3:J3"/>
    <mergeCell ref="K3:L3"/>
  </mergeCells>
  <pageMargins left="0.42" right="0.28999999999999998" top="0.74803149606299213" bottom="0.74803149606299213" header="0.31496062992125984" footer="0.31496062992125984"/>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0">
    <tabColor indexed="42"/>
    <pageSetUpPr fitToPage="1"/>
  </sheetPr>
  <dimension ref="A1:D22"/>
  <sheetViews>
    <sheetView zoomScaleNormal="100" workbookViewId="0">
      <pane xSplit="2" ySplit="4" topLeftCell="C8" activePane="bottomRight" state="frozen"/>
      <selection pane="topRight" activeCell="C1" sqref="C1"/>
      <selection pane="bottomLeft" activeCell="A5" sqref="A5"/>
      <selection pane="bottomRight" activeCell="C7" sqref="C7"/>
    </sheetView>
  </sheetViews>
  <sheetFormatPr defaultColWidth="9.109375" defaultRowHeight="15.6" x14ac:dyDescent="0.25"/>
  <cols>
    <col min="1" max="1" width="10.5546875" style="313" customWidth="1"/>
    <col min="2" max="2" width="43.109375" style="23" customWidth="1"/>
    <col min="3" max="3" width="28.44140625" style="22" customWidth="1"/>
    <col min="4" max="4" width="52.6640625" style="22" customWidth="1"/>
    <col min="5" max="5" width="11" style="22" bestFit="1" customWidth="1"/>
    <col min="6" max="16384" width="9.109375" style="22"/>
  </cols>
  <sheetData>
    <row r="1" spans="1:4" ht="50.1" customHeight="1" thickBot="1" x14ac:dyDescent="0.3">
      <c r="A1" s="650" t="s">
        <v>1166</v>
      </c>
      <c r="B1" s="651"/>
      <c r="C1" s="651"/>
      <c r="D1" s="652"/>
    </row>
    <row r="2" spans="1:4" ht="35.1" customHeight="1" x14ac:dyDescent="0.25">
      <c r="A2" s="647" t="s">
        <v>1225</v>
      </c>
      <c r="B2" s="648"/>
      <c r="C2" s="648"/>
      <c r="D2" s="649"/>
    </row>
    <row r="3" spans="1:4" ht="31.2" x14ac:dyDescent="0.25">
      <c r="A3" s="305" t="s">
        <v>205</v>
      </c>
      <c r="B3" s="5" t="s">
        <v>293</v>
      </c>
      <c r="C3" s="5" t="s">
        <v>1169</v>
      </c>
      <c r="D3" s="6" t="s">
        <v>886</v>
      </c>
    </row>
    <row r="4" spans="1:4" s="30" customFormat="1" ht="18" customHeight="1" x14ac:dyDescent="0.25">
      <c r="A4" s="32"/>
      <c r="B4" s="16" t="s">
        <v>283</v>
      </c>
      <c r="C4" s="16" t="s">
        <v>284</v>
      </c>
      <c r="D4" s="17" t="s">
        <v>285</v>
      </c>
    </row>
    <row r="5" spans="1:4" s="30" customFormat="1" ht="31.2" x14ac:dyDescent="0.25">
      <c r="A5" s="32">
        <v>1</v>
      </c>
      <c r="B5" s="18" t="s">
        <v>18</v>
      </c>
      <c r="C5" s="145">
        <f>SUM(C6:C19)</f>
        <v>13257076.919999998</v>
      </c>
      <c r="D5" s="306"/>
    </row>
    <row r="6" spans="1:4" ht="66" x14ac:dyDescent="0.25">
      <c r="A6" s="32">
        <v>2</v>
      </c>
      <c r="B6" s="96" t="s">
        <v>191</v>
      </c>
      <c r="C6" s="148">
        <v>0</v>
      </c>
      <c r="D6" s="307" t="s">
        <v>1259</v>
      </c>
    </row>
    <row r="7" spans="1:4" ht="66" x14ac:dyDescent="0.25">
      <c r="A7" s="32">
        <v>3</v>
      </c>
      <c r="B7" s="96" t="s">
        <v>192</v>
      </c>
      <c r="C7" s="148">
        <v>5752135.0599999996</v>
      </c>
      <c r="D7" s="307" t="s">
        <v>1260</v>
      </c>
    </row>
    <row r="8" spans="1:4" x14ac:dyDescent="0.25">
      <c r="A8" s="32">
        <v>4</v>
      </c>
      <c r="B8" s="31" t="s">
        <v>193</v>
      </c>
      <c r="C8" s="148">
        <v>0</v>
      </c>
      <c r="D8" s="307" t="s">
        <v>1261</v>
      </c>
    </row>
    <row r="9" spans="1:4" ht="66.75" customHeight="1" x14ac:dyDescent="0.25">
      <c r="A9" s="32">
        <v>5</v>
      </c>
      <c r="B9" s="31" t="s">
        <v>165</v>
      </c>
      <c r="C9" s="148">
        <v>5101595.8099999996</v>
      </c>
      <c r="D9" s="307" t="s">
        <v>1262</v>
      </c>
    </row>
    <row r="10" spans="1:4" x14ac:dyDescent="0.25">
      <c r="A10" s="32">
        <v>6</v>
      </c>
      <c r="B10" s="31" t="s">
        <v>270</v>
      </c>
      <c r="C10" s="148"/>
      <c r="D10" s="308"/>
    </row>
    <row r="11" spans="1:4" x14ac:dyDescent="0.25">
      <c r="A11" s="32">
        <v>7</v>
      </c>
      <c r="B11" s="31" t="s">
        <v>271</v>
      </c>
      <c r="C11" s="148">
        <v>15849.23</v>
      </c>
      <c r="D11" s="307" t="s">
        <v>1263</v>
      </c>
    </row>
    <row r="12" spans="1:4" ht="92.4" x14ac:dyDescent="0.25">
      <c r="A12" s="32">
        <v>8</v>
      </c>
      <c r="B12" s="31" t="s">
        <v>392</v>
      </c>
      <c r="C12" s="148">
        <v>142145.93</v>
      </c>
      <c r="D12" s="307" t="s">
        <v>1269</v>
      </c>
    </row>
    <row r="13" spans="1:4" ht="26.4" x14ac:dyDescent="0.25">
      <c r="A13" s="32">
        <v>9</v>
      </c>
      <c r="B13" s="31" t="s">
        <v>166</v>
      </c>
      <c r="C13" s="148">
        <v>40059.279999999999</v>
      </c>
      <c r="D13" s="307" t="s">
        <v>1270</v>
      </c>
    </row>
    <row r="14" spans="1:4" ht="79.2" x14ac:dyDescent="0.25">
      <c r="A14" s="32">
        <v>10</v>
      </c>
      <c r="B14" s="31" t="s">
        <v>167</v>
      </c>
      <c r="C14" s="148">
        <f>0</f>
        <v>0</v>
      </c>
      <c r="D14" s="307" t="s">
        <v>1264</v>
      </c>
    </row>
    <row r="15" spans="1:4" ht="79.2" x14ac:dyDescent="0.25">
      <c r="A15" s="32">
        <v>11</v>
      </c>
      <c r="B15" s="31" t="s">
        <v>168</v>
      </c>
      <c r="C15" s="148">
        <f>108519.06+296434.08+27981.31+4686+112330.41</f>
        <v>549950.86</v>
      </c>
      <c r="D15" s="307" t="s">
        <v>1265</v>
      </c>
    </row>
    <row r="16" spans="1:4" ht="79.2" x14ac:dyDescent="0.25">
      <c r="A16" s="32">
        <v>12</v>
      </c>
      <c r="B16" s="31" t="s">
        <v>169</v>
      </c>
      <c r="C16" s="148">
        <v>85535.98</v>
      </c>
      <c r="D16" s="307" t="s">
        <v>1266</v>
      </c>
    </row>
    <row r="17" spans="1:4" x14ac:dyDescent="0.25">
      <c r="A17" s="32">
        <v>13</v>
      </c>
      <c r="B17" s="31" t="s">
        <v>170</v>
      </c>
      <c r="C17" s="148">
        <v>0</v>
      </c>
      <c r="D17" s="307" t="s">
        <v>1267</v>
      </c>
    </row>
    <row r="18" spans="1:4" x14ac:dyDescent="0.25">
      <c r="A18" s="32">
        <v>14</v>
      </c>
      <c r="B18" s="31" t="s">
        <v>171</v>
      </c>
      <c r="C18" s="148">
        <v>586007.31000000006</v>
      </c>
      <c r="D18" s="307" t="s">
        <v>1268</v>
      </c>
    </row>
    <row r="19" spans="1:4" ht="267" customHeight="1" x14ac:dyDescent="0.25">
      <c r="A19" s="32">
        <v>15</v>
      </c>
      <c r="B19" s="31" t="s">
        <v>176</v>
      </c>
      <c r="C19" s="148">
        <v>983797.46</v>
      </c>
      <c r="D19" s="307" t="s">
        <v>1271</v>
      </c>
    </row>
    <row r="20" spans="1:4" x14ac:dyDescent="0.25">
      <c r="A20" s="32">
        <v>16</v>
      </c>
      <c r="B20" s="18" t="s">
        <v>306</v>
      </c>
      <c r="C20" s="148"/>
      <c r="D20" s="308"/>
    </row>
    <row r="21" spans="1:4" x14ac:dyDescent="0.25">
      <c r="A21" s="32">
        <v>17</v>
      </c>
      <c r="B21" s="309" t="s">
        <v>837</v>
      </c>
      <c r="C21" s="310"/>
      <c r="D21" s="311"/>
    </row>
    <row r="22" spans="1:4" ht="31.8" thickBot="1" x14ac:dyDescent="0.3">
      <c r="A22" s="288">
        <v>18</v>
      </c>
      <c r="B22" s="26" t="s">
        <v>52</v>
      </c>
      <c r="C22" s="112">
        <f>+C5+C20+C21</f>
        <v>13257076.919999998</v>
      </c>
      <c r="D22" s="312"/>
    </row>
  </sheetData>
  <mergeCells count="2">
    <mergeCell ref="A1:D1"/>
    <mergeCell ref="A2:D2"/>
  </mergeCells>
  <phoneticPr fontId="0" type="noConversion"/>
  <printOptions gridLines="1"/>
  <pageMargins left="0.74803149606299213" right="0.74803149606299213" top="0.98425196850393704" bottom="0.79" header="0.51181102362204722" footer="0.51181102362204722"/>
  <pageSetup paperSize="9" scale="4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16"/>
  <sheetViews>
    <sheetView workbookViewId="0">
      <pane xSplit="2" ySplit="5" topLeftCell="C6" activePane="bottomRight" state="frozen"/>
      <selection pane="topRight" activeCell="C1" sqref="C1"/>
      <selection pane="bottomLeft" activeCell="A6" sqref="A6"/>
      <selection pane="bottomRight" sqref="A1:XFD1048576"/>
    </sheetView>
  </sheetViews>
  <sheetFormatPr defaultColWidth="9.109375" defaultRowHeight="15.6" x14ac:dyDescent="0.25"/>
  <cols>
    <col min="1" max="1" width="7.6640625" style="138" customWidth="1"/>
    <col min="2" max="2" width="47.5546875" style="235" customWidth="1"/>
    <col min="3" max="3" width="17.88671875" style="231" customWidth="1"/>
    <col min="4" max="4" width="16.88671875" style="231" customWidth="1"/>
    <col min="5" max="5" width="17.109375" style="231" customWidth="1"/>
    <col min="6" max="6" width="18.109375" style="231" customWidth="1"/>
    <col min="7" max="7" width="17.44140625" style="231" customWidth="1"/>
    <col min="8" max="8" width="17" style="231" customWidth="1"/>
    <col min="9" max="16384" width="9.109375" style="231"/>
  </cols>
  <sheetData>
    <row r="1" spans="1:9" s="314" customFormat="1" ht="69" customHeight="1" thickBot="1" x14ac:dyDescent="0.3">
      <c r="A1" s="818" t="s">
        <v>1165</v>
      </c>
      <c r="B1" s="819"/>
      <c r="C1" s="819"/>
      <c r="D1" s="819"/>
      <c r="E1" s="819"/>
      <c r="F1" s="819"/>
      <c r="G1" s="819"/>
      <c r="H1" s="820"/>
      <c r="I1" s="525"/>
    </row>
    <row r="2" spans="1:9" s="314" customFormat="1" ht="35.1" customHeight="1" x14ac:dyDescent="0.25">
      <c r="A2" s="804" t="s">
        <v>1220</v>
      </c>
      <c r="B2" s="805"/>
      <c r="C2" s="805"/>
      <c r="D2" s="805"/>
      <c r="E2" s="805"/>
      <c r="F2" s="805"/>
      <c r="G2" s="805"/>
      <c r="H2" s="806"/>
    </row>
    <row r="3" spans="1:9" ht="27" customHeight="1" x14ac:dyDescent="0.25">
      <c r="A3" s="807" t="s">
        <v>205</v>
      </c>
      <c r="B3" s="711" t="s">
        <v>327</v>
      </c>
      <c r="C3" s="706" t="s">
        <v>301</v>
      </c>
      <c r="D3" s="706"/>
      <c r="E3" s="706" t="s">
        <v>302</v>
      </c>
      <c r="F3" s="706"/>
      <c r="G3" s="706" t="s">
        <v>222</v>
      </c>
      <c r="H3" s="821"/>
    </row>
    <row r="4" spans="1:9" ht="33" customHeight="1" x14ac:dyDescent="0.25">
      <c r="A4" s="678"/>
      <c r="B4" s="712"/>
      <c r="C4" s="133" t="s">
        <v>71</v>
      </c>
      <c r="D4" s="133" t="s">
        <v>194</v>
      </c>
      <c r="E4" s="133" t="s">
        <v>71</v>
      </c>
      <c r="F4" s="133" t="s">
        <v>194</v>
      </c>
      <c r="G4" s="133" t="s">
        <v>71</v>
      </c>
      <c r="H4" s="134" t="s">
        <v>194</v>
      </c>
    </row>
    <row r="5" spans="1:9" ht="21.6" customHeight="1" x14ac:dyDescent="0.25">
      <c r="A5" s="157"/>
      <c r="B5" s="131"/>
      <c r="C5" s="8" t="s">
        <v>283</v>
      </c>
      <c r="D5" s="8" t="s">
        <v>284</v>
      </c>
      <c r="E5" s="8" t="s">
        <v>285</v>
      </c>
      <c r="F5" s="8" t="s">
        <v>292</v>
      </c>
      <c r="G5" s="8" t="s">
        <v>25</v>
      </c>
      <c r="H5" s="76" t="s">
        <v>26</v>
      </c>
    </row>
    <row r="6" spans="1:9" ht="19.5" customHeight="1" x14ac:dyDescent="0.25">
      <c r="A6" s="315">
        <v>1</v>
      </c>
      <c r="B6" s="526" t="s">
        <v>1310</v>
      </c>
      <c r="C6" s="527">
        <f>C7</f>
        <v>1523441.37</v>
      </c>
      <c r="D6" s="527">
        <f>D8</f>
        <v>181986.33</v>
      </c>
      <c r="E6" s="527">
        <f>E7</f>
        <v>22143112.260000002</v>
      </c>
      <c r="F6" s="527">
        <f>F8</f>
        <v>2607270.37</v>
      </c>
      <c r="G6" s="528">
        <f>C6+E6</f>
        <v>23666553.630000003</v>
      </c>
      <c r="H6" s="529">
        <f>D6+F6</f>
        <v>2789256.7</v>
      </c>
    </row>
    <row r="7" spans="1:9" ht="19.5" customHeight="1" x14ac:dyDescent="0.25">
      <c r="A7" s="315">
        <v>2</v>
      </c>
      <c r="B7" s="530" t="s">
        <v>1311</v>
      </c>
      <c r="C7" s="316">
        <v>1523441.37</v>
      </c>
      <c r="D7" s="317" t="s">
        <v>939</v>
      </c>
      <c r="E7" s="316">
        <v>22143112.260000002</v>
      </c>
      <c r="F7" s="317" t="s">
        <v>939</v>
      </c>
      <c r="G7" s="528">
        <f t="shared" ref="G7:G16" si="0">C7+E7</f>
        <v>23666553.630000003</v>
      </c>
      <c r="H7" s="531" t="s">
        <v>939</v>
      </c>
    </row>
    <row r="8" spans="1:9" ht="19.5" customHeight="1" x14ac:dyDescent="0.25">
      <c r="A8" s="315">
        <f t="shared" ref="A8:A14" si="1">A7+1</f>
        <v>3</v>
      </c>
      <c r="B8" s="530" t="s">
        <v>1312</v>
      </c>
      <c r="C8" s="317" t="s">
        <v>939</v>
      </c>
      <c r="D8" s="316">
        <v>181986.33</v>
      </c>
      <c r="E8" s="317" t="s">
        <v>939</v>
      </c>
      <c r="F8" s="316">
        <v>2607270.37</v>
      </c>
      <c r="G8" s="532" t="s">
        <v>939</v>
      </c>
      <c r="H8" s="529">
        <f t="shared" ref="H8:H16" si="2">D8+F8</f>
        <v>2789256.7</v>
      </c>
    </row>
    <row r="9" spans="1:9" ht="19.5" customHeight="1" x14ac:dyDescent="0.25">
      <c r="A9" s="315">
        <f t="shared" si="1"/>
        <v>4</v>
      </c>
      <c r="B9" s="526" t="s">
        <v>1313</v>
      </c>
      <c r="C9" s="527">
        <f>SUM(C10:C11)</f>
        <v>1622097.36</v>
      </c>
      <c r="D9" s="527">
        <f>SUM(D10:D11)</f>
        <v>190835.23</v>
      </c>
      <c r="E9" s="527">
        <f>SUM(E10:E11)</f>
        <v>0</v>
      </c>
      <c r="F9" s="527">
        <f>SUM(F10:F11)</f>
        <v>0</v>
      </c>
      <c r="G9" s="528">
        <f t="shared" si="0"/>
        <v>1622097.36</v>
      </c>
      <c r="H9" s="529">
        <f t="shared" si="2"/>
        <v>190835.23</v>
      </c>
    </row>
    <row r="10" spans="1:9" ht="19.5" customHeight="1" x14ac:dyDescent="0.25">
      <c r="A10" s="315">
        <f t="shared" si="1"/>
        <v>5</v>
      </c>
      <c r="B10" s="530" t="s">
        <v>1314</v>
      </c>
      <c r="C10" s="316">
        <v>1622097.36</v>
      </c>
      <c r="D10" s="317" t="s">
        <v>939</v>
      </c>
      <c r="E10" s="316">
        <v>0</v>
      </c>
      <c r="F10" s="317" t="s">
        <v>939</v>
      </c>
      <c r="G10" s="528">
        <f t="shared" si="0"/>
        <v>1622097.36</v>
      </c>
      <c r="H10" s="531" t="s">
        <v>939</v>
      </c>
    </row>
    <row r="11" spans="1:9" ht="19.5" customHeight="1" x14ac:dyDescent="0.25">
      <c r="A11" s="315">
        <f t="shared" si="1"/>
        <v>6</v>
      </c>
      <c r="B11" s="530" t="s">
        <v>1315</v>
      </c>
      <c r="C11" s="317" t="s">
        <v>939</v>
      </c>
      <c r="D11" s="316">
        <v>190835.23</v>
      </c>
      <c r="E11" s="317" t="s">
        <v>939</v>
      </c>
      <c r="F11" s="316">
        <v>0</v>
      </c>
      <c r="G11" s="532" t="s">
        <v>939</v>
      </c>
      <c r="H11" s="529">
        <f t="shared" si="2"/>
        <v>190835.23</v>
      </c>
    </row>
    <row r="12" spans="1:9" x14ac:dyDescent="0.25">
      <c r="A12" s="315">
        <f t="shared" si="1"/>
        <v>7</v>
      </c>
      <c r="B12" s="526" t="s">
        <v>1316</v>
      </c>
      <c r="C12" s="527">
        <f t="shared" ref="C12:H12" si="3">C6+C9</f>
        <v>3145538.7300000004</v>
      </c>
      <c r="D12" s="527">
        <f t="shared" si="3"/>
        <v>372821.56</v>
      </c>
      <c r="E12" s="527">
        <f t="shared" si="3"/>
        <v>22143112.260000002</v>
      </c>
      <c r="F12" s="527">
        <f t="shared" si="3"/>
        <v>2607270.37</v>
      </c>
      <c r="G12" s="528">
        <f t="shared" si="3"/>
        <v>25288650.990000002</v>
      </c>
      <c r="H12" s="529">
        <f t="shared" si="3"/>
        <v>2980091.93</v>
      </c>
      <c r="I12" s="65"/>
    </row>
    <row r="13" spans="1:9" ht="26.25" customHeight="1" x14ac:dyDescent="0.25">
      <c r="A13" s="315">
        <f t="shared" si="1"/>
        <v>8</v>
      </c>
      <c r="B13" s="526" t="s">
        <v>1317</v>
      </c>
      <c r="C13" s="527">
        <f>SUM(C14:C15)</f>
        <v>0</v>
      </c>
      <c r="D13" s="527">
        <f>SUM(D14:D15)</f>
        <v>0</v>
      </c>
      <c r="E13" s="527">
        <f>SUM(E14:E15)</f>
        <v>0</v>
      </c>
      <c r="F13" s="527">
        <f>SUM(F14:F15)</f>
        <v>0</v>
      </c>
      <c r="G13" s="528">
        <f t="shared" si="0"/>
        <v>0</v>
      </c>
      <c r="H13" s="529">
        <f t="shared" si="2"/>
        <v>0</v>
      </c>
    </row>
    <row r="14" spans="1:9" ht="24" customHeight="1" x14ac:dyDescent="0.25">
      <c r="A14" s="315">
        <f t="shared" si="1"/>
        <v>9</v>
      </c>
      <c r="B14" s="318"/>
      <c r="C14" s="319"/>
      <c r="D14" s="319"/>
      <c r="E14" s="319"/>
      <c r="F14" s="319"/>
      <c r="G14" s="528">
        <f t="shared" si="0"/>
        <v>0</v>
      </c>
      <c r="H14" s="529">
        <f t="shared" si="2"/>
        <v>0</v>
      </c>
    </row>
    <row r="15" spans="1:9" ht="24.75" customHeight="1" x14ac:dyDescent="0.25">
      <c r="A15" s="315" t="s">
        <v>941</v>
      </c>
      <c r="B15" s="320"/>
      <c r="C15" s="319"/>
      <c r="D15" s="319"/>
      <c r="E15" s="319"/>
      <c r="F15" s="319"/>
      <c r="G15" s="528">
        <f t="shared" si="0"/>
        <v>0</v>
      </c>
      <c r="H15" s="529">
        <f t="shared" si="2"/>
        <v>0</v>
      </c>
    </row>
    <row r="16" spans="1:9" ht="23.25" customHeight="1" thickBot="1" x14ac:dyDescent="0.3">
      <c r="A16" s="321">
        <v>10</v>
      </c>
      <c r="B16" s="533" t="s">
        <v>1318</v>
      </c>
      <c r="C16" s="322">
        <f>C12+C13</f>
        <v>3145538.7300000004</v>
      </c>
      <c r="D16" s="322">
        <f>D12+D13</f>
        <v>372821.56</v>
      </c>
      <c r="E16" s="322">
        <f>E12+E13</f>
        <v>22143112.260000002</v>
      </c>
      <c r="F16" s="322">
        <f>F12+F13</f>
        <v>2607270.37</v>
      </c>
      <c r="G16" s="534">
        <f t="shared" si="0"/>
        <v>25288650.990000002</v>
      </c>
      <c r="H16" s="535">
        <f t="shared" si="2"/>
        <v>2980091.93</v>
      </c>
    </row>
  </sheetData>
  <sheetProtection selectLockedCells="1"/>
  <mergeCells count="7">
    <mergeCell ref="A1:H1"/>
    <mergeCell ref="A2:H2"/>
    <mergeCell ref="A3:A4"/>
    <mergeCell ref="B3:B4"/>
    <mergeCell ref="C3:D3"/>
    <mergeCell ref="E3:F3"/>
    <mergeCell ref="G3:H3"/>
  </mergeCells>
  <printOptions gridLines="1"/>
  <pageMargins left="0.74803149606299213" right="0.74803149606299213" top="0.98425196850393704" bottom="0.88" header="0.51181102362204722" footer="0.51181102362204722"/>
  <pageSetup paperSize="9" scale="8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2">
    <tabColor indexed="42"/>
    <pageSetUpPr fitToPage="1"/>
  </sheetPr>
  <dimension ref="A1:I24"/>
  <sheetViews>
    <sheetView zoomScaleNormal="100" workbookViewId="0">
      <pane xSplit="2" ySplit="4" topLeftCell="C5" activePane="bottomRight" state="frozen"/>
      <selection pane="topRight" activeCell="C1" sqref="C1"/>
      <selection pane="bottomLeft" activeCell="A5" sqref="A5"/>
      <selection pane="bottomRight" activeCell="B6" sqref="B6"/>
    </sheetView>
  </sheetViews>
  <sheetFormatPr defaultColWidth="9.109375" defaultRowHeight="15.6" x14ac:dyDescent="0.3"/>
  <cols>
    <col min="1" max="1" width="9.5546875" style="522" customWidth="1"/>
    <col min="2" max="2" width="58.44140625" style="196" customWidth="1"/>
    <col min="3" max="3" width="22.109375" style="22" customWidth="1"/>
    <col min="4" max="4" width="21.109375" style="22" customWidth="1"/>
    <col min="5" max="5" width="24.109375" style="22" customWidth="1"/>
    <col min="6" max="16384" width="9.109375" style="196"/>
  </cols>
  <sheetData>
    <row r="1" spans="1:9" ht="80.25" customHeight="1" thickBot="1" x14ac:dyDescent="0.35">
      <c r="A1" s="822" t="s">
        <v>1308</v>
      </c>
      <c r="B1" s="823"/>
      <c r="C1" s="823"/>
      <c r="D1" s="823"/>
      <c r="E1" s="824"/>
      <c r="F1" s="515"/>
      <c r="G1" s="515"/>
    </row>
    <row r="2" spans="1:9" ht="35.1" customHeight="1" x14ac:dyDescent="0.3">
      <c r="A2" s="647" t="s">
        <v>1220</v>
      </c>
      <c r="B2" s="648"/>
      <c r="C2" s="648"/>
      <c r="D2" s="648"/>
      <c r="E2" s="649"/>
      <c r="F2" s="515"/>
      <c r="G2" s="515"/>
    </row>
    <row r="3" spans="1:9" s="517" customFormat="1" ht="46.95" customHeight="1" x14ac:dyDescent="0.3">
      <c r="A3" s="516" t="s">
        <v>205</v>
      </c>
      <c r="B3" s="5" t="s">
        <v>327</v>
      </c>
      <c r="C3" s="5" t="s">
        <v>301</v>
      </c>
      <c r="D3" s="5" t="s">
        <v>302</v>
      </c>
      <c r="E3" s="6" t="s">
        <v>207</v>
      </c>
    </row>
    <row r="4" spans="1:9" s="517" customFormat="1" ht="16.5" customHeight="1" x14ac:dyDescent="0.3">
      <c r="A4" s="516"/>
      <c r="B4" s="5"/>
      <c r="C4" s="5" t="s">
        <v>283</v>
      </c>
      <c r="D4" s="5" t="s">
        <v>284</v>
      </c>
      <c r="E4" s="6" t="s">
        <v>22</v>
      </c>
    </row>
    <row r="5" spans="1:9" s="517" customFormat="1" ht="17.399999999999999" customHeight="1" x14ac:dyDescent="0.3">
      <c r="A5" s="516"/>
      <c r="B5" s="34" t="s">
        <v>367</v>
      </c>
      <c r="C5" s="202"/>
      <c r="D5" s="202"/>
      <c r="E5" s="146"/>
    </row>
    <row r="6" spans="1:9" s="517" customFormat="1" ht="17.399999999999999" customHeight="1" x14ac:dyDescent="0.3">
      <c r="A6" s="32">
        <v>1</v>
      </c>
      <c r="B6" s="18" t="s">
        <v>398</v>
      </c>
      <c r="C6" s="145">
        <f>SUM(C7:C10)</f>
        <v>1199552</v>
      </c>
      <c r="D6" s="145">
        <f>SUM(D7:D10)</f>
        <v>0</v>
      </c>
      <c r="E6" s="146">
        <f>C6+D6</f>
        <v>1199552</v>
      </c>
    </row>
    <row r="7" spans="1:9" s="22" customFormat="1" x14ac:dyDescent="0.25">
      <c r="A7" s="32">
        <f>A6+1</f>
        <v>2</v>
      </c>
      <c r="B7" s="31" t="s">
        <v>135</v>
      </c>
      <c r="C7" s="148">
        <v>1186552</v>
      </c>
      <c r="D7" s="148"/>
      <c r="E7" s="146">
        <f>C7+D7</f>
        <v>1186552</v>
      </c>
    </row>
    <row r="8" spans="1:9" s="22" customFormat="1" x14ac:dyDescent="0.25">
      <c r="A8" s="32">
        <f>A7+1</f>
        <v>3</v>
      </c>
      <c r="B8" s="31" t="s">
        <v>395</v>
      </c>
      <c r="C8" s="148">
        <v>13000</v>
      </c>
      <c r="D8" s="148"/>
      <c r="E8" s="146">
        <f t="shared" ref="E8:E16" si="0">C8+D8</f>
        <v>13000</v>
      </c>
      <c r="G8" s="518"/>
    </row>
    <row r="9" spans="1:9" s="22" customFormat="1" x14ac:dyDescent="0.25">
      <c r="A9" s="32">
        <f>A8+1</f>
        <v>4</v>
      </c>
      <c r="B9" s="31"/>
      <c r="C9" s="148"/>
      <c r="D9" s="148"/>
      <c r="E9" s="146"/>
    </row>
    <row r="10" spans="1:9" s="22" customFormat="1" x14ac:dyDescent="0.25">
      <c r="A10" s="32">
        <f>A9+1</f>
        <v>5</v>
      </c>
      <c r="B10" s="31"/>
      <c r="C10" s="148"/>
      <c r="D10" s="148"/>
      <c r="E10" s="146">
        <f t="shared" si="0"/>
        <v>0</v>
      </c>
    </row>
    <row r="11" spans="1:9" s="22" customFormat="1" x14ac:dyDescent="0.25">
      <c r="A11" s="32"/>
      <c r="B11" s="34" t="s">
        <v>836</v>
      </c>
      <c r="C11" s="148"/>
      <c r="D11" s="148"/>
      <c r="E11" s="146"/>
    </row>
    <row r="12" spans="1:9" x14ac:dyDescent="0.3">
      <c r="A12" s="32">
        <v>6</v>
      </c>
      <c r="B12" s="31" t="s">
        <v>8</v>
      </c>
      <c r="C12" s="310">
        <v>330</v>
      </c>
      <c r="D12" s="310"/>
      <c r="E12" s="146">
        <f t="shared" si="0"/>
        <v>330</v>
      </c>
    </row>
    <row r="13" spans="1:9" x14ac:dyDescent="0.3">
      <c r="A13" s="32">
        <v>7</v>
      </c>
      <c r="B13" s="31" t="s">
        <v>9</v>
      </c>
      <c r="C13" s="148"/>
      <c r="D13" s="148"/>
      <c r="E13" s="146">
        <f t="shared" si="0"/>
        <v>0</v>
      </c>
    </row>
    <row r="14" spans="1:9" x14ac:dyDescent="0.3">
      <c r="A14" s="32"/>
      <c r="B14" s="15"/>
      <c r="C14" s="310"/>
      <c r="D14" s="310"/>
      <c r="E14" s="146"/>
    </row>
    <row r="15" spans="1:9" x14ac:dyDescent="0.3">
      <c r="A15" s="32">
        <v>8</v>
      </c>
      <c r="B15" s="15" t="s">
        <v>399</v>
      </c>
      <c r="C15" s="324">
        <f>SUM(C16:C17)</f>
        <v>0</v>
      </c>
      <c r="D15" s="324">
        <f>SUM(D16:D17)</f>
        <v>0</v>
      </c>
      <c r="E15" s="146">
        <f t="shared" si="0"/>
        <v>0</v>
      </c>
    </row>
    <row r="16" spans="1:9" ht="31.2" x14ac:dyDescent="0.3">
      <c r="A16" s="32" t="s">
        <v>397</v>
      </c>
      <c r="B16" s="31" t="s">
        <v>984</v>
      </c>
      <c r="C16" s="310"/>
      <c r="D16" s="310"/>
      <c r="E16" s="146">
        <f t="shared" si="0"/>
        <v>0</v>
      </c>
      <c r="I16" s="519"/>
    </row>
    <row r="17" spans="1:5" x14ac:dyDescent="0.3">
      <c r="A17" s="32"/>
      <c r="B17" s="15"/>
      <c r="C17" s="310"/>
      <c r="D17" s="310"/>
      <c r="E17" s="146"/>
    </row>
    <row r="18" spans="1:5" ht="16.2" thickBot="1" x14ac:dyDescent="0.35">
      <c r="A18" s="520">
        <v>9</v>
      </c>
      <c r="B18" s="521" t="s">
        <v>1309</v>
      </c>
      <c r="C18" s="112">
        <f>C6+C12+C13+C15</f>
        <v>1199882</v>
      </c>
      <c r="D18" s="112">
        <f>D6+D12+D13+D15</f>
        <v>0</v>
      </c>
      <c r="E18" s="151">
        <f>E6+E12+E13+E15</f>
        <v>1199882</v>
      </c>
    </row>
    <row r="19" spans="1:5" x14ac:dyDescent="0.3">
      <c r="E19" s="523"/>
    </row>
    <row r="21" spans="1:5" x14ac:dyDescent="0.3">
      <c r="B21" s="524"/>
      <c r="C21" s="522"/>
    </row>
    <row r="22" spans="1:5" x14ac:dyDescent="0.3">
      <c r="B22" s="522"/>
      <c r="C22" s="522"/>
    </row>
    <row r="23" spans="1:5" x14ac:dyDescent="0.3">
      <c r="B23" s="522"/>
      <c r="C23" s="522"/>
    </row>
    <row r="24" spans="1:5" x14ac:dyDescent="0.3">
      <c r="D24" s="518"/>
    </row>
  </sheetData>
  <protectedRanges>
    <protectedRange sqref="C8:D10" name="Rozsah2_1"/>
    <protectedRange sqref="C11:D11" name="Rozsah2_2"/>
  </protectedRanges>
  <mergeCells count="2">
    <mergeCell ref="A1:E1"/>
    <mergeCell ref="A2:E2"/>
  </mergeCells>
  <phoneticPr fontId="5" type="noConversion"/>
  <pageMargins left="0.79" right="0.74803149606299213" top="0.98425196850393704" bottom="0.77"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tabColor indexed="42"/>
    <pageSetUpPr fitToPage="1"/>
  </sheetPr>
  <dimension ref="A1:G36"/>
  <sheetViews>
    <sheetView workbookViewId="0">
      <pane xSplit="2" ySplit="4" topLeftCell="C5" activePane="bottomRight" state="frozen"/>
      <selection pane="topRight" activeCell="C1" sqref="C1"/>
      <selection pane="bottomLeft" activeCell="A5" sqref="A5"/>
      <selection pane="bottomRight" activeCell="B8" sqref="B8:B9"/>
    </sheetView>
  </sheetViews>
  <sheetFormatPr defaultColWidth="9.109375" defaultRowHeight="15.6" x14ac:dyDescent="0.3"/>
  <cols>
    <col min="1" max="1" width="10.109375" style="522" customWidth="1"/>
    <col min="2" max="2" width="83" style="642" customWidth="1"/>
    <col min="3" max="3" width="15.44140625" style="196" customWidth="1"/>
    <col min="4" max="4" width="14.33203125" style="196" customWidth="1"/>
    <col min="5" max="5" width="14.6640625" style="196" customWidth="1"/>
    <col min="6" max="16384" width="9.109375" style="196"/>
  </cols>
  <sheetData>
    <row r="1" spans="1:7" ht="50.1" customHeight="1" thickBot="1" x14ac:dyDescent="0.35">
      <c r="A1" s="650" t="s">
        <v>1434</v>
      </c>
      <c r="B1" s="651"/>
      <c r="C1" s="651"/>
      <c r="D1" s="651"/>
      <c r="E1" s="652"/>
      <c r="F1" s="515"/>
      <c r="G1" s="515"/>
    </row>
    <row r="2" spans="1:7" s="622" customFormat="1" ht="38.25" customHeight="1" x14ac:dyDescent="0.25">
      <c r="A2" s="653" t="s">
        <v>1217</v>
      </c>
      <c r="B2" s="654"/>
      <c r="C2" s="654"/>
      <c r="D2" s="654"/>
      <c r="E2" s="655"/>
    </row>
    <row r="3" spans="1:7" s="517" customFormat="1" ht="35.25" customHeight="1" x14ac:dyDescent="0.3">
      <c r="A3" s="516" t="s">
        <v>205</v>
      </c>
      <c r="B3" s="5" t="s">
        <v>327</v>
      </c>
      <c r="C3" s="5" t="s">
        <v>301</v>
      </c>
      <c r="D3" s="5" t="s">
        <v>302</v>
      </c>
      <c r="E3" s="6" t="s">
        <v>222</v>
      </c>
    </row>
    <row r="4" spans="1:7" s="22" customFormat="1" ht="17.25" customHeight="1" x14ac:dyDescent="0.25">
      <c r="A4" s="32"/>
      <c r="B4" s="15"/>
      <c r="C4" s="4" t="s">
        <v>283</v>
      </c>
      <c r="D4" s="4" t="s">
        <v>284</v>
      </c>
      <c r="E4" s="14" t="s">
        <v>22</v>
      </c>
    </row>
    <row r="5" spans="1:7" ht="31.2" x14ac:dyDescent="0.3">
      <c r="A5" s="572">
        <v>1</v>
      </c>
      <c r="B5" s="639" t="s">
        <v>1435</v>
      </c>
      <c r="C5" s="145">
        <f>SUM(C6:C7)</f>
        <v>195000</v>
      </c>
      <c r="D5" s="145">
        <f>SUM(D6:D7)</f>
        <v>4910</v>
      </c>
      <c r="E5" s="146">
        <f>C5+D5</f>
        <v>199910</v>
      </c>
    </row>
    <row r="6" spans="1:7" x14ac:dyDescent="0.3">
      <c r="A6" s="572" t="s">
        <v>316</v>
      </c>
      <c r="B6" s="147" t="s">
        <v>1226</v>
      </c>
      <c r="C6" s="148">
        <v>5000</v>
      </c>
      <c r="D6" s="148">
        <v>4910</v>
      </c>
      <c r="E6" s="146">
        <f t="shared" ref="E6:E34" si="0">C6+D6</f>
        <v>9910</v>
      </c>
    </row>
    <row r="7" spans="1:7" x14ac:dyDescent="0.3">
      <c r="A7" s="572" t="s">
        <v>384</v>
      </c>
      <c r="B7" s="147" t="s">
        <v>1227</v>
      </c>
      <c r="C7" s="148">
        <v>190000</v>
      </c>
      <c r="D7" s="148"/>
      <c r="E7" s="146">
        <f t="shared" si="0"/>
        <v>190000</v>
      </c>
    </row>
    <row r="8" spans="1:7" x14ac:dyDescent="0.3">
      <c r="A8" s="572" t="s">
        <v>1228</v>
      </c>
      <c r="B8" s="147" t="s">
        <v>1229</v>
      </c>
      <c r="C8" s="148">
        <v>106514</v>
      </c>
      <c r="D8" s="148"/>
      <c r="E8" s="146">
        <f t="shared" si="0"/>
        <v>106514</v>
      </c>
    </row>
    <row r="9" spans="1:7" x14ac:dyDescent="0.3">
      <c r="A9" s="572" t="s">
        <v>1230</v>
      </c>
      <c r="B9" s="147" t="s">
        <v>1231</v>
      </c>
      <c r="C9" s="148">
        <v>15000</v>
      </c>
      <c r="D9" s="148"/>
      <c r="E9" s="146">
        <f t="shared" si="0"/>
        <v>15000</v>
      </c>
    </row>
    <row r="10" spans="1:7" x14ac:dyDescent="0.3">
      <c r="A10" s="572"/>
      <c r="B10" s="147"/>
      <c r="C10" s="148"/>
      <c r="D10" s="148"/>
      <c r="E10" s="146"/>
    </row>
    <row r="11" spans="1:7" x14ac:dyDescent="0.3">
      <c r="A11" s="572">
        <v>2</v>
      </c>
      <c r="B11" s="639" t="s">
        <v>1436</v>
      </c>
      <c r="C11" s="145">
        <f>SUM(C12:C13)</f>
        <v>900</v>
      </c>
      <c r="D11" s="145">
        <f>SUM(D12:D13)</f>
        <v>0</v>
      </c>
      <c r="E11" s="146">
        <f t="shared" si="0"/>
        <v>900</v>
      </c>
    </row>
    <row r="12" spans="1:7" x14ac:dyDescent="0.3">
      <c r="A12" s="572" t="s">
        <v>317</v>
      </c>
      <c r="B12" s="147" t="s">
        <v>1233</v>
      </c>
      <c r="C12" s="148">
        <v>300</v>
      </c>
      <c r="D12" s="148"/>
      <c r="E12" s="146">
        <f t="shared" si="0"/>
        <v>300</v>
      </c>
    </row>
    <row r="13" spans="1:7" x14ac:dyDescent="0.3">
      <c r="A13" s="572" t="s">
        <v>385</v>
      </c>
      <c r="B13" s="147" t="s">
        <v>1234</v>
      </c>
      <c r="C13" s="148">
        <v>600</v>
      </c>
      <c r="D13" s="148"/>
      <c r="E13" s="146">
        <f t="shared" si="0"/>
        <v>600</v>
      </c>
    </row>
    <row r="14" spans="1:7" x14ac:dyDescent="0.3">
      <c r="A14" s="572"/>
      <c r="B14" s="147"/>
      <c r="C14" s="148"/>
      <c r="D14" s="148"/>
      <c r="E14" s="146">
        <f t="shared" si="0"/>
        <v>0</v>
      </c>
    </row>
    <row r="15" spans="1:7" x14ac:dyDescent="0.3">
      <c r="A15" s="572">
        <v>3</v>
      </c>
      <c r="B15" s="639" t="s">
        <v>1437</v>
      </c>
      <c r="C15" s="145">
        <f>SUM(C16:C17)</f>
        <v>12000</v>
      </c>
      <c r="D15" s="145">
        <f>SUM(D16:D17)</f>
        <v>0</v>
      </c>
      <c r="E15" s="146">
        <f t="shared" si="0"/>
        <v>12000</v>
      </c>
    </row>
    <row r="16" spans="1:7" x14ac:dyDescent="0.3">
      <c r="A16" s="572" t="s">
        <v>318</v>
      </c>
      <c r="B16" s="147" t="s">
        <v>1232</v>
      </c>
      <c r="C16" s="148">
        <v>12000</v>
      </c>
      <c r="D16" s="148"/>
      <c r="E16" s="146">
        <f t="shared" si="0"/>
        <v>12000</v>
      </c>
    </row>
    <row r="17" spans="1:5" x14ac:dyDescent="0.3">
      <c r="A17" s="572" t="s">
        <v>386</v>
      </c>
      <c r="B17" s="147"/>
      <c r="C17" s="148"/>
      <c r="D17" s="148"/>
      <c r="E17" s="146">
        <f t="shared" si="0"/>
        <v>0</v>
      </c>
    </row>
    <row r="18" spans="1:5" x14ac:dyDescent="0.3">
      <c r="A18" s="572"/>
      <c r="B18" s="147"/>
      <c r="C18" s="148"/>
      <c r="D18" s="148"/>
      <c r="E18" s="146">
        <f t="shared" si="0"/>
        <v>0</v>
      </c>
    </row>
    <row r="19" spans="1:5" x14ac:dyDescent="0.3">
      <c r="A19" s="572">
        <v>4</v>
      </c>
      <c r="B19" s="639" t="s">
        <v>1438</v>
      </c>
      <c r="C19" s="145">
        <f>SUM(C20:C32)</f>
        <v>1326718.7000000002</v>
      </c>
      <c r="D19" s="145">
        <f>SUM(D20:D21)</f>
        <v>0</v>
      </c>
      <c r="E19" s="146">
        <f t="shared" si="0"/>
        <v>1326718.7000000002</v>
      </c>
    </row>
    <row r="20" spans="1:5" x14ac:dyDescent="0.3">
      <c r="A20" s="572" t="s">
        <v>240</v>
      </c>
      <c r="B20" s="147" t="s">
        <v>1235</v>
      </c>
      <c r="C20" s="148">
        <v>6536.41</v>
      </c>
      <c r="D20" s="148"/>
      <c r="E20" s="146">
        <f t="shared" si="0"/>
        <v>6536.41</v>
      </c>
    </row>
    <row r="21" spans="1:5" x14ac:dyDescent="0.3">
      <c r="A21" s="572" t="s">
        <v>387</v>
      </c>
      <c r="B21" s="147" t="s">
        <v>1236</v>
      </c>
      <c r="C21" s="148">
        <v>42718</v>
      </c>
      <c r="D21" s="148"/>
      <c r="E21" s="146">
        <f t="shared" si="0"/>
        <v>42718</v>
      </c>
    </row>
    <row r="22" spans="1:5" x14ac:dyDescent="0.3">
      <c r="A22" s="572" t="s">
        <v>1237</v>
      </c>
      <c r="B22" s="147" t="s">
        <v>1238</v>
      </c>
      <c r="C22" s="148">
        <v>6152.6</v>
      </c>
      <c r="D22" s="148"/>
      <c r="E22" s="146">
        <f t="shared" si="0"/>
        <v>6152.6</v>
      </c>
    </row>
    <row r="23" spans="1:5" x14ac:dyDescent="0.3">
      <c r="A23" s="640" t="s">
        <v>1239</v>
      </c>
      <c r="B23" s="641" t="s">
        <v>1240</v>
      </c>
      <c r="C23" s="310">
        <v>5697.59</v>
      </c>
      <c r="D23" s="310"/>
      <c r="E23" s="146">
        <f t="shared" si="0"/>
        <v>5697.59</v>
      </c>
    </row>
    <row r="24" spans="1:5" x14ac:dyDescent="0.3">
      <c r="A24" s="640" t="s">
        <v>1241</v>
      </c>
      <c r="B24" s="147" t="s">
        <v>1243</v>
      </c>
      <c r="C24" s="310">
        <v>522787.3</v>
      </c>
      <c r="D24" s="310"/>
      <c r="E24" s="146">
        <f t="shared" si="0"/>
        <v>522787.3</v>
      </c>
    </row>
    <row r="25" spans="1:5" x14ac:dyDescent="0.3">
      <c r="A25" s="640" t="s">
        <v>1242</v>
      </c>
      <c r="B25" s="147" t="s">
        <v>1244</v>
      </c>
      <c r="C25" s="310">
        <v>36754.99</v>
      </c>
      <c r="D25" s="310"/>
      <c r="E25" s="146">
        <f t="shared" si="0"/>
        <v>36754.99</v>
      </c>
    </row>
    <row r="26" spans="1:5" x14ac:dyDescent="0.3">
      <c r="A26" s="640" t="s">
        <v>1245</v>
      </c>
      <c r="B26" s="641" t="s">
        <v>1247</v>
      </c>
      <c r="C26" s="310">
        <v>21861</v>
      </c>
      <c r="D26" s="310"/>
      <c r="E26" s="146">
        <f t="shared" si="0"/>
        <v>21861</v>
      </c>
    </row>
    <row r="27" spans="1:5" x14ac:dyDescent="0.3">
      <c r="A27" s="640" t="s">
        <v>1246</v>
      </c>
      <c r="B27" s="641" t="s">
        <v>1248</v>
      </c>
      <c r="C27" s="310">
        <v>27275.4</v>
      </c>
      <c r="D27" s="310"/>
      <c r="E27" s="146">
        <f t="shared" si="0"/>
        <v>27275.4</v>
      </c>
    </row>
    <row r="28" spans="1:5" ht="17.25" customHeight="1" x14ac:dyDescent="0.3">
      <c r="A28" s="640" t="s">
        <v>1249</v>
      </c>
      <c r="B28" s="641" t="s">
        <v>1256</v>
      </c>
      <c r="C28" s="310">
        <v>14000</v>
      </c>
      <c r="D28" s="310"/>
      <c r="E28" s="146">
        <f t="shared" si="0"/>
        <v>14000</v>
      </c>
    </row>
    <row r="29" spans="1:5" x14ac:dyDescent="0.3">
      <c r="A29" s="640" t="s">
        <v>1250</v>
      </c>
      <c r="B29" s="641" t="s">
        <v>1258</v>
      </c>
      <c r="C29" s="310">
        <v>5575.04</v>
      </c>
      <c r="D29" s="310"/>
      <c r="E29" s="146">
        <f t="shared" si="0"/>
        <v>5575.04</v>
      </c>
    </row>
    <row r="30" spans="1:5" x14ac:dyDescent="0.3">
      <c r="A30" s="640" t="s">
        <v>1251</v>
      </c>
      <c r="B30" s="147" t="s">
        <v>1257</v>
      </c>
      <c r="C30" s="310">
        <v>954.37</v>
      </c>
      <c r="D30" s="310"/>
      <c r="E30" s="146">
        <f t="shared" si="0"/>
        <v>954.37</v>
      </c>
    </row>
    <row r="31" spans="1:5" x14ac:dyDescent="0.3">
      <c r="A31" s="640" t="s">
        <v>1252</v>
      </c>
      <c r="B31" s="641" t="s">
        <v>1254</v>
      </c>
      <c r="C31" s="310">
        <v>535160</v>
      </c>
      <c r="D31" s="310"/>
      <c r="E31" s="146">
        <f t="shared" si="0"/>
        <v>535160</v>
      </c>
    </row>
    <row r="32" spans="1:5" x14ac:dyDescent="0.3">
      <c r="A32" s="640" t="s">
        <v>1253</v>
      </c>
      <c r="B32" s="641" t="s">
        <v>1255</v>
      </c>
      <c r="C32" s="310">
        <v>101246</v>
      </c>
      <c r="D32" s="310"/>
      <c r="E32" s="146">
        <f t="shared" si="0"/>
        <v>101246</v>
      </c>
    </row>
    <row r="33" spans="1:5" x14ac:dyDescent="0.3">
      <c r="A33" s="640"/>
      <c r="B33" s="641"/>
      <c r="C33" s="310"/>
      <c r="D33" s="310"/>
      <c r="E33" s="149"/>
    </row>
    <row r="34" spans="1:5" ht="16.2" thickBot="1" x14ac:dyDescent="0.35">
      <c r="A34" s="520">
        <v>5</v>
      </c>
      <c r="B34" s="521" t="s">
        <v>1439</v>
      </c>
      <c r="C34" s="112">
        <f>C5+C11+C15+C19</f>
        <v>1534618.7000000002</v>
      </c>
      <c r="D34" s="112">
        <f>D5+D11+D15+D19</f>
        <v>4910</v>
      </c>
      <c r="E34" s="151">
        <f t="shared" si="0"/>
        <v>1539528.7000000002</v>
      </c>
    </row>
    <row r="36" spans="1:5" s="154" customFormat="1" x14ac:dyDescent="0.3">
      <c r="A36" s="152"/>
      <c r="B36" s="153"/>
    </row>
  </sheetData>
  <mergeCells count="2">
    <mergeCell ref="A1:E1"/>
    <mergeCell ref="A2:E2"/>
  </mergeCells>
  <phoneticPr fontId="0" type="noConversion"/>
  <printOptions gridLines="1"/>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F23"/>
  <sheetViews>
    <sheetView workbookViewId="0">
      <pane xSplit="2" ySplit="5" topLeftCell="C6" activePane="bottomRight" state="frozen"/>
      <selection pane="topRight" activeCell="C1" sqref="C1"/>
      <selection pane="bottomLeft" activeCell="A6" sqref="A6"/>
      <selection pane="bottomRight" activeCell="D11" sqref="D11"/>
    </sheetView>
  </sheetViews>
  <sheetFormatPr defaultColWidth="9.109375" defaultRowHeight="15.6" x14ac:dyDescent="0.25"/>
  <cols>
    <col min="1" max="1" width="9.109375" style="27"/>
    <col min="2" max="2" width="75.44140625" style="257" customWidth="1"/>
    <col min="3" max="3" width="17.33203125" style="328" customWidth="1"/>
    <col min="4" max="6" width="17.33203125" style="27" customWidth="1"/>
    <col min="7" max="7" width="16" style="27" customWidth="1"/>
    <col min="8" max="16384" width="9.109375" style="27"/>
  </cols>
  <sheetData>
    <row r="1" spans="1:6" ht="35.1" customHeight="1" thickBot="1" x14ac:dyDescent="0.3">
      <c r="A1" s="644" t="s">
        <v>1174</v>
      </c>
      <c r="B1" s="795"/>
      <c r="C1" s="795"/>
      <c r="D1" s="795"/>
      <c r="E1" s="795"/>
      <c r="F1" s="796"/>
    </row>
    <row r="2" spans="1:6" ht="35.1" customHeight="1" x14ac:dyDescent="0.25">
      <c r="A2" s="804" t="s">
        <v>1220</v>
      </c>
      <c r="B2" s="834"/>
      <c r="C2" s="825" t="s">
        <v>1161</v>
      </c>
      <c r="D2" s="825"/>
      <c r="E2" s="825"/>
      <c r="F2" s="826"/>
    </row>
    <row r="3" spans="1:6" ht="22.95" customHeight="1" x14ac:dyDescent="0.25">
      <c r="A3" s="678" t="s">
        <v>205</v>
      </c>
      <c r="B3" s="712" t="s">
        <v>327</v>
      </c>
      <c r="C3" s="707">
        <v>2014</v>
      </c>
      <c r="D3" s="707"/>
      <c r="E3" s="707">
        <v>2015</v>
      </c>
      <c r="F3" s="778"/>
    </row>
    <row r="4" spans="1:6" ht="75" customHeight="1" x14ac:dyDescent="0.25">
      <c r="A4" s="678"/>
      <c r="B4" s="712"/>
      <c r="C4" s="116" t="s">
        <v>30</v>
      </c>
      <c r="D4" s="133" t="s">
        <v>195</v>
      </c>
      <c r="E4" s="133" t="s">
        <v>30</v>
      </c>
      <c r="F4" s="134" t="s">
        <v>196</v>
      </c>
    </row>
    <row r="5" spans="1:6" x14ac:dyDescent="0.25">
      <c r="A5" s="7"/>
      <c r="B5" s="98"/>
      <c r="C5" s="116" t="s">
        <v>283</v>
      </c>
      <c r="D5" s="133" t="s">
        <v>284</v>
      </c>
      <c r="E5" s="133" t="s">
        <v>285</v>
      </c>
      <c r="F5" s="134" t="s">
        <v>292</v>
      </c>
    </row>
    <row r="6" spans="1:6" ht="31.2" x14ac:dyDescent="0.25">
      <c r="A6" s="7">
        <v>1</v>
      </c>
      <c r="B6" s="11" t="s">
        <v>1300</v>
      </c>
      <c r="C6" s="135">
        <f>C7+C10+C13+C16</f>
        <v>59000</v>
      </c>
      <c r="D6" s="135">
        <f>D7+D10+D13+D16</f>
        <v>332</v>
      </c>
      <c r="E6" s="135">
        <f>E7+E10+E13+E16</f>
        <v>38831.94</v>
      </c>
      <c r="F6" s="287">
        <f>F7+F10+F13+F16</f>
        <v>311</v>
      </c>
    </row>
    <row r="7" spans="1:6" x14ac:dyDescent="0.25">
      <c r="A7" s="7">
        <v>2</v>
      </c>
      <c r="B7" s="11" t="s">
        <v>1301</v>
      </c>
      <c r="C7" s="135">
        <f>SUM(C8:C9)</f>
        <v>22163</v>
      </c>
      <c r="D7" s="135">
        <f>SUM(D8:D9)</f>
        <v>55</v>
      </c>
      <c r="E7" s="135">
        <f>SUM(E8:E9)</f>
        <v>2390</v>
      </c>
      <c r="F7" s="287">
        <f>SUM(F8:F9)</f>
        <v>23</v>
      </c>
    </row>
    <row r="8" spans="1:6" x14ac:dyDescent="0.25">
      <c r="A8" s="7">
        <v>3</v>
      </c>
      <c r="B8" s="10" t="s">
        <v>53</v>
      </c>
      <c r="C8" s="119">
        <v>22163</v>
      </c>
      <c r="D8" s="119">
        <v>55</v>
      </c>
      <c r="E8" s="119">
        <v>2390</v>
      </c>
      <c r="F8" s="263">
        <v>23</v>
      </c>
    </row>
    <row r="9" spans="1:6" ht="18.600000000000001" x14ac:dyDescent="0.25">
      <c r="A9" s="7">
        <v>4</v>
      </c>
      <c r="B9" s="10" t="s">
        <v>1302</v>
      </c>
      <c r="C9" s="119"/>
      <c r="D9" s="119"/>
      <c r="E9" s="119"/>
      <c r="F9" s="263"/>
    </row>
    <row r="10" spans="1:6" x14ac:dyDescent="0.25">
      <c r="A10" s="7">
        <v>5</v>
      </c>
      <c r="B10" s="11" t="s">
        <v>1303</v>
      </c>
      <c r="C10" s="135">
        <f>SUM(C11:C12)</f>
        <v>26522</v>
      </c>
      <c r="D10" s="135">
        <f>SUM(D11:D12)</f>
        <v>172</v>
      </c>
      <c r="E10" s="135">
        <f>SUM(E11:E12)</f>
        <v>30831.94</v>
      </c>
      <c r="F10" s="287">
        <f>SUM(F11:F12)</f>
        <v>208</v>
      </c>
    </row>
    <row r="11" spans="1:6" x14ac:dyDescent="0.25">
      <c r="A11" s="7">
        <v>6</v>
      </c>
      <c r="B11" s="10" t="s">
        <v>53</v>
      </c>
      <c r="C11" s="119">
        <v>26522</v>
      </c>
      <c r="D11" s="119">
        <v>172</v>
      </c>
      <c r="E11" s="119">
        <v>30831.94</v>
      </c>
      <c r="F11" s="263">
        <v>208</v>
      </c>
    </row>
    <row r="12" spans="1:6" ht="18.600000000000001" x14ac:dyDescent="0.25">
      <c r="A12" s="7">
        <v>7</v>
      </c>
      <c r="B12" s="10" t="s">
        <v>1302</v>
      </c>
      <c r="C12" s="119"/>
      <c r="D12" s="119"/>
      <c r="E12" s="119"/>
      <c r="F12" s="263"/>
    </row>
    <row r="13" spans="1:6" x14ac:dyDescent="0.25">
      <c r="A13" s="7">
        <v>8</v>
      </c>
      <c r="B13" s="11" t="s">
        <v>1304</v>
      </c>
      <c r="C13" s="135">
        <f>SUM(C14:C15)</f>
        <v>7595</v>
      </c>
      <c r="D13" s="135">
        <f>SUM(D14:D15)</f>
        <v>95</v>
      </c>
      <c r="E13" s="135">
        <f>SUM(E14:E15)</f>
        <v>3810</v>
      </c>
      <c r="F13" s="287">
        <f>SUM(F14:F15)</f>
        <v>76</v>
      </c>
    </row>
    <row r="14" spans="1:6" x14ac:dyDescent="0.25">
      <c r="A14" s="7">
        <v>9</v>
      </c>
      <c r="B14" s="10" t="s">
        <v>53</v>
      </c>
      <c r="C14" s="119">
        <v>7595</v>
      </c>
      <c r="D14" s="119">
        <v>95</v>
      </c>
      <c r="E14" s="119">
        <v>3810</v>
      </c>
      <c r="F14" s="263">
        <v>76</v>
      </c>
    </row>
    <row r="15" spans="1:6" ht="18.600000000000001" x14ac:dyDescent="0.25">
      <c r="A15" s="7">
        <v>10</v>
      </c>
      <c r="B15" s="10" t="s">
        <v>1302</v>
      </c>
      <c r="C15" s="119"/>
      <c r="D15" s="119"/>
      <c r="E15" s="119"/>
      <c r="F15" s="263"/>
    </row>
    <row r="16" spans="1:6" x14ac:dyDescent="0.25">
      <c r="A16" s="7">
        <v>11</v>
      </c>
      <c r="B16" s="11" t="s">
        <v>1305</v>
      </c>
      <c r="C16" s="135">
        <f>SUM(C17:C18)</f>
        <v>2720</v>
      </c>
      <c r="D16" s="135">
        <f>SUM(D17:D18)</f>
        <v>10</v>
      </c>
      <c r="E16" s="135">
        <f>SUM(E17:E18)</f>
        <v>1800</v>
      </c>
      <c r="F16" s="287">
        <f>SUM(F17:F18)</f>
        <v>4</v>
      </c>
    </row>
    <row r="17" spans="1:6" x14ac:dyDescent="0.25">
      <c r="A17" s="7">
        <v>12</v>
      </c>
      <c r="B17" s="10" t="s">
        <v>53</v>
      </c>
      <c r="C17" s="119">
        <v>2720</v>
      </c>
      <c r="D17" s="119">
        <v>10</v>
      </c>
      <c r="E17" s="119">
        <v>1800</v>
      </c>
      <c r="F17" s="263">
        <v>4</v>
      </c>
    </row>
    <row r="18" spans="1:6" ht="18.600000000000001" x14ac:dyDescent="0.25">
      <c r="A18" s="325">
        <v>13</v>
      </c>
      <c r="B18" s="85" t="s">
        <v>1302</v>
      </c>
      <c r="C18" s="120"/>
      <c r="D18" s="120"/>
      <c r="E18" s="120"/>
      <c r="F18" s="326"/>
    </row>
    <row r="19" spans="1:6" ht="18.600000000000001" thickBot="1" x14ac:dyDescent="0.3">
      <c r="A19" s="66">
        <v>14</v>
      </c>
      <c r="B19" s="511" t="s">
        <v>1306</v>
      </c>
      <c r="C19" s="150" t="s">
        <v>312</v>
      </c>
      <c r="D19" s="246">
        <v>332</v>
      </c>
      <c r="E19" s="150" t="s">
        <v>312</v>
      </c>
      <c r="F19" s="327">
        <v>311</v>
      </c>
    </row>
    <row r="20" spans="1:6" x14ac:dyDescent="0.25">
      <c r="A20" s="103"/>
      <c r="B20" s="512"/>
      <c r="C20" s="513"/>
      <c r="D20" s="104"/>
      <c r="E20" s="514"/>
      <c r="F20" s="104"/>
    </row>
    <row r="21" spans="1:6" x14ac:dyDescent="0.25">
      <c r="A21" s="828" t="s">
        <v>823</v>
      </c>
      <c r="B21" s="829"/>
      <c r="C21" s="829"/>
      <c r="D21" s="829"/>
      <c r="E21" s="829"/>
      <c r="F21" s="830"/>
    </row>
    <row r="22" spans="1:6" x14ac:dyDescent="0.25">
      <c r="A22" s="831" t="s">
        <v>824</v>
      </c>
      <c r="B22" s="832"/>
      <c r="C22" s="832"/>
      <c r="D22" s="832"/>
      <c r="E22" s="832"/>
      <c r="F22" s="833"/>
    </row>
    <row r="23" spans="1:6" x14ac:dyDescent="0.25">
      <c r="A23" s="827" t="s">
        <v>1307</v>
      </c>
      <c r="B23" s="827"/>
      <c r="C23" s="827"/>
      <c r="D23" s="827"/>
      <c r="E23" s="827"/>
      <c r="F23" s="827"/>
    </row>
  </sheetData>
  <mergeCells count="10">
    <mergeCell ref="C2:F2"/>
    <mergeCell ref="A23:F23"/>
    <mergeCell ref="A21:F21"/>
    <mergeCell ref="A22:F22"/>
    <mergeCell ref="A1:F1"/>
    <mergeCell ref="A3:A4"/>
    <mergeCell ref="B3:B4"/>
    <mergeCell ref="C3:D3"/>
    <mergeCell ref="E3:F3"/>
    <mergeCell ref="A2:B2"/>
  </mergeCells>
  <pageMargins left="0.74803149606299213" right="0.56000000000000005" top="0.98425196850393704" bottom="0.98425196850393704" header="0.51181102362204722" footer="0.51181102362204722"/>
  <pageSetup paperSize="9" scale="8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G17"/>
  <sheetViews>
    <sheetView zoomScaleNormal="100" workbookViewId="0">
      <pane xSplit="2" ySplit="5" topLeftCell="C21" activePane="bottomRight" state="frozen"/>
      <selection pane="topRight" activeCell="C1" sqref="C1"/>
      <selection pane="bottomLeft" activeCell="A5" sqref="A5"/>
      <selection pane="bottomRight" activeCell="H7" sqref="H7"/>
    </sheetView>
  </sheetViews>
  <sheetFormatPr defaultColWidth="9.109375" defaultRowHeight="18.600000000000001" x14ac:dyDescent="0.3"/>
  <cols>
    <col min="1" max="1" width="9.109375" style="71"/>
    <col min="2" max="2" width="67.33203125" style="283" customWidth="1"/>
    <col min="3" max="3" width="21.5546875" style="362" customWidth="1"/>
    <col min="4" max="4" width="24.88671875" style="362" customWidth="1"/>
    <col min="5" max="5" width="26.44140625" style="71" customWidth="1"/>
    <col min="6" max="6" width="16.109375" style="71" customWidth="1"/>
    <col min="7" max="16384" width="9.109375" style="71"/>
  </cols>
  <sheetData>
    <row r="1" spans="1:7" ht="50.1" customHeight="1" thickBot="1" x14ac:dyDescent="0.35">
      <c r="A1" s="783" t="s">
        <v>1175</v>
      </c>
      <c r="B1" s="835"/>
      <c r="C1" s="835"/>
      <c r="D1" s="836"/>
      <c r="E1" s="837"/>
    </row>
    <row r="2" spans="1:7" ht="35.1" customHeight="1" x14ac:dyDescent="0.3">
      <c r="A2" s="786" t="s">
        <v>1220</v>
      </c>
      <c r="B2" s="787"/>
      <c r="C2" s="787"/>
      <c r="D2" s="838"/>
      <c r="E2" s="788"/>
    </row>
    <row r="3" spans="1:7" ht="33" customHeight="1" x14ac:dyDescent="0.3">
      <c r="A3" s="329" t="s">
        <v>205</v>
      </c>
      <c r="B3" s="330" t="s">
        <v>327</v>
      </c>
      <c r="C3" s="331">
        <v>2014</v>
      </c>
      <c r="D3" s="839">
        <v>2015</v>
      </c>
      <c r="E3" s="840"/>
    </row>
    <row r="4" spans="1:7" ht="71.25" customHeight="1" x14ac:dyDescent="0.3">
      <c r="A4" s="266"/>
      <c r="B4" s="332"/>
      <c r="C4" s="331" t="s">
        <v>1196</v>
      </c>
      <c r="D4" s="333" t="s">
        <v>1201</v>
      </c>
      <c r="E4" s="334" t="s">
        <v>1202</v>
      </c>
    </row>
    <row r="5" spans="1:7" ht="18.75" customHeight="1" x14ac:dyDescent="0.3">
      <c r="A5" s="266"/>
      <c r="B5" s="332"/>
      <c r="C5" s="268" t="s">
        <v>283</v>
      </c>
      <c r="D5" s="335" t="s">
        <v>1199</v>
      </c>
      <c r="E5" s="336" t="s">
        <v>1200</v>
      </c>
    </row>
    <row r="6" spans="1:7" s="344" customFormat="1" ht="34.5" customHeight="1" x14ac:dyDescent="0.25">
      <c r="A6" s="337">
        <v>1</v>
      </c>
      <c r="B6" s="338" t="s">
        <v>930</v>
      </c>
      <c r="C6" s="339">
        <v>1760</v>
      </c>
      <c r="D6" s="340" t="s">
        <v>312</v>
      </c>
      <c r="E6" s="341">
        <f>C9</f>
        <v>0</v>
      </c>
      <c r="F6" s="342"/>
      <c r="G6" s="343"/>
    </row>
    <row r="7" spans="1:7" ht="36" customHeight="1" x14ac:dyDescent="0.3">
      <c r="A7" s="81">
        <v>2</v>
      </c>
      <c r="B7" s="345" t="s">
        <v>804</v>
      </c>
      <c r="C7" s="339">
        <v>372025</v>
      </c>
      <c r="D7" s="346">
        <v>103380</v>
      </c>
      <c r="E7" s="347">
        <v>238875</v>
      </c>
      <c r="F7" s="348"/>
    </row>
    <row r="8" spans="1:7" ht="35.25" customHeight="1" x14ac:dyDescent="0.3">
      <c r="A8" s="81">
        <v>3</v>
      </c>
      <c r="B8" s="345" t="s">
        <v>931</v>
      </c>
      <c r="C8" s="339">
        <v>373785</v>
      </c>
      <c r="D8" s="346">
        <v>103380</v>
      </c>
      <c r="E8" s="347">
        <v>235580</v>
      </c>
      <c r="F8" s="349"/>
    </row>
    <row r="9" spans="1:7" ht="39.75" customHeight="1" x14ac:dyDescent="0.3">
      <c r="A9" s="81">
        <v>4</v>
      </c>
      <c r="B9" s="345" t="s">
        <v>1176</v>
      </c>
      <c r="C9" s="273">
        <f>C6+C7-C8</f>
        <v>0</v>
      </c>
      <c r="D9" s="350">
        <f>D7-D8</f>
        <v>0</v>
      </c>
      <c r="E9" s="274">
        <f>E6+E7-E8</f>
        <v>3295</v>
      </c>
    </row>
    <row r="10" spans="1:7" ht="36" customHeight="1" thickBot="1" x14ac:dyDescent="0.35">
      <c r="A10" s="351">
        <v>5</v>
      </c>
      <c r="B10" s="352" t="s">
        <v>988</v>
      </c>
      <c r="C10" s="353">
        <v>869</v>
      </c>
      <c r="D10" s="354">
        <v>98</v>
      </c>
      <c r="E10" s="355">
        <v>720</v>
      </c>
    </row>
    <row r="11" spans="1:7" ht="36" customHeight="1" x14ac:dyDescent="0.3">
      <c r="A11" s="72"/>
      <c r="B11" s="356"/>
      <c r="C11" s="357"/>
      <c r="D11" s="357"/>
      <c r="E11" s="357"/>
    </row>
    <row r="12" spans="1:7" ht="21" customHeight="1" x14ac:dyDescent="0.3">
      <c r="A12" s="842" t="s">
        <v>1281</v>
      </c>
      <c r="B12" s="842"/>
      <c r="C12" s="842"/>
      <c r="D12" s="842"/>
      <c r="E12" s="842"/>
      <c r="F12" s="344"/>
    </row>
    <row r="13" spans="1:7" ht="21" customHeight="1" x14ac:dyDescent="0.3">
      <c r="A13" s="841" t="s">
        <v>932</v>
      </c>
      <c r="B13" s="841"/>
      <c r="C13" s="841"/>
      <c r="D13" s="841"/>
      <c r="E13" s="841"/>
    </row>
    <row r="14" spans="1:7" ht="17.399999999999999" x14ac:dyDescent="0.3">
      <c r="A14" s="358" t="s">
        <v>1197</v>
      </c>
      <c r="B14" s="359"/>
      <c r="C14" s="360"/>
      <c r="D14" s="360"/>
      <c r="E14" s="361"/>
    </row>
    <row r="15" spans="1:7" ht="17.399999999999999" x14ac:dyDescent="0.3">
      <c r="A15" s="358" t="s">
        <v>1198</v>
      </c>
      <c r="B15" s="359"/>
      <c r="C15" s="360"/>
      <c r="D15" s="360"/>
      <c r="E15" s="361"/>
    </row>
    <row r="17" spans="3:3" x14ac:dyDescent="0.3">
      <c r="C17" s="362" t="s">
        <v>157</v>
      </c>
    </row>
  </sheetData>
  <mergeCells count="5">
    <mergeCell ref="A1:E1"/>
    <mergeCell ref="A2:E2"/>
    <mergeCell ref="D3:E3"/>
    <mergeCell ref="A13:E13"/>
    <mergeCell ref="A12:E12"/>
  </mergeCells>
  <printOptions horizontalCentered="1"/>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5">
    <tabColor indexed="42"/>
    <pageSetUpPr fitToPage="1"/>
  </sheetPr>
  <dimension ref="A1:M12"/>
  <sheetViews>
    <sheetView workbookViewId="0">
      <pane xSplit="1" ySplit="5" topLeftCell="C6" activePane="bottomRight" state="frozen"/>
      <selection pane="topRight" activeCell="B1" sqref="B1"/>
      <selection pane="bottomLeft" activeCell="A6" sqref="A6"/>
      <selection pane="bottomRight" activeCell="H7" sqref="H7"/>
    </sheetView>
  </sheetViews>
  <sheetFormatPr defaultColWidth="9.109375" defaultRowHeight="15.6" x14ac:dyDescent="0.25"/>
  <cols>
    <col min="1" max="1" width="8.88671875" style="123" customWidth="1"/>
    <col min="2" max="2" width="20.5546875" style="123" customWidth="1"/>
    <col min="3" max="3" width="18.33203125" style="123" customWidth="1"/>
    <col min="4" max="4" width="15.88671875" style="123" customWidth="1"/>
    <col min="5" max="5" width="15.6640625" style="123" customWidth="1"/>
    <col min="6" max="6" width="14.5546875" style="123" customWidth="1"/>
    <col min="7" max="7" width="18.6640625" style="123" customWidth="1"/>
    <col min="8" max="8" width="20.33203125" style="123" customWidth="1"/>
    <col min="9" max="9" width="18" style="123" customWidth="1"/>
    <col min="10" max="10" width="14.88671875" style="123" bestFit="1" customWidth="1"/>
    <col min="11" max="11" width="16.88671875" style="123" customWidth="1"/>
    <col min="12" max="12" width="18.33203125" style="123" customWidth="1"/>
    <col min="13" max="13" width="17.6640625" style="123" customWidth="1"/>
    <col min="14" max="16384" width="9.109375" style="123"/>
  </cols>
  <sheetData>
    <row r="1" spans="1:13" s="363" customFormat="1" ht="35.1" customHeight="1" thickBot="1" x14ac:dyDescent="0.3">
      <c r="A1" s="843" t="s">
        <v>1291</v>
      </c>
      <c r="B1" s="844"/>
      <c r="C1" s="844"/>
      <c r="D1" s="844"/>
      <c r="E1" s="844"/>
      <c r="F1" s="844"/>
      <c r="G1" s="844"/>
      <c r="H1" s="844"/>
      <c r="I1" s="844"/>
      <c r="J1" s="844"/>
      <c r="K1" s="844"/>
      <c r="L1" s="844"/>
      <c r="M1" s="845"/>
    </row>
    <row r="2" spans="1:13" s="363" customFormat="1" ht="42.75" customHeight="1" x14ac:dyDescent="0.25">
      <c r="A2" s="690" t="s">
        <v>1224</v>
      </c>
      <c r="B2" s="691"/>
      <c r="C2" s="691"/>
      <c r="D2" s="691"/>
      <c r="E2" s="691"/>
      <c r="F2" s="691"/>
      <c r="G2" s="691"/>
      <c r="H2" s="691"/>
      <c r="I2" s="691"/>
      <c r="J2" s="691"/>
      <c r="K2" s="691"/>
      <c r="L2" s="691"/>
      <c r="M2" s="692"/>
    </row>
    <row r="3" spans="1:13" s="363" customFormat="1" ht="45.75" customHeight="1" x14ac:dyDescent="0.25">
      <c r="A3" s="847" t="s">
        <v>205</v>
      </c>
      <c r="B3" s="849" t="s">
        <v>1287</v>
      </c>
      <c r="C3" s="849"/>
      <c r="D3" s="849"/>
      <c r="E3" s="849"/>
      <c r="F3" s="849"/>
      <c r="G3" s="849"/>
      <c r="H3" s="849" t="s">
        <v>1288</v>
      </c>
      <c r="I3" s="849"/>
      <c r="J3" s="849"/>
      <c r="K3" s="849"/>
      <c r="L3" s="849"/>
      <c r="M3" s="850"/>
    </row>
    <row r="4" spans="1:13" s="366" customFormat="1" ht="171.75" customHeight="1" x14ac:dyDescent="0.25">
      <c r="A4" s="848"/>
      <c r="B4" s="364" t="s">
        <v>927</v>
      </c>
      <c r="C4" s="364" t="s">
        <v>1292</v>
      </c>
      <c r="D4" s="364" t="s">
        <v>223</v>
      </c>
      <c r="E4" s="364" t="s">
        <v>74</v>
      </c>
      <c r="F4" s="364" t="s">
        <v>75</v>
      </c>
      <c r="G4" s="364" t="s">
        <v>203</v>
      </c>
      <c r="H4" s="364" t="s">
        <v>927</v>
      </c>
      <c r="I4" s="364" t="s">
        <v>1292</v>
      </c>
      <c r="J4" s="364" t="s">
        <v>223</v>
      </c>
      <c r="K4" s="364" t="s">
        <v>74</v>
      </c>
      <c r="L4" s="364" t="s">
        <v>75</v>
      </c>
      <c r="M4" s="365" t="s">
        <v>203</v>
      </c>
    </row>
    <row r="5" spans="1:13" x14ac:dyDescent="0.25">
      <c r="A5" s="367"/>
      <c r="B5" s="368" t="s">
        <v>283</v>
      </c>
      <c r="C5" s="368" t="s">
        <v>284</v>
      </c>
      <c r="D5" s="368" t="s">
        <v>285</v>
      </c>
      <c r="E5" s="368" t="s">
        <v>292</v>
      </c>
      <c r="F5" s="368" t="s">
        <v>286</v>
      </c>
      <c r="G5" s="368" t="s">
        <v>825</v>
      </c>
      <c r="H5" s="368" t="s">
        <v>288</v>
      </c>
      <c r="I5" s="368" t="s">
        <v>289</v>
      </c>
      <c r="J5" s="368" t="s">
        <v>290</v>
      </c>
      <c r="K5" s="368" t="s">
        <v>826</v>
      </c>
      <c r="L5" s="369" t="s">
        <v>827</v>
      </c>
      <c r="M5" s="370" t="s">
        <v>1213</v>
      </c>
    </row>
    <row r="6" spans="1:13" ht="36" customHeight="1" thickBot="1" x14ac:dyDescent="0.3">
      <c r="A6" s="371">
        <v>1</v>
      </c>
      <c r="B6" s="442">
        <v>16855972.640000001</v>
      </c>
      <c r="C6" s="442">
        <v>19596741.32</v>
      </c>
      <c r="D6" s="442">
        <v>568756.75</v>
      </c>
      <c r="E6" s="442">
        <v>1172981.22</v>
      </c>
      <c r="F6" s="442">
        <v>1961880.03</v>
      </c>
      <c r="G6" s="372">
        <f>SUM(B6:F6)</f>
        <v>40156331.960000001</v>
      </c>
      <c r="H6" s="442">
        <f>18136976.34-1583785.04-6440</f>
        <v>16546751.300000001</v>
      </c>
      <c r="I6" s="442">
        <f>31585754.53+1583785.04+6440</f>
        <v>33175979.57</v>
      </c>
      <c r="J6" s="442">
        <v>1041033.74</v>
      </c>
      <c r="K6" s="442">
        <v>1144162.76</v>
      </c>
      <c r="L6" s="442">
        <f>163425.66+2097527.04+28151.11+8341.08+2821.6</f>
        <v>2300266.4900000002</v>
      </c>
      <c r="M6" s="373">
        <f>SUM(H6:L6)</f>
        <v>54208193.860000007</v>
      </c>
    </row>
    <row r="7" spans="1:13" x14ac:dyDescent="0.25">
      <c r="G7" s="374"/>
      <c r="H7" s="375"/>
      <c r="I7" s="375"/>
      <c r="M7" s="374"/>
    </row>
    <row r="8" spans="1:13" x14ac:dyDescent="0.25">
      <c r="B8" s="846" t="s">
        <v>1289</v>
      </c>
      <c r="C8" s="846"/>
      <c r="D8" s="846"/>
      <c r="E8" s="846"/>
      <c r="F8" s="846"/>
      <c r="G8" s="846"/>
      <c r="H8" s="846"/>
    </row>
    <row r="9" spans="1:13" ht="31.95" customHeight="1" x14ac:dyDescent="0.25">
      <c r="B9" s="846" t="s">
        <v>1290</v>
      </c>
      <c r="C9" s="846"/>
      <c r="D9" s="846"/>
      <c r="E9" s="846"/>
      <c r="F9" s="846"/>
      <c r="G9" s="846"/>
      <c r="H9" s="846"/>
      <c r="I9" s="375"/>
    </row>
    <row r="10" spans="1:13" x14ac:dyDescent="0.25">
      <c r="B10" s="122" t="s">
        <v>1274</v>
      </c>
    </row>
    <row r="11" spans="1:13" x14ac:dyDescent="0.25">
      <c r="B11" s="122" t="s">
        <v>1275</v>
      </c>
      <c r="F11" s="375"/>
      <c r="G11" s="375"/>
      <c r="H11" s="375"/>
      <c r="I11" s="375"/>
    </row>
    <row r="12" spans="1:13" x14ac:dyDescent="0.25">
      <c r="F12" s="375"/>
      <c r="G12" s="375"/>
      <c r="H12" s="375"/>
      <c r="I12" s="375"/>
    </row>
  </sheetData>
  <mergeCells count="7">
    <mergeCell ref="A1:M1"/>
    <mergeCell ref="A2:M2"/>
    <mergeCell ref="B8:H8"/>
    <mergeCell ref="B9:H9"/>
    <mergeCell ref="A3:A4"/>
    <mergeCell ref="B3:G3"/>
    <mergeCell ref="H3:M3"/>
  </mergeCells>
  <phoneticPr fontId="22" type="noConversion"/>
  <pageMargins left="0.4" right="0.27" top="0.98425196850393704" bottom="0.98425196850393704" header="0.51181102362204722" footer="0.51181102362204722"/>
  <pageSetup paperSize="9" scale="6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3"/>
  <sheetViews>
    <sheetView workbookViewId="0">
      <pane xSplit="3" ySplit="3" topLeftCell="D31" activePane="bottomRight" state="frozen"/>
      <selection pane="topRight" activeCell="D1" sqref="D1"/>
      <selection pane="bottomLeft" activeCell="A4" sqref="A4"/>
      <selection pane="bottomRight" activeCell="H29" sqref="H29"/>
    </sheetView>
  </sheetViews>
  <sheetFormatPr defaultColWidth="9.109375" defaultRowHeight="15.6" x14ac:dyDescent="0.25"/>
  <cols>
    <col min="1" max="1" width="7.33203125" style="376" customWidth="1"/>
    <col min="2" max="2" width="39.88671875" style="376" customWidth="1"/>
    <col min="3" max="3" width="9.44140625" style="376" customWidth="1"/>
    <col min="4" max="4" width="18.44140625" style="376" customWidth="1"/>
    <col min="5" max="5" width="16.6640625" style="376" customWidth="1"/>
    <col min="6" max="6" width="15.44140625" style="376" customWidth="1"/>
    <col min="7" max="7" width="5.109375" style="376" customWidth="1"/>
    <col min="8" max="16384" width="9.109375" style="376"/>
  </cols>
  <sheetData>
    <row r="1" spans="1:7" ht="66.75" customHeight="1" thickBot="1" x14ac:dyDescent="0.3">
      <c r="A1" s="855" t="s">
        <v>1293</v>
      </c>
      <c r="B1" s="856"/>
      <c r="C1" s="856"/>
      <c r="D1" s="856"/>
      <c r="E1" s="856"/>
      <c r="F1" s="857"/>
    </row>
    <row r="2" spans="1:7" ht="36.75" customHeight="1" thickBot="1" x14ac:dyDescent="0.3">
      <c r="A2" s="858" t="s">
        <v>1216</v>
      </c>
      <c r="B2" s="859"/>
      <c r="C2" s="859"/>
      <c r="D2" s="859"/>
      <c r="E2" s="859"/>
      <c r="F2" s="860"/>
    </row>
    <row r="3" spans="1:7" s="380" customFormat="1" ht="69" customHeight="1" thickBot="1" x14ac:dyDescent="0.3">
      <c r="A3" s="35" t="s">
        <v>647</v>
      </c>
      <c r="B3" s="35" t="s">
        <v>400</v>
      </c>
      <c r="C3" s="377" t="s">
        <v>205</v>
      </c>
      <c r="D3" s="377" t="s">
        <v>1142</v>
      </c>
      <c r="E3" s="378" t="s">
        <v>1294</v>
      </c>
      <c r="F3" s="379" t="s">
        <v>1137</v>
      </c>
      <c r="G3" s="376"/>
    </row>
    <row r="4" spans="1:7" s="393" customFormat="1" x14ac:dyDescent="0.25">
      <c r="A4" s="381">
        <v>601</v>
      </c>
      <c r="B4" s="382" t="s">
        <v>721</v>
      </c>
      <c r="C4" s="383" t="s">
        <v>722</v>
      </c>
      <c r="D4" s="384">
        <v>162428.17000000001</v>
      </c>
      <c r="E4" s="385">
        <v>207190.5</v>
      </c>
      <c r="F4" s="386">
        <f>E4-D4</f>
        <v>44762.329999999987</v>
      </c>
      <c r="G4" s="376"/>
    </row>
    <row r="5" spans="1:7" s="393" customFormat="1" x14ac:dyDescent="0.25">
      <c r="A5" s="56">
        <v>602</v>
      </c>
      <c r="B5" s="387" t="s">
        <v>723</v>
      </c>
      <c r="C5" s="388" t="s">
        <v>724</v>
      </c>
      <c r="D5" s="389">
        <v>771045.44</v>
      </c>
      <c r="E5" s="390">
        <v>828570.91</v>
      </c>
      <c r="F5" s="391">
        <f t="shared" ref="F5:F38" si="0">E5-D5</f>
        <v>57525.470000000088</v>
      </c>
      <c r="G5" s="376"/>
    </row>
    <row r="6" spans="1:7" s="393" customFormat="1" x14ac:dyDescent="0.25">
      <c r="A6" s="56">
        <v>604</v>
      </c>
      <c r="B6" s="392" t="s">
        <v>725</v>
      </c>
      <c r="C6" s="388" t="s">
        <v>726</v>
      </c>
      <c r="D6" s="389"/>
      <c r="E6" s="390"/>
      <c r="F6" s="391">
        <f t="shared" si="0"/>
        <v>0</v>
      </c>
      <c r="G6" s="376"/>
    </row>
    <row r="7" spans="1:7" s="393" customFormat="1" x14ac:dyDescent="0.25">
      <c r="A7" s="56">
        <v>611</v>
      </c>
      <c r="B7" s="387" t="s">
        <v>727</v>
      </c>
      <c r="C7" s="388" t="s">
        <v>728</v>
      </c>
      <c r="D7" s="389"/>
      <c r="E7" s="390"/>
      <c r="F7" s="391">
        <f t="shared" si="0"/>
        <v>0</v>
      </c>
      <c r="G7" s="376"/>
    </row>
    <row r="8" spans="1:7" s="393" customFormat="1" x14ac:dyDescent="0.25">
      <c r="A8" s="56">
        <v>612</v>
      </c>
      <c r="B8" s="387" t="s">
        <v>729</v>
      </c>
      <c r="C8" s="388" t="s">
        <v>730</v>
      </c>
      <c r="D8" s="389"/>
      <c r="E8" s="390"/>
      <c r="F8" s="391">
        <f t="shared" si="0"/>
        <v>0</v>
      </c>
      <c r="G8" s="376"/>
    </row>
    <row r="9" spans="1:7" s="393" customFormat="1" x14ac:dyDescent="0.25">
      <c r="A9" s="56">
        <v>613</v>
      </c>
      <c r="B9" s="387" t="s">
        <v>731</v>
      </c>
      <c r="C9" s="388" t="s">
        <v>732</v>
      </c>
      <c r="D9" s="389"/>
      <c r="E9" s="390"/>
      <c r="F9" s="391">
        <f t="shared" si="0"/>
        <v>0</v>
      </c>
      <c r="G9" s="376"/>
    </row>
    <row r="10" spans="1:7" s="393" customFormat="1" x14ac:dyDescent="0.25">
      <c r="A10" s="56">
        <v>614</v>
      </c>
      <c r="B10" s="387" t="s">
        <v>733</v>
      </c>
      <c r="C10" s="388" t="s">
        <v>734</v>
      </c>
      <c r="D10" s="389"/>
      <c r="E10" s="390"/>
      <c r="F10" s="391">
        <f t="shared" si="0"/>
        <v>0</v>
      </c>
      <c r="G10" s="376"/>
    </row>
    <row r="11" spans="1:7" s="393" customFormat="1" x14ac:dyDescent="0.25">
      <c r="A11" s="56">
        <v>621</v>
      </c>
      <c r="B11" s="387" t="s">
        <v>735</v>
      </c>
      <c r="C11" s="388" t="s">
        <v>736</v>
      </c>
      <c r="D11" s="389"/>
      <c r="E11" s="390"/>
      <c r="F11" s="391">
        <f t="shared" si="0"/>
        <v>0</v>
      </c>
      <c r="G11" s="376"/>
    </row>
    <row r="12" spans="1:7" s="393" customFormat="1" x14ac:dyDescent="0.25">
      <c r="A12" s="56">
        <v>622</v>
      </c>
      <c r="B12" s="387" t="s">
        <v>737</v>
      </c>
      <c r="C12" s="388" t="s">
        <v>738</v>
      </c>
      <c r="D12" s="389"/>
      <c r="E12" s="390"/>
      <c r="F12" s="391">
        <f t="shared" si="0"/>
        <v>0</v>
      </c>
      <c r="G12" s="376"/>
    </row>
    <row r="13" spans="1:7" s="393" customFormat="1" x14ac:dyDescent="0.25">
      <c r="A13" s="56">
        <v>623</v>
      </c>
      <c r="B13" s="387" t="s">
        <v>739</v>
      </c>
      <c r="C13" s="388" t="s">
        <v>740</v>
      </c>
      <c r="D13" s="389"/>
      <c r="E13" s="390"/>
      <c r="F13" s="391">
        <f t="shared" si="0"/>
        <v>0</v>
      </c>
    </row>
    <row r="14" spans="1:7" s="393" customFormat="1" x14ac:dyDescent="0.25">
      <c r="A14" s="56">
        <v>624</v>
      </c>
      <c r="B14" s="387" t="s">
        <v>741</v>
      </c>
      <c r="C14" s="388" t="s">
        <v>742</v>
      </c>
      <c r="D14" s="389"/>
      <c r="E14" s="390"/>
      <c r="F14" s="391">
        <f t="shared" si="0"/>
        <v>0</v>
      </c>
    </row>
    <row r="15" spans="1:7" s="393" customFormat="1" x14ac:dyDescent="0.25">
      <c r="A15" s="56">
        <v>641</v>
      </c>
      <c r="B15" s="387" t="s">
        <v>678</v>
      </c>
      <c r="C15" s="388" t="s">
        <v>743</v>
      </c>
      <c r="D15" s="389"/>
      <c r="E15" s="390"/>
      <c r="F15" s="391">
        <f t="shared" si="0"/>
        <v>0</v>
      </c>
    </row>
    <row r="16" spans="1:7" s="393" customFormat="1" x14ac:dyDescent="0.25">
      <c r="A16" s="56">
        <v>642</v>
      </c>
      <c r="B16" s="387" t="s">
        <v>680</v>
      </c>
      <c r="C16" s="388" t="s">
        <v>744</v>
      </c>
      <c r="D16" s="389"/>
      <c r="E16" s="390"/>
      <c r="F16" s="391">
        <f t="shared" si="0"/>
        <v>0</v>
      </c>
    </row>
    <row r="17" spans="1:6" s="393" customFormat="1" x14ac:dyDescent="0.25">
      <c r="A17" s="56">
        <v>643</v>
      </c>
      <c r="B17" s="387" t="s">
        <v>745</v>
      </c>
      <c r="C17" s="388" t="s">
        <v>746</v>
      </c>
      <c r="D17" s="389"/>
      <c r="E17" s="390"/>
      <c r="F17" s="391">
        <f t="shared" si="0"/>
        <v>0</v>
      </c>
    </row>
    <row r="18" spans="1:6" s="393" customFormat="1" x14ac:dyDescent="0.25">
      <c r="A18" s="56">
        <v>644</v>
      </c>
      <c r="B18" s="387" t="s">
        <v>684</v>
      </c>
      <c r="C18" s="388" t="s">
        <v>747</v>
      </c>
      <c r="D18" s="389"/>
      <c r="E18" s="390"/>
      <c r="F18" s="391">
        <f t="shared" si="0"/>
        <v>0</v>
      </c>
    </row>
    <row r="19" spans="1:6" s="393" customFormat="1" x14ac:dyDescent="0.25">
      <c r="A19" s="56">
        <v>645</v>
      </c>
      <c r="B19" s="387" t="s">
        <v>748</v>
      </c>
      <c r="C19" s="388" t="s">
        <v>749</v>
      </c>
      <c r="D19" s="389"/>
      <c r="E19" s="390"/>
      <c r="F19" s="391">
        <f t="shared" si="0"/>
        <v>0</v>
      </c>
    </row>
    <row r="20" spans="1:6" s="393" customFormat="1" x14ac:dyDescent="0.25">
      <c r="A20" s="56">
        <v>646</v>
      </c>
      <c r="B20" s="387" t="s">
        <v>750</v>
      </c>
      <c r="C20" s="388" t="s">
        <v>751</v>
      </c>
      <c r="D20" s="389"/>
      <c r="E20" s="390"/>
      <c r="F20" s="391">
        <f t="shared" si="0"/>
        <v>0</v>
      </c>
    </row>
    <row r="21" spans="1:6" s="393" customFormat="1" x14ac:dyDescent="0.25">
      <c r="A21" s="56">
        <v>647</v>
      </c>
      <c r="B21" s="387" t="s">
        <v>752</v>
      </c>
      <c r="C21" s="388" t="s">
        <v>753</v>
      </c>
      <c r="D21" s="389"/>
      <c r="E21" s="390"/>
      <c r="F21" s="391">
        <f t="shared" si="0"/>
        <v>0</v>
      </c>
    </row>
    <row r="22" spans="1:6" s="393" customFormat="1" x14ac:dyDescent="0.25">
      <c r="A22" s="56">
        <v>648</v>
      </c>
      <c r="B22" s="387" t="s">
        <v>754</v>
      </c>
      <c r="C22" s="388" t="s">
        <v>755</v>
      </c>
      <c r="D22" s="389"/>
      <c r="E22" s="390"/>
      <c r="F22" s="391">
        <f t="shared" si="0"/>
        <v>0</v>
      </c>
    </row>
    <row r="23" spans="1:6" s="393" customFormat="1" x14ac:dyDescent="0.25">
      <c r="A23" s="56">
        <v>649</v>
      </c>
      <c r="B23" s="387" t="s">
        <v>756</v>
      </c>
      <c r="C23" s="388" t="s">
        <v>757</v>
      </c>
      <c r="D23" s="389">
        <v>9442.2800000000007</v>
      </c>
      <c r="E23" s="390">
        <f>5363.33</f>
        <v>5363.33</v>
      </c>
      <c r="F23" s="391">
        <f t="shared" si="0"/>
        <v>-4078.9500000000007</v>
      </c>
    </row>
    <row r="24" spans="1:6" s="393" customFormat="1" x14ac:dyDescent="0.25">
      <c r="A24" s="56">
        <v>651</v>
      </c>
      <c r="B24" s="387" t="s">
        <v>758</v>
      </c>
      <c r="C24" s="388" t="s">
        <v>759</v>
      </c>
      <c r="D24" s="389">
        <v>10.4</v>
      </c>
      <c r="E24" s="390"/>
      <c r="F24" s="391">
        <f t="shared" si="0"/>
        <v>-10.4</v>
      </c>
    </row>
    <row r="25" spans="1:6" s="393" customFormat="1" x14ac:dyDescent="0.25">
      <c r="A25" s="56">
        <v>652</v>
      </c>
      <c r="B25" s="387" t="s">
        <v>760</v>
      </c>
      <c r="C25" s="388" t="s">
        <v>761</v>
      </c>
      <c r="D25" s="389"/>
      <c r="E25" s="390"/>
      <c r="F25" s="391">
        <f t="shared" si="0"/>
        <v>0</v>
      </c>
    </row>
    <row r="26" spans="1:6" s="393" customFormat="1" x14ac:dyDescent="0.25">
      <c r="A26" s="56">
        <v>653</v>
      </c>
      <c r="B26" s="387" t="s">
        <v>762</v>
      </c>
      <c r="C26" s="388" t="s">
        <v>763</v>
      </c>
      <c r="D26" s="389"/>
      <c r="E26" s="390"/>
      <c r="F26" s="391">
        <f t="shared" si="0"/>
        <v>0</v>
      </c>
    </row>
    <row r="27" spans="1:6" s="393" customFormat="1" x14ac:dyDescent="0.25">
      <c r="A27" s="56">
        <v>654</v>
      </c>
      <c r="B27" s="387" t="s">
        <v>764</v>
      </c>
      <c r="C27" s="388" t="s">
        <v>765</v>
      </c>
      <c r="D27" s="389"/>
      <c r="E27" s="390"/>
      <c r="F27" s="391">
        <f t="shared" si="0"/>
        <v>0</v>
      </c>
    </row>
    <row r="28" spans="1:6" s="393" customFormat="1" x14ac:dyDescent="0.25">
      <c r="A28" s="56">
        <v>655</v>
      </c>
      <c r="B28" s="387" t="s">
        <v>766</v>
      </c>
      <c r="C28" s="388" t="s">
        <v>767</v>
      </c>
      <c r="D28" s="389"/>
      <c r="E28" s="390"/>
      <c r="F28" s="391">
        <f t="shared" si="0"/>
        <v>0</v>
      </c>
    </row>
    <row r="29" spans="1:6" s="393" customFormat="1" x14ac:dyDescent="0.25">
      <c r="A29" s="56">
        <v>656</v>
      </c>
      <c r="B29" s="387" t="s">
        <v>768</v>
      </c>
      <c r="C29" s="388" t="s">
        <v>769</v>
      </c>
      <c r="D29" s="389">
        <v>59000</v>
      </c>
      <c r="E29" s="390">
        <v>38831.94</v>
      </c>
      <c r="F29" s="391">
        <f t="shared" si="0"/>
        <v>-20168.059999999998</v>
      </c>
    </row>
    <row r="30" spans="1:6" s="393" customFormat="1" x14ac:dyDescent="0.25">
      <c r="A30" s="56">
        <v>657</v>
      </c>
      <c r="B30" s="387" t="s">
        <v>770</v>
      </c>
      <c r="C30" s="388" t="s">
        <v>771</v>
      </c>
      <c r="D30" s="389"/>
      <c r="E30" s="390"/>
      <c r="F30" s="391">
        <f t="shared" si="0"/>
        <v>0</v>
      </c>
    </row>
    <row r="31" spans="1:6" s="393" customFormat="1" x14ac:dyDescent="0.25">
      <c r="A31" s="56">
        <v>658</v>
      </c>
      <c r="B31" s="387" t="s">
        <v>772</v>
      </c>
      <c r="C31" s="388" t="s">
        <v>773</v>
      </c>
      <c r="D31" s="389"/>
      <c r="E31" s="390"/>
      <c r="F31" s="391">
        <f t="shared" si="0"/>
        <v>0</v>
      </c>
    </row>
    <row r="32" spans="1:6" s="393" customFormat="1" x14ac:dyDescent="0.25">
      <c r="A32" s="56">
        <v>661</v>
      </c>
      <c r="B32" s="387" t="s">
        <v>774</v>
      </c>
      <c r="C32" s="388" t="s">
        <v>775</v>
      </c>
      <c r="D32" s="389"/>
      <c r="E32" s="390"/>
      <c r="F32" s="391">
        <f t="shared" si="0"/>
        <v>0</v>
      </c>
    </row>
    <row r="33" spans="1:7" s="393" customFormat="1" x14ac:dyDescent="0.25">
      <c r="A33" s="56">
        <v>662</v>
      </c>
      <c r="B33" s="387" t="s">
        <v>776</v>
      </c>
      <c r="C33" s="388" t="s">
        <v>777</v>
      </c>
      <c r="D33" s="389"/>
      <c r="E33" s="390"/>
      <c r="F33" s="391">
        <f t="shared" si="0"/>
        <v>0</v>
      </c>
    </row>
    <row r="34" spans="1:7" s="393" customFormat="1" x14ac:dyDescent="0.25">
      <c r="A34" s="56">
        <v>663</v>
      </c>
      <c r="B34" s="387" t="s">
        <v>778</v>
      </c>
      <c r="C34" s="388" t="s">
        <v>779</v>
      </c>
      <c r="D34" s="389"/>
      <c r="E34" s="390"/>
      <c r="F34" s="391">
        <f t="shared" si="0"/>
        <v>0</v>
      </c>
    </row>
    <row r="35" spans="1:7" s="393" customFormat="1" x14ac:dyDescent="0.25">
      <c r="A35" s="56">
        <v>664</v>
      </c>
      <c r="B35" s="387" t="s">
        <v>780</v>
      </c>
      <c r="C35" s="388" t="s">
        <v>781</v>
      </c>
      <c r="D35" s="389"/>
      <c r="E35" s="394"/>
      <c r="F35" s="391">
        <f t="shared" si="0"/>
        <v>0</v>
      </c>
      <c r="G35" s="376"/>
    </row>
    <row r="36" spans="1:7" s="393" customFormat="1" x14ac:dyDescent="0.25">
      <c r="A36" s="56">
        <v>665</v>
      </c>
      <c r="B36" s="387" t="s">
        <v>782</v>
      </c>
      <c r="C36" s="388" t="s">
        <v>783</v>
      </c>
      <c r="D36" s="389"/>
      <c r="E36" s="394"/>
      <c r="F36" s="391">
        <f t="shared" si="0"/>
        <v>0</v>
      </c>
      <c r="G36" s="376"/>
    </row>
    <row r="37" spans="1:7" x14ac:dyDescent="0.25">
      <c r="A37" s="56">
        <v>667</v>
      </c>
      <c r="B37" s="387" t="s">
        <v>784</v>
      </c>
      <c r="C37" s="388" t="s">
        <v>785</v>
      </c>
      <c r="D37" s="389"/>
      <c r="E37" s="394"/>
      <c r="F37" s="391">
        <f t="shared" si="0"/>
        <v>0</v>
      </c>
    </row>
    <row r="38" spans="1:7" x14ac:dyDescent="0.25">
      <c r="A38" s="56">
        <v>691</v>
      </c>
      <c r="B38" s="387" t="s">
        <v>786</v>
      </c>
      <c r="C38" s="388" t="s">
        <v>787</v>
      </c>
      <c r="D38" s="389">
        <v>823254</v>
      </c>
      <c r="E38" s="394">
        <v>819341.65</v>
      </c>
      <c r="F38" s="391">
        <f t="shared" si="0"/>
        <v>-3912.3499999999767</v>
      </c>
    </row>
    <row r="39" spans="1:7" x14ac:dyDescent="0.25">
      <c r="A39" s="851" t="s">
        <v>788</v>
      </c>
      <c r="B39" s="852"/>
      <c r="C39" s="395" t="s">
        <v>789</v>
      </c>
      <c r="D39" s="396">
        <f>SUM(D4:D38)</f>
        <v>1825180.29</v>
      </c>
      <c r="E39" s="397">
        <f>SUM(E4:E38)</f>
        <v>1899298.33</v>
      </c>
      <c r="F39" s="391">
        <f>SUM(F4:F38)</f>
        <v>74118.04000000011</v>
      </c>
    </row>
    <row r="40" spans="1:7" x14ac:dyDescent="0.25">
      <c r="A40" s="851" t="s">
        <v>790</v>
      </c>
      <c r="B40" s="852"/>
      <c r="C40" s="395" t="s">
        <v>791</v>
      </c>
      <c r="D40" s="398">
        <f>D39-T23_Náklady_soc_oblasť!D41</f>
        <v>58253.040000000037</v>
      </c>
      <c r="E40" s="399">
        <f>E39-T23_Náklady_soc_oblasť!E41</f>
        <v>200236.91999999993</v>
      </c>
      <c r="F40" s="391">
        <f>F39-T23_Náklady_soc_oblasť!F41</f>
        <v>141983.88000000012</v>
      </c>
    </row>
    <row r="41" spans="1:7" x14ac:dyDescent="0.25">
      <c r="A41" s="56">
        <v>591</v>
      </c>
      <c r="B41" s="387" t="s">
        <v>792</v>
      </c>
      <c r="C41" s="388" t="s">
        <v>793</v>
      </c>
      <c r="D41" s="389"/>
      <c r="E41" s="390"/>
      <c r="F41" s="391">
        <f>E41-D41</f>
        <v>0</v>
      </c>
    </row>
    <row r="42" spans="1:7" x14ac:dyDescent="0.25">
      <c r="A42" s="56">
        <v>595</v>
      </c>
      <c r="B42" s="387" t="s">
        <v>794</v>
      </c>
      <c r="C42" s="388" t="s">
        <v>795</v>
      </c>
      <c r="D42" s="389"/>
      <c r="E42" s="390"/>
      <c r="F42" s="391">
        <f>E42-D42</f>
        <v>0</v>
      </c>
    </row>
    <row r="43" spans="1:7" ht="16.2" thickBot="1" x14ac:dyDescent="0.3">
      <c r="A43" s="853" t="s">
        <v>796</v>
      </c>
      <c r="B43" s="854"/>
      <c r="C43" s="400" t="s">
        <v>797</v>
      </c>
      <c r="D43" s="401">
        <f>D40-D41-D42</f>
        <v>58253.040000000037</v>
      </c>
      <c r="E43" s="401">
        <f>E40-E41-E42</f>
        <v>200236.91999999993</v>
      </c>
      <c r="F43" s="402">
        <f>E43-D43</f>
        <v>141983.87999999989</v>
      </c>
    </row>
  </sheetData>
  <mergeCells count="5">
    <mergeCell ref="A39:B39"/>
    <mergeCell ref="A40:B40"/>
    <mergeCell ref="A43:B43"/>
    <mergeCell ref="A1:F1"/>
    <mergeCell ref="A2:F2"/>
  </mergeCells>
  <pageMargins left="0.55118110236220474" right="0.47244094488188981" top="0.59055118110236227" bottom="0.47244094488188981" header="0.15748031496062992" footer="0.15748031496062992"/>
  <pageSetup paperSize="9" scale="8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42"/>
  <sheetViews>
    <sheetView workbookViewId="0">
      <pane xSplit="3" ySplit="3" topLeftCell="D34" activePane="bottomRight" state="frozen"/>
      <selection pane="topRight" activeCell="D1" sqref="D1"/>
      <selection pane="bottomLeft" activeCell="A4" sqref="A4"/>
      <selection pane="bottomRight" activeCell="D8" sqref="D8"/>
    </sheetView>
  </sheetViews>
  <sheetFormatPr defaultRowHeight="13.2" x14ac:dyDescent="0.25"/>
  <cols>
    <col min="1" max="1" width="8.33203125" style="393" customWidth="1"/>
    <col min="2" max="2" width="42.109375" style="393" customWidth="1"/>
    <col min="3" max="3" width="10.109375" style="393" customWidth="1"/>
    <col min="4" max="4" width="17.44140625" style="393" customWidth="1"/>
    <col min="5" max="5" width="17.109375" style="393" customWidth="1"/>
    <col min="6" max="6" width="16.5546875" style="393" customWidth="1"/>
    <col min="7" max="7" width="8.88671875" style="393"/>
    <col min="8" max="8" width="11.88671875" style="393" bestFit="1" customWidth="1"/>
    <col min="9" max="16384" width="8.88671875" style="393"/>
  </cols>
  <sheetData>
    <row r="1" spans="1:6" ht="61.5" customHeight="1" thickBot="1" x14ac:dyDescent="0.3">
      <c r="A1" s="864" t="s">
        <v>1295</v>
      </c>
      <c r="B1" s="865"/>
      <c r="C1" s="865"/>
      <c r="D1" s="865"/>
      <c r="E1" s="865"/>
      <c r="F1" s="866"/>
    </row>
    <row r="2" spans="1:6" ht="47.25" customHeight="1" thickBot="1" x14ac:dyDescent="0.3">
      <c r="A2" s="861" t="s">
        <v>1216</v>
      </c>
      <c r="B2" s="862"/>
      <c r="C2" s="862"/>
      <c r="D2" s="862"/>
      <c r="E2" s="862"/>
      <c r="F2" s="863"/>
    </row>
    <row r="3" spans="1:6" ht="64.5" customHeight="1" thickBot="1" x14ac:dyDescent="0.3">
      <c r="A3" s="35" t="s">
        <v>647</v>
      </c>
      <c r="B3" s="36" t="s">
        <v>400</v>
      </c>
      <c r="C3" s="55" t="s">
        <v>205</v>
      </c>
      <c r="D3" s="377" t="s">
        <v>985</v>
      </c>
      <c r="E3" s="378" t="s">
        <v>1143</v>
      </c>
      <c r="F3" s="379" t="s">
        <v>1296</v>
      </c>
    </row>
    <row r="4" spans="1:6" ht="15.6" x14ac:dyDescent="0.3">
      <c r="A4" s="403">
        <v>501</v>
      </c>
      <c r="B4" s="404" t="s">
        <v>648</v>
      </c>
      <c r="C4" s="405" t="s">
        <v>649</v>
      </c>
      <c r="D4" s="384">
        <v>331894.44</v>
      </c>
      <c r="E4" s="385">
        <v>220390.96</v>
      </c>
      <c r="F4" s="391">
        <f>E4-D4</f>
        <v>-111503.48000000001</v>
      </c>
    </row>
    <row r="5" spans="1:6" ht="15.6" x14ac:dyDescent="0.3">
      <c r="A5" s="79">
        <v>502</v>
      </c>
      <c r="B5" s="406" t="s">
        <v>650</v>
      </c>
      <c r="C5" s="407" t="s">
        <v>651</v>
      </c>
      <c r="D5" s="389">
        <v>385965.16</v>
      </c>
      <c r="E5" s="390">
        <v>377008.31</v>
      </c>
      <c r="F5" s="408">
        <f t="shared" ref="F5:F40" si="0">E5-D5</f>
        <v>-8956.8499999999767</v>
      </c>
    </row>
    <row r="6" spans="1:6" ht="15.6" x14ac:dyDescent="0.3">
      <c r="A6" s="79">
        <v>504</v>
      </c>
      <c r="B6" s="406" t="s">
        <v>652</v>
      </c>
      <c r="C6" s="407" t="s">
        <v>653</v>
      </c>
      <c r="D6" s="389"/>
      <c r="E6" s="390"/>
      <c r="F6" s="408">
        <f t="shared" si="0"/>
        <v>0</v>
      </c>
    </row>
    <row r="7" spans="1:6" ht="15.6" x14ac:dyDescent="0.3">
      <c r="A7" s="79">
        <v>511</v>
      </c>
      <c r="B7" s="406" t="s">
        <v>654</v>
      </c>
      <c r="C7" s="407" t="s">
        <v>655</v>
      </c>
      <c r="D7" s="389">
        <v>124530.61</v>
      </c>
      <c r="E7" s="390">
        <v>118513.35</v>
      </c>
      <c r="F7" s="408">
        <f t="shared" si="0"/>
        <v>-6017.2599999999948</v>
      </c>
    </row>
    <row r="8" spans="1:6" ht="15.6" x14ac:dyDescent="0.3">
      <c r="A8" s="79">
        <v>512</v>
      </c>
      <c r="B8" s="406" t="s">
        <v>656</v>
      </c>
      <c r="C8" s="407" t="s">
        <v>657</v>
      </c>
      <c r="D8" s="389">
        <v>152.6</v>
      </c>
      <c r="E8" s="390">
        <v>1158.55</v>
      </c>
      <c r="F8" s="408">
        <f t="shared" si="0"/>
        <v>1005.9499999999999</v>
      </c>
    </row>
    <row r="9" spans="1:6" ht="15.6" x14ac:dyDescent="0.3">
      <c r="A9" s="79">
        <v>513</v>
      </c>
      <c r="B9" s="406" t="s">
        <v>658</v>
      </c>
      <c r="C9" s="407" t="s">
        <v>659</v>
      </c>
      <c r="D9" s="389">
        <v>0</v>
      </c>
      <c r="E9" s="390">
        <v>355</v>
      </c>
      <c r="F9" s="408">
        <f t="shared" si="0"/>
        <v>355</v>
      </c>
    </row>
    <row r="10" spans="1:6" ht="15.6" x14ac:dyDescent="0.3">
      <c r="A10" s="79">
        <v>518</v>
      </c>
      <c r="B10" s="406" t="s">
        <v>660</v>
      </c>
      <c r="C10" s="407" t="s">
        <v>661</v>
      </c>
      <c r="D10" s="389">
        <v>84546.25</v>
      </c>
      <c r="E10" s="390">
        <v>89708.84</v>
      </c>
      <c r="F10" s="408">
        <f t="shared" si="0"/>
        <v>5162.5899999999965</v>
      </c>
    </row>
    <row r="11" spans="1:6" ht="15.6" x14ac:dyDescent="0.3">
      <c r="A11" s="79">
        <v>521</v>
      </c>
      <c r="B11" s="406" t="s">
        <v>662</v>
      </c>
      <c r="C11" s="407" t="s">
        <v>663</v>
      </c>
      <c r="D11" s="389">
        <v>438173.07</v>
      </c>
      <c r="E11" s="390">
        <v>462618.47</v>
      </c>
      <c r="F11" s="408">
        <f t="shared" si="0"/>
        <v>24445.399999999965</v>
      </c>
    </row>
    <row r="12" spans="1:6" ht="15.6" x14ac:dyDescent="0.3">
      <c r="A12" s="79">
        <v>524</v>
      </c>
      <c r="B12" s="406" t="s">
        <v>664</v>
      </c>
      <c r="C12" s="407" t="s">
        <v>665</v>
      </c>
      <c r="D12" s="389">
        <v>153897.26</v>
      </c>
      <c r="E12" s="390">
        <v>156949.95000000001</v>
      </c>
      <c r="F12" s="408">
        <f t="shared" si="0"/>
        <v>3052.6900000000023</v>
      </c>
    </row>
    <row r="13" spans="1:6" ht="15.6" x14ac:dyDescent="0.3">
      <c r="A13" s="79">
        <v>525</v>
      </c>
      <c r="B13" s="406" t="s">
        <v>666</v>
      </c>
      <c r="C13" s="407" t="s">
        <v>667</v>
      </c>
      <c r="D13" s="389">
        <v>6075.53</v>
      </c>
      <c r="E13" s="390">
        <v>8570.27</v>
      </c>
      <c r="F13" s="408">
        <f t="shared" si="0"/>
        <v>2494.7400000000007</v>
      </c>
    </row>
    <row r="14" spans="1:6" ht="15.6" x14ac:dyDescent="0.3">
      <c r="A14" s="79">
        <v>527</v>
      </c>
      <c r="B14" s="406" t="s">
        <v>668</v>
      </c>
      <c r="C14" s="407" t="s">
        <v>669</v>
      </c>
      <c r="D14" s="389">
        <v>28628.47</v>
      </c>
      <c r="E14" s="390">
        <v>37373.25</v>
      </c>
      <c r="F14" s="408">
        <f t="shared" si="0"/>
        <v>8744.7799999999988</v>
      </c>
    </row>
    <row r="15" spans="1:6" ht="15.6" x14ac:dyDescent="0.3">
      <c r="A15" s="79">
        <v>528</v>
      </c>
      <c r="B15" s="406" t="s">
        <v>670</v>
      </c>
      <c r="C15" s="407" t="s">
        <v>671</v>
      </c>
      <c r="D15" s="389"/>
      <c r="E15" s="390"/>
      <c r="F15" s="408">
        <f t="shared" si="0"/>
        <v>0</v>
      </c>
    </row>
    <row r="16" spans="1:6" ht="15.6" x14ac:dyDescent="0.3">
      <c r="A16" s="79">
        <v>531</v>
      </c>
      <c r="B16" s="406" t="s">
        <v>672</v>
      </c>
      <c r="C16" s="407" t="s">
        <v>673</v>
      </c>
      <c r="D16" s="389"/>
      <c r="E16" s="390"/>
      <c r="F16" s="408">
        <f t="shared" si="0"/>
        <v>0</v>
      </c>
    </row>
    <row r="17" spans="1:6" ht="15.6" x14ac:dyDescent="0.3">
      <c r="A17" s="79">
        <v>532</v>
      </c>
      <c r="B17" s="406" t="s">
        <v>674</v>
      </c>
      <c r="C17" s="407" t="s">
        <v>675</v>
      </c>
      <c r="D17" s="389">
        <v>20269.099999999999</v>
      </c>
      <c r="E17" s="390">
        <v>20269.099999999999</v>
      </c>
      <c r="F17" s="408">
        <f t="shared" si="0"/>
        <v>0</v>
      </c>
    </row>
    <row r="18" spans="1:6" ht="15.6" x14ac:dyDescent="0.3">
      <c r="A18" s="79">
        <v>538</v>
      </c>
      <c r="B18" s="406" t="s">
        <v>676</v>
      </c>
      <c r="C18" s="407" t="s">
        <v>677</v>
      </c>
      <c r="D18" s="389">
        <v>830</v>
      </c>
      <c r="E18" s="390">
        <v>30</v>
      </c>
      <c r="F18" s="408">
        <f t="shared" si="0"/>
        <v>-800</v>
      </c>
    </row>
    <row r="19" spans="1:6" ht="15.6" x14ac:dyDescent="0.3">
      <c r="A19" s="79">
        <v>541</v>
      </c>
      <c r="B19" s="406" t="s">
        <v>678</v>
      </c>
      <c r="C19" s="407" t="s">
        <v>679</v>
      </c>
      <c r="D19" s="389"/>
      <c r="E19" s="390"/>
      <c r="F19" s="408">
        <f t="shared" si="0"/>
        <v>0</v>
      </c>
    </row>
    <row r="20" spans="1:6" ht="15.6" x14ac:dyDescent="0.3">
      <c r="A20" s="79">
        <v>542</v>
      </c>
      <c r="B20" s="406" t="s">
        <v>680</v>
      </c>
      <c r="C20" s="407" t="s">
        <v>681</v>
      </c>
      <c r="D20" s="389"/>
      <c r="E20" s="390"/>
      <c r="F20" s="408">
        <f t="shared" si="0"/>
        <v>0</v>
      </c>
    </row>
    <row r="21" spans="1:6" ht="15.6" x14ac:dyDescent="0.3">
      <c r="A21" s="79">
        <v>543</v>
      </c>
      <c r="B21" s="406" t="s">
        <v>682</v>
      </c>
      <c r="C21" s="407" t="s">
        <v>683</v>
      </c>
      <c r="D21" s="389"/>
      <c r="E21" s="390"/>
      <c r="F21" s="408">
        <f t="shared" si="0"/>
        <v>0</v>
      </c>
    </row>
    <row r="22" spans="1:6" ht="15.6" x14ac:dyDescent="0.3">
      <c r="A22" s="79">
        <v>544</v>
      </c>
      <c r="B22" s="406" t="s">
        <v>684</v>
      </c>
      <c r="C22" s="407" t="s">
        <v>685</v>
      </c>
      <c r="D22" s="389"/>
      <c r="E22" s="390"/>
      <c r="F22" s="408">
        <f t="shared" si="0"/>
        <v>0</v>
      </c>
    </row>
    <row r="23" spans="1:6" ht="15.6" x14ac:dyDescent="0.3">
      <c r="A23" s="79">
        <v>545</v>
      </c>
      <c r="B23" s="406" t="s">
        <v>686</v>
      </c>
      <c r="C23" s="407" t="s">
        <v>687</v>
      </c>
      <c r="D23" s="389"/>
      <c r="E23" s="390"/>
      <c r="F23" s="408">
        <f t="shared" si="0"/>
        <v>0</v>
      </c>
    </row>
    <row r="24" spans="1:6" ht="15.6" x14ac:dyDescent="0.3">
      <c r="A24" s="79">
        <v>546</v>
      </c>
      <c r="B24" s="406" t="s">
        <v>688</v>
      </c>
      <c r="C24" s="407" t="s">
        <v>689</v>
      </c>
      <c r="D24" s="389"/>
      <c r="E24" s="390"/>
      <c r="F24" s="408">
        <f t="shared" si="0"/>
        <v>0</v>
      </c>
    </row>
    <row r="25" spans="1:6" ht="15.6" x14ac:dyDescent="0.3">
      <c r="A25" s="79">
        <v>547</v>
      </c>
      <c r="B25" s="406" t="s">
        <v>690</v>
      </c>
      <c r="C25" s="407" t="s">
        <v>691</v>
      </c>
      <c r="D25" s="389"/>
      <c r="E25" s="390"/>
      <c r="F25" s="408">
        <f t="shared" si="0"/>
        <v>0</v>
      </c>
    </row>
    <row r="26" spans="1:6" ht="15.6" x14ac:dyDescent="0.3">
      <c r="A26" s="79">
        <v>548</v>
      </c>
      <c r="B26" s="406" t="s">
        <v>692</v>
      </c>
      <c r="C26" s="407" t="s">
        <v>693</v>
      </c>
      <c r="D26" s="389"/>
      <c r="E26" s="390"/>
      <c r="F26" s="408">
        <f t="shared" si="0"/>
        <v>0</v>
      </c>
    </row>
    <row r="27" spans="1:6" ht="15.6" x14ac:dyDescent="0.3">
      <c r="A27" s="79">
        <v>549</v>
      </c>
      <c r="B27" s="406" t="s">
        <v>694</v>
      </c>
      <c r="C27" s="407" t="s">
        <v>695</v>
      </c>
      <c r="D27" s="389">
        <v>78332.59</v>
      </c>
      <c r="E27" s="390">
        <f>78.6+73390.05</f>
        <v>73468.650000000009</v>
      </c>
      <c r="F27" s="408">
        <f t="shared" si="0"/>
        <v>-4863.9399999999878</v>
      </c>
    </row>
    <row r="28" spans="1:6" ht="15.6" x14ac:dyDescent="0.3">
      <c r="A28" s="79">
        <v>551</v>
      </c>
      <c r="B28" s="406" t="s">
        <v>696</v>
      </c>
      <c r="C28" s="407" t="s">
        <v>697</v>
      </c>
      <c r="D28" s="389">
        <v>30428.17</v>
      </c>
      <c r="E28" s="390">
        <v>63197.11</v>
      </c>
      <c r="F28" s="408">
        <f t="shared" si="0"/>
        <v>32768.94</v>
      </c>
    </row>
    <row r="29" spans="1:6" ht="15.6" x14ac:dyDescent="0.3">
      <c r="A29" s="79">
        <v>552</v>
      </c>
      <c r="B29" s="406" t="s">
        <v>832</v>
      </c>
      <c r="C29" s="407" t="s">
        <v>698</v>
      </c>
      <c r="D29" s="389"/>
      <c r="E29" s="390"/>
      <c r="F29" s="408">
        <f t="shared" si="0"/>
        <v>0</v>
      </c>
    </row>
    <row r="30" spans="1:6" ht="15.6" x14ac:dyDescent="0.3">
      <c r="A30" s="79">
        <v>553</v>
      </c>
      <c r="B30" s="406" t="s">
        <v>699</v>
      </c>
      <c r="C30" s="407" t="s">
        <v>700</v>
      </c>
      <c r="D30" s="389"/>
      <c r="E30" s="390"/>
      <c r="F30" s="408">
        <f t="shared" si="0"/>
        <v>0</v>
      </c>
    </row>
    <row r="31" spans="1:6" ht="15.6" x14ac:dyDescent="0.3">
      <c r="A31" s="79">
        <v>554</v>
      </c>
      <c r="B31" s="406" t="s">
        <v>701</v>
      </c>
      <c r="C31" s="407" t="s">
        <v>702</v>
      </c>
      <c r="D31" s="389"/>
      <c r="E31" s="390"/>
      <c r="F31" s="408">
        <f t="shared" si="0"/>
        <v>0</v>
      </c>
    </row>
    <row r="32" spans="1:6" ht="15.6" x14ac:dyDescent="0.3">
      <c r="A32" s="79">
        <v>555</v>
      </c>
      <c r="B32" s="406" t="s">
        <v>703</v>
      </c>
      <c r="C32" s="407" t="s">
        <v>704</v>
      </c>
      <c r="D32" s="389"/>
      <c r="E32" s="390"/>
      <c r="F32" s="408">
        <f t="shared" si="0"/>
        <v>0</v>
      </c>
    </row>
    <row r="33" spans="1:6" ht="15.6" x14ac:dyDescent="0.3">
      <c r="A33" s="79">
        <v>556</v>
      </c>
      <c r="B33" s="406" t="s">
        <v>705</v>
      </c>
      <c r="C33" s="407" t="s">
        <v>706</v>
      </c>
      <c r="D33" s="389">
        <v>56608</v>
      </c>
      <c r="E33" s="390">
        <v>46922.6</v>
      </c>
      <c r="F33" s="408">
        <f t="shared" si="0"/>
        <v>-9685.4000000000015</v>
      </c>
    </row>
    <row r="34" spans="1:6" ht="15.6" x14ac:dyDescent="0.3">
      <c r="A34" s="79">
        <v>557</v>
      </c>
      <c r="B34" s="406" t="s">
        <v>707</v>
      </c>
      <c r="C34" s="407" t="s">
        <v>708</v>
      </c>
      <c r="D34" s="389"/>
      <c r="E34" s="390"/>
      <c r="F34" s="408">
        <f t="shared" si="0"/>
        <v>0</v>
      </c>
    </row>
    <row r="35" spans="1:6" ht="15.6" x14ac:dyDescent="0.3">
      <c r="A35" s="79">
        <v>558</v>
      </c>
      <c r="B35" s="406" t="s">
        <v>709</v>
      </c>
      <c r="C35" s="407" t="s">
        <v>710</v>
      </c>
      <c r="D35" s="389"/>
      <c r="E35" s="390"/>
      <c r="F35" s="408">
        <f t="shared" si="0"/>
        <v>0</v>
      </c>
    </row>
    <row r="36" spans="1:6" ht="20.25" customHeight="1" x14ac:dyDescent="0.3">
      <c r="A36" s="79">
        <v>561</v>
      </c>
      <c r="B36" s="406" t="s">
        <v>712</v>
      </c>
      <c r="C36" s="407" t="s">
        <v>711</v>
      </c>
      <c r="D36" s="389"/>
      <c r="E36" s="390"/>
      <c r="F36" s="408">
        <f t="shared" si="0"/>
        <v>0</v>
      </c>
    </row>
    <row r="37" spans="1:6" ht="15.6" x14ac:dyDescent="0.3">
      <c r="A37" s="79">
        <v>562</v>
      </c>
      <c r="B37" s="406" t="s">
        <v>714</v>
      </c>
      <c r="C37" s="407" t="s">
        <v>713</v>
      </c>
      <c r="D37" s="389">
        <v>26596</v>
      </c>
      <c r="E37" s="390">
        <v>22527</v>
      </c>
      <c r="F37" s="408">
        <f t="shared" si="0"/>
        <v>-4069</v>
      </c>
    </row>
    <row r="38" spans="1:6" ht="15.6" x14ac:dyDescent="0.3">
      <c r="A38" s="79">
        <v>563</v>
      </c>
      <c r="B38" s="406" t="s">
        <v>716</v>
      </c>
      <c r="C38" s="407" t="s">
        <v>715</v>
      </c>
      <c r="D38" s="389"/>
      <c r="E38" s="390"/>
      <c r="F38" s="408">
        <f t="shared" si="0"/>
        <v>0</v>
      </c>
    </row>
    <row r="39" spans="1:6" ht="15.6" x14ac:dyDescent="0.3">
      <c r="A39" s="80">
        <v>565</v>
      </c>
      <c r="B39" s="410" t="s">
        <v>831</v>
      </c>
      <c r="C39" s="407" t="s">
        <v>717</v>
      </c>
      <c r="D39" s="409"/>
      <c r="E39" s="394"/>
      <c r="F39" s="408">
        <f t="shared" si="0"/>
        <v>0</v>
      </c>
    </row>
    <row r="40" spans="1:6" ht="16.2" thickBot="1" x14ac:dyDescent="0.35">
      <c r="A40" s="80">
        <v>567</v>
      </c>
      <c r="B40" s="410" t="s">
        <v>718</v>
      </c>
      <c r="C40" s="411" t="s">
        <v>719</v>
      </c>
      <c r="D40" s="409"/>
      <c r="E40" s="394"/>
      <c r="F40" s="412">
        <f t="shared" si="0"/>
        <v>0</v>
      </c>
    </row>
    <row r="41" spans="1:6" ht="24.75" customHeight="1" thickBot="1" x14ac:dyDescent="0.3">
      <c r="A41" s="867" t="s">
        <v>897</v>
      </c>
      <c r="B41" s="868"/>
      <c r="C41" s="413" t="s">
        <v>720</v>
      </c>
      <c r="D41" s="414">
        <f>SUM(D4:D40)</f>
        <v>1766927.25</v>
      </c>
      <c r="E41" s="415">
        <f>SUM(E4:E40)</f>
        <v>1699061.4100000001</v>
      </c>
      <c r="F41" s="416">
        <f>SUM(F4:F40)</f>
        <v>-67865.84</v>
      </c>
    </row>
    <row r="42" spans="1:6" x14ac:dyDescent="0.25">
      <c r="B42" s="443"/>
      <c r="C42" s="443"/>
      <c r="D42" s="443"/>
      <c r="E42" s="443"/>
    </row>
  </sheetData>
  <mergeCells count="3">
    <mergeCell ref="A2:F2"/>
    <mergeCell ref="A1:F1"/>
    <mergeCell ref="A41:B41"/>
  </mergeCells>
  <pageMargins left="0.39370078740157483" right="0.23622047244094491" top="0.59055118110236227" bottom="0.74803149606299213" header="0.31496062992125984" footer="0.31496062992125984"/>
  <pageSetup paperSize="9" scale="8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8"/>
  <sheetViews>
    <sheetView zoomScaleNormal="100" workbookViewId="0">
      <pane xSplit="3" ySplit="5" topLeftCell="D6" activePane="bottomRight" state="frozen"/>
      <selection pane="topRight" activeCell="D1" sqref="D1"/>
      <selection pane="bottomLeft" activeCell="A6" sqref="A6"/>
      <selection pane="bottomRight" activeCell="F10" sqref="F10"/>
    </sheetView>
  </sheetViews>
  <sheetFormatPr defaultColWidth="9.109375" defaultRowHeight="13.2" x14ac:dyDescent="0.25"/>
  <cols>
    <col min="1" max="1" width="3.5546875" style="444" customWidth="1"/>
    <col min="2" max="2" width="59.44140625" style="444" customWidth="1"/>
    <col min="3" max="3" width="7.44140625" style="448" customWidth="1"/>
    <col min="4" max="4" width="14.33203125" style="441" customWidth="1"/>
    <col min="5" max="5" width="12.6640625" style="441" customWidth="1"/>
    <col min="6" max="6" width="13.109375" style="441" customWidth="1"/>
    <col min="7" max="7" width="17.44140625" style="441" customWidth="1"/>
    <col min="8" max="16384" width="9.109375" style="444"/>
  </cols>
  <sheetData>
    <row r="1" spans="1:7" ht="35.25" customHeight="1" x14ac:dyDescent="0.25">
      <c r="A1" s="876" t="s">
        <v>1297</v>
      </c>
      <c r="B1" s="877"/>
      <c r="C1" s="877"/>
      <c r="D1" s="877"/>
      <c r="E1" s="877"/>
      <c r="F1" s="877"/>
      <c r="G1" s="878"/>
    </row>
    <row r="2" spans="1:7" ht="30" customHeight="1" thickBot="1" x14ac:dyDescent="0.3">
      <c r="A2" s="873" t="s">
        <v>1216</v>
      </c>
      <c r="B2" s="874"/>
      <c r="C2" s="874"/>
      <c r="D2" s="874"/>
      <c r="E2" s="874"/>
      <c r="F2" s="874"/>
      <c r="G2" s="875"/>
    </row>
    <row r="3" spans="1:7" ht="57.75" customHeight="1" x14ac:dyDescent="0.25">
      <c r="A3" s="879" t="s">
        <v>524</v>
      </c>
      <c r="B3" s="880"/>
      <c r="C3" s="880" t="s">
        <v>572</v>
      </c>
      <c r="D3" s="883" t="s">
        <v>573</v>
      </c>
      <c r="E3" s="883"/>
      <c r="F3" s="883"/>
      <c r="G3" s="417" t="s">
        <v>574</v>
      </c>
    </row>
    <row r="4" spans="1:7" ht="16.2" thickBot="1" x14ac:dyDescent="0.3">
      <c r="A4" s="881"/>
      <c r="B4" s="882"/>
      <c r="C4" s="882"/>
      <c r="D4" s="418" t="s">
        <v>520</v>
      </c>
      <c r="E4" s="418" t="s">
        <v>521</v>
      </c>
      <c r="F4" s="418" t="s">
        <v>522</v>
      </c>
      <c r="G4" s="419" t="s">
        <v>522</v>
      </c>
    </row>
    <row r="5" spans="1:7" ht="26.25" customHeight="1" thickBot="1" x14ac:dyDescent="0.35">
      <c r="A5" s="884" t="s">
        <v>575</v>
      </c>
      <c r="B5" s="885"/>
      <c r="C5" s="420" t="s">
        <v>576</v>
      </c>
      <c r="D5" s="421">
        <v>1</v>
      </c>
      <c r="E5" s="422">
        <v>2</v>
      </c>
      <c r="F5" s="422">
        <v>3</v>
      </c>
      <c r="G5" s="423">
        <v>4</v>
      </c>
    </row>
    <row r="6" spans="1:7" ht="15.9" customHeight="1" x14ac:dyDescent="0.3">
      <c r="A6" s="869" t="s">
        <v>646</v>
      </c>
      <c r="B6" s="870"/>
      <c r="C6" s="424" t="s">
        <v>404</v>
      </c>
      <c r="D6" s="425">
        <f>D7+D14+D26</f>
        <v>131879072.06999999</v>
      </c>
      <c r="E6" s="425">
        <f>E7+E14+E26</f>
        <v>44778543.340000004</v>
      </c>
      <c r="F6" s="425">
        <f>F7+F14+F26</f>
        <v>87100528.729999989</v>
      </c>
      <c r="G6" s="426">
        <f>G7+G14+G26</f>
        <v>66776017.550000004</v>
      </c>
    </row>
    <row r="7" spans="1:7" ht="15.9" customHeight="1" x14ac:dyDescent="0.3">
      <c r="A7" s="427" t="s">
        <v>577</v>
      </c>
      <c r="B7" s="428" t="s">
        <v>909</v>
      </c>
      <c r="C7" s="429" t="s">
        <v>406</v>
      </c>
      <c r="D7" s="398">
        <f>D8+D9+D10+D11+D12+D13</f>
        <v>2378978.2200000002</v>
      </c>
      <c r="E7" s="398">
        <f>E8+E9+E10+E11+E12+E13</f>
        <v>824303.67</v>
      </c>
      <c r="F7" s="398">
        <f>F8+F9+F10+F11+F12+F13</f>
        <v>1554674.55</v>
      </c>
      <c r="G7" s="33">
        <f>G8+G9+G10+G11+G12+G13</f>
        <v>401268.6</v>
      </c>
    </row>
    <row r="8" spans="1:7" ht="31.2" x14ac:dyDescent="0.3">
      <c r="A8" s="871"/>
      <c r="B8" s="430" t="s">
        <v>578</v>
      </c>
      <c r="C8" s="431" t="s">
        <v>408</v>
      </c>
      <c r="D8" s="389">
        <v>0</v>
      </c>
      <c r="E8" s="389">
        <v>0</v>
      </c>
      <c r="F8" s="389">
        <v>0</v>
      </c>
      <c r="G8" s="432">
        <v>0</v>
      </c>
    </row>
    <row r="9" spans="1:7" ht="15.9" customHeight="1" x14ac:dyDescent="0.3">
      <c r="A9" s="872"/>
      <c r="B9" s="430" t="s">
        <v>579</v>
      </c>
      <c r="C9" s="431" t="s">
        <v>410</v>
      </c>
      <c r="D9" s="389">
        <v>1463387.08</v>
      </c>
      <c r="E9" s="389">
        <v>824303.67</v>
      </c>
      <c r="F9" s="389">
        <v>639083.41</v>
      </c>
      <c r="G9" s="432">
        <v>401052.6</v>
      </c>
    </row>
    <row r="10" spans="1:7" ht="15.9" customHeight="1" x14ac:dyDescent="0.3">
      <c r="A10" s="872"/>
      <c r="B10" s="430" t="s">
        <v>580</v>
      </c>
      <c r="C10" s="431" t="s">
        <v>411</v>
      </c>
      <c r="D10" s="389"/>
      <c r="E10" s="389"/>
      <c r="F10" s="389"/>
      <c r="G10" s="432"/>
    </row>
    <row r="11" spans="1:7" ht="31.2" x14ac:dyDescent="0.3">
      <c r="A11" s="872"/>
      <c r="B11" s="430" t="s">
        <v>581</v>
      </c>
      <c r="C11" s="431" t="s">
        <v>413</v>
      </c>
      <c r="D11" s="389"/>
      <c r="E11" s="389"/>
      <c r="F11" s="389"/>
      <c r="G11" s="432"/>
    </row>
    <row r="12" spans="1:7" ht="15.6" x14ac:dyDescent="0.3">
      <c r="A12" s="872"/>
      <c r="B12" s="430" t="s">
        <v>644</v>
      </c>
      <c r="C12" s="431" t="s">
        <v>415</v>
      </c>
      <c r="D12" s="389">
        <v>915591.14</v>
      </c>
      <c r="E12" s="389"/>
      <c r="F12" s="389">
        <v>915591.14</v>
      </c>
      <c r="G12" s="432">
        <v>216</v>
      </c>
    </row>
    <row r="13" spans="1:7" ht="31.2" x14ac:dyDescent="0.3">
      <c r="A13" s="872"/>
      <c r="B13" s="430" t="s">
        <v>582</v>
      </c>
      <c r="C13" s="431" t="s">
        <v>417</v>
      </c>
      <c r="D13" s="389"/>
      <c r="E13" s="389"/>
      <c r="F13" s="389"/>
      <c r="G13" s="432"/>
    </row>
    <row r="14" spans="1:7" ht="15.9" customHeight="1" x14ac:dyDescent="0.3">
      <c r="A14" s="427" t="s">
        <v>583</v>
      </c>
      <c r="B14" s="433" t="s">
        <v>910</v>
      </c>
      <c r="C14" s="429" t="s">
        <v>419</v>
      </c>
      <c r="D14" s="398">
        <f>SUM(D15:D25)</f>
        <v>129495093.84999999</v>
      </c>
      <c r="E14" s="398">
        <f>SUM(E15:E25)</f>
        <v>43954239.670000002</v>
      </c>
      <c r="F14" s="398">
        <f>SUM(F15:F25)</f>
        <v>85540854.179999992</v>
      </c>
      <c r="G14" s="33">
        <f>SUM(G15:G25)</f>
        <v>66369748.950000003</v>
      </c>
    </row>
    <row r="15" spans="1:7" ht="15.9" customHeight="1" x14ac:dyDescent="0.3">
      <c r="A15" s="434"/>
      <c r="B15" s="435" t="s">
        <v>584</v>
      </c>
      <c r="C15" s="431" t="s">
        <v>421</v>
      </c>
      <c r="D15" s="389">
        <v>14340572.710000001</v>
      </c>
      <c r="E15" s="389"/>
      <c r="F15" s="389">
        <v>14340572.710000001</v>
      </c>
      <c r="G15" s="432">
        <v>12691731.710000001</v>
      </c>
    </row>
    <row r="16" spans="1:7" ht="15.9" customHeight="1" x14ac:dyDescent="0.3">
      <c r="A16" s="434"/>
      <c r="B16" s="435" t="s">
        <v>585</v>
      </c>
      <c r="C16" s="431" t="s">
        <v>423</v>
      </c>
      <c r="D16" s="389">
        <v>59126.879999999997</v>
      </c>
      <c r="E16" s="389"/>
      <c r="F16" s="389">
        <v>59126.879999999997</v>
      </c>
      <c r="G16" s="432">
        <v>49626.879999999997</v>
      </c>
    </row>
    <row r="17" spans="1:7" ht="15.9" customHeight="1" x14ac:dyDescent="0.3">
      <c r="A17" s="434"/>
      <c r="B17" s="435" t="s">
        <v>586</v>
      </c>
      <c r="C17" s="431" t="s">
        <v>425</v>
      </c>
      <c r="D17" s="389">
        <v>53704857</v>
      </c>
      <c r="E17" s="389">
        <v>15785899.99</v>
      </c>
      <c r="F17" s="389">
        <v>37918957.009999998</v>
      </c>
      <c r="G17" s="432">
        <v>37385592.789999999</v>
      </c>
    </row>
    <row r="18" spans="1:7" ht="31.2" x14ac:dyDescent="0.3">
      <c r="A18" s="434"/>
      <c r="B18" s="435" t="s">
        <v>802</v>
      </c>
      <c r="C18" s="431" t="s">
        <v>427</v>
      </c>
      <c r="D18" s="389">
        <v>48100556.289999999</v>
      </c>
      <c r="E18" s="389">
        <v>27805870.07</v>
      </c>
      <c r="F18" s="389">
        <v>20294686.219999999</v>
      </c>
      <c r="G18" s="432">
        <v>14329113.310000001</v>
      </c>
    </row>
    <row r="19" spans="1:7" ht="15.9" customHeight="1" x14ac:dyDescent="0.3">
      <c r="A19" s="434"/>
      <c r="B19" s="435" t="s">
        <v>587</v>
      </c>
      <c r="C19" s="431" t="s">
        <v>429</v>
      </c>
      <c r="D19" s="389">
        <v>446346.1</v>
      </c>
      <c r="E19" s="389">
        <v>362469.61</v>
      </c>
      <c r="F19" s="389">
        <v>83876.490000000005</v>
      </c>
      <c r="G19" s="432">
        <v>52287.46</v>
      </c>
    </row>
    <row r="20" spans="1:7" ht="15.6" x14ac:dyDescent="0.3">
      <c r="A20" s="434"/>
      <c r="B20" s="435" t="s">
        <v>588</v>
      </c>
      <c r="C20" s="431" t="s">
        <v>431</v>
      </c>
      <c r="D20" s="389"/>
      <c r="E20" s="389"/>
      <c r="F20" s="389"/>
      <c r="G20" s="432"/>
    </row>
    <row r="21" spans="1:7" ht="15.9" customHeight="1" x14ac:dyDescent="0.3">
      <c r="A21" s="434"/>
      <c r="B21" s="435" t="s">
        <v>589</v>
      </c>
      <c r="C21" s="431" t="s">
        <v>433</v>
      </c>
      <c r="D21" s="389"/>
      <c r="E21" s="389"/>
      <c r="F21" s="389"/>
      <c r="G21" s="432"/>
    </row>
    <row r="22" spans="1:7" ht="15.6" x14ac:dyDescent="0.3">
      <c r="A22" s="434"/>
      <c r="B22" s="435" t="s">
        <v>590</v>
      </c>
      <c r="C22" s="431" t="s">
        <v>435</v>
      </c>
      <c r="D22" s="389"/>
      <c r="E22" s="389"/>
      <c r="F22" s="389"/>
      <c r="G22" s="432"/>
    </row>
    <row r="23" spans="1:7" ht="15.6" x14ac:dyDescent="0.3">
      <c r="A23" s="434"/>
      <c r="B23" s="435" t="s">
        <v>591</v>
      </c>
      <c r="C23" s="431" t="s">
        <v>437</v>
      </c>
      <c r="D23" s="389"/>
      <c r="E23" s="389"/>
      <c r="F23" s="389"/>
      <c r="G23" s="432"/>
    </row>
    <row r="24" spans="1:7" ht="15.6" x14ac:dyDescent="0.3">
      <c r="A24" s="434"/>
      <c r="B24" s="435" t="s">
        <v>592</v>
      </c>
      <c r="C24" s="431" t="s">
        <v>439</v>
      </c>
      <c r="D24" s="389">
        <v>12843634.869999999</v>
      </c>
      <c r="E24" s="389"/>
      <c r="F24" s="389">
        <v>12843634.869999999</v>
      </c>
      <c r="G24" s="432">
        <v>1861396.8</v>
      </c>
    </row>
    <row r="25" spans="1:7" ht="31.2" x14ac:dyDescent="0.3">
      <c r="A25" s="436"/>
      <c r="B25" s="435" t="s">
        <v>593</v>
      </c>
      <c r="C25" s="431" t="s">
        <v>441</v>
      </c>
      <c r="D25" s="389"/>
      <c r="E25" s="389"/>
      <c r="F25" s="389"/>
      <c r="G25" s="432"/>
    </row>
    <row r="26" spans="1:7" ht="15.9" customHeight="1" x14ac:dyDescent="0.3">
      <c r="A26" s="427" t="s">
        <v>594</v>
      </c>
      <c r="B26" s="433" t="s">
        <v>911</v>
      </c>
      <c r="C26" s="429" t="s">
        <v>443</v>
      </c>
      <c r="D26" s="398">
        <f>SUM(D27:D33)</f>
        <v>5000</v>
      </c>
      <c r="E26" s="398">
        <f>SUM(E27:E33)</f>
        <v>0</v>
      </c>
      <c r="F26" s="398">
        <f>SUM(F27:F33)</f>
        <v>5000</v>
      </c>
      <c r="G26" s="33">
        <f>SUM(G27:G33)</f>
        <v>5000</v>
      </c>
    </row>
    <row r="27" spans="1:7" ht="31.2" x14ac:dyDescent="0.3">
      <c r="A27" s="434"/>
      <c r="B27" s="435" t="s">
        <v>973</v>
      </c>
      <c r="C27" s="431" t="s">
        <v>445</v>
      </c>
      <c r="D27" s="389">
        <v>5000</v>
      </c>
      <c r="E27" s="389"/>
      <c r="F27" s="389">
        <v>5000</v>
      </c>
      <c r="G27" s="432">
        <v>5000</v>
      </c>
    </row>
    <row r="28" spans="1:7" ht="31.2" x14ac:dyDescent="0.3">
      <c r="A28" s="434"/>
      <c r="B28" s="435" t="s">
        <v>974</v>
      </c>
      <c r="C28" s="431" t="s">
        <v>447</v>
      </c>
      <c r="D28" s="389"/>
      <c r="E28" s="389"/>
      <c r="F28" s="389"/>
      <c r="G28" s="432"/>
    </row>
    <row r="29" spans="1:7" ht="15.6" x14ac:dyDescent="0.3">
      <c r="A29" s="434"/>
      <c r="B29" s="435" t="s">
        <v>975</v>
      </c>
      <c r="C29" s="431" t="s">
        <v>449</v>
      </c>
      <c r="D29" s="389"/>
      <c r="E29" s="389"/>
      <c r="F29" s="389"/>
      <c r="G29" s="432"/>
    </row>
    <row r="30" spans="1:7" ht="31.2" x14ac:dyDescent="0.3">
      <c r="A30" s="434"/>
      <c r="B30" s="435" t="s">
        <v>595</v>
      </c>
      <c r="C30" s="431" t="s">
        <v>451</v>
      </c>
      <c r="D30" s="389"/>
      <c r="E30" s="389"/>
      <c r="F30" s="389"/>
      <c r="G30" s="432"/>
    </row>
    <row r="31" spans="1:7" ht="20.25" customHeight="1" x14ac:dyDescent="0.3">
      <c r="A31" s="434"/>
      <c r="B31" s="445" t="s">
        <v>976</v>
      </c>
      <c r="C31" s="431" t="s">
        <v>453</v>
      </c>
      <c r="D31" s="389"/>
      <c r="E31" s="389"/>
      <c r="F31" s="389"/>
      <c r="G31" s="432"/>
    </row>
    <row r="32" spans="1:7" ht="15.6" x14ac:dyDescent="0.3">
      <c r="A32" s="436"/>
      <c r="B32" s="435" t="s">
        <v>596</v>
      </c>
      <c r="C32" s="431" t="s">
        <v>455</v>
      </c>
      <c r="D32" s="389"/>
      <c r="E32" s="389"/>
      <c r="F32" s="389"/>
      <c r="G32" s="432"/>
    </row>
    <row r="33" spans="1:7" ht="19.5" customHeight="1" thickBot="1" x14ac:dyDescent="0.35">
      <c r="A33" s="437"/>
      <c r="B33" s="446" t="s">
        <v>977</v>
      </c>
      <c r="C33" s="438" t="s">
        <v>457</v>
      </c>
      <c r="D33" s="439"/>
      <c r="E33" s="439"/>
      <c r="F33" s="439"/>
      <c r="G33" s="440"/>
    </row>
    <row r="34" spans="1:7" s="448" customFormat="1" ht="18" customHeight="1" x14ac:dyDescent="0.25">
      <c r="A34" s="447"/>
      <c r="B34" s="447"/>
      <c r="D34" s="441"/>
      <c r="E34" s="441"/>
      <c r="F34" s="441"/>
      <c r="G34" s="441"/>
    </row>
    <row r="35" spans="1:7" s="448" customFormat="1" ht="18" customHeight="1" x14ac:dyDescent="0.25">
      <c r="A35" s="447"/>
      <c r="B35" s="447"/>
      <c r="D35" s="441"/>
      <c r="E35" s="441"/>
      <c r="F35" s="441"/>
      <c r="G35" s="441"/>
    </row>
    <row r="36" spans="1:7" s="448" customFormat="1" ht="18" customHeight="1" x14ac:dyDescent="0.25">
      <c r="A36" s="447"/>
      <c r="B36" s="447"/>
      <c r="D36" s="441"/>
      <c r="E36" s="441"/>
      <c r="F36" s="441"/>
      <c r="G36" s="441"/>
    </row>
    <row r="37" spans="1:7" s="448" customFormat="1" ht="18" customHeight="1" x14ac:dyDescent="0.25">
      <c r="A37" s="447"/>
      <c r="B37" s="447"/>
      <c r="D37" s="441"/>
      <c r="E37" s="441"/>
      <c r="F37" s="441"/>
      <c r="G37" s="441"/>
    </row>
    <row r="38" spans="1:7" s="448" customFormat="1" ht="18" customHeight="1" x14ac:dyDescent="0.25">
      <c r="A38" s="447"/>
      <c r="B38" s="447"/>
      <c r="D38" s="441"/>
      <c r="E38" s="441"/>
      <c r="F38" s="441"/>
      <c r="G38" s="441"/>
    </row>
    <row r="39" spans="1:7" s="448" customFormat="1" ht="18" customHeight="1" x14ac:dyDescent="0.25">
      <c r="A39" s="447"/>
      <c r="B39" s="447"/>
      <c r="D39" s="441"/>
      <c r="E39" s="441"/>
      <c r="F39" s="441"/>
      <c r="G39" s="441"/>
    </row>
    <row r="40" spans="1:7" s="448" customFormat="1" ht="18" customHeight="1" x14ac:dyDescent="0.25">
      <c r="A40" s="447"/>
      <c r="B40" s="447"/>
      <c r="D40" s="441"/>
      <c r="E40" s="441"/>
      <c r="F40" s="441"/>
      <c r="G40" s="441"/>
    </row>
    <row r="41" spans="1:7" s="448" customFormat="1" ht="18" customHeight="1" x14ac:dyDescent="0.25">
      <c r="A41" s="447"/>
      <c r="B41" s="447"/>
      <c r="D41" s="441"/>
      <c r="E41" s="441"/>
      <c r="F41" s="441"/>
      <c r="G41" s="441"/>
    </row>
    <row r="42" spans="1:7" s="448" customFormat="1" ht="18" customHeight="1" x14ac:dyDescent="0.25">
      <c r="A42" s="444"/>
      <c r="B42" s="444"/>
      <c r="D42" s="441"/>
      <c r="E42" s="441"/>
      <c r="F42" s="441"/>
      <c r="G42" s="441"/>
    </row>
    <row r="43" spans="1:7" s="448" customFormat="1" ht="18" customHeight="1" x14ac:dyDescent="0.25">
      <c r="A43" s="444"/>
      <c r="B43" s="444"/>
      <c r="D43" s="441"/>
      <c r="E43" s="441"/>
      <c r="F43" s="441"/>
      <c r="G43" s="441"/>
    </row>
    <row r="44" spans="1:7" s="448" customFormat="1" ht="18" customHeight="1" x14ac:dyDescent="0.25">
      <c r="A44" s="444"/>
      <c r="B44" s="444"/>
      <c r="D44" s="441"/>
      <c r="E44" s="441"/>
      <c r="F44" s="441"/>
      <c r="G44" s="441"/>
    </row>
    <row r="45" spans="1:7" s="448" customFormat="1" ht="18" customHeight="1" x14ac:dyDescent="0.25">
      <c r="A45" s="444"/>
      <c r="B45" s="444"/>
      <c r="D45" s="441"/>
      <c r="E45" s="441"/>
      <c r="F45" s="441"/>
      <c r="G45" s="441"/>
    </row>
    <row r="46" spans="1:7" s="448" customFormat="1" ht="18" customHeight="1" x14ac:dyDescent="0.25">
      <c r="A46" s="444"/>
      <c r="B46" s="444"/>
      <c r="D46" s="441"/>
      <c r="E46" s="441"/>
      <c r="F46" s="441"/>
      <c r="G46" s="441"/>
    </row>
    <row r="47" spans="1:7" s="448" customFormat="1" ht="18" customHeight="1" x14ac:dyDescent="0.25">
      <c r="A47" s="444"/>
      <c r="B47" s="444"/>
      <c r="D47" s="441"/>
      <c r="E47" s="441"/>
      <c r="F47" s="441"/>
      <c r="G47" s="441"/>
    </row>
    <row r="48" spans="1:7" s="448" customFormat="1" ht="18" customHeight="1" x14ac:dyDescent="0.25">
      <c r="A48" s="444"/>
      <c r="B48" s="444"/>
      <c r="D48" s="441"/>
      <c r="E48" s="441"/>
      <c r="F48" s="441"/>
      <c r="G48" s="441"/>
    </row>
  </sheetData>
  <mergeCells count="8">
    <mergeCell ref="A6:B6"/>
    <mergeCell ref="A8:A13"/>
    <mergeCell ref="A2:G2"/>
    <mergeCell ref="A1:G1"/>
    <mergeCell ref="A3:B4"/>
    <mergeCell ref="C3:C4"/>
    <mergeCell ref="D3:F3"/>
    <mergeCell ref="A5:B5"/>
  </mergeCells>
  <pageMargins left="0.35433070866141736" right="0.35433070866141736" top="0.98425196850393704" bottom="0.98425196850393704" header="0.51181102362204722" footer="0.51181102362204722"/>
  <pageSetup paperSize="9" scale="7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6"/>
  <sheetViews>
    <sheetView workbookViewId="0">
      <pane xSplit="3" ySplit="5" topLeftCell="D36" activePane="bottomRight" state="frozen"/>
      <selection pane="topRight" activeCell="D1" sqref="D1"/>
      <selection pane="bottomLeft" activeCell="A6" sqref="A6"/>
      <selection pane="bottomRight" activeCell="B7" sqref="B7"/>
    </sheetView>
  </sheetViews>
  <sheetFormatPr defaultColWidth="9.109375" defaultRowHeight="13.2" x14ac:dyDescent="0.25"/>
  <cols>
    <col min="1" max="1" width="2.44140625" style="449" customWidth="1"/>
    <col min="2" max="2" width="54.33203125" style="449" customWidth="1"/>
    <col min="3" max="3" width="7.44140625" style="449" customWidth="1"/>
    <col min="4" max="7" width="15.6640625" style="510" customWidth="1"/>
    <col min="8" max="16384" width="9.109375" style="449"/>
  </cols>
  <sheetData>
    <row r="1" spans="1:7" ht="24.75" customHeight="1" thickBot="1" x14ac:dyDescent="0.3">
      <c r="A1" s="801" t="s">
        <v>1298</v>
      </c>
      <c r="B1" s="802"/>
      <c r="C1" s="802"/>
      <c r="D1" s="802"/>
      <c r="E1" s="802"/>
      <c r="F1" s="802"/>
      <c r="G1" s="803"/>
    </row>
    <row r="2" spans="1:7" ht="33" customHeight="1" x14ac:dyDescent="0.25">
      <c r="A2" s="888" t="s">
        <v>1216</v>
      </c>
      <c r="B2" s="889"/>
      <c r="C2" s="889"/>
      <c r="D2" s="889"/>
      <c r="E2" s="889"/>
      <c r="F2" s="889"/>
      <c r="G2" s="890"/>
    </row>
    <row r="3" spans="1:7" ht="61.5" customHeight="1" x14ac:dyDescent="0.25">
      <c r="A3" s="895" t="s">
        <v>524</v>
      </c>
      <c r="B3" s="896"/>
      <c r="C3" s="896"/>
      <c r="D3" s="899" t="s">
        <v>597</v>
      </c>
      <c r="E3" s="899"/>
      <c r="F3" s="899"/>
      <c r="G3" s="479" t="s">
        <v>574</v>
      </c>
    </row>
    <row r="4" spans="1:7" ht="16.2" thickBot="1" x14ac:dyDescent="0.3">
      <c r="A4" s="897"/>
      <c r="B4" s="898"/>
      <c r="C4" s="898"/>
      <c r="D4" s="480" t="s">
        <v>520</v>
      </c>
      <c r="E4" s="480" t="s">
        <v>521</v>
      </c>
      <c r="F4" s="480" t="s">
        <v>522</v>
      </c>
      <c r="G4" s="481" t="s">
        <v>522</v>
      </c>
    </row>
    <row r="5" spans="1:7" ht="21.75" customHeight="1" thickBot="1" x14ac:dyDescent="0.3">
      <c r="A5" s="900" t="s">
        <v>575</v>
      </c>
      <c r="B5" s="901"/>
      <c r="C5" s="482" t="s">
        <v>576</v>
      </c>
      <c r="D5" s="483">
        <v>1</v>
      </c>
      <c r="E5" s="483">
        <v>2</v>
      </c>
      <c r="F5" s="483">
        <v>3</v>
      </c>
      <c r="G5" s="484">
        <v>4</v>
      </c>
    </row>
    <row r="6" spans="1:7" ht="15.9" customHeight="1" x14ac:dyDescent="0.25">
      <c r="A6" s="902" t="s">
        <v>908</v>
      </c>
      <c r="B6" s="903"/>
      <c r="C6" s="485" t="s">
        <v>459</v>
      </c>
      <c r="D6" s="425">
        <f>D7+D14+D19+D28</f>
        <v>14277508.84</v>
      </c>
      <c r="E6" s="425">
        <f>E7+E14+E19+E28</f>
        <v>14781.04</v>
      </c>
      <c r="F6" s="425">
        <f>F7+F14+F19+F28</f>
        <v>14262727.800000001</v>
      </c>
      <c r="G6" s="426">
        <f>G7+G14+G19+G28</f>
        <v>16205326.130000001</v>
      </c>
    </row>
    <row r="7" spans="1:7" ht="15.9" customHeight="1" x14ac:dyDescent="0.25">
      <c r="A7" s="486" t="s">
        <v>577</v>
      </c>
      <c r="B7" s="50" t="s">
        <v>598</v>
      </c>
      <c r="C7" s="487" t="s">
        <v>461</v>
      </c>
      <c r="D7" s="398">
        <f>SUM(D8:D13)</f>
        <v>174121.85</v>
      </c>
      <c r="E7" s="398">
        <f>SUM(E8:E13)</f>
        <v>0</v>
      </c>
      <c r="F7" s="398">
        <f>SUM(F8:F13)</f>
        <v>174121.85</v>
      </c>
      <c r="G7" s="33">
        <f>SUM(G8:G13)</f>
        <v>159816.78999999998</v>
      </c>
    </row>
    <row r="8" spans="1:7" ht="15.9" customHeight="1" x14ac:dyDescent="0.3">
      <c r="A8" s="892"/>
      <c r="B8" s="458" t="s">
        <v>599</v>
      </c>
      <c r="C8" s="488" t="s">
        <v>463</v>
      </c>
      <c r="D8" s="489">
        <v>84926.34</v>
      </c>
      <c r="E8" s="490"/>
      <c r="F8" s="489">
        <v>84926.34</v>
      </c>
      <c r="G8" s="491">
        <v>83783.929999999993</v>
      </c>
    </row>
    <row r="9" spans="1:7" ht="31.2" x14ac:dyDescent="0.3">
      <c r="A9" s="904"/>
      <c r="B9" s="458" t="s">
        <v>600</v>
      </c>
      <c r="C9" s="488" t="s">
        <v>465</v>
      </c>
      <c r="D9" s="489"/>
      <c r="E9" s="490"/>
      <c r="F9" s="489"/>
      <c r="G9" s="491"/>
    </row>
    <row r="10" spans="1:7" ht="15.9" customHeight="1" x14ac:dyDescent="0.3">
      <c r="A10" s="904"/>
      <c r="B10" s="458" t="s">
        <v>601</v>
      </c>
      <c r="C10" s="488" t="s">
        <v>467</v>
      </c>
      <c r="D10" s="489">
        <v>16348.35</v>
      </c>
      <c r="E10" s="490"/>
      <c r="F10" s="489">
        <v>16348.35</v>
      </c>
      <c r="G10" s="491">
        <v>16834.22</v>
      </c>
    </row>
    <row r="11" spans="1:7" ht="15.9" customHeight="1" x14ac:dyDescent="0.3">
      <c r="A11" s="904"/>
      <c r="B11" s="458" t="s">
        <v>602</v>
      </c>
      <c r="C11" s="488" t="s">
        <v>469</v>
      </c>
      <c r="D11" s="489"/>
      <c r="E11" s="490"/>
      <c r="F11" s="489"/>
      <c r="G11" s="491"/>
    </row>
    <row r="12" spans="1:7" ht="15.9" customHeight="1" x14ac:dyDescent="0.3">
      <c r="A12" s="904"/>
      <c r="B12" s="458" t="s">
        <v>603</v>
      </c>
      <c r="C12" s="488" t="s">
        <v>471</v>
      </c>
      <c r="D12" s="489">
        <v>72847.16</v>
      </c>
      <c r="E12" s="490"/>
      <c r="F12" s="489">
        <v>72847.16</v>
      </c>
      <c r="G12" s="491">
        <v>59198.64</v>
      </c>
    </row>
    <row r="13" spans="1:7" ht="31.2" x14ac:dyDescent="0.3">
      <c r="A13" s="904"/>
      <c r="B13" s="458" t="s">
        <v>986</v>
      </c>
      <c r="C13" s="488" t="s">
        <v>473</v>
      </c>
      <c r="D13" s="489"/>
      <c r="E13" s="490"/>
      <c r="F13" s="489"/>
      <c r="G13" s="491"/>
    </row>
    <row r="14" spans="1:7" ht="15.9" customHeight="1" x14ac:dyDescent="0.25">
      <c r="A14" s="463" t="s">
        <v>583</v>
      </c>
      <c r="B14" s="50" t="s">
        <v>907</v>
      </c>
      <c r="C14" s="492" t="s">
        <v>475</v>
      </c>
      <c r="D14" s="398">
        <f>SUM(D15:D18)</f>
        <v>42.73</v>
      </c>
      <c r="E14" s="398">
        <f>SUM(E15:E18)</f>
        <v>0</v>
      </c>
      <c r="F14" s="398">
        <f>SUM(F15:F18)</f>
        <v>42.73</v>
      </c>
      <c r="G14" s="33">
        <f>SUM(G15:G18)</f>
        <v>42.73</v>
      </c>
    </row>
    <row r="15" spans="1:7" ht="31.2" x14ac:dyDescent="0.3">
      <c r="A15" s="891"/>
      <c r="B15" s="468" t="s">
        <v>1013</v>
      </c>
      <c r="C15" s="488" t="s">
        <v>477</v>
      </c>
      <c r="D15" s="489">
        <v>42.73</v>
      </c>
      <c r="E15" s="490"/>
      <c r="F15" s="489">
        <v>42.73</v>
      </c>
      <c r="G15" s="491">
        <v>42.73</v>
      </c>
    </row>
    <row r="16" spans="1:7" ht="15.6" x14ac:dyDescent="0.3">
      <c r="A16" s="891"/>
      <c r="B16" s="458" t="s">
        <v>604</v>
      </c>
      <c r="C16" s="488" t="s">
        <v>479</v>
      </c>
      <c r="D16" s="489"/>
      <c r="E16" s="490"/>
      <c r="F16" s="489"/>
      <c r="G16" s="491"/>
    </row>
    <row r="17" spans="1:7" ht="18" customHeight="1" x14ac:dyDescent="0.3">
      <c r="A17" s="891"/>
      <c r="B17" s="458" t="s">
        <v>898</v>
      </c>
      <c r="C17" s="488" t="s">
        <v>481</v>
      </c>
      <c r="D17" s="489"/>
      <c r="E17" s="490"/>
      <c r="F17" s="489"/>
      <c r="G17" s="491"/>
    </row>
    <row r="18" spans="1:7" ht="31.2" x14ac:dyDescent="0.3">
      <c r="A18" s="892"/>
      <c r="B18" s="458" t="s">
        <v>833</v>
      </c>
      <c r="C18" s="488" t="s">
        <v>483</v>
      </c>
      <c r="D18" s="489"/>
      <c r="E18" s="490"/>
      <c r="F18" s="489"/>
      <c r="G18" s="491"/>
    </row>
    <row r="19" spans="1:7" ht="15.9" customHeight="1" x14ac:dyDescent="0.25">
      <c r="A19" s="49" t="s">
        <v>594</v>
      </c>
      <c r="B19" s="50" t="s">
        <v>906</v>
      </c>
      <c r="C19" s="492" t="s">
        <v>485</v>
      </c>
      <c r="D19" s="398">
        <f>SUM(D20:D27)</f>
        <v>825826.75</v>
      </c>
      <c r="E19" s="398">
        <f>SUM(E20:E27)</f>
        <v>14781.04</v>
      </c>
      <c r="F19" s="398">
        <f>SUM(F20:F27)</f>
        <v>811045.71</v>
      </c>
      <c r="G19" s="493">
        <f>SUM(G20:G27)</f>
        <v>1495473.9200000002</v>
      </c>
    </row>
    <row r="20" spans="1:7" ht="31.2" x14ac:dyDescent="0.3">
      <c r="A20" s="891"/>
      <c r="B20" s="468" t="s">
        <v>605</v>
      </c>
      <c r="C20" s="488" t="s">
        <v>487</v>
      </c>
      <c r="D20" s="489">
        <v>462600.34</v>
      </c>
      <c r="E20" s="490">
        <v>14781.04</v>
      </c>
      <c r="F20" s="489">
        <v>447819.3</v>
      </c>
      <c r="G20" s="491">
        <v>597351.51</v>
      </c>
    </row>
    <row r="21" spans="1:7" ht="15.9" customHeight="1" x14ac:dyDescent="0.3">
      <c r="A21" s="891"/>
      <c r="B21" s="458" t="s">
        <v>604</v>
      </c>
      <c r="C21" s="488" t="s">
        <v>488</v>
      </c>
      <c r="D21" s="489">
        <v>39493.769999999997</v>
      </c>
      <c r="E21" s="490"/>
      <c r="F21" s="489">
        <v>39493.769999999997</v>
      </c>
      <c r="G21" s="491">
        <v>37149.300000000003</v>
      </c>
    </row>
    <row r="22" spans="1:7" ht="15.9" customHeight="1" x14ac:dyDescent="0.3">
      <c r="A22" s="891"/>
      <c r="B22" s="458" t="s">
        <v>606</v>
      </c>
      <c r="C22" s="488" t="s">
        <v>490</v>
      </c>
      <c r="D22" s="489"/>
      <c r="E22" s="490"/>
      <c r="F22" s="489"/>
      <c r="G22" s="491"/>
    </row>
    <row r="23" spans="1:7" ht="15.6" x14ac:dyDescent="0.3">
      <c r="A23" s="891"/>
      <c r="B23" s="458" t="s">
        <v>607</v>
      </c>
      <c r="C23" s="488" t="s">
        <v>492</v>
      </c>
      <c r="D23" s="489">
        <v>58862.7</v>
      </c>
      <c r="E23" s="490"/>
      <c r="F23" s="489">
        <v>58862.7</v>
      </c>
      <c r="G23" s="491">
        <v>210099.28</v>
      </c>
    </row>
    <row r="24" spans="1:7" ht="31.2" x14ac:dyDescent="0.3">
      <c r="A24" s="891"/>
      <c r="B24" s="458" t="s">
        <v>978</v>
      </c>
      <c r="C24" s="488" t="s">
        <v>494</v>
      </c>
      <c r="D24" s="489">
        <v>263689.59999999998</v>
      </c>
      <c r="E24" s="490"/>
      <c r="F24" s="489">
        <v>263689.59999999998</v>
      </c>
      <c r="G24" s="491">
        <v>650163.30000000005</v>
      </c>
    </row>
    <row r="25" spans="1:7" ht="15.75" customHeight="1" x14ac:dyDescent="0.3">
      <c r="A25" s="891"/>
      <c r="B25" s="458" t="s">
        <v>899</v>
      </c>
      <c r="C25" s="488" t="s">
        <v>495</v>
      </c>
      <c r="D25" s="489"/>
      <c r="E25" s="490"/>
      <c r="F25" s="489"/>
      <c r="G25" s="491"/>
    </row>
    <row r="26" spans="1:7" ht="15.9" customHeight="1" x14ac:dyDescent="0.3">
      <c r="A26" s="892"/>
      <c r="B26" s="458" t="s">
        <v>900</v>
      </c>
      <c r="C26" s="488" t="s">
        <v>497</v>
      </c>
      <c r="D26" s="489"/>
      <c r="E26" s="490"/>
      <c r="F26" s="489"/>
      <c r="G26" s="491"/>
    </row>
    <row r="27" spans="1:7" ht="31.2" x14ac:dyDescent="0.3">
      <c r="A27" s="494"/>
      <c r="B27" s="458" t="s">
        <v>833</v>
      </c>
      <c r="C27" s="488" t="s">
        <v>498</v>
      </c>
      <c r="D27" s="489">
        <v>1180.3399999999999</v>
      </c>
      <c r="E27" s="490"/>
      <c r="F27" s="489">
        <v>1180.3399999999999</v>
      </c>
      <c r="G27" s="491">
        <v>710.53</v>
      </c>
    </row>
    <row r="28" spans="1:7" ht="15.9" customHeight="1" x14ac:dyDescent="0.25">
      <c r="A28" s="49" t="s">
        <v>608</v>
      </c>
      <c r="B28" s="50" t="s">
        <v>905</v>
      </c>
      <c r="C28" s="492" t="s">
        <v>500</v>
      </c>
      <c r="D28" s="398">
        <f>SUM(D29:D33)</f>
        <v>13277517.51</v>
      </c>
      <c r="E28" s="398">
        <f>SUM(E29:E33)</f>
        <v>0</v>
      </c>
      <c r="F28" s="398">
        <f>SUM(F29:F33)</f>
        <v>13277517.51</v>
      </c>
      <c r="G28" s="33">
        <f>SUM(G29:G33)</f>
        <v>14549992.690000001</v>
      </c>
    </row>
    <row r="29" spans="1:7" ht="15.9" customHeight="1" x14ac:dyDescent="0.3">
      <c r="A29" s="891"/>
      <c r="B29" s="468" t="s">
        <v>609</v>
      </c>
      <c r="C29" s="488" t="s">
        <v>502</v>
      </c>
      <c r="D29" s="489">
        <v>20440.59</v>
      </c>
      <c r="E29" s="490"/>
      <c r="F29" s="489">
        <v>20440.59</v>
      </c>
      <c r="G29" s="491">
        <v>21590.880000000001</v>
      </c>
    </row>
    <row r="30" spans="1:7" ht="15.9" customHeight="1" x14ac:dyDescent="0.3">
      <c r="A30" s="891"/>
      <c r="B30" s="458" t="s">
        <v>901</v>
      </c>
      <c r="C30" s="488" t="s">
        <v>504</v>
      </c>
      <c r="D30" s="489">
        <v>13257076.92</v>
      </c>
      <c r="E30" s="490"/>
      <c r="F30" s="489">
        <v>13257076.92</v>
      </c>
      <c r="G30" s="491">
        <v>14528401.810000001</v>
      </c>
    </row>
    <row r="31" spans="1:7" ht="18.75" customHeight="1" x14ac:dyDescent="0.3">
      <c r="A31" s="891"/>
      <c r="B31" s="458" t="s">
        <v>610</v>
      </c>
      <c r="C31" s="488" t="s">
        <v>506</v>
      </c>
      <c r="D31" s="489"/>
      <c r="E31" s="490"/>
      <c r="F31" s="489"/>
      <c r="G31" s="491"/>
    </row>
    <row r="32" spans="1:7" ht="31.2" x14ac:dyDescent="0.3">
      <c r="A32" s="891"/>
      <c r="B32" s="458" t="s">
        <v>507</v>
      </c>
      <c r="C32" s="488" t="s">
        <v>508</v>
      </c>
      <c r="D32" s="489"/>
      <c r="E32" s="490"/>
      <c r="F32" s="489"/>
      <c r="G32" s="491"/>
    </row>
    <row r="33" spans="1:7" ht="17.25" customHeight="1" thickBot="1" x14ac:dyDescent="0.35">
      <c r="A33" s="891"/>
      <c r="B33" s="495" t="s">
        <v>902</v>
      </c>
      <c r="C33" s="496" t="s">
        <v>510</v>
      </c>
      <c r="D33" s="497"/>
      <c r="E33" s="498"/>
      <c r="F33" s="497"/>
      <c r="G33" s="499"/>
    </row>
    <row r="34" spans="1:7" ht="33" customHeight="1" thickBot="1" x14ac:dyDescent="0.3">
      <c r="A34" s="893" t="s">
        <v>903</v>
      </c>
      <c r="B34" s="894"/>
      <c r="C34" s="500" t="s">
        <v>512</v>
      </c>
      <c r="D34" s="414">
        <f>D35+D36</f>
        <v>328708.09999999998</v>
      </c>
      <c r="E34" s="414">
        <f>E35+E36</f>
        <v>0</v>
      </c>
      <c r="F34" s="414">
        <f>F35+F36</f>
        <v>328708.09999999998</v>
      </c>
      <c r="G34" s="501">
        <f>G35+G36</f>
        <v>298618.71999999997</v>
      </c>
    </row>
    <row r="35" spans="1:7" ht="18" customHeight="1" x14ac:dyDescent="0.3">
      <c r="A35" s="905" t="s">
        <v>577</v>
      </c>
      <c r="B35" s="468" t="s">
        <v>611</v>
      </c>
      <c r="C35" s="502" t="s">
        <v>514</v>
      </c>
      <c r="D35" s="503">
        <v>328708.09999999998</v>
      </c>
      <c r="E35" s="504"/>
      <c r="F35" s="503">
        <v>328708.09999999998</v>
      </c>
      <c r="G35" s="505">
        <v>298618.71999999997</v>
      </c>
    </row>
    <row r="36" spans="1:7" ht="18" customHeight="1" thickBot="1" x14ac:dyDescent="0.35">
      <c r="A36" s="906"/>
      <c r="B36" s="506" t="s">
        <v>612</v>
      </c>
      <c r="C36" s="496" t="s">
        <v>516</v>
      </c>
      <c r="D36" s="497"/>
      <c r="E36" s="498"/>
      <c r="F36" s="497"/>
      <c r="G36" s="499"/>
    </row>
    <row r="37" spans="1:7" ht="18" customHeight="1" thickBot="1" x14ac:dyDescent="0.3">
      <c r="A37" s="886" t="s">
        <v>904</v>
      </c>
      <c r="B37" s="887"/>
      <c r="C37" s="507" t="s">
        <v>518</v>
      </c>
      <c r="D37" s="414">
        <f>T24a_Aktíva_1!D6+T24b_Aktíva_2!D6+T24b_Aktíva_2!D34</f>
        <v>146485289.00999999</v>
      </c>
      <c r="E37" s="414">
        <f>T24a_Aktíva_1!E6+T24b_Aktíva_2!E6+T24b_Aktíva_2!E34</f>
        <v>44793324.380000003</v>
      </c>
      <c r="F37" s="414">
        <f>T24a_Aktíva_1!F6+T24b_Aktíva_2!F6+T24b_Aktíva_2!F34</f>
        <v>101691964.62999998</v>
      </c>
      <c r="G37" s="501">
        <f>T24a_Aktíva_1!G6+T24b_Aktíva_2!G6+T24b_Aktíva_2!G34</f>
        <v>83279962.400000006</v>
      </c>
    </row>
    <row r="38" spans="1:7" ht="18" customHeight="1" x14ac:dyDescent="0.25">
      <c r="A38" s="508"/>
      <c r="B38" s="508"/>
      <c r="C38" s="509"/>
    </row>
    <row r="39" spans="1:7" ht="18" customHeight="1" x14ac:dyDescent="0.25">
      <c r="A39" s="508"/>
      <c r="B39" s="508"/>
      <c r="C39" s="509"/>
    </row>
    <row r="40" spans="1:7" ht="18" customHeight="1" x14ac:dyDescent="0.25"/>
    <row r="41" spans="1:7" ht="18" customHeight="1" x14ac:dyDescent="0.25"/>
    <row r="42" spans="1:7" ht="18" customHeight="1" x14ac:dyDescent="0.25"/>
    <row r="43" spans="1:7" ht="18" customHeight="1" x14ac:dyDescent="0.25"/>
    <row r="44" spans="1:7" ht="18" customHeight="1" x14ac:dyDescent="0.25"/>
    <row r="45" spans="1:7" ht="18" customHeight="1" x14ac:dyDescent="0.25"/>
    <row r="46" spans="1:7" ht="18" customHeight="1" x14ac:dyDescent="0.25"/>
  </sheetData>
  <mergeCells count="14">
    <mergeCell ref="A37:B37"/>
    <mergeCell ref="A2:G2"/>
    <mergeCell ref="A1:G1"/>
    <mergeCell ref="A15:A18"/>
    <mergeCell ref="A20:A26"/>
    <mergeCell ref="A29:A33"/>
    <mergeCell ref="A34:B34"/>
    <mergeCell ref="A3:B4"/>
    <mergeCell ref="C3:C4"/>
    <mergeCell ref="D3:F3"/>
    <mergeCell ref="A5:B5"/>
    <mergeCell ref="A6:B6"/>
    <mergeCell ref="A8:A13"/>
    <mergeCell ref="A35:A36"/>
  </mergeCells>
  <pageMargins left="0.39370078740157483" right="0.35433070866141736" top="0.52" bottom="0.98425196850393704" header="0.51181102362204722" footer="0.51181102362204722"/>
  <pageSetup paperSize="9" scale="7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54"/>
  <sheetViews>
    <sheetView workbookViewId="0">
      <pane xSplit="5" ySplit="5" topLeftCell="F36" activePane="bottomRight" state="frozen"/>
      <selection pane="topRight" activeCell="F1" sqref="F1"/>
      <selection pane="bottomLeft" activeCell="A6" sqref="A6"/>
      <selection pane="bottomRight" activeCell="J8" sqref="J8"/>
    </sheetView>
  </sheetViews>
  <sheetFormatPr defaultColWidth="9.109375" defaultRowHeight="13.2" x14ac:dyDescent="0.25"/>
  <cols>
    <col min="1" max="1" width="4" style="449" customWidth="1"/>
    <col min="2" max="2" width="60.109375" style="449" customWidth="1"/>
    <col min="3" max="3" width="6.5546875" style="449" customWidth="1"/>
    <col min="4" max="5" width="11.6640625" style="449" hidden="1" customWidth="1"/>
    <col min="6" max="6" width="18" style="477" customWidth="1"/>
    <col min="7" max="7" width="16.5546875" style="478" customWidth="1"/>
    <col min="8" max="16384" width="9.109375" style="449"/>
  </cols>
  <sheetData>
    <row r="1" spans="1:10" ht="38.25" customHeight="1" thickBot="1" x14ac:dyDescent="0.3">
      <c r="A1" s="801" t="s">
        <v>1299</v>
      </c>
      <c r="B1" s="802"/>
      <c r="C1" s="802"/>
      <c r="D1" s="802"/>
      <c r="E1" s="802"/>
      <c r="F1" s="802"/>
      <c r="G1" s="803"/>
    </row>
    <row r="2" spans="1:10" ht="33" customHeight="1" thickBot="1" x14ac:dyDescent="0.3">
      <c r="A2" s="911" t="s">
        <v>1216</v>
      </c>
      <c r="B2" s="912"/>
      <c r="C2" s="912"/>
      <c r="D2" s="912"/>
      <c r="E2" s="912"/>
      <c r="F2" s="912"/>
      <c r="G2" s="913"/>
    </row>
    <row r="3" spans="1:10" ht="35.25" customHeight="1" x14ac:dyDescent="0.25">
      <c r="A3" s="916" t="s">
        <v>613</v>
      </c>
      <c r="B3" s="917"/>
      <c r="C3" s="917"/>
      <c r="D3" s="920" t="s">
        <v>597</v>
      </c>
      <c r="E3" s="921"/>
      <c r="F3" s="922"/>
      <c r="G3" s="926" t="s">
        <v>574</v>
      </c>
    </row>
    <row r="4" spans="1:10" ht="42.75" customHeight="1" thickBot="1" x14ac:dyDescent="0.3">
      <c r="A4" s="918"/>
      <c r="B4" s="919"/>
      <c r="C4" s="919"/>
      <c r="D4" s="923"/>
      <c r="E4" s="924"/>
      <c r="F4" s="925"/>
      <c r="G4" s="927"/>
    </row>
    <row r="5" spans="1:10" ht="19.5" customHeight="1" thickBot="1" x14ac:dyDescent="0.3">
      <c r="A5" s="928" t="s">
        <v>575</v>
      </c>
      <c r="B5" s="929"/>
      <c r="C5" s="450" t="s">
        <v>576</v>
      </c>
      <c r="D5" s="450">
        <v>1</v>
      </c>
      <c r="E5" s="450">
        <v>2</v>
      </c>
      <c r="F5" s="57">
        <v>5</v>
      </c>
      <c r="G5" s="58">
        <v>6</v>
      </c>
    </row>
    <row r="6" spans="1:10" ht="30.75" customHeight="1" x14ac:dyDescent="0.3">
      <c r="A6" s="930" t="s">
        <v>912</v>
      </c>
      <c r="B6" s="931"/>
      <c r="C6" s="60" t="s">
        <v>527</v>
      </c>
      <c r="D6" s="451">
        <f>D7+D13</f>
        <v>207980</v>
      </c>
      <c r="E6" s="451">
        <f>E7+E13</f>
        <v>0</v>
      </c>
      <c r="F6" s="452">
        <f>F7+F13+F17+F18</f>
        <v>39695219.410000004</v>
      </c>
      <c r="G6" s="453">
        <f>G7+G13+G17+G18</f>
        <v>37981513.130000003</v>
      </c>
      <c r="H6" s="454"/>
      <c r="I6" s="455"/>
      <c r="J6" s="455"/>
    </row>
    <row r="7" spans="1:10" ht="15.6" x14ac:dyDescent="0.3">
      <c r="A7" s="456" t="s">
        <v>577</v>
      </c>
      <c r="B7" s="50" t="s">
        <v>913</v>
      </c>
      <c r="C7" s="46" t="s">
        <v>528</v>
      </c>
      <c r="D7" s="457">
        <f>SUM(D8:D10)</f>
        <v>193386</v>
      </c>
      <c r="E7" s="457">
        <f>SUM(E8:E10)</f>
        <v>0</v>
      </c>
      <c r="F7" s="398">
        <f>SUM(F8:F12)</f>
        <v>34917133.289999999</v>
      </c>
      <c r="G7" s="33">
        <f>SUM(G8:G12)</f>
        <v>34187637.670000002</v>
      </c>
    </row>
    <row r="8" spans="1:10" ht="18" customHeight="1" x14ac:dyDescent="0.3">
      <c r="A8" s="891"/>
      <c r="B8" s="458" t="s">
        <v>799</v>
      </c>
      <c r="C8" s="48" t="s">
        <v>529</v>
      </c>
      <c r="D8" s="459">
        <v>169934</v>
      </c>
      <c r="E8" s="459"/>
      <c r="F8" s="460">
        <v>34062847.07</v>
      </c>
      <c r="G8" s="461">
        <v>29451052.98</v>
      </c>
    </row>
    <row r="9" spans="1:10" ht="15.9" customHeight="1" x14ac:dyDescent="0.3">
      <c r="A9" s="891"/>
      <c r="B9" s="458" t="s">
        <v>622</v>
      </c>
      <c r="C9" s="48" t="s">
        <v>530</v>
      </c>
      <c r="D9" s="459"/>
      <c r="E9" s="459"/>
      <c r="F9" s="460">
        <v>298207.56</v>
      </c>
      <c r="G9" s="461">
        <v>338376.94</v>
      </c>
    </row>
    <row r="10" spans="1:10" ht="15.6" x14ac:dyDescent="0.3">
      <c r="A10" s="892"/>
      <c r="B10" s="458" t="s">
        <v>800</v>
      </c>
      <c r="C10" s="48" t="s">
        <v>531</v>
      </c>
      <c r="D10" s="459">
        <v>23452</v>
      </c>
      <c r="E10" s="459"/>
      <c r="F10" s="460">
        <v>556078.66</v>
      </c>
      <c r="G10" s="461">
        <v>4398207.75</v>
      </c>
    </row>
    <row r="11" spans="1:10" ht="18" customHeight="1" x14ac:dyDescent="0.3">
      <c r="A11" s="462"/>
      <c r="B11" s="458" t="s">
        <v>614</v>
      </c>
      <c r="C11" s="48" t="s">
        <v>532</v>
      </c>
      <c r="D11" s="459"/>
      <c r="E11" s="459"/>
      <c r="F11" s="460"/>
      <c r="G11" s="461"/>
    </row>
    <row r="12" spans="1:10" ht="15.6" x14ac:dyDescent="0.3">
      <c r="A12" s="462"/>
      <c r="B12" s="458" t="s">
        <v>615</v>
      </c>
      <c r="C12" s="48" t="s">
        <v>533</v>
      </c>
      <c r="D12" s="459"/>
      <c r="E12" s="459"/>
      <c r="F12" s="460"/>
      <c r="G12" s="461"/>
    </row>
    <row r="13" spans="1:10" ht="18" customHeight="1" x14ac:dyDescent="0.3">
      <c r="A13" s="49" t="s">
        <v>583</v>
      </c>
      <c r="B13" s="50" t="s">
        <v>914</v>
      </c>
      <c r="C13" s="46" t="s">
        <v>534</v>
      </c>
      <c r="D13" s="457">
        <f>SUM(D14:D16)</f>
        <v>14594</v>
      </c>
      <c r="E13" s="457">
        <f>SUM(E14:E16)</f>
        <v>0</v>
      </c>
      <c r="F13" s="398">
        <f>SUM(F14:F17)</f>
        <v>3016377.92</v>
      </c>
      <c r="G13" s="33">
        <f>SUM(G14:G17)</f>
        <v>2931290.29</v>
      </c>
    </row>
    <row r="14" spans="1:10" ht="14.25" customHeight="1" x14ac:dyDescent="0.3">
      <c r="A14" s="904"/>
      <c r="B14" s="458" t="s">
        <v>623</v>
      </c>
      <c r="C14" s="48" t="s">
        <v>535</v>
      </c>
      <c r="D14" s="459">
        <v>3949</v>
      </c>
      <c r="E14" s="459"/>
      <c r="F14" s="460">
        <v>3016377.92</v>
      </c>
      <c r="G14" s="461">
        <v>2931290.29</v>
      </c>
    </row>
    <row r="15" spans="1:10" ht="15.6" x14ac:dyDescent="0.3">
      <c r="A15" s="904"/>
      <c r="B15" s="458" t="s">
        <v>625</v>
      </c>
      <c r="C15" s="48" t="s">
        <v>536</v>
      </c>
      <c r="D15" s="459">
        <v>-5033</v>
      </c>
      <c r="E15" s="459"/>
      <c r="F15" s="460"/>
      <c r="G15" s="461"/>
    </row>
    <row r="16" spans="1:10" ht="15.6" x14ac:dyDescent="0.3">
      <c r="A16" s="904"/>
      <c r="B16" s="458" t="s">
        <v>624</v>
      </c>
      <c r="C16" s="48" t="s">
        <v>537</v>
      </c>
      <c r="D16" s="47">
        <v>15678</v>
      </c>
      <c r="E16" s="47"/>
      <c r="F16" s="460"/>
      <c r="G16" s="461"/>
    </row>
    <row r="17" spans="1:7" ht="36" customHeight="1" x14ac:dyDescent="0.3">
      <c r="A17" s="463" t="s">
        <v>594</v>
      </c>
      <c r="B17" s="464" t="s">
        <v>915</v>
      </c>
      <c r="C17" s="46" t="s">
        <v>538</v>
      </c>
      <c r="D17" s="47"/>
      <c r="E17" s="47"/>
      <c r="F17" s="460"/>
      <c r="G17" s="461"/>
    </row>
    <row r="18" spans="1:7" ht="31.2" x14ac:dyDescent="0.3">
      <c r="A18" s="463" t="s">
        <v>608</v>
      </c>
      <c r="B18" s="50" t="s">
        <v>916</v>
      </c>
      <c r="C18" s="46" t="s">
        <v>539</v>
      </c>
      <c r="D18" s="47"/>
      <c r="E18" s="47"/>
      <c r="F18" s="465">
        <v>1761708.2</v>
      </c>
      <c r="G18" s="466">
        <v>862585.17</v>
      </c>
    </row>
    <row r="19" spans="1:7" ht="15" customHeight="1" x14ac:dyDescent="0.3">
      <c r="A19" s="914" t="s">
        <v>917</v>
      </c>
      <c r="B19" s="915"/>
      <c r="C19" s="46" t="s">
        <v>540</v>
      </c>
      <c r="D19" s="47">
        <v>77905</v>
      </c>
      <c r="E19" s="47"/>
      <c r="F19" s="398">
        <f>F20+F24+F32+F42</f>
        <v>7788551.3600000013</v>
      </c>
      <c r="G19" s="33">
        <f>G20+G24+G32+G42</f>
        <v>5142117.3099999996</v>
      </c>
    </row>
    <row r="20" spans="1:7" ht="15.6" x14ac:dyDescent="0.3">
      <c r="A20" s="49" t="s">
        <v>577</v>
      </c>
      <c r="B20" s="467" t="s">
        <v>918</v>
      </c>
      <c r="C20" s="46" t="s">
        <v>541</v>
      </c>
      <c r="D20" s="47"/>
      <c r="E20" s="47"/>
      <c r="F20" s="398">
        <f>SUM(F21:F23)</f>
        <v>515933.71</v>
      </c>
      <c r="G20" s="33">
        <f>SUM(G21:G23)</f>
        <v>450128.9</v>
      </c>
    </row>
    <row r="21" spans="1:7" ht="13.5" customHeight="1" x14ac:dyDescent="0.3">
      <c r="A21" s="49"/>
      <c r="B21" s="468" t="s">
        <v>626</v>
      </c>
      <c r="C21" s="48" t="s">
        <v>542</v>
      </c>
      <c r="D21" s="459"/>
      <c r="E21" s="459"/>
      <c r="F21" s="460"/>
      <c r="G21" s="461"/>
    </row>
    <row r="22" spans="1:7" ht="15.6" x14ac:dyDescent="0.3">
      <c r="A22" s="49"/>
      <c r="B22" s="468" t="s">
        <v>627</v>
      </c>
      <c r="C22" s="48" t="s">
        <v>543</v>
      </c>
      <c r="D22" s="459"/>
      <c r="E22" s="459"/>
      <c r="F22" s="460"/>
      <c r="G22" s="461"/>
    </row>
    <row r="23" spans="1:7" ht="15.6" x14ac:dyDescent="0.3">
      <c r="A23" s="49"/>
      <c r="B23" s="468" t="s">
        <v>628</v>
      </c>
      <c r="C23" s="48" t="s">
        <v>544</v>
      </c>
      <c r="D23" s="459"/>
      <c r="E23" s="459"/>
      <c r="F23" s="460">
        <v>515933.71</v>
      </c>
      <c r="G23" s="461">
        <v>450128.9</v>
      </c>
    </row>
    <row r="24" spans="1:7" ht="14.25" customHeight="1" x14ac:dyDescent="0.3">
      <c r="A24" s="49" t="s">
        <v>583</v>
      </c>
      <c r="B24" s="50" t="s">
        <v>919</v>
      </c>
      <c r="C24" s="46" t="s">
        <v>545</v>
      </c>
      <c r="D24" s="469">
        <f>SUM(D25:D31)</f>
        <v>327</v>
      </c>
      <c r="E24" s="469">
        <f>SUM(E25:E31)</f>
        <v>0</v>
      </c>
      <c r="F24" s="398">
        <f>SUM(F25:F31)</f>
        <v>105586.07</v>
      </c>
      <c r="G24" s="33">
        <f>SUM(G25:G31)</f>
        <v>111869.3</v>
      </c>
    </row>
    <row r="25" spans="1:7" ht="15.6" x14ac:dyDescent="0.3">
      <c r="A25" s="891"/>
      <c r="B25" s="468" t="s">
        <v>629</v>
      </c>
      <c r="C25" s="48" t="s">
        <v>546</v>
      </c>
      <c r="D25" s="459"/>
      <c r="E25" s="459"/>
      <c r="F25" s="460">
        <v>105586.07</v>
      </c>
      <c r="G25" s="461">
        <v>111869.3</v>
      </c>
    </row>
    <row r="26" spans="1:7" ht="15.6" x14ac:dyDescent="0.3">
      <c r="A26" s="891"/>
      <c r="B26" s="468" t="s">
        <v>630</v>
      </c>
      <c r="C26" s="48" t="s">
        <v>547</v>
      </c>
      <c r="D26" s="459"/>
      <c r="E26" s="459"/>
      <c r="F26" s="460"/>
      <c r="G26" s="461"/>
    </row>
    <row r="27" spans="1:7" ht="15.6" x14ac:dyDescent="0.3">
      <c r="A27" s="891"/>
      <c r="B27" s="458" t="s">
        <v>631</v>
      </c>
      <c r="C27" s="48" t="s">
        <v>548</v>
      </c>
      <c r="D27" s="459"/>
      <c r="E27" s="459"/>
      <c r="F27" s="460"/>
      <c r="G27" s="461"/>
    </row>
    <row r="28" spans="1:7" ht="15.6" x14ac:dyDescent="0.3">
      <c r="A28" s="891"/>
      <c r="B28" s="458" t="s">
        <v>632</v>
      </c>
      <c r="C28" s="48" t="s">
        <v>549</v>
      </c>
      <c r="D28" s="459"/>
      <c r="E28" s="459"/>
      <c r="F28" s="460"/>
      <c r="G28" s="461"/>
    </row>
    <row r="29" spans="1:7" ht="15.6" x14ac:dyDescent="0.3">
      <c r="A29" s="891"/>
      <c r="B29" s="458" t="s">
        <v>633</v>
      </c>
      <c r="C29" s="48" t="s">
        <v>550</v>
      </c>
      <c r="D29" s="459">
        <v>327</v>
      </c>
      <c r="E29" s="459"/>
      <c r="F29" s="460"/>
      <c r="G29" s="461"/>
    </row>
    <row r="30" spans="1:7" ht="15.6" x14ac:dyDescent="0.3">
      <c r="A30" s="891"/>
      <c r="B30" s="458" t="s">
        <v>634</v>
      </c>
      <c r="C30" s="48" t="s">
        <v>551</v>
      </c>
      <c r="D30" s="459"/>
      <c r="E30" s="459"/>
      <c r="F30" s="460"/>
      <c r="G30" s="461"/>
    </row>
    <row r="31" spans="1:7" ht="15.6" x14ac:dyDescent="0.3">
      <c r="A31" s="891"/>
      <c r="B31" s="458" t="s">
        <v>1135</v>
      </c>
      <c r="C31" s="48" t="s">
        <v>552</v>
      </c>
      <c r="D31" s="459"/>
      <c r="E31" s="459"/>
      <c r="F31" s="460"/>
      <c r="G31" s="461"/>
    </row>
    <row r="32" spans="1:7" ht="15.6" x14ac:dyDescent="0.3">
      <c r="A32" s="49" t="s">
        <v>594</v>
      </c>
      <c r="B32" s="50" t="s">
        <v>920</v>
      </c>
      <c r="C32" s="46" t="s">
        <v>553</v>
      </c>
      <c r="D32" s="469">
        <f>SUM(D33:D41)</f>
        <v>306</v>
      </c>
      <c r="E32" s="469">
        <f>SUM(E33:E41)</f>
        <v>0</v>
      </c>
      <c r="F32" s="398">
        <f>SUM(F33:F41)</f>
        <v>7167031.580000001</v>
      </c>
      <c r="G32" s="33">
        <f>SUM(G33:G41)</f>
        <v>4580119.1099999994</v>
      </c>
    </row>
    <row r="33" spans="1:7" ht="15.6" x14ac:dyDescent="0.3">
      <c r="A33" s="891"/>
      <c r="B33" s="458" t="s">
        <v>616</v>
      </c>
      <c r="C33" s="48" t="s">
        <v>554</v>
      </c>
      <c r="D33" s="459">
        <v>133</v>
      </c>
      <c r="E33" s="459"/>
      <c r="F33" s="460">
        <v>3595391.43</v>
      </c>
      <c r="G33" s="461">
        <v>1476909.82</v>
      </c>
    </row>
    <row r="34" spans="1:7" ht="15.6" x14ac:dyDescent="0.3">
      <c r="A34" s="891"/>
      <c r="B34" s="458" t="s">
        <v>635</v>
      </c>
      <c r="C34" s="48" t="s">
        <v>555</v>
      </c>
      <c r="D34" s="47">
        <v>25</v>
      </c>
      <c r="E34" s="47"/>
      <c r="F34" s="460">
        <v>1408930.71</v>
      </c>
      <c r="G34" s="461">
        <v>1489154.89</v>
      </c>
    </row>
    <row r="35" spans="1:7" ht="15.6" x14ac:dyDescent="0.3">
      <c r="A35" s="891"/>
      <c r="B35" s="458" t="s">
        <v>636</v>
      </c>
      <c r="C35" s="48" t="s">
        <v>556</v>
      </c>
      <c r="D35" s="459"/>
      <c r="E35" s="459"/>
      <c r="F35" s="460">
        <v>861515.04</v>
      </c>
      <c r="G35" s="461">
        <v>883571.97</v>
      </c>
    </row>
    <row r="36" spans="1:7" ht="15.6" x14ac:dyDescent="0.3">
      <c r="A36" s="891"/>
      <c r="B36" s="458" t="s">
        <v>637</v>
      </c>
      <c r="C36" s="48" t="s">
        <v>557</v>
      </c>
      <c r="D36" s="459"/>
      <c r="E36" s="459"/>
      <c r="F36" s="460">
        <v>294134.74</v>
      </c>
      <c r="G36" s="461">
        <v>304814.31</v>
      </c>
    </row>
    <row r="37" spans="1:7" ht="31.2" x14ac:dyDescent="0.3">
      <c r="A37" s="891"/>
      <c r="B37" s="458" t="s">
        <v>638</v>
      </c>
      <c r="C37" s="48" t="s">
        <v>558</v>
      </c>
      <c r="D37" s="459"/>
      <c r="E37" s="459"/>
      <c r="F37" s="460"/>
      <c r="G37" s="461"/>
    </row>
    <row r="38" spans="1:7" ht="13.5" customHeight="1" x14ac:dyDescent="0.3">
      <c r="A38" s="891"/>
      <c r="B38" s="458" t="s">
        <v>643</v>
      </c>
      <c r="C38" s="48" t="s">
        <v>559</v>
      </c>
      <c r="D38" s="459"/>
      <c r="E38" s="459"/>
      <c r="F38" s="460"/>
      <c r="G38" s="461"/>
    </row>
    <row r="39" spans="1:7" ht="15.6" x14ac:dyDescent="0.3">
      <c r="A39" s="891"/>
      <c r="B39" s="458" t="s">
        <v>639</v>
      </c>
      <c r="C39" s="48" t="s">
        <v>560</v>
      </c>
      <c r="D39" s="459"/>
      <c r="E39" s="459"/>
      <c r="F39" s="460"/>
      <c r="G39" s="461"/>
    </row>
    <row r="40" spans="1:7" ht="15.6" x14ac:dyDescent="0.3">
      <c r="A40" s="891"/>
      <c r="B40" s="458" t="s">
        <v>640</v>
      </c>
      <c r="C40" s="48" t="s">
        <v>561</v>
      </c>
      <c r="D40" s="459"/>
      <c r="E40" s="459"/>
      <c r="F40" s="460"/>
      <c r="G40" s="461"/>
    </row>
    <row r="41" spans="1:7" ht="15.6" x14ac:dyDescent="0.3">
      <c r="A41" s="892"/>
      <c r="B41" s="458" t="s">
        <v>921</v>
      </c>
      <c r="C41" s="48" t="s">
        <v>562</v>
      </c>
      <c r="D41" s="459">
        <v>148</v>
      </c>
      <c r="E41" s="459"/>
      <c r="F41" s="460">
        <v>1007059.66</v>
      </c>
      <c r="G41" s="461">
        <v>425668.12</v>
      </c>
    </row>
    <row r="42" spans="1:7" ht="15" customHeight="1" x14ac:dyDescent="0.3">
      <c r="A42" s="456" t="s">
        <v>608</v>
      </c>
      <c r="B42" s="50" t="s">
        <v>922</v>
      </c>
      <c r="C42" s="46" t="s">
        <v>563</v>
      </c>
      <c r="D42" s="469">
        <f>SUM(D43:D45)</f>
        <v>0</v>
      </c>
      <c r="E42" s="469">
        <f>SUM(E43:E45)</f>
        <v>0</v>
      </c>
      <c r="F42" s="398">
        <f>SUM(F43:F45)</f>
        <v>0</v>
      </c>
      <c r="G42" s="33">
        <f>SUM(G43:G45)</f>
        <v>0</v>
      </c>
    </row>
    <row r="43" spans="1:7" ht="15.6" x14ac:dyDescent="0.3">
      <c r="A43" s="891"/>
      <c r="B43" s="458" t="s">
        <v>641</v>
      </c>
      <c r="C43" s="48" t="s">
        <v>564</v>
      </c>
      <c r="D43" s="459"/>
      <c r="E43" s="459"/>
      <c r="F43" s="460"/>
      <c r="G43" s="461"/>
    </row>
    <row r="44" spans="1:7" ht="15.6" x14ac:dyDescent="0.3">
      <c r="A44" s="891"/>
      <c r="B44" s="458" t="s">
        <v>617</v>
      </c>
      <c r="C44" s="48" t="s">
        <v>565</v>
      </c>
      <c r="D44" s="459"/>
      <c r="E44" s="459"/>
      <c r="F44" s="460"/>
      <c r="G44" s="461"/>
    </row>
    <row r="45" spans="1:7" ht="15.6" x14ac:dyDescent="0.3">
      <c r="A45" s="892"/>
      <c r="B45" s="458" t="s">
        <v>923</v>
      </c>
      <c r="C45" s="48" t="s">
        <v>566</v>
      </c>
      <c r="D45" s="459"/>
      <c r="E45" s="459"/>
      <c r="F45" s="460"/>
      <c r="G45" s="461"/>
    </row>
    <row r="46" spans="1:7" ht="14.25" customHeight="1" x14ac:dyDescent="0.3">
      <c r="A46" s="907" t="s">
        <v>924</v>
      </c>
      <c r="B46" s="908"/>
      <c r="C46" s="46" t="s">
        <v>567</v>
      </c>
      <c r="D46" s="469">
        <f>SUM(D47:D48)</f>
        <v>77272</v>
      </c>
      <c r="E46" s="469">
        <f>SUM(E47:E48)</f>
        <v>0</v>
      </c>
      <c r="F46" s="398">
        <f>SUM(F47:F48)</f>
        <v>54208193.859999999</v>
      </c>
      <c r="G46" s="33">
        <f>SUM(G47:G48)</f>
        <v>40156331.960000001</v>
      </c>
    </row>
    <row r="47" spans="1:7" ht="14.25" customHeight="1" x14ac:dyDescent="0.3">
      <c r="A47" s="891"/>
      <c r="B47" s="458" t="s">
        <v>642</v>
      </c>
      <c r="C47" s="48" t="s">
        <v>568</v>
      </c>
      <c r="D47" s="459"/>
      <c r="E47" s="459"/>
      <c r="F47" s="460">
        <v>54208193.859999999</v>
      </c>
      <c r="G47" s="461">
        <v>40156331.960000001</v>
      </c>
    </row>
    <row r="48" spans="1:7" ht="15.6" x14ac:dyDescent="0.3">
      <c r="A48" s="891"/>
      <c r="B48" s="458" t="s">
        <v>925</v>
      </c>
      <c r="C48" s="48" t="s">
        <v>569</v>
      </c>
      <c r="D48" s="459">
        <v>77272</v>
      </c>
      <c r="E48" s="459"/>
      <c r="F48" s="460"/>
      <c r="G48" s="461"/>
    </row>
    <row r="49" spans="1:7" ht="17.25" customHeight="1" thickBot="1" x14ac:dyDescent="0.35">
      <c r="A49" s="909" t="s">
        <v>926</v>
      </c>
      <c r="B49" s="910"/>
      <c r="C49" s="470" t="s">
        <v>570</v>
      </c>
      <c r="D49" s="471">
        <f>D6+D19</f>
        <v>285885</v>
      </c>
      <c r="E49" s="471">
        <f>E6+E19</f>
        <v>0</v>
      </c>
      <c r="F49" s="472">
        <f>F6+F19+F46</f>
        <v>101691964.63</v>
      </c>
      <c r="G49" s="137">
        <f>G6+G19+G46</f>
        <v>83279962.400000006</v>
      </c>
    </row>
    <row r="50" spans="1:7" ht="18" customHeight="1" x14ac:dyDescent="0.3">
      <c r="A50" s="473"/>
      <c r="B50" s="473"/>
      <c r="C50" s="474"/>
      <c r="D50" s="473"/>
      <c r="E50" s="473"/>
      <c r="F50" s="475"/>
      <c r="G50" s="476"/>
    </row>
    <row r="51" spans="1:7" ht="18" customHeight="1" x14ac:dyDescent="0.3">
      <c r="A51" s="473"/>
      <c r="B51" s="473"/>
      <c r="C51" s="474"/>
      <c r="D51" s="473"/>
      <c r="E51" s="473"/>
      <c r="F51" s="475"/>
      <c r="G51" s="476"/>
    </row>
    <row r="52" spans="1:7" ht="18" customHeight="1" x14ac:dyDescent="0.3">
      <c r="A52" s="473"/>
      <c r="B52" s="473"/>
      <c r="C52" s="473"/>
      <c r="D52" s="473"/>
      <c r="E52" s="473"/>
      <c r="F52" s="475"/>
      <c r="G52" s="476"/>
    </row>
    <row r="53" spans="1:7" ht="18" customHeight="1" x14ac:dyDescent="0.3">
      <c r="A53" s="473"/>
      <c r="B53" s="473"/>
      <c r="C53" s="473"/>
      <c r="D53" s="473"/>
      <c r="E53" s="473"/>
      <c r="F53" s="475"/>
      <c r="G53" s="476"/>
    </row>
    <row r="54" spans="1:7" ht="18" customHeight="1" x14ac:dyDescent="0.25"/>
  </sheetData>
  <mergeCells count="17">
    <mergeCell ref="A1:G1"/>
    <mergeCell ref="A8:A10"/>
    <mergeCell ref="A14:A16"/>
    <mergeCell ref="A19:B19"/>
    <mergeCell ref="A25:A31"/>
    <mergeCell ref="A3:B4"/>
    <mergeCell ref="C3:C4"/>
    <mergeCell ref="D3:F4"/>
    <mergeCell ref="G3:G4"/>
    <mergeCell ref="A5:B5"/>
    <mergeCell ref="A6:B6"/>
    <mergeCell ref="A46:B46"/>
    <mergeCell ref="A47:A48"/>
    <mergeCell ref="A49:B49"/>
    <mergeCell ref="A2:G2"/>
    <mergeCell ref="A33:A41"/>
    <mergeCell ref="A43:A45"/>
  </mergeCells>
  <printOptions horizontalCentered="1" verticalCentered="1"/>
  <pageMargins left="0.35433070866141736" right="0.31496062992125984" top="0.51181102362204722" bottom="0.35" header="0.51181102362204722" footer="0.35433070866141736"/>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tabColor indexed="60"/>
    <pageSetUpPr fitToPage="1"/>
  </sheetPr>
  <dimension ref="A1:C103"/>
  <sheetViews>
    <sheetView zoomScale="110" zoomScaleNormal="110" workbookViewId="0">
      <pane xSplit="1" ySplit="2" topLeftCell="B15" activePane="bottomRight" state="frozen"/>
      <selection pane="topRight" activeCell="B1" sqref="B1"/>
      <selection pane="bottomLeft" activeCell="A3" sqref="A3"/>
      <selection pane="bottomRight" activeCell="B17" sqref="B17"/>
    </sheetView>
  </sheetViews>
  <sheetFormatPr defaultRowHeight="15.6" x14ac:dyDescent="0.25"/>
  <cols>
    <col min="1" max="1" width="19.5546875" style="643" customWidth="1"/>
    <col min="2" max="2" width="113" style="22" customWidth="1"/>
    <col min="3" max="3" width="19.6640625" style="393" customWidth="1"/>
    <col min="4" max="16384" width="8.88671875" style="393"/>
  </cols>
  <sheetData>
    <row r="1" spans="1:3" ht="18" thickBot="1" x14ac:dyDescent="0.35">
      <c r="A1" s="932" t="s">
        <v>1362</v>
      </c>
      <c r="B1" s="933"/>
      <c r="C1" s="623"/>
    </row>
    <row r="2" spans="1:3" x14ac:dyDescent="0.25">
      <c r="A2" s="51" t="s">
        <v>219</v>
      </c>
      <c r="B2" s="51" t="s">
        <v>291</v>
      </c>
    </row>
    <row r="3" spans="1:3" ht="144.75" customHeight="1" x14ac:dyDescent="0.25">
      <c r="A3" s="86" t="s">
        <v>220</v>
      </c>
      <c r="B3" s="52" t="s">
        <v>311</v>
      </c>
    </row>
    <row r="4" spans="1:3" ht="56.25" customHeight="1" x14ac:dyDescent="0.25">
      <c r="A4" s="86" t="s">
        <v>221</v>
      </c>
      <c r="B4" s="86" t="s">
        <v>1363</v>
      </c>
    </row>
    <row r="5" spans="1:3" ht="46.8" x14ac:dyDescent="0.25">
      <c r="A5" s="86" t="s">
        <v>31</v>
      </c>
      <c r="B5" s="52" t="s">
        <v>1364</v>
      </c>
    </row>
    <row r="6" spans="1:3" ht="302.25" customHeight="1" x14ac:dyDescent="0.25">
      <c r="A6" s="86" t="s">
        <v>32</v>
      </c>
      <c r="B6" s="86" t="s">
        <v>865</v>
      </c>
    </row>
    <row r="7" spans="1:3" ht="38.25" customHeight="1" x14ac:dyDescent="0.25">
      <c r="A7" s="86" t="s">
        <v>33</v>
      </c>
      <c r="B7" s="52" t="s">
        <v>1182</v>
      </c>
    </row>
    <row r="8" spans="1:3" ht="54" customHeight="1" x14ac:dyDescent="0.25">
      <c r="A8" s="86" t="s">
        <v>218</v>
      </c>
      <c r="B8" s="86" t="s">
        <v>830</v>
      </c>
    </row>
    <row r="9" spans="1:3" ht="21" customHeight="1" x14ac:dyDescent="0.25">
      <c r="A9" s="52" t="s">
        <v>813</v>
      </c>
      <c r="B9" s="52" t="s">
        <v>1365</v>
      </c>
    </row>
    <row r="10" spans="1:3" ht="31.2" x14ac:dyDescent="0.25">
      <c r="A10" s="54" t="s">
        <v>89</v>
      </c>
      <c r="B10" s="54" t="s">
        <v>814</v>
      </c>
    </row>
    <row r="11" spans="1:3" ht="66" customHeight="1" x14ac:dyDescent="0.25">
      <c r="A11" s="86" t="s">
        <v>212</v>
      </c>
      <c r="B11" s="86" t="s">
        <v>806</v>
      </c>
    </row>
    <row r="12" spans="1:3" ht="78" x14ac:dyDescent="0.25">
      <c r="A12" s="53" t="s">
        <v>213</v>
      </c>
      <c r="B12" s="53" t="s">
        <v>887</v>
      </c>
    </row>
    <row r="13" spans="1:3" ht="36" customHeight="1" x14ac:dyDescent="0.25">
      <c r="A13" s="52" t="s">
        <v>214</v>
      </c>
      <c r="B13" s="86" t="s">
        <v>366</v>
      </c>
    </row>
    <row r="14" spans="1:3" ht="66.75" customHeight="1" x14ac:dyDescent="0.25">
      <c r="A14" s="52" t="s">
        <v>215</v>
      </c>
      <c r="B14" s="52" t="s">
        <v>878</v>
      </c>
      <c r="C14" s="624"/>
    </row>
    <row r="15" spans="1:3" ht="84" customHeight="1" x14ac:dyDescent="0.25">
      <c r="A15" s="52" t="s">
        <v>216</v>
      </c>
      <c r="B15" s="52" t="s">
        <v>1366</v>
      </c>
    </row>
    <row r="16" spans="1:3" ht="21.75" customHeight="1" x14ac:dyDescent="0.25">
      <c r="A16" s="52" t="s">
        <v>27</v>
      </c>
      <c r="B16" s="52" t="s">
        <v>807</v>
      </c>
    </row>
    <row r="17" spans="1:2" ht="52.5" customHeight="1" x14ac:dyDescent="0.25">
      <c r="A17" s="86" t="s">
        <v>19</v>
      </c>
      <c r="B17" s="86" t="s">
        <v>1367</v>
      </c>
    </row>
    <row r="18" spans="1:2" ht="57.75" customHeight="1" x14ac:dyDescent="0.25">
      <c r="A18" s="86" t="s">
        <v>209</v>
      </c>
      <c r="B18" s="86" t="s">
        <v>1368</v>
      </c>
    </row>
    <row r="19" spans="1:2" ht="48" customHeight="1" x14ac:dyDescent="0.25">
      <c r="A19" s="86" t="s">
        <v>1145</v>
      </c>
      <c r="B19" s="86" t="s">
        <v>1443</v>
      </c>
    </row>
    <row r="20" spans="1:2" ht="33" customHeight="1" x14ac:dyDescent="0.25">
      <c r="A20" s="86" t="s">
        <v>295</v>
      </c>
      <c r="B20" s="86" t="s">
        <v>247</v>
      </c>
    </row>
    <row r="21" spans="1:2" ht="17.25" customHeight="1" x14ac:dyDescent="0.25">
      <c r="A21" s="86" t="s">
        <v>1031</v>
      </c>
      <c r="B21" s="86" t="s">
        <v>1033</v>
      </c>
    </row>
    <row r="22" spans="1:2" ht="31.2" x14ac:dyDescent="0.25">
      <c r="A22" s="86" t="s">
        <v>1019</v>
      </c>
      <c r="B22" s="86" t="s">
        <v>1032</v>
      </c>
    </row>
    <row r="23" spans="1:2" ht="18" customHeight="1" x14ac:dyDescent="0.25">
      <c r="A23" s="86" t="s">
        <v>834</v>
      </c>
      <c r="B23" s="86" t="s">
        <v>1034</v>
      </c>
    </row>
    <row r="24" spans="1:2" ht="20.25" customHeight="1" x14ac:dyDescent="0.25">
      <c r="A24" s="86" t="s">
        <v>1020</v>
      </c>
      <c r="B24" s="86" t="s">
        <v>835</v>
      </c>
    </row>
    <row r="25" spans="1:2" ht="19.5" customHeight="1" x14ac:dyDescent="0.25">
      <c r="A25" s="86" t="s">
        <v>1046</v>
      </c>
      <c r="B25" s="86" t="s">
        <v>1146</v>
      </c>
    </row>
    <row r="26" spans="1:2" ht="21" customHeight="1" x14ac:dyDescent="0.25">
      <c r="A26" s="86" t="s">
        <v>1039</v>
      </c>
      <c r="B26" s="86" t="s">
        <v>1369</v>
      </c>
    </row>
    <row r="27" spans="1:2" ht="36" customHeight="1" x14ac:dyDescent="0.25">
      <c r="A27" s="86" t="s">
        <v>1040</v>
      </c>
      <c r="B27" s="86" t="s">
        <v>1041</v>
      </c>
    </row>
    <row r="28" spans="1:2" ht="55.5" customHeight="1" x14ac:dyDescent="0.25">
      <c r="A28" s="86" t="s">
        <v>11</v>
      </c>
      <c r="B28" s="86" t="s">
        <v>1370</v>
      </c>
    </row>
    <row r="29" spans="1:2" ht="73.5" customHeight="1" x14ac:dyDescent="0.25">
      <c r="A29" s="86" t="s">
        <v>210</v>
      </c>
      <c r="B29" s="86" t="s">
        <v>1371</v>
      </c>
    </row>
    <row r="30" spans="1:2" ht="48.75" customHeight="1" x14ac:dyDescent="0.25">
      <c r="A30" s="86" t="s">
        <v>1147</v>
      </c>
      <c r="B30" s="86" t="s">
        <v>1442</v>
      </c>
    </row>
    <row r="31" spans="1:2" ht="35.25" customHeight="1" x14ac:dyDescent="0.25">
      <c r="A31" s="86" t="s">
        <v>155</v>
      </c>
      <c r="B31" s="86" t="s">
        <v>645</v>
      </c>
    </row>
    <row r="32" spans="1:2" ht="213.6" customHeight="1" x14ac:dyDescent="0.25">
      <c r="A32" s="86" t="s">
        <v>340</v>
      </c>
      <c r="B32" s="52" t="s">
        <v>866</v>
      </c>
    </row>
    <row r="33" spans="1:2" ht="31.2" x14ac:dyDescent="0.25">
      <c r="A33" s="52" t="s">
        <v>248</v>
      </c>
      <c r="B33" s="52" t="s">
        <v>1372</v>
      </c>
    </row>
    <row r="34" spans="1:2" ht="78" x14ac:dyDescent="0.25">
      <c r="A34" s="52" t="s">
        <v>249</v>
      </c>
      <c r="B34" s="52" t="s">
        <v>200</v>
      </c>
    </row>
    <row r="35" spans="1:2" ht="31.2" x14ac:dyDescent="0.25">
      <c r="A35" s="52" t="s">
        <v>250</v>
      </c>
      <c r="B35" s="52" t="s">
        <v>148</v>
      </c>
    </row>
    <row r="36" spans="1:2" ht="18" customHeight="1" x14ac:dyDescent="0.25">
      <c r="A36" s="52" t="s">
        <v>251</v>
      </c>
      <c r="B36" s="52" t="s">
        <v>149</v>
      </c>
    </row>
    <row r="37" spans="1:2" ht="18" customHeight="1" x14ac:dyDescent="0.25">
      <c r="A37" s="52" t="s">
        <v>252</v>
      </c>
      <c r="B37" s="52" t="s">
        <v>172</v>
      </c>
    </row>
    <row r="38" spans="1:2" ht="17.25" customHeight="1" x14ac:dyDescent="0.25">
      <c r="A38" s="52" t="s">
        <v>253</v>
      </c>
      <c r="B38" s="52" t="s">
        <v>798</v>
      </c>
    </row>
    <row r="39" spans="1:2" ht="78" x14ac:dyDescent="0.25">
      <c r="A39" s="52" t="s">
        <v>307</v>
      </c>
      <c r="B39" s="52" t="s">
        <v>1373</v>
      </c>
    </row>
    <row r="40" spans="1:2" ht="36.75" customHeight="1" x14ac:dyDescent="0.25">
      <c r="A40" s="52" t="s">
        <v>150</v>
      </c>
      <c r="B40" s="52" t="s">
        <v>1374</v>
      </c>
    </row>
    <row r="41" spans="1:2" ht="45" customHeight="1" x14ac:dyDescent="0.25">
      <c r="A41" s="52" t="s">
        <v>151</v>
      </c>
      <c r="B41" s="52" t="s">
        <v>1375</v>
      </c>
    </row>
    <row r="42" spans="1:2" ht="62.25" customHeight="1" x14ac:dyDescent="0.25">
      <c r="A42" s="52" t="s">
        <v>152</v>
      </c>
      <c r="B42" s="52" t="s">
        <v>1376</v>
      </c>
    </row>
    <row r="43" spans="1:2" ht="31.2" x14ac:dyDescent="0.25">
      <c r="A43" s="52" t="s">
        <v>153</v>
      </c>
      <c r="B43" s="52" t="s">
        <v>808</v>
      </c>
    </row>
    <row r="44" spans="1:2" ht="20.25" customHeight="1" x14ac:dyDescent="0.25">
      <c r="A44" s="52" t="s">
        <v>154</v>
      </c>
      <c r="B44" s="52" t="s">
        <v>68</v>
      </c>
    </row>
    <row r="45" spans="1:2" ht="30" customHeight="1" x14ac:dyDescent="0.25">
      <c r="A45" s="86" t="s">
        <v>1148</v>
      </c>
      <c r="B45" s="86" t="s">
        <v>1042</v>
      </c>
    </row>
    <row r="46" spans="1:2" ht="33.75" customHeight="1" x14ac:dyDescent="0.25">
      <c r="A46" s="52" t="s">
        <v>12</v>
      </c>
      <c r="B46" s="52" t="s">
        <v>1183</v>
      </c>
    </row>
    <row r="47" spans="1:2" ht="65.25" customHeight="1" x14ac:dyDescent="0.25">
      <c r="A47" s="52" t="s">
        <v>890</v>
      </c>
      <c r="B47" s="52" t="s">
        <v>1184</v>
      </c>
    </row>
    <row r="48" spans="1:2" ht="105" customHeight="1" x14ac:dyDescent="0.25">
      <c r="A48" s="52" t="s">
        <v>815</v>
      </c>
      <c r="B48" s="52" t="s">
        <v>1377</v>
      </c>
    </row>
    <row r="49" spans="1:2" ht="48" customHeight="1" x14ac:dyDescent="0.25">
      <c r="A49" s="52" t="s">
        <v>891</v>
      </c>
      <c r="B49" s="52" t="s">
        <v>1185</v>
      </c>
    </row>
    <row r="50" spans="1:2" ht="25.5" customHeight="1" x14ac:dyDescent="0.25">
      <c r="A50" s="52" t="s">
        <v>211</v>
      </c>
      <c r="B50" s="52" t="s">
        <v>892</v>
      </c>
    </row>
    <row r="51" spans="1:2" ht="36" customHeight="1" x14ac:dyDescent="0.25">
      <c r="A51" s="52" t="s">
        <v>35</v>
      </c>
      <c r="B51" s="52" t="s">
        <v>1378</v>
      </c>
    </row>
    <row r="52" spans="1:2" ht="34.5" customHeight="1" x14ac:dyDescent="0.25">
      <c r="A52" s="52" t="s">
        <v>894</v>
      </c>
      <c r="B52" s="52" t="s">
        <v>1379</v>
      </c>
    </row>
    <row r="53" spans="1:2" ht="33.75" customHeight="1" x14ac:dyDescent="0.25">
      <c r="A53" s="86" t="s">
        <v>254</v>
      </c>
      <c r="B53" s="86" t="s">
        <v>259</v>
      </c>
    </row>
    <row r="54" spans="1:2" ht="31.2" x14ac:dyDescent="0.25">
      <c r="A54" s="52" t="s">
        <v>990</v>
      </c>
      <c r="B54" s="52" t="s">
        <v>1186</v>
      </c>
    </row>
    <row r="55" spans="1:2" ht="33" customHeight="1" x14ac:dyDescent="0.25">
      <c r="A55" s="52" t="s">
        <v>173</v>
      </c>
      <c r="B55" s="52" t="s">
        <v>809</v>
      </c>
    </row>
    <row r="56" spans="1:2" ht="62.4" x14ac:dyDescent="0.25">
      <c r="A56" s="86" t="s">
        <v>13</v>
      </c>
      <c r="B56" s="86" t="s">
        <v>867</v>
      </c>
    </row>
    <row r="57" spans="1:2" x14ac:dyDescent="0.25">
      <c r="A57" s="52" t="s">
        <v>396</v>
      </c>
      <c r="B57" s="52" t="s">
        <v>877</v>
      </c>
    </row>
    <row r="58" spans="1:2" ht="31.2" x14ac:dyDescent="0.25">
      <c r="A58" s="52" t="s">
        <v>70</v>
      </c>
      <c r="B58" s="52" t="s">
        <v>174</v>
      </c>
    </row>
    <row r="59" spans="1:2" ht="18.600000000000001" customHeight="1" x14ac:dyDescent="0.25">
      <c r="A59" s="52" t="s">
        <v>822</v>
      </c>
      <c r="B59" s="52" t="s">
        <v>1154</v>
      </c>
    </row>
    <row r="60" spans="1:2" ht="50.25" customHeight="1" x14ac:dyDescent="0.25">
      <c r="A60" s="86" t="s">
        <v>294</v>
      </c>
      <c r="B60" s="86" t="s">
        <v>868</v>
      </c>
    </row>
    <row r="61" spans="1:2" ht="31.2" x14ac:dyDescent="0.25">
      <c r="A61" s="86" t="s">
        <v>197</v>
      </c>
      <c r="B61" s="86" t="s">
        <v>869</v>
      </c>
    </row>
    <row r="62" spans="1:2" x14ac:dyDescent="0.25">
      <c r="A62" s="86" t="s">
        <v>365</v>
      </c>
      <c r="B62" s="86" t="s">
        <v>1380</v>
      </c>
    </row>
    <row r="63" spans="1:2" ht="31.2" x14ac:dyDescent="0.25">
      <c r="A63" s="52" t="s">
        <v>260</v>
      </c>
      <c r="B63" s="52" t="s">
        <v>175</v>
      </c>
    </row>
    <row r="64" spans="1:2" ht="31.2" x14ac:dyDescent="0.25">
      <c r="A64" s="52" t="s">
        <v>393</v>
      </c>
      <c r="B64" s="52" t="s">
        <v>1381</v>
      </c>
    </row>
    <row r="65" spans="1:3" ht="34.200000000000003" x14ac:dyDescent="0.25">
      <c r="A65" s="52" t="s">
        <v>876</v>
      </c>
      <c r="B65" s="625" t="s">
        <v>1382</v>
      </c>
    </row>
    <row r="66" spans="1:3" ht="22.5" customHeight="1" x14ac:dyDescent="0.25">
      <c r="A66" s="52" t="s">
        <v>879</v>
      </c>
      <c r="B66" s="625" t="s">
        <v>1383</v>
      </c>
    </row>
    <row r="67" spans="1:3" ht="46.8" x14ac:dyDescent="0.25">
      <c r="A67" s="86" t="s">
        <v>14</v>
      </c>
      <c r="B67" s="86" t="s">
        <v>188</v>
      </c>
    </row>
    <row r="68" spans="1:3" ht="31.2" x14ac:dyDescent="0.25">
      <c r="A68" s="52" t="s">
        <v>133</v>
      </c>
      <c r="B68" s="52" t="s">
        <v>134</v>
      </c>
    </row>
    <row r="69" spans="1:3" ht="46.8" x14ac:dyDescent="0.25">
      <c r="A69" s="52" t="s">
        <v>844</v>
      </c>
      <c r="B69" s="52" t="s">
        <v>1384</v>
      </c>
    </row>
    <row r="70" spans="1:3" ht="46.8" x14ac:dyDescent="0.25">
      <c r="A70" s="52" t="s">
        <v>845</v>
      </c>
      <c r="B70" s="52" t="s">
        <v>1187</v>
      </c>
    </row>
    <row r="71" spans="1:3" ht="46.8" x14ac:dyDescent="0.25">
      <c r="A71" s="52" t="s">
        <v>132</v>
      </c>
      <c r="B71" s="52" t="s">
        <v>1385</v>
      </c>
    </row>
    <row r="72" spans="1:3" ht="46.8" x14ac:dyDescent="0.25">
      <c r="A72" s="52" t="s">
        <v>846</v>
      </c>
      <c r="B72" s="52" t="s">
        <v>864</v>
      </c>
    </row>
    <row r="73" spans="1:3" ht="31.2" x14ac:dyDescent="0.25">
      <c r="A73" s="86" t="s">
        <v>15</v>
      </c>
      <c r="B73" s="86" t="s">
        <v>1386</v>
      </c>
    </row>
    <row r="74" spans="1:3" ht="31.2" x14ac:dyDescent="0.25">
      <c r="A74" s="52" t="s">
        <v>198</v>
      </c>
      <c r="B74" s="52" t="s">
        <v>199</v>
      </c>
    </row>
    <row r="75" spans="1:3" ht="31.2" x14ac:dyDescent="0.25">
      <c r="A75" s="52" t="s">
        <v>1387</v>
      </c>
      <c r="B75" s="52" t="s">
        <v>1388</v>
      </c>
      <c r="C75" s="626"/>
    </row>
    <row r="76" spans="1:3" ht="34.5" customHeight="1" x14ac:dyDescent="0.25">
      <c r="A76" s="86" t="s">
        <v>341</v>
      </c>
      <c r="B76" s="86" t="s">
        <v>1389</v>
      </c>
      <c r="C76" s="626"/>
    </row>
    <row r="77" spans="1:3" ht="34.5" customHeight="1" x14ac:dyDescent="0.25">
      <c r="A77" s="52" t="s">
        <v>325</v>
      </c>
      <c r="B77" s="52" t="s">
        <v>1188</v>
      </c>
      <c r="C77" s="626"/>
    </row>
    <row r="78" spans="1:3" ht="21" customHeight="1" x14ac:dyDescent="0.25">
      <c r="A78" s="52" t="s">
        <v>342</v>
      </c>
      <c r="B78" s="52" t="s">
        <v>1044</v>
      </c>
      <c r="C78" s="626"/>
    </row>
    <row r="79" spans="1:3" ht="53.25" customHeight="1" x14ac:dyDescent="0.25">
      <c r="A79" s="52" t="s">
        <v>28</v>
      </c>
      <c r="B79" s="52" t="s">
        <v>206</v>
      </c>
    </row>
    <row r="80" spans="1:3" ht="36" customHeight="1" x14ac:dyDescent="0.25">
      <c r="A80" s="52" t="s">
        <v>67</v>
      </c>
      <c r="B80" s="52" t="s">
        <v>1390</v>
      </c>
    </row>
    <row r="81" spans="1:2" ht="33.75" customHeight="1" x14ac:dyDescent="0.25">
      <c r="A81" s="61" t="s">
        <v>811</v>
      </c>
      <c r="B81" s="52" t="s">
        <v>1189</v>
      </c>
    </row>
    <row r="82" spans="1:2" ht="84.75" customHeight="1" x14ac:dyDescent="0.25">
      <c r="A82" s="86" t="s">
        <v>156</v>
      </c>
      <c r="B82" s="86" t="s">
        <v>1391</v>
      </c>
    </row>
    <row r="83" spans="1:2" ht="18" customHeight="1" x14ac:dyDescent="0.25">
      <c r="A83" s="52" t="s">
        <v>73</v>
      </c>
      <c r="B83" s="52" t="s">
        <v>1190</v>
      </c>
    </row>
    <row r="84" spans="1:2" ht="19.5" customHeight="1" x14ac:dyDescent="0.25">
      <c r="A84" s="52" t="s">
        <v>308</v>
      </c>
      <c r="B84" s="52" t="s">
        <v>34</v>
      </c>
    </row>
    <row r="85" spans="1:2" ht="21" customHeight="1" x14ac:dyDescent="0.25">
      <c r="A85" s="52" t="s">
        <v>72</v>
      </c>
      <c r="B85" s="52" t="s">
        <v>309</v>
      </c>
    </row>
    <row r="86" spans="1:2" ht="25.5" customHeight="1" x14ac:dyDescent="0.25">
      <c r="A86" s="52" t="s">
        <v>310</v>
      </c>
      <c r="B86" s="52" t="s">
        <v>326</v>
      </c>
    </row>
    <row r="87" spans="1:2" ht="35.25" customHeight="1" x14ac:dyDescent="0.25">
      <c r="A87" s="52" t="s">
        <v>47</v>
      </c>
      <c r="B87" s="52" t="s">
        <v>48</v>
      </c>
    </row>
    <row r="88" spans="1:2" ht="35.25" customHeight="1" x14ac:dyDescent="0.25">
      <c r="A88" s="52" t="s">
        <v>49</v>
      </c>
      <c r="B88" s="52" t="s">
        <v>50</v>
      </c>
    </row>
    <row r="89" spans="1:2" ht="46.8" x14ac:dyDescent="0.25">
      <c r="A89" s="52" t="s">
        <v>51</v>
      </c>
      <c r="B89" s="52" t="s">
        <v>274</v>
      </c>
    </row>
    <row r="90" spans="1:2" ht="31.2" x14ac:dyDescent="0.25">
      <c r="A90" s="52" t="s">
        <v>42</v>
      </c>
      <c r="B90" s="52" t="s">
        <v>1392</v>
      </c>
    </row>
    <row r="91" spans="1:2" ht="61.5" customHeight="1" x14ac:dyDescent="0.25">
      <c r="A91" s="86" t="s">
        <v>158</v>
      </c>
      <c r="B91" s="86" t="s">
        <v>1393</v>
      </c>
    </row>
    <row r="92" spans="1:2" s="22" customFormat="1" ht="49.5" customHeight="1" x14ac:dyDescent="0.25">
      <c r="A92" s="52" t="s">
        <v>1045</v>
      </c>
      <c r="B92" s="52" t="s">
        <v>1394</v>
      </c>
    </row>
    <row r="93" spans="1:2" ht="130.5" customHeight="1" x14ac:dyDescent="0.25">
      <c r="A93" s="86" t="s">
        <v>343</v>
      </c>
      <c r="B93" s="86" t="s">
        <v>1395</v>
      </c>
    </row>
    <row r="94" spans="1:2" ht="49.5" customHeight="1" x14ac:dyDescent="0.25">
      <c r="A94" s="86" t="s">
        <v>255</v>
      </c>
      <c r="B94" s="86" t="s">
        <v>1396</v>
      </c>
    </row>
    <row r="95" spans="1:2" ht="37.5" customHeight="1" x14ac:dyDescent="0.25">
      <c r="A95" s="86" t="s">
        <v>992</v>
      </c>
      <c r="B95" s="86" t="s">
        <v>1191</v>
      </c>
    </row>
    <row r="96" spans="1:2" ht="31.2" x14ac:dyDescent="0.25">
      <c r="A96" s="86" t="s">
        <v>29</v>
      </c>
      <c r="B96" s="86" t="s">
        <v>987</v>
      </c>
    </row>
    <row r="97" spans="1:2" ht="62.4" x14ac:dyDescent="0.25">
      <c r="A97" s="86" t="s">
        <v>1047</v>
      </c>
      <c r="B97" s="86" t="s">
        <v>1192</v>
      </c>
    </row>
    <row r="98" spans="1:2" ht="62.4" x14ac:dyDescent="0.25">
      <c r="A98" s="86" t="s">
        <v>991</v>
      </c>
      <c r="B98" s="86" t="s">
        <v>1193</v>
      </c>
    </row>
    <row r="99" spans="1:2" ht="66.75" customHeight="1" x14ac:dyDescent="0.25">
      <c r="A99" s="86" t="s">
        <v>281</v>
      </c>
      <c r="B99" s="86" t="s">
        <v>883</v>
      </c>
    </row>
    <row r="100" spans="1:2" ht="31.2" x14ac:dyDescent="0.25">
      <c r="A100" s="86" t="s">
        <v>618</v>
      </c>
      <c r="B100" s="86" t="s">
        <v>1397</v>
      </c>
    </row>
    <row r="101" spans="1:2" ht="31.2" x14ac:dyDescent="0.25">
      <c r="A101" s="86" t="s">
        <v>619</v>
      </c>
      <c r="B101" s="86" t="s">
        <v>1194</v>
      </c>
    </row>
    <row r="102" spans="1:2" ht="31.2" x14ac:dyDescent="0.25">
      <c r="A102" s="86" t="s">
        <v>620</v>
      </c>
      <c r="B102" s="86" t="s">
        <v>1048</v>
      </c>
    </row>
    <row r="103" spans="1:2" ht="31.2" x14ac:dyDescent="0.25">
      <c r="A103" s="86" t="s">
        <v>621</v>
      </c>
      <c r="B103" s="86" t="s">
        <v>1049</v>
      </c>
    </row>
  </sheetData>
  <mergeCells count="1">
    <mergeCell ref="A1:B1"/>
  </mergeCells>
  <phoneticPr fontId="5" type="noConversion"/>
  <pageMargins left="0.55118110236220474" right="0.23622047244094491" top="0.51181102362204722" bottom="0.51181102362204722" header="0.31496062992125984" footer="0.23622047244094491"/>
  <pageSetup paperSize="9" scale="73" fitToHeight="5" orientation="portrait" r:id="rId1"/>
  <headerFooter alignWithMargins="0">
    <oddFooter>&amp;C&amp;P z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tabColor indexed="51"/>
  </sheetPr>
  <dimension ref="A1:H62"/>
  <sheetViews>
    <sheetView zoomScaleNormal="100" workbookViewId="0">
      <pane xSplit="1" ySplit="2" topLeftCell="B6" activePane="bottomRight" state="frozen"/>
      <selection pane="topRight" activeCell="B1" sqref="B1"/>
      <selection pane="bottomLeft" activeCell="A3" sqref="A3"/>
      <selection pane="bottomRight" activeCell="C7" sqref="C7"/>
    </sheetView>
  </sheetViews>
  <sheetFormatPr defaultColWidth="9.109375" defaultRowHeight="15.6" x14ac:dyDescent="0.25"/>
  <cols>
    <col min="1" max="1" width="9.44140625" style="22" customWidth="1"/>
    <col min="2" max="2" width="33.44140625" style="25" customWidth="1"/>
    <col min="3" max="3" width="163.109375" style="23" customWidth="1"/>
    <col min="4" max="4" width="11.33203125" style="22" customWidth="1"/>
    <col min="5" max="5" width="13.5546875" style="22" customWidth="1"/>
    <col min="6" max="16384" width="9.109375" style="22"/>
  </cols>
  <sheetData>
    <row r="1" spans="1:4" ht="42" customHeight="1" thickBot="1" x14ac:dyDescent="0.3">
      <c r="A1" s="932" t="s">
        <v>1398</v>
      </c>
      <c r="B1" s="934"/>
      <c r="C1" s="933"/>
    </row>
    <row r="2" spans="1:4" s="30" customFormat="1" ht="48" customHeight="1" x14ac:dyDescent="0.25">
      <c r="A2" s="29" t="s">
        <v>219</v>
      </c>
      <c r="B2" s="105" t="s">
        <v>43</v>
      </c>
      <c r="C2" s="51" t="s">
        <v>44</v>
      </c>
    </row>
    <row r="3" spans="1:4" ht="38.25" customHeight="1" x14ac:dyDescent="0.25">
      <c r="A3" s="627" t="s">
        <v>218</v>
      </c>
      <c r="B3" s="106" t="s">
        <v>1179</v>
      </c>
      <c r="C3" s="52" t="s">
        <v>1399</v>
      </c>
    </row>
    <row r="4" spans="1:4" ht="68.25" customHeight="1" x14ac:dyDescent="0.25">
      <c r="A4" s="627" t="s">
        <v>45</v>
      </c>
      <c r="B4" s="106" t="s">
        <v>937</v>
      </c>
      <c r="C4" s="52" t="s">
        <v>1400</v>
      </c>
    </row>
    <row r="5" spans="1:4" s="28" customFormat="1" ht="106.5" customHeight="1" x14ac:dyDescent="0.25">
      <c r="A5" s="627" t="s">
        <v>212</v>
      </c>
      <c r="B5" s="106" t="s">
        <v>841</v>
      </c>
      <c r="C5" s="52" t="s">
        <v>880</v>
      </c>
    </row>
    <row r="6" spans="1:4" s="28" customFormat="1" ht="46.5" customHeight="1" x14ac:dyDescent="0.25">
      <c r="A6" s="627" t="s">
        <v>66</v>
      </c>
      <c r="B6" s="106" t="s">
        <v>847</v>
      </c>
      <c r="C6" s="108" t="s">
        <v>881</v>
      </c>
    </row>
    <row r="7" spans="1:4" ht="71.25" customHeight="1" x14ac:dyDescent="0.25">
      <c r="A7" s="627" t="s">
        <v>19</v>
      </c>
      <c r="B7" s="106" t="s">
        <v>1149</v>
      </c>
      <c r="C7" s="52" t="s">
        <v>1401</v>
      </c>
    </row>
    <row r="8" spans="1:4" ht="42" customHeight="1" x14ac:dyDescent="0.25">
      <c r="A8" s="627" t="s">
        <v>1195</v>
      </c>
      <c r="B8" s="106"/>
      <c r="C8" s="942" t="s">
        <v>1444</v>
      </c>
    </row>
    <row r="9" spans="1:4" ht="105.75" customHeight="1" x14ac:dyDescent="0.25">
      <c r="A9" s="627" t="s">
        <v>295</v>
      </c>
      <c r="B9" s="106" t="s">
        <v>1150</v>
      </c>
      <c r="C9" s="52" t="s">
        <v>1151</v>
      </c>
    </row>
    <row r="10" spans="1:4" ht="106.5" customHeight="1" x14ac:dyDescent="0.25">
      <c r="A10" s="627" t="s">
        <v>11</v>
      </c>
      <c r="B10" s="106" t="s">
        <v>7</v>
      </c>
      <c r="C10" s="52" t="s">
        <v>1402</v>
      </c>
    </row>
    <row r="11" spans="1:4" ht="33.75" customHeight="1" x14ac:dyDescent="0.25">
      <c r="A11" s="627" t="s">
        <v>210</v>
      </c>
      <c r="B11" s="106" t="s">
        <v>236</v>
      </c>
      <c r="C11" s="52" t="s">
        <v>237</v>
      </c>
    </row>
    <row r="12" spans="1:4" ht="42" customHeight="1" x14ac:dyDescent="0.25">
      <c r="A12" s="627" t="s">
        <v>947</v>
      </c>
      <c r="B12" s="106" t="s">
        <v>945</v>
      </c>
      <c r="C12" s="52" t="s">
        <v>946</v>
      </c>
    </row>
    <row r="13" spans="1:4" ht="42" customHeight="1" x14ac:dyDescent="0.25">
      <c r="A13" s="627" t="s">
        <v>1214</v>
      </c>
      <c r="B13" s="106"/>
      <c r="C13" s="943" t="s">
        <v>1445</v>
      </c>
    </row>
    <row r="14" spans="1:4" ht="75" customHeight="1" x14ac:dyDescent="0.25">
      <c r="A14" s="627" t="s">
        <v>155</v>
      </c>
      <c r="B14" s="106" t="s">
        <v>1403</v>
      </c>
      <c r="C14" s="52" t="s">
        <v>1404</v>
      </c>
      <c r="D14" s="624"/>
    </row>
    <row r="15" spans="1:4" ht="62.4" x14ac:dyDescent="0.25">
      <c r="A15" s="627" t="s">
        <v>12</v>
      </c>
      <c r="B15" s="106" t="s">
        <v>1405</v>
      </c>
      <c r="C15" s="52" t="s">
        <v>1406</v>
      </c>
      <c r="D15" s="624"/>
    </row>
    <row r="16" spans="1:4" ht="77.25" customHeight="1" x14ac:dyDescent="0.25">
      <c r="A16" s="627" t="s">
        <v>173</v>
      </c>
      <c r="B16" s="106" t="s">
        <v>1407</v>
      </c>
      <c r="C16" s="52" t="s">
        <v>1408</v>
      </c>
    </row>
    <row r="17" spans="1:8" ht="99.75" customHeight="1" x14ac:dyDescent="0.25">
      <c r="A17" s="627" t="s">
        <v>254</v>
      </c>
      <c r="B17" s="106" t="s">
        <v>1409</v>
      </c>
      <c r="C17" s="52" t="s">
        <v>1410</v>
      </c>
    </row>
    <row r="18" spans="1:8" ht="41.25" customHeight="1" x14ac:dyDescent="0.25">
      <c r="A18" s="627" t="s">
        <v>13</v>
      </c>
      <c r="B18" s="106" t="s">
        <v>1411</v>
      </c>
      <c r="C18" s="52" t="s">
        <v>1412</v>
      </c>
    </row>
    <row r="19" spans="1:8" ht="72.75" customHeight="1" x14ac:dyDescent="0.25">
      <c r="A19" s="627" t="s">
        <v>239</v>
      </c>
      <c r="B19" s="106" t="s">
        <v>1413</v>
      </c>
      <c r="C19" s="109"/>
    </row>
    <row r="20" spans="1:8" ht="54" customHeight="1" x14ac:dyDescent="0.25">
      <c r="A20" s="627" t="s">
        <v>294</v>
      </c>
      <c r="B20" s="106" t="s">
        <v>1414</v>
      </c>
      <c r="C20" s="52" t="s">
        <v>1415</v>
      </c>
    </row>
    <row r="21" spans="1:8" ht="40.5" customHeight="1" x14ac:dyDescent="0.25">
      <c r="A21" s="627" t="s">
        <v>197</v>
      </c>
      <c r="B21" s="106" t="s">
        <v>142</v>
      </c>
      <c r="C21" s="52" t="s">
        <v>936</v>
      </c>
    </row>
    <row r="22" spans="1:8" ht="42.75" customHeight="1" x14ac:dyDescent="0.25">
      <c r="A22" s="627" t="s">
        <v>365</v>
      </c>
      <c r="B22" s="106" t="s">
        <v>1416</v>
      </c>
      <c r="C22" s="52" t="s">
        <v>1417</v>
      </c>
    </row>
    <row r="23" spans="1:8" ht="41.25" customHeight="1" x14ac:dyDescent="0.25">
      <c r="A23" s="627" t="s">
        <v>14</v>
      </c>
      <c r="B23" s="106" t="s">
        <v>1178</v>
      </c>
      <c r="C23" s="52" t="s">
        <v>1418</v>
      </c>
    </row>
    <row r="24" spans="1:8" ht="57" customHeight="1" x14ac:dyDescent="0.25">
      <c r="A24" s="627" t="s">
        <v>854</v>
      </c>
      <c r="B24" s="106" t="s">
        <v>848</v>
      </c>
      <c r="C24" s="52" t="s">
        <v>882</v>
      </c>
    </row>
    <row r="25" spans="1:8" ht="51.75" customHeight="1" x14ac:dyDescent="0.25">
      <c r="A25" s="627" t="s">
        <v>855</v>
      </c>
      <c r="B25" s="106" t="s">
        <v>1419</v>
      </c>
      <c r="C25" s="52" t="s">
        <v>849</v>
      </c>
    </row>
    <row r="26" spans="1:8" ht="23.25" customHeight="1" x14ac:dyDescent="0.25">
      <c r="A26" s="627" t="s">
        <v>856</v>
      </c>
      <c r="B26" s="106" t="s">
        <v>850</v>
      </c>
      <c r="C26" s="52" t="s">
        <v>851</v>
      </c>
    </row>
    <row r="27" spans="1:8" ht="31.2" x14ac:dyDescent="0.25">
      <c r="A27" s="627" t="s">
        <v>857</v>
      </c>
      <c r="B27" s="106" t="s">
        <v>852</v>
      </c>
      <c r="C27" s="52" t="s">
        <v>853</v>
      </c>
    </row>
    <row r="28" spans="1:8" ht="72.75" customHeight="1" x14ac:dyDescent="0.25">
      <c r="A28" s="627" t="s">
        <v>15</v>
      </c>
      <c r="B28" s="106" t="s">
        <v>1420</v>
      </c>
      <c r="C28" s="52" t="s">
        <v>1421</v>
      </c>
    </row>
    <row r="29" spans="1:8" ht="102.75" customHeight="1" x14ac:dyDescent="0.25">
      <c r="A29" s="627" t="s">
        <v>341</v>
      </c>
      <c r="B29" s="106" t="s">
        <v>1422</v>
      </c>
      <c r="C29" s="52" t="s">
        <v>37</v>
      </c>
    </row>
    <row r="30" spans="1:8" ht="51.75" customHeight="1" x14ac:dyDescent="0.25">
      <c r="A30" s="627" t="s">
        <v>325</v>
      </c>
      <c r="B30" s="106" t="s">
        <v>1181</v>
      </c>
      <c r="C30" s="52" t="s">
        <v>1180</v>
      </c>
    </row>
    <row r="31" spans="1:8" ht="25.5" customHeight="1" x14ac:dyDescent="0.25">
      <c r="A31" s="627" t="s">
        <v>38</v>
      </c>
      <c r="B31" s="106" t="s">
        <v>1152</v>
      </c>
      <c r="C31" s="52" t="s">
        <v>1153</v>
      </c>
      <c r="H31" s="22" t="s">
        <v>157</v>
      </c>
    </row>
    <row r="32" spans="1:8" ht="144" customHeight="1" x14ac:dyDescent="0.25">
      <c r="A32" s="627" t="s">
        <v>40</v>
      </c>
      <c r="B32" s="106" t="s">
        <v>816</v>
      </c>
      <c r="C32" s="52" t="s">
        <v>1423</v>
      </c>
    </row>
    <row r="33" spans="1:3" ht="28.5" customHeight="1" x14ac:dyDescent="0.25">
      <c r="A33" s="627" t="s">
        <v>39</v>
      </c>
      <c r="B33" s="106" t="s">
        <v>884</v>
      </c>
      <c r="C33" s="52" t="s">
        <v>1424</v>
      </c>
    </row>
    <row r="34" spans="1:3" ht="39.75" customHeight="1" x14ac:dyDescent="0.25">
      <c r="A34" s="627" t="s">
        <v>41</v>
      </c>
      <c r="B34" s="106" t="s">
        <v>46</v>
      </c>
      <c r="C34" s="52" t="s">
        <v>267</v>
      </c>
    </row>
    <row r="35" spans="1:3" ht="39.75" customHeight="1" x14ac:dyDescent="0.25">
      <c r="A35" s="627" t="s">
        <v>948</v>
      </c>
      <c r="B35" s="106" t="s">
        <v>949</v>
      </c>
      <c r="C35" s="52" t="s">
        <v>946</v>
      </c>
    </row>
    <row r="36" spans="1:3" ht="57" customHeight="1" x14ac:dyDescent="0.25">
      <c r="A36" s="627" t="s">
        <v>156</v>
      </c>
      <c r="B36" s="106" t="s">
        <v>1177</v>
      </c>
      <c r="C36" s="108" t="s">
        <v>1425</v>
      </c>
    </row>
    <row r="37" spans="1:3" ht="51" customHeight="1" x14ac:dyDescent="0.25">
      <c r="A37" s="627" t="s">
        <v>158</v>
      </c>
      <c r="B37" s="106"/>
      <c r="C37" s="52" t="s">
        <v>1426</v>
      </c>
    </row>
    <row r="38" spans="1:3" ht="86.25" customHeight="1" x14ac:dyDescent="0.25">
      <c r="A38" s="627" t="s">
        <v>268</v>
      </c>
      <c r="B38" s="106"/>
      <c r="C38" s="108" t="s">
        <v>1427</v>
      </c>
    </row>
    <row r="39" spans="1:3" ht="64.5" customHeight="1" x14ac:dyDescent="0.25">
      <c r="A39" s="627" t="s">
        <v>255</v>
      </c>
      <c r="B39" s="106" t="s">
        <v>858</v>
      </c>
      <c r="C39" s="108" t="s">
        <v>938</v>
      </c>
    </row>
    <row r="40" spans="1:3" ht="75" customHeight="1" x14ac:dyDescent="0.25">
      <c r="A40" s="627" t="s">
        <v>29</v>
      </c>
      <c r="B40" s="106" t="s">
        <v>981</v>
      </c>
      <c r="C40" s="52" t="s">
        <v>1428</v>
      </c>
    </row>
    <row r="41" spans="1:3" ht="123.75" customHeight="1" x14ac:dyDescent="0.25">
      <c r="A41" s="627" t="s">
        <v>281</v>
      </c>
      <c r="B41" s="106" t="s">
        <v>1429</v>
      </c>
      <c r="C41" s="52" t="s">
        <v>1430</v>
      </c>
    </row>
    <row r="42" spans="1:3" ht="38.25" customHeight="1" x14ac:dyDescent="0.25">
      <c r="A42" s="627" t="s">
        <v>281</v>
      </c>
      <c r="B42" s="106" t="s">
        <v>1155</v>
      </c>
      <c r="C42" s="108" t="s">
        <v>1431</v>
      </c>
    </row>
    <row r="43" spans="1:3" ht="39" customHeight="1" thickBot="1" x14ac:dyDescent="0.3">
      <c r="A43" s="627" t="s">
        <v>281</v>
      </c>
      <c r="B43" s="107" t="s">
        <v>842</v>
      </c>
      <c r="C43" s="110" t="s">
        <v>1432</v>
      </c>
    </row>
    <row r="44" spans="1:3" x14ac:dyDescent="0.25">
      <c r="B44" s="24"/>
    </row>
    <row r="45" spans="1:3" x14ac:dyDescent="0.25">
      <c r="B45" s="24"/>
    </row>
    <row r="46" spans="1:3" x14ac:dyDescent="0.25">
      <c r="B46" s="24"/>
    </row>
    <row r="47" spans="1:3" x14ac:dyDescent="0.25">
      <c r="B47" s="24"/>
    </row>
    <row r="48" spans="1:3" x14ac:dyDescent="0.25">
      <c r="B48" s="24"/>
    </row>
    <row r="49" spans="2:2" x14ac:dyDescent="0.25">
      <c r="B49" s="24"/>
    </row>
    <row r="50" spans="2:2" x14ac:dyDescent="0.25">
      <c r="B50" s="24"/>
    </row>
    <row r="51" spans="2:2" x14ac:dyDescent="0.25">
      <c r="B51" s="24"/>
    </row>
    <row r="52" spans="2:2" x14ac:dyDescent="0.25">
      <c r="B52" s="24"/>
    </row>
    <row r="53" spans="2:2" x14ac:dyDescent="0.25">
      <c r="B53" s="24"/>
    </row>
    <row r="54" spans="2:2" x14ac:dyDescent="0.25">
      <c r="B54" s="24"/>
    </row>
    <row r="55" spans="2:2" x14ac:dyDescent="0.25">
      <c r="B55" s="24"/>
    </row>
    <row r="56" spans="2:2" x14ac:dyDescent="0.25">
      <c r="B56" s="24"/>
    </row>
    <row r="57" spans="2:2" x14ac:dyDescent="0.25">
      <c r="B57" s="24"/>
    </row>
    <row r="58" spans="2:2" x14ac:dyDescent="0.25">
      <c r="B58" s="24"/>
    </row>
    <row r="59" spans="2:2" x14ac:dyDescent="0.25">
      <c r="B59" s="24"/>
    </row>
    <row r="60" spans="2:2" x14ac:dyDescent="0.25">
      <c r="B60" s="24"/>
    </row>
    <row r="61" spans="2:2" x14ac:dyDescent="0.25">
      <c r="B61" s="24"/>
    </row>
    <row r="62" spans="2:2" x14ac:dyDescent="0.25">
      <c r="B62" s="24"/>
    </row>
  </sheetData>
  <mergeCells count="1">
    <mergeCell ref="A1:C1"/>
  </mergeCells>
  <phoneticPr fontId="5" type="noConversion"/>
  <printOptions gridLines="1"/>
  <pageMargins left="0.47244094488188981" right="0.19685039370078741" top="0.51181102362204722" bottom="0.43307086614173229" header="0.39370078740157483" footer="0.27559055118110237"/>
  <pageSetup paperSize="9" scale="69" fitToWidth="5" fitToHeight="5" orientation="landscape" r:id="rId1"/>
  <headerFooter alignWithMargins="0">
    <oddFooter>&amp;C&amp;P zo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J68"/>
  <sheetViews>
    <sheetView zoomScaleNormal="100" workbookViewId="0">
      <pane xSplit="2" ySplit="5" topLeftCell="C9" activePane="bottomRight" state="frozen"/>
      <selection pane="topRight" activeCell="C1" sqref="C1"/>
      <selection pane="bottomLeft" activeCell="A6" sqref="A6"/>
      <selection pane="bottomRight" activeCell="B60" sqref="B60"/>
    </sheetView>
  </sheetViews>
  <sheetFormatPr defaultColWidth="9.109375" defaultRowHeight="15.6" x14ac:dyDescent="0.3"/>
  <cols>
    <col min="1" max="1" width="7.88671875" style="522" customWidth="1"/>
    <col min="2" max="2" width="70.88671875" style="616" customWidth="1"/>
    <col min="3" max="3" width="16.44140625" style="579" customWidth="1"/>
    <col min="4" max="4" width="16.5546875" style="579" customWidth="1"/>
    <col min="5" max="5" width="16.44140625" style="579" customWidth="1"/>
    <col min="6" max="6" width="19.109375" style="579" customWidth="1"/>
    <col min="7" max="7" width="16.88671875" style="579" customWidth="1"/>
    <col min="8" max="8" width="17.33203125" style="579" customWidth="1"/>
    <col min="9" max="9" width="16.5546875" style="196" customWidth="1"/>
    <col min="10" max="16384" width="9.109375" style="196"/>
  </cols>
  <sheetData>
    <row r="1" spans="1:8" ht="35.1" customHeight="1" thickBot="1" x14ac:dyDescent="0.35">
      <c r="A1" s="662" t="s">
        <v>1144</v>
      </c>
      <c r="B1" s="663"/>
      <c r="C1" s="663"/>
      <c r="D1" s="663"/>
      <c r="E1" s="663"/>
      <c r="F1" s="663"/>
      <c r="G1" s="663"/>
      <c r="H1" s="664"/>
    </row>
    <row r="2" spans="1:8" ht="31.95" customHeight="1" x14ac:dyDescent="0.3">
      <c r="A2" s="647" t="s">
        <v>1218</v>
      </c>
      <c r="B2" s="648"/>
      <c r="C2" s="648"/>
      <c r="D2" s="648"/>
      <c r="E2" s="648"/>
      <c r="F2" s="648"/>
      <c r="G2" s="648"/>
      <c r="H2" s="649"/>
    </row>
    <row r="3" spans="1:8" ht="24" customHeight="1" x14ac:dyDescent="0.3">
      <c r="A3" s="665" t="s">
        <v>205</v>
      </c>
      <c r="B3" s="666" t="s">
        <v>327</v>
      </c>
      <c r="C3" s="668">
        <v>2014</v>
      </c>
      <c r="D3" s="669"/>
      <c r="E3" s="668">
        <v>2015</v>
      </c>
      <c r="F3" s="669"/>
      <c r="G3" s="668" t="s">
        <v>1137</v>
      </c>
      <c r="H3" s="670"/>
    </row>
    <row r="4" spans="1:8" s="517" customFormat="1" ht="46.8" x14ac:dyDescent="0.3">
      <c r="A4" s="665"/>
      <c r="B4" s="667"/>
      <c r="C4" s="5" t="s">
        <v>1285</v>
      </c>
      <c r="D4" s="5" t="s">
        <v>1286</v>
      </c>
      <c r="E4" s="5" t="s">
        <v>1285</v>
      </c>
      <c r="F4" s="5" t="s">
        <v>1286</v>
      </c>
      <c r="G4" s="5" t="s">
        <v>1285</v>
      </c>
      <c r="H4" s="5" t="s">
        <v>1286</v>
      </c>
    </row>
    <row r="5" spans="1:8" s="517" customFormat="1" x14ac:dyDescent="0.3">
      <c r="A5" s="516"/>
      <c r="B5" s="15"/>
      <c r="C5" s="5" t="s">
        <v>283</v>
      </c>
      <c r="D5" s="5" t="s">
        <v>284</v>
      </c>
      <c r="E5" s="5" t="s">
        <v>285</v>
      </c>
      <c r="F5" s="5" t="s">
        <v>292</v>
      </c>
      <c r="G5" s="5" t="s">
        <v>23</v>
      </c>
      <c r="H5" s="6" t="s">
        <v>24</v>
      </c>
    </row>
    <row r="6" spans="1:8" x14ac:dyDescent="0.3">
      <c r="A6" s="572">
        <v>1</v>
      </c>
      <c r="B6" s="15" t="s">
        <v>1355</v>
      </c>
      <c r="C6" s="158">
        <f>SUM(C7:C10)</f>
        <v>164469.81000000003</v>
      </c>
      <c r="D6" s="158">
        <f>SUM(D7:D10)</f>
        <v>363769.76</v>
      </c>
      <c r="E6" s="145">
        <f>SUM(E7:E10)</f>
        <v>209371.92</v>
      </c>
      <c r="F6" s="145">
        <f>SUM(F7:F10)</f>
        <v>432266.14999999997</v>
      </c>
      <c r="G6" s="159">
        <f>E6-C6</f>
        <v>44902.109999999986</v>
      </c>
      <c r="H6" s="160">
        <f>F6-D6/30.126</f>
        <v>420191.20609772287</v>
      </c>
    </row>
    <row r="7" spans="1:8" x14ac:dyDescent="0.3">
      <c r="A7" s="572">
        <f>A6+1</f>
        <v>2</v>
      </c>
      <c r="B7" s="31" t="s">
        <v>273</v>
      </c>
      <c r="C7" s="603"/>
      <c r="D7" s="603"/>
      <c r="E7" s="603"/>
      <c r="F7" s="603"/>
      <c r="G7" s="159">
        <f t="shared" ref="G7:H59" si="0">E7-C7</f>
        <v>0</v>
      </c>
      <c r="H7" s="160">
        <f>F7-D7/30.126</f>
        <v>0</v>
      </c>
    </row>
    <row r="8" spans="1:8" x14ac:dyDescent="0.3">
      <c r="A8" s="572">
        <f t="shared" ref="A8:A59" si="1">A7+1</f>
        <v>3</v>
      </c>
      <c r="B8" s="31" t="s">
        <v>299</v>
      </c>
      <c r="C8" s="603"/>
      <c r="D8" s="603"/>
      <c r="E8" s="603"/>
      <c r="F8" s="603"/>
      <c r="G8" s="159">
        <f t="shared" si="0"/>
        <v>0</v>
      </c>
      <c r="H8" s="160">
        <f>F8-D8/30.126</f>
        <v>0</v>
      </c>
    </row>
    <row r="9" spans="1:8" x14ac:dyDescent="0.3">
      <c r="A9" s="572">
        <f t="shared" si="1"/>
        <v>4</v>
      </c>
      <c r="B9" s="31" t="s">
        <v>59</v>
      </c>
      <c r="C9" s="603">
        <v>162428.17000000001</v>
      </c>
      <c r="D9" s="604">
        <v>361125.7</v>
      </c>
      <c r="E9" s="603">
        <v>207190.5</v>
      </c>
      <c r="F9" s="603">
        <v>430544.8</v>
      </c>
      <c r="G9" s="159">
        <f t="shared" si="0"/>
        <v>44762.329999999987</v>
      </c>
      <c r="H9" s="160">
        <f t="shared" si="0"/>
        <v>69419.099999999977</v>
      </c>
    </row>
    <row r="10" spans="1:8" x14ac:dyDescent="0.3">
      <c r="A10" s="572">
        <f t="shared" si="1"/>
        <v>5</v>
      </c>
      <c r="B10" s="31" t="s">
        <v>298</v>
      </c>
      <c r="C10" s="603">
        <v>2041.64</v>
      </c>
      <c r="D10" s="604">
        <v>2644.06</v>
      </c>
      <c r="E10" s="603">
        <v>2181.42</v>
      </c>
      <c r="F10" s="603">
        <v>1721.35</v>
      </c>
      <c r="G10" s="159">
        <f t="shared" si="0"/>
        <v>139.77999999999997</v>
      </c>
      <c r="H10" s="160">
        <f t="shared" si="0"/>
        <v>-922.71</v>
      </c>
    </row>
    <row r="11" spans="1:8" x14ac:dyDescent="0.3">
      <c r="A11" s="572">
        <f t="shared" si="1"/>
        <v>6</v>
      </c>
      <c r="B11" s="15" t="s">
        <v>1356</v>
      </c>
      <c r="C11" s="158">
        <f>SUM(C12:C15)</f>
        <v>894632.82</v>
      </c>
      <c r="D11" s="158">
        <f>SUM(D12:D15)</f>
        <v>877827.45</v>
      </c>
      <c r="E11" s="145">
        <f>SUM(E12:E15)</f>
        <v>1106104.3400000001</v>
      </c>
      <c r="F11" s="145">
        <f>SUM(F12:F15)</f>
        <v>1306786.8700000001</v>
      </c>
      <c r="G11" s="159">
        <f t="shared" si="0"/>
        <v>211471.52000000014</v>
      </c>
      <c r="H11" s="160">
        <f t="shared" si="0"/>
        <v>428959.42000000016</v>
      </c>
    </row>
    <row r="12" spans="1:8" x14ac:dyDescent="0.3">
      <c r="A12" s="572">
        <f t="shared" si="1"/>
        <v>7</v>
      </c>
      <c r="B12" s="31" t="s">
        <v>86</v>
      </c>
      <c r="C12" s="603">
        <v>771045.44</v>
      </c>
      <c r="D12" s="604"/>
      <c r="E12" s="603">
        <v>828570.91</v>
      </c>
      <c r="F12" s="603"/>
      <c r="G12" s="159">
        <f t="shared" si="0"/>
        <v>57525.470000000088</v>
      </c>
      <c r="H12" s="160">
        <f t="shared" si="0"/>
        <v>0</v>
      </c>
    </row>
    <row r="13" spans="1:8" x14ac:dyDescent="0.3">
      <c r="A13" s="572">
        <f t="shared" si="1"/>
        <v>8</v>
      </c>
      <c r="B13" s="31" t="s">
        <v>87</v>
      </c>
      <c r="C13" s="603"/>
      <c r="D13" s="604"/>
      <c r="E13" s="603"/>
      <c r="F13" s="603"/>
      <c r="G13" s="159">
        <f t="shared" si="0"/>
        <v>0</v>
      </c>
      <c r="H13" s="160">
        <f t="shared" si="0"/>
        <v>0</v>
      </c>
    </row>
    <row r="14" spans="1:8" x14ac:dyDescent="0.3">
      <c r="A14" s="572">
        <f>A13+1</f>
        <v>9</v>
      </c>
      <c r="B14" s="31" t="s">
        <v>88</v>
      </c>
      <c r="C14" s="603">
        <v>123587.38</v>
      </c>
      <c r="D14" s="604">
        <v>104651.99</v>
      </c>
      <c r="E14" s="603"/>
      <c r="F14" s="603">
        <v>107930.02</v>
      </c>
      <c r="G14" s="159">
        <f t="shared" si="0"/>
        <v>-123587.38</v>
      </c>
      <c r="H14" s="160">
        <f t="shared" si="0"/>
        <v>3278.0299999999988</v>
      </c>
    </row>
    <row r="15" spans="1:8" ht="31.2" x14ac:dyDescent="0.3">
      <c r="A15" s="605">
        <f t="shared" si="1"/>
        <v>10</v>
      </c>
      <c r="B15" s="31" t="s">
        <v>980</v>
      </c>
      <c r="C15" s="603"/>
      <c r="D15" s="604">
        <v>773175.46</v>
      </c>
      <c r="E15" s="603">
        <v>277533.43</v>
      </c>
      <c r="F15" s="603">
        <v>1198856.8500000001</v>
      </c>
      <c r="G15" s="159">
        <f t="shared" si="0"/>
        <v>277533.43</v>
      </c>
      <c r="H15" s="160">
        <f t="shared" si="0"/>
        <v>425681.39000000013</v>
      </c>
    </row>
    <row r="16" spans="1:8" x14ac:dyDescent="0.3">
      <c r="A16" s="572">
        <f t="shared" si="1"/>
        <v>11</v>
      </c>
      <c r="B16" s="15" t="s">
        <v>20</v>
      </c>
      <c r="C16" s="603"/>
      <c r="D16" s="604">
        <v>61344.14</v>
      </c>
      <c r="E16" s="603"/>
      <c r="F16" s="603">
        <v>73906.92</v>
      </c>
      <c r="G16" s="159">
        <f t="shared" si="0"/>
        <v>0</v>
      </c>
      <c r="H16" s="160">
        <f t="shared" si="0"/>
        <v>12562.779999999999</v>
      </c>
    </row>
    <row r="17" spans="1:9" x14ac:dyDescent="0.3">
      <c r="A17" s="572">
        <f t="shared" si="1"/>
        <v>12</v>
      </c>
      <c r="B17" s="15" t="s">
        <v>332</v>
      </c>
      <c r="C17" s="603"/>
      <c r="D17" s="604"/>
      <c r="E17" s="603"/>
      <c r="F17" s="603"/>
      <c r="G17" s="159">
        <f t="shared" si="0"/>
        <v>0</v>
      </c>
      <c r="H17" s="160">
        <f t="shared" si="0"/>
        <v>0</v>
      </c>
    </row>
    <row r="18" spans="1:9" x14ac:dyDescent="0.3">
      <c r="A18" s="572">
        <f t="shared" si="1"/>
        <v>13</v>
      </c>
      <c r="B18" s="15" t="s">
        <v>333</v>
      </c>
      <c r="C18" s="603"/>
      <c r="D18" s="604"/>
      <c r="E18" s="603"/>
      <c r="F18" s="603"/>
      <c r="G18" s="159">
        <f t="shared" si="0"/>
        <v>0</v>
      </c>
      <c r="H18" s="160">
        <f t="shared" si="0"/>
        <v>0</v>
      </c>
    </row>
    <row r="19" spans="1:9" x14ac:dyDescent="0.3">
      <c r="A19" s="572">
        <f t="shared" si="1"/>
        <v>14</v>
      </c>
      <c r="B19" s="15" t="s">
        <v>334</v>
      </c>
      <c r="C19" s="603">
        <v>3355.43</v>
      </c>
      <c r="D19" s="604">
        <v>138.54</v>
      </c>
      <c r="E19" s="603">
        <v>245.01</v>
      </c>
      <c r="F19" s="603">
        <v>2493.85</v>
      </c>
      <c r="G19" s="159">
        <f t="shared" si="0"/>
        <v>-3110.42</v>
      </c>
      <c r="H19" s="160">
        <f t="shared" si="0"/>
        <v>2355.31</v>
      </c>
    </row>
    <row r="20" spans="1:9" x14ac:dyDescent="0.3">
      <c r="A20" s="572">
        <f t="shared" si="1"/>
        <v>15</v>
      </c>
      <c r="B20" s="15" t="s">
        <v>335</v>
      </c>
      <c r="C20" s="603"/>
      <c r="D20" s="603"/>
      <c r="E20" s="603">
        <v>417.09</v>
      </c>
      <c r="F20" s="603">
        <v>13229.97</v>
      </c>
      <c r="G20" s="159">
        <f t="shared" si="0"/>
        <v>417.09</v>
      </c>
      <c r="H20" s="160">
        <f t="shared" si="0"/>
        <v>13229.97</v>
      </c>
    </row>
    <row r="21" spans="1:9" x14ac:dyDescent="0.3">
      <c r="A21" s="572">
        <f t="shared" si="1"/>
        <v>16</v>
      </c>
      <c r="B21" s="15" t="s">
        <v>1357</v>
      </c>
      <c r="C21" s="158">
        <f>SUM(C22:C23)</f>
        <v>57.32</v>
      </c>
      <c r="D21" s="158">
        <f>SUM(D22:D23)</f>
        <v>79.8</v>
      </c>
      <c r="E21" s="158">
        <f>SUM(E22:E23)</f>
        <v>45.81</v>
      </c>
      <c r="F21" s="158">
        <f>SUM(F22:F23)</f>
        <v>39.07</v>
      </c>
      <c r="G21" s="159">
        <f t="shared" si="0"/>
        <v>-11.509999999999998</v>
      </c>
      <c r="H21" s="160">
        <f t="shared" si="0"/>
        <v>-40.729999999999997</v>
      </c>
    </row>
    <row r="22" spans="1:9" x14ac:dyDescent="0.3">
      <c r="A22" s="572">
        <f t="shared" si="1"/>
        <v>17</v>
      </c>
      <c r="B22" s="31" t="s">
        <v>92</v>
      </c>
      <c r="C22" s="603"/>
      <c r="D22" s="603"/>
      <c r="E22" s="603"/>
      <c r="F22" s="603"/>
      <c r="G22" s="159">
        <f t="shared" si="0"/>
        <v>0</v>
      </c>
      <c r="H22" s="160">
        <f t="shared" si="0"/>
        <v>0</v>
      </c>
    </row>
    <row r="23" spans="1:9" x14ac:dyDescent="0.3">
      <c r="A23" s="572">
        <f t="shared" si="1"/>
        <v>18</v>
      </c>
      <c r="B23" s="31" t="s">
        <v>93</v>
      </c>
      <c r="C23" s="603">
        <v>57.32</v>
      </c>
      <c r="D23" s="606">
        <v>79.8</v>
      </c>
      <c r="E23" s="603">
        <v>45.81</v>
      </c>
      <c r="F23" s="607">
        <v>39.07</v>
      </c>
      <c r="G23" s="159">
        <f t="shared" si="0"/>
        <v>-11.509999999999998</v>
      </c>
      <c r="H23" s="160">
        <f t="shared" si="0"/>
        <v>-40.729999999999997</v>
      </c>
    </row>
    <row r="24" spans="1:9" x14ac:dyDescent="0.3">
      <c r="A24" s="572">
        <f t="shared" si="1"/>
        <v>19</v>
      </c>
      <c r="B24" s="15" t="s">
        <v>336</v>
      </c>
      <c r="C24" s="603">
        <v>69980.539999999994</v>
      </c>
      <c r="D24" s="604"/>
      <c r="E24" s="603">
        <v>69014.52</v>
      </c>
      <c r="F24" s="603"/>
      <c r="G24" s="159">
        <f t="shared" si="0"/>
        <v>-966.01999999998952</v>
      </c>
      <c r="H24" s="160">
        <f t="shared" si="0"/>
        <v>0</v>
      </c>
    </row>
    <row r="25" spans="1:9" ht="15.75" customHeight="1" x14ac:dyDescent="0.3">
      <c r="A25" s="572">
        <f t="shared" si="1"/>
        <v>20</v>
      </c>
      <c r="B25" s="15" t="s">
        <v>1358</v>
      </c>
      <c r="C25" s="158">
        <f>SUM(C26:C38)</f>
        <v>14725140.059999997</v>
      </c>
      <c r="D25" s="158">
        <f>SUM(D26:D38)</f>
        <v>28940.16</v>
      </c>
      <c r="E25" s="145">
        <f>SUM(E26:E38)</f>
        <v>15034087.779999999</v>
      </c>
      <c r="F25" s="145">
        <f>SUM(F26:F38)</f>
        <v>37114.89</v>
      </c>
      <c r="G25" s="159">
        <f t="shared" si="0"/>
        <v>308947.72000000253</v>
      </c>
      <c r="H25" s="160">
        <f t="shared" si="0"/>
        <v>8174.73</v>
      </c>
      <c r="I25" s="587"/>
    </row>
    <row r="26" spans="1:9" ht="16.2" customHeight="1" x14ac:dyDescent="0.3">
      <c r="A26" s="572">
        <f t="shared" si="1"/>
        <v>21</v>
      </c>
      <c r="B26" s="31" t="s">
        <v>1204</v>
      </c>
      <c r="C26" s="603">
        <v>8367771.8799999999</v>
      </c>
      <c r="D26" s="604"/>
      <c r="E26" s="604">
        <v>9268357.2899999991</v>
      </c>
      <c r="F26" s="603"/>
      <c r="G26" s="159">
        <f t="shared" si="0"/>
        <v>900585.40999999922</v>
      </c>
      <c r="H26" s="160">
        <f t="shared" si="0"/>
        <v>0</v>
      </c>
    </row>
    <row r="27" spans="1:9" x14ac:dyDescent="0.3">
      <c r="A27" s="572">
        <f t="shared" si="1"/>
        <v>22</v>
      </c>
      <c r="B27" s="31" t="s">
        <v>979</v>
      </c>
      <c r="C27" s="603">
        <v>451597.91</v>
      </c>
      <c r="D27" s="604"/>
      <c r="E27" s="604">
        <v>421609.06</v>
      </c>
      <c r="F27" s="603"/>
      <c r="G27" s="159">
        <f t="shared" si="0"/>
        <v>-29988.849999999977</v>
      </c>
      <c r="H27" s="160">
        <f t="shared" si="0"/>
        <v>0</v>
      </c>
    </row>
    <row r="28" spans="1:9" x14ac:dyDescent="0.3">
      <c r="A28" s="572">
        <f t="shared" si="1"/>
        <v>23</v>
      </c>
      <c r="B28" s="31" t="s">
        <v>94</v>
      </c>
      <c r="C28" s="603">
        <v>257352.7</v>
      </c>
      <c r="D28" s="604"/>
      <c r="E28" s="604">
        <v>216113.27</v>
      </c>
      <c r="F28" s="603"/>
      <c r="G28" s="159">
        <f t="shared" si="0"/>
        <v>-41239.430000000022</v>
      </c>
      <c r="H28" s="160">
        <f t="shared" si="0"/>
        <v>0</v>
      </c>
    </row>
    <row r="29" spans="1:9" x14ac:dyDescent="0.3">
      <c r="A29" s="572">
        <f t="shared" si="1"/>
        <v>24</v>
      </c>
      <c r="B29" s="31" t="s">
        <v>95</v>
      </c>
      <c r="C29" s="603">
        <v>280</v>
      </c>
      <c r="D29" s="604"/>
      <c r="E29" s="604">
        <v>2310</v>
      </c>
      <c r="F29" s="603"/>
      <c r="G29" s="159">
        <f t="shared" si="0"/>
        <v>2030</v>
      </c>
      <c r="H29" s="160">
        <f t="shared" si="0"/>
        <v>0</v>
      </c>
    </row>
    <row r="30" spans="1:9" x14ac:dyDescent="0.3">
      <c r="A30" s="572">
        <f t="shared" si="1"/>
        <v>25</v>
      </c>
      <c r="B30" s="31" t="s">
        <v>893</v>
      </c>
      <c r="C30" s="603">
        <v>78989.259999999995</v>
      </c>
      <c r="D30" s="604"/>
      <c r="E30" s="604">
        <v>201181.58</v>
      </c>
      <c r="F30" s="603"/>
      <c r="G30" s="159">
        <f t="shared" si="0"/>
        <v>122192.31999999999</v>
      </c>
      <c r="H30" s="160">
        <f t="shared" si="0"/>
        <v>0</v>
      </c>
    </row>
    <row r="31" spans="1:9" x14ac:dyDescent="0.3">
      <c r="A31" s="572">
        <f t="shared" si="1"/>
        <v>26</v>
      </c>
      <c r="B31" s="31" t="s">
        <v>96</v>
      </c>
      <c r="C31" s="603"/>
      <c r="D31" s="604"/>
      <c r="E31" s="604"/>
      <c r="F31" s="603"/>
      <c r="G31" s="159">
        <f t="shared" si="0"/>
        <v>0</v>
      </c>
      <c r="H31" s="160">
        <f t="shared" si="0"/>
        <v>0</v>
      </c>
    </row>
    <row r="32" spans="1:9" x14ac:dyDescent="0.3">
      <c r="A32" s="572">
        <f t="shared" si="1"/>
        <v>27</v>
      </c>
      <c r="B32" s="31" t="s">
        <v>97</v>
      </c>
      <c r="C32" s="603"/>
      <c r="D32" s="604"/>
      <c r="E32" s="603"/>
      <c r="F32" s="603"/>
      <c r="G32" s="159">
        <f t="shared" si="0"/>
        <v>0</v>
      </c>
      <c r="H32" s="160">
        <f t="shared" si="0"/>
        <v>0</v>
      </c>
    </row>
    <row r="33" spans="1:9" x14ac:dyDescent="0.3">
      <c r="A33" s="572">
        <f t="shared" si="1"/>
        <v>28</v>
      </c>
      <c r="B33" s="31" t="s">
        <v>98</v>
      </c>
      <c r="C33" s="603">
        <v>2691.92</v>
      </c>
      <c r="D33" s="604"/>
      <c r="E33" s="603">
        <v>-968.75</v>
      </c>
      <c r="F33" s="603">
        <v>200</v>
      </c>
      <c r="G33" s="159">
        <f t="shared" si="0"/>
        <v>-3660.67</v>
      </c>
      <c r="H33" s="160">
        <f t="shared" si="0"/>
        <v>200</v>
      </c>
    </row>
    <row r="34" spans="1:9" x14ac:dyDescent="0.3">
      <c r="A34" s="572">
        <f t="shared" si="1"/>
        <v>29</v>
      </c>
      <c r="B34" s="31" t="s">
        <v>99</v>
      </c>
      <c r="C34" s="603">
        <v>-381.66</v>
      </c>
      <c r="D34" s="604">
        <v>286</v>
      </c>
      <c r="E34" s="603">
        <v>623</v>
      </c>
      <c r="F34" s="603">
        <v>335</v>
      </c>
      <c r="G34" s="159">
        <f t="shared" si="0"/>
        <v>1004.6600000000001</v>
      </c>
      <c r="H34" s="160">
        <f t="shared" si="0"/>
        <v>49</v>
      </c>
    </row>
    <row r="35" spans="1:9" x14ac:dyDescent="0.3">
      <c r="A35" s="572">
        <f t="shared" si="1"/>
        <v>30</v>
      </c>
      <c r="B35" s="31" t="s">
        <v>100</v>
      </c>
      <c r="C35" s="603">
        <v>1540803.38</v>
      </c>
      <c r="D35" s="604"/>
      <c r="E35" s="603">
        <v>1477847.09</v>
      </c>
      <c r="F35" s="603"/>
      <c r="G35" s="159">
        <f t="shared" si="0"/>
        <v>-62956.289999999804</v>
      </c>
      <c r="H35" s="160">
        <f t="shared" si="0"/>
        <v>0</v>
      </c>
    </row>
    <row r="36" spans="1:9" ht="31.2" x14ac:dyDescent="0.3">
      <c r="A36" s="572">
        <f t="shared" si="1"/>
        <v>31</v>
      </c>
      <c r="B36" s="608" t="s">
        <v>950</v>
      </c>
      <c r="C36" s="603"/>
      <c r="D36" s="604"/>
      <c r="E36" s="603"/>
      <c r="F36" s="603"/>
      <c r="G36" s="159">
        <f t="shared" si="0"/>
        <v>0</v>
      </c>
      <c r="H36" s="160">
        <f t="shared" si="0"/>
        <v>0</v>
      </c>
      <c r="I36" s="609"/>
    </row>
    <row r="37" spans="1:9" x14ac:dyDescent="0.3">
      <c r="A37" s="572">
        <f t="shared" si="1"/>
        <v>32</v>
      </c>
      <c r="B37" s="31" t="s">
        <v>101</v>
      </c>
      <c r="C37" s="603"/>
      <c r="D37" s="604"/>
      <c r="E37" s="603"/>
      <c r="F37" s="603"/>
      <c r="G37" s="159">
        <f t="shared" si="0"/>
        <v>0</v>
      </c>
      <c r="H37" s="160">
        <f t="shared" si="0"/>
        <v>0</v>
      </c>
    </row>
    <row r="38" spans="1:9" ht="42.75" customHeight="1" x14ac:dyDescent="0.3">
      <c r="A38" s="572">
        <f t="shared" si="1"/>
        <v>33</v>
      </c>
      <c r="B38" s="31" t="s">
        <v>1283</v>
      </c>
      <c r="C38" s="603">
        <f>213957.39+3812077.28</f>
        <v>4026034.67</v>
      </c>
      <c r="D38" s="604">
        <f>1238.01+27416.15</f>
        <v>28654.16</v>
      </c>
      <c r="E38" s="603">
        <f>146812.21+3300203.03</f>
        <v>3447015.2399999998</v>
      </c>
      <c r="F38" s="603">
        <f>60.01+36519.88</f>
        <v>36579.89</v>
      </c>
      <c r="G38" s="159">
        <f t="shared" si="0"/>
        <v>-579019.43000000017</v>
      </c>
      <c r="H38" s="160">
        <f t="shared" si="0"/>
        <v>7925.73</v>
      </c>
    </row>
    <row r="39" spans="1:9" x14ac:dyDescent="0.3">
      <c r="A39" s="572">
        <f t="shared" si="1"/>
        <v>34</v>
      </c>
      <c r="B39" s="15" t="s">
        <v>344</v>
      </c>
      <c r="C39" s="603">
        <v>161662.39999999999</v>
      </c>
      <c r="D39" s="604"/>
      <c r="E39" s="603">
        <v>6330</v>
      </c>
      <c r="F39" s="603"/>
      <c r="G39" s="159">
        <f t="shared" si="0"/>
        <v>-155332.4</v>
      </c>
      <c r="H39" s="160">
        <f t="shared" si="0"/>
        <v>0</v>
      </c>
    </row>
    <row r="40" spans="1:9" x14ac:dyDescent="0.3">
      <c r="A40" s="572">
        <f t="shared" si="1"/>
        <v>35</v>
      </c>
      <c r="B40" s="15" t="s">
        <v>138</v>
      </c>
      <c r="C40" s="603"/>
      <c r="D40" s="604"/>
      <c r="E40" s="603"/>
      <c r="F40" s="603"/>
      <c r="G40" s="159">
        <f t="shared" si="0"/>
        <v>0</v>
      </c>
      <c r="H40" s="160">
        <f t="shared" si="0"/>
        <v>0</v>
      </c>
    </row>
    <row r="41" spans="1:9" x14ac:dyDescent="0.3">
      <c r="A41" s="572">
        <f t="shared" si="1"/>
        <v>36</v>
      </c>
      <c r="B41" s="15" t="s">
        <v>136</v>
      </c>
      <c r="C41" s="603"/>
      <c r="D41" s="604"/>
      <c r="E41" s="603"/>
      <c r="F41" s="603"/>
      <c r="G41" s="159">
        <f t="shared" si="0"/>
        <v>0</v>
      </c>
      <c r="H41" s="160">
        <f t="shared" si="0"/>
        <v>0</v>
      </c>
    </row>
    <row r="42" spans="1:9" ht="23.25" customHeight="1" x14ac:dyDescent="0.3">
      <c r="A42" s="572">
        <f t="shared" si="1"/>
        <v>37</v>
      </c>
      <c r="B42" s="15" t="s">
        <v>321</v>
      </c>
      <c r="C42" s="603">
        <v>22</v>
      </c>
      <c r="D42" s="604"/>
      <c r="E42" s="603"/>
      <c r="F42" s="603">
        <v>312.5</v>
      </c>
      <c r="G42" s="159">
        <f t="shared" si="0"/>
        <v>-22</v>
      </c>
      <c r="H42" s="160">
        <f t="shared" si="0"/>
        <v>312.5</v>
      </c>
    </row>
    <row r="43" spans="1:9" x14ac:dyDescent="0.3">
      <c r="A43" s="572">
        <f t="shared" si="1"/>
        <v>38</v>
      </c>
      <c r="B43" s="15" t="s">
        <v>256</v>
      </c>
      <c r="C43" s="603"/>
      <c r="D43" s="603"/>
      <c r="E43" s="603"/>
      <c r="F43" s="603"/>
      <c r="G43" s="159">
        <f t="shared" si="0"/>
        <v>0</v>
      </c>
      <c r="H43" s="160">
        <f t="shared" si="0"/>
        <v>0</v>
      </c>
    </row>
    <row r="44" spans="1:9" ht="18" x14ac:dyDescent="0.3">
      <c r="A44" s="572">
        <f t="shared" si="1"/>
        <v>39</v>
      </c>
      <c r="B44" s="15" t="s">
        <v>1359</v>
      </c>
      <c r="C44" s="161">
        <f>SUM(C45:C49)</f>
        <v>69772.959999999992</v>
      </c>
      <c r="D44" s="161">
        <f>SUM(D45:D49)</f>
        <v>1876.39</v>
      </c>
      <c r="E44" s="162">
        <f>SUM(E45:E49)</f>
        <v>49231.98</v>
      </c>
      <c r="F44" s="162">
        <f>SUM(F45:F49)</f>
        <v>7497.54</v>
      </c>
      <c r="G44" s="159">
        <f t="shared" si="0"/>
        <v>-20540.979999999989</v>
      </c>
      <c r="H44" s="160">
        <f t="shared" si="0"/>
        <v>5621.15</v>
      </c>
    </row>
    <row r="45" spans="1:9" x14ac:dyDescent="0.3">
      <c r="A45" s="572">
        <f>A44+1</f>
        <v>40</v>
      </c>
      <c r="B45" s="31" t="s">
        <v>234</v>
      </c>
      <c r="C45" s="603">
        <v>733</v>
      </c>
      <c r="D45" s="604">
        <v>1876.39</v>
      </c>
      <c r="E45" s="603">
        <v>440</v>
      </c>
      <c r="F45" s="610">
        <v>7497.54</v>
      </c>
      <c r="G45" s="159">
        <f t="shared" si="0"/>
        <v>-293</v>
      </c>
      <c r="H45" s="159" t="s">
        <v>312</v>
      </c>
      <c r="I45" s="517"/>
    </row>
    <row r="46" spans="1:9" x14ac:dyDescent="0.3">
      <c r="A46" s="572">
        <f t="shared" si="1"/>
        <v>41</v>
      </c>
      <c r="B46" s="31" t="s">
        <v>102</v>
      </c>
      <c r="C46" s="603">
        <v>59000</v>
      </c>
      <c r="D46" s="200" t="s">
        <v>312</v>
      </c>
      <c r="E46" s="603">
        <v>38831.94</v>
      </c>
      <c r="F46" s="610" t="s">
        <v>312</v>
      </c>
      <c r="G46" s="159">
        <f t="shared" si="0"/>
        <v>-20168.059999999998</v>
      </c>
      <c r="H46" s="159" t="s">
        <v>312</v>
      </c>
    </row>
    <row r="47" spans="1:9" ht="18.600000000000001" x14ac:dyDescent="0.3">
      <c r="A47" s="572">
        <f t="shared" si="1"/>
        <v>42</v>
      </c>
      <c r="B47" s="31" t="s">
        <v>1360</v>
      </c>
      <c r="C47" s="603"/>
      <c r="D47" s="200" t="s">
        <v>312</v>
      </c>
      <c r="E47" s="603"/>
      <c r="F47" s="610" t="s">
        <v>312</v>
      </c>
      <c r="G47" s="159">
        <f t="shared" si="0"/>
        <v>0</v>
      </c>
      <c r="H47" s="159" t="s">
        <v>312</v>
      </c>
    </row>
    <row r="48" spans="1:9" ht="31.2" x14ac:dyDescent="0.3">
      <c r="A48" s="572">
        <f t="shared" si="1"/>
        <v>43</v>
      </c>
      <c r="B48" s="31" t="s">
        <v>1038</v>
      </c>
      <c r="C48" s="603">
        <v>10039.959999999999</v>
      </c>
      <c r="D48" s="200" t="s">
        <v>312</v>
      </c>
      <c r="E48" s="603">
        <v>9960.0400000000009</v>
      </c>
      <c r="F48" s="610" t="s">
        <v>312</v>
      </c>
      <c r="G48" s="159">
        <f t="shared" si="0"/>
        <v>-79.919999999998254</v>
      </c>
      <c r="H48" s="159" t="s">
        <v>312</v>
      </c>
    </row>
    <row r="49" spans="1:10" x14ac:dyDescent="0.3">
      <c r="A49" s="572">
        <f t="shared" si="1"/>
        <v>44</v>
      </c>
      <c r="B49" s="31" t="s">
        <v>1030</v>
      </c>
      <c r="C49" s="603"/>
      <c r="D49" s="200" t="s">
        <v>312</v>
      </c>
      <c r="E49" s="603"/>
      <c r="F49" s="610" t="s">
        <v>312</v>
      </c>
      <c r="G49" s="159">
        <f t="shared" si="0"/>
        <v>0</v>
      </c>
      <c r="H49" s="159" t="s">
        <v>312</v>
      </c>
    </row>
    <row r="50" spans="1:10" x14ac:dyDescent="0.3">
      <c r="A50" s="572">
        <f t="shared" si="1"/>
        <v>45</v>
      </c>
      <c r="B50" s="15" t="s">
        <v>345</v>
      </c>
      <c r="C50" s="603"/>
      <c r="D50" s="604"/>
      <c r="E50" s="603"/>
      <c r="F50" s="603"/>
      <c r="G50" s="159">
        <f t="shared" si="0"/>
        <v>0</v>
      </c>
      <c r="H50" s="160">
        <f t="shared" si="0"/>
        <v>0</v>
      </c>
    </row>
    <row r="51" spans="1:10" x14ac:dyDescent="0.3">
      <c r="A51" s="572">
        <f t="shared" si="1"/>
        <v>46</v>
      </c>
      <c r="B51" s="15" t="s">
        <v>137</v>
      </c>
      <c r="C51" s="603">
        <v>1245.6400000000001</v>
      </c>
      <c r="D51" s="604">
        <v>129007.37</v>
      </c>
      <c r="E51" s="603">
        <v>1661.22</v>
      </c>
      <c r="F51" s="603">
        <v>135383.59</v>
      </c>
      <c r="G51" s="159">
        <f t="shared" si="0"/>
        <v>415.57999999999993</v>
      </c>
      <c r="H51" s="160">
        <f t="shared" si="0"/>
        <v>6376.2200000000012</v>
      </c>
    </row>
    <row r="52" spans="1:10" x14ac:dyDescent="0.3">
      <c r="A52" s="572">
        <f t="shared" si="1"/>
        <v>47</v>
      </c>
      <c r="B52" s="15" t="s">
        <v>179</v>
      </c>
      <c r="C52" s="610" t="s">
        <v>312</v>
      </c>
      <c r="D52" s="610" t="s">
        <v>312</v>
      </c>
      <c r="E52" s="610" t="s">
        <v>312</v>
      </c>
      <c r="F52" s="610" t="s">
        <v>312</v>
      </c>
      <c r="G52" s="202" t="s">
        <v>157</v>
      </c>
      <c r="H52" s="203" t="s">
        <v>157</v>
      </c>
    </row>
    <row r="53" spans="1:10" x14ac:dyDescent="0.3">
      <c r="A53" s="572">
        <f t="shared" si="1"/>
        <v>48</v>
      </c>
      <c r="B53" s="611" t="s">
        <v>139</v>
      </c>
      <c r="C53" s="603">
        <v>5777</v>
      </c>
      <c r="D53" s="603"/>
      <c r="E53" s="603">
        <v>2479.88</v>
      </c>
      <c r="F53" s="603"/>
      <c r="G53" s="159">
        <f t="shared" si="0"/>
        <v>-3297.12</v>
      </c>
      <c r="H53" s="160">
        <f t="shared" si="0"/>
        <v>0</v>
      </c>
    </row>
    <row r="54" spans="1:10" x14ac:dyDescent="0.3">
      <c r="A54" s="572">
        <f t="shared" si="1"/>
        <v>49</v>
      </c>
      <c r="B54" s="611" t="s">
        <v>817</v>
      </c>
      <c r="C54" s="603"/>
      <c r="D54" s="603"/>
      <c r="E54" s="603"/>
      <c r="F54" s="603"/>
      <c r="G54" s="159">
        <f>E54-C54</f>
        <v>0</v>
      </c>
      <c r="H54" s="160">
        <f t="shared" si="0"/>
        <v>0</v>
      </c>
    </row>
    <row r="55" spans="1:10" x14ac:dyDescent="0.3">
      <c r="A55" s="572">
        <f t="shared" si="1"/>
        <v>50</v>
      </c>
      <c r="B55" s="15" t="s">
        <v>140</v>
      </c>
      <c r="C55" s="610" t="s">
        <v>312</v>
      </c>
      <c r="D55" s="610" t="s">
        <v>312</v>
      </c>
      <c r="E55" s="610" t="s">
        <v>312</v>
      </c>
      <c r="F55" s="610" t="s">
        <v>312</v>
      </c>
      <c r="G55" s="202" t="s">
        <v>157</v>
      </c>
      <c r="H55" s="203" t="s">
        <v>157</v>
      </c>
    </row>
    <row r="56" spans="1:10" x14ac:dyDescent="0.3">
      <c r="A56" s="572">
        <f t="shared" si="1"/>
        <v>51</v>
      </c>
      <c r="B56" s="15" t="s">
        <v>141</v>
      </c>
      <c r="C56" s="603">
        <v>37820063.289999999</v>
      </c>
      <c r="D56" s="603"/>
      <c r="E56" s="603">
        <v>36038355.719999999</v>
      </c>
      <c r="F56" s="603"/>
      <c r="G56" s="159">
        <f t="shared" si="0"/>
        <v>-1781707.5700000003</v>
      </c>
      <c r="H56" s="160">
        <f t="shared" si="0"/>
        <v>0</v>
      </c>
    </row>
    <row r="57" spans="1:10" x14ac:dyDescent="0.3">
      <c r="A57" s="572">
        <f t="shared" si="1"/>
        <v>52</v>
      </c>
      <c r="B57" s="612" t="s">
        <v>300</v>
      </c>
      <c r="C57" s="613"/>
      <c r="D57" s="613"/>
      <c r="E57" s="613"/>
      <c r="F57" s="613"/>
      <c r="G57" s="159">
        <f t="shared" si="0"/>
        <v>0</v>
      </c>
      <c r="H57" s="160">
        <f t="shared" si="0"/>
        <v>0</v>
      </c>
    </row>
    <row r="58" spans="1:10" x14ac:dyDescent="0.3">
      <c r="A58" s="572">
        <f t="shared" si="1"/>
        <v>53</v>
      </c>
      <c r="B58" s="612" t="s">
        <v>159</v>
      </c>
      <c r="C58" s="613">
        <v>747669.74</v>
      </c>
      <c r="D58" s="613"/>
      <c r="E58" s="613">
        <v>513833.26</v>
      </c>
      <c r="F58" s="613"/>
      <c r="G58" s="159">
        <f t="shared" si="0"/>
        <v>-233836.47999999998</v>
      </c>
      <c r="H58" s="160">
        <f t="shared" si="0"/>
        <v>0</v>
      </c>
    </row>
    <row r="59" spans="1:10" s="614" customFormat="1" ht="47.4" thickBot="1" x14ac:dyDescent="0.35">
      <c r="A59" s="572">
        <f t="shared" si="1"/>
        <v>54</v>
      </c>
      <c r="B59" s="21" t="s">
        <v>1361</v>
      </c>
      <c r="C59" s="112">
        <f>C6+C11+SUM(C16:C21)+C24+C25+SUM(C39:C44)+SUM(C50:C54)+C56</f>
        <v>53916179.269999996</v>
      </c>
      <c r="D59" s="112">
        <f>D6+D11+SUM(D16:D21)+D24+D25+SUM(D39:D44)+SUM(D50:D54)+D56</f>
        <v>1462983.6099999999</v>
      </c>
      <c r="E59" s="162">
        <f t="shared" ref="E59:F59" si="2">E6+E11+SUM(E16:E21)+E24+E25+SUM(E39:E44)+SUM(E50:E54)+E56</f>
        <v>52517345.269999996</v>
      </c>
      <c r="F59" s="162">
        <f t="shared" si="2"/>
        <v>2009031.35</v>
      </c>
      <c r="G59" s="163">
        <f t="shared" si="0"/>
        <v>-1398834</v>
      </c>
      <c r="H59" s="164">
        <f t="shared" si="0"/>
        <v>546047.74000000022</v>
      </c>
      <c r="I59" s="196"/>
      <c r="J59" s="196"/>
    </row>
    <row r="60" spans="1:10" ht="21" customHeight="1" x14ac:dyDescent="0.3">
      <c r="B60" s="522"/>
      <c r="C60" s="522"/>
      <c r="D60" s="615"/>
      <c r="E60" s="615"/>
      <c r="F60" s="615"/>
      <c r="G60" s="522"/>
      <c r="H60" s="522"/>
    </row>
    <row r="61" spans="1:10" x14ac:dyDescent="0.3">
      <c r="A61" s="656" t="s">
        <v>1043</v>
      </c>
      <c r="B61" s="657"/>
      <c r="C61" s="657"/>
      <c r="D61" s="657"/>
      <c r="E61" s="657"/>
      <c r="F61" s="657"/>
      <c r="G61" s="657"/>
      <c r="H61" s="658"/>
    </row>
    <row r="62" spans="1:10" ht="30.75" customHeight="1" x14ac:dyDescent="0.3">
      <c r="A62" s="659" t="s">
        <v>235</v>
      </c>
      <c r="B62" s="660"/>
      <c r="C62" s="660"/>
      <c r="D62" s="660"/>
      <c r="E62" s="660"/>
      <c r="F62" s="660"/>
      <c r="G62" s="660"/>
      <c r="H62" s="661"/>
    </row>
    <row r="63" spans="1:10" x14ac:dyDescent="0.3">
      <c r="D63" s="617"/>
      <c r="E63" s="617"/>
      <c r="F63" s="617"/>
    </row>
    <row r="64" spans="1:10" x14ac:dyDescent="0.3">
      <c r="C64" s="618"/>
      <c r="D64" s="619"/>
    </row>
    <row r="65" spans="3:4" ht="18.75" customHeight="1" x14ac:dyDescent="0.3">
      <c r="C65" s="619"/>
      <c r="D65" s="619"/>
    </row>
    <row r="66" spans="3:4" x14ac:dyDescent="0.3">
      <c r="C66" s="620"/>
      <c r="D66" s="620"/>
    </row>
    <row r="68" spans="3:4" x14ac:dyDescent="0.3">
      <c r="D68" s="621"/>
    </row>
  </sheetData>
  <mergeCells count="9">
    <mergeCell ref="A61:H61"/>
    <mergeCell ref="A62:H62"/>
    <mergeCell ref="A1:H1"/>
    <mergeCell ref="A2:H2"/>
    <mergeCell ref="A3:A4"/>
    <mergeCell ref="B3:B4"/>
    <mergeCell ref="C3:D3"/>
    <mergeCell ref="E3:F3"/>
    <mergeCell ref="G3:H3"/>
  </mergeCells>
  <printOptions gridLines="1"/>
  <pageMargins left="0.51181102362204722" right="0.31496062992125984" top="0.43307086614173229" bottom="0.47244094488188981" header="0.39370078740157483" footer="0.23622047244094491"/>
  <pageSetup paperSize="9" scale="71" fitToWidth="2" fitToHeight="2" orientation="landscape" r:id="rId1"/>
  <headerFooter alignWithMargins="0">
    <oddFooter>&amp;C&amp;P z &amp;N</oddFooter>
  </headerFooter>
  <rowBreaks count="1" manualBreakCount="1">
    <brk id="3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9"/>
  <sheetViews>
    <sheetView tabSelected="1" zoomScaleNormal="100" workbookViewId="0">
      <selection activeCell="B8" sqref="B8"/>
    </sheetView>
  </sheetViews>
  <sheetFormatPr defaultRowHeight="13.2" x14ac:dyDescent="0.25"/>
  <cols>
    <col min="1" max="1" width="8.88671875" style="393"/>
    <col min="2" max="2" width="56.88671875" style="393" customWidth="1"/>
    <col min="3" max="3" width="22" style="393" customWidth="1"/>
    <col min="4" max="16384" width="8.88671875" style="393"/>
  </cols>
  <sheetData>
    <row r="1" spans="1:4" ht="30.75" customHeight="1" thickBot="1" x14ac:dyDescent="0.3">
      <c r="A1" s="935" t="s">
        <v>1012</v>
      </c>
      <c r="B1" s="936"/>
      <c r="C1" s="937"/>
    </row>
    <row r="2" spans="1:4" ht="29.25" customHeight="1" thickBot="1" x14ac:dyDescent="0.3">
      <c r="A2" s="628" t="s">
        <v>993</v>
      </c>
      <c r="B2" s="629" t="s">
        <v>994</v>
      </c>
      <c r="C2" s="630" t="s">
        <v>995</v>
      </c>
    </row>
    <row r="3" spans="1:4" ht="24" customHeight="1" x14ac:dyDescent="0.25">
      <c r="A3" s="631">
        <v>1</v>
      </c>
      <c r="B3" s="632" t="s">
        <v>1003</v>
      </c>
      <c r="C3" s="633">
        <v>38623</v>
      </c>
    </row>
    <row r="4" spans="1:4" ht="24" customHeight="1" x14ac:dyDescent="0.25">
      <c r="A4" s="634">
        <v>4</v>
      </c>
      <c r="B4" s="635" t="s">
        <v>1002</v>
      </c>
      <c r="C4" s="636">
        <v>39326</v>
      </c>
    </row>
    <row r="5" spans="1:4" ht="24" customHeight="1" x14ac:dyDescent="0.25">
      <c r="A5" s="634">
        <v>5</v>
      </c>
      <c r="B5" s="635" t="s">
        <v>997</v>
      </c>
      <c r="C5" s="636">
        <v>39326</v>
      </c>
    </row>
    <row r="6" spans="1:4" ht="24" customHeight="1" x14ac:dyDescent="0.25">
      <c r="A6" s="634">
        <v>6</v>
      </c>
      <c r="B6" s="635" t="s">
        <v>1000</v>
      </c>
      <c r="C6" s="636">
        <v>39326</v>
      </c>
    </row>
    <row r="7" spans="1:4" ht="32.25" customHeight="1" x14ac:dyDescent="0.25">
      <c r="A7" s="634">
        <v>7</v>
      </c>
      <c r="B7" s="635" t="s">
        <v>999</v>
      </c>
      <c r="C7" s="636">
        <v>39326</v>
      </c>
    </row>
    <row r="8" spans="1:4" ht="24" customHeight="1" x14ac:dyDescent="0.25">
      <c r="A8" s="634">
        <v>8</v>
      </c>
      <c r="B8" s="635" t="s">
        <v>998</v>
      </c>
      <c r="C8" s="636">
        <v>39326</v>
      </c>
    </row>
    <row r="9" spans="1:4" ht="24" customHeight="1" x14ac:dyDescent="0.25">
      <c r="A9" s="634">
        <v>9</v>
      </c>
      <c r="B9" s="635" t="s">
        <v>1005</v>
      </c>
      <c r="C9" s="636">
        <v>39326</v>
      </c>
    </row>
    <row r="10" spans="1:4" ht="24" customHeight="1" x14ac:dyDescent="0.25">
      <c r="A10" s="634">
        <v>10</v>
      </c>
      <c r="B10" s="635" t="s">
        <v>1010</v>
      </c>
      <c r="C10" s="636">
        <v>40245</v>
      </c>
      <c r="D10" s="634" t="s">
        <v>1015</v>
      </c>
    </row>
    <row r="11" spans="1:4" ht="24" customHeight="1" x14ac:dyDescent="0.25">
      <c r="A11" s="634">
        <v>11</v>
      </c>
      <c r="B11" s="635" t="s">
        <v>1009</v>
      </c>
      <c r="C11" s="636">
        <v>40245</v>
      </c>
      <c r="D11" s="634" t="s">
        <v>1015</v>
      </c>
    </row>
    <row r="12" spans="1:4" ht="24" customHeight="1" x14ac:dyDescent="0.25">
      <c r="A12" s="634">
        <v>12</v>
      </c>
      <c r="B12" s="635" t="s">
        <v>1008</v>
      </c>
      <c r="C12" s="636">
        <v>40245</v>
      </c>
      <c r="D12" s="634" t="s">
        <v>1015</v>
      </c>
    </row>
    <row r="13" spans="1:4" ht="24" customHeight="1" x14ac:dyDescent="0.25">
      <c r="A13" s="634">
        <v>13</v>
      </c>
      <c r="B13" s="635" t="s">
        <v>1007</v>
      </c>
      <c r="C13" s="636">
        <v>40245</v>
      </c>
      <c r="D13" s="634" t="s">
        <v>1015</v>
      </c>
    </row>
    <row r="14" spans="1:4" ht="24" customHeight="1" x14ac:dyDescent="0.25">
      <c r="A14" s="634">
        <v>14</v>
      </c>
      <c r="B14" s="635" t="s">
        <v>996</v>
      </c>
      <c r="C14" s="636">
        <v>40245</v>
      </c>
      <c r="D14" s="634" t="s">
        <v>1015</v>
      </c>
    </row>
    <row r="15" spans="1:4" ht="24" customHeight="1" x14ac:dyDescent="0.25">
      <c r="A15" s="634">
        <v>15</v>
      </c>
      <c r="B15" s="635" t="s">
        <v>1011</v>
      </c>
      <c r="C15" s="636">
        <v>40245</v>
      </c>
      <c r="D15" s="634" t="s">
        <v>1015</v>
      </c>
    </row>
    <row r="16" spans="1:4" ht="24" customHeight="1" x14ac:dyDescent="0.25">
      <c r="A16" s="634">
        <v>16</v>
      </c>
      <c r="B16" s="635" t="s">
        <v>1018</v>
      </c>
      <c r="C16" s="636">
        <v>40245</v>
      </c>
      <c r="D16" s="634" t="s">
        <v>1015</v>
      </c>
    </row>
    <row r="17" spans="1:4" ht="24" customHeight="1" x14ac:dyDescent="0.25">
      <c r="A17" s="634">
        <v>17</v>
      </c>
      <c r="B17" s="635" t="s">
        <v>1004</v>
      </c>
      <c r="C17" s="636">
        <v>40245</v>
      </c>
      <c r="D17" s="634" t="s">
        <v>1015</v>
      </c>
    </row>
    <row r="18" spans="1:4" ht="24" customHeight="1" x14ac:dyDescent="0.25">
      <c r="A18" s="634">
        <v>18</v>
      </c>
      <c r="B18" s="635" t="s">
        <v>1006</v>
      </c>
      <c r="C18" s="636">
        <v>40245</v>
      </c>
    </row>
    <row r="19" spans="1:4" ht="24" customHeight="1" thickBot="1" x14ac:dyDescent="0.3">
      <c r="A19" s="637">
        <v>19</v>
      </c>
      <c r="B19" s="635" t="s">
        <v>1001</v>
      </c>
      <c r="C19" s="638">
        <v>41275</v>
      </c>
    </row>
  </sheetData>
  <mergeCells count="1">
    <mergeCell ref="A1:C1"/>
  </mergeCells>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workbookViewId="0">
      <selection sqref="A1:F1"/>
    </sheetView>
  </sheetViews>
  <sheetFormatPr defaultRowHeight="13.2" x14ac:dyDescent="0.25"/>
  <cols>
    <col min="1" max="1" width="60.88671875" customWidth="1"/>
    <col min="2" max="2" width="8.88671875" customWidth="1"/>
    <col min="3" max="3" width="13.109375" customWidth="1"/>
    <col min="4" max="4" width="14.6640625" customWidth="1"/>
    <col min="5" max="5" width="14.33203125" customWidth="1"/>
    <col min="6" max="6" width="13.6640625" customWidth="1"/>
  </cols>
  <sheetData>
    <row r="1" spans="1:6" ht="45.75" customHeight="1" x14ac:dyDescent="0.25">
      <c r="A1" s="939" t="s">
        <v>525</v>
      </c>
      <c r="B1" s="940"/>
      <c r="C1" s="940"/>
      <c r="D1" s="940"/>
      <c r="E1" s="940"/>
      <c r="F1" s="941"/>
    </row>
    <row r="2" spans="1:6" ht="19.5" customHeight="1" x14ac:dyDescent="0.3">
      <c r="A2" s="938" t="s">
        <v>391</v>
      </c>
      <c r="B2" s="938"/>
      <c r="C2" s="938"/>
      <c r="D2" s="938"/>
      <c r="E2" s="938"/>
      <c r="F2" s="938"/>
    </row>
    <row r="3" spans="1:6" ht="42" customHeight="1" x14ac:dyDescent="0.25">
      <c r="A3" s="37" t="s">
        <v>401</v>
      </c>
      <c r="B3" s="38" t="s">
        <v>402</v>
      </c>
      <c r="C3" s="45" t="s">
        <v>571</v>
      </c>
      <c r="D3" s="38" t="s">
        <v>521</v>
      </c>
      <c r="E3" s="38" t="s">
        <v>522</v>
      </c>
      <c r="F3" s="38" t="s">
        <v>523</v>
      </c>
    </row>
    <row r="4" spans="1:6" ht="15.6" x14ac:dyDescent="0.3">
      <c r="A4" s="39" t="s">
        <v>403</v>
      </c>
      <c r="B4" s="39" t="s">
        <v>404</v>
      </c>
      <c r="C4" s="40"/>
      <c r="D4" s="40"/>
      <c r="E4" s="40"/>
      <c r="F4" s="40"/>
    </row>
    <row r="5" spans="1:6" ht="15.6" x14ac:dyDescent="0.3">
      <c r="A5" s="44" t="s">
        <v>405</v>
      </c>
      <c r="B5" s="39" t="s">
        <v>406</v>
      </c>
      <c r="C5" s="40"/>
      <c r="D5" s="40"/>
      <c r="E5" s="40"/>
      <c r="F5" s="40"/>
    </row>
    <row r="6" spans="1:6" ht="15.6" x14ac:dyDescent="0.3">
      <c r="A6" s="39" t="s">
        <v>407</v>
      </c>
      <c r="B6" s="39" t="s">
        <v>408</v>
      </c>
      <c r="C6" s="40"/>
      <c r="D6" s="40"/>
      <c r="E6" s="40"/>
      <c r="F6" s="40"/>
    </row>
    <row r="7" spans="1:6" ht="15.6" x14ac:dyDescent="0.3">
      <c r="A7" s="39" t="s">
        <v>409</v>
      </c>
      <c r="B7" s="39" t="s">
        <v>410</v>
      </c>
      <c r="C7" s="40"/>
      <c r="D7" s="40"/>
      <c r="E7" s="40"/>
      <c r="F7" s="40"/>
    </row>
    <row r="8" spans="1:6" ht="15.6" x14ac:dyDescent="0.3">
      <c r="A8" s="43" t="s">
        <v>526</v>
      </c>
      <c r="B8" s="39" t="s">
        <v>411</v>
      </c>
      <c r="C8" s="40"/>
      <c r="D8" s="40"/>
      <c r="E8" s="40"/>
      <c r="F8" s="40"/>
    </row>
    <row r="9" spans="1:6" ht="15.6" x14ac:dyDescent="0.3">
      <c r="A9" s="39" t="s">
        <v>412</v>
      </c>
      <c r="B9" s="39" t="s">
        <v>413</v>
      </c>
      <c r="C9" s="40"/>
      <c r="D9" s="40"/>
      <c r="E9" s="40"/>
      <c r="F9" s="40"/>
    </row>
    <row r="10" spans="1:6" ht="15.6" x14ac:dyDescent="0.3">
      <c r="A10" s="39" t="s">
        <v>414</v>
      </c>
      <c r="B10" s="39" t="s">
        <v>415</v>
      </c>
      <c r="C10" s="40"/>
      <c r="D10" s="40"/>
      <c r="E10" s="40"/>
      <c r="F10" s="40"/>
    </row>
    <row r="11" spans="1:6" ht="15.6" x14ac:dyDescent="0.3">
      <c r="A11" s="39" t="s">
        <v>416</v>
      </c>
      <c r="B11" s="39" t="s">
        <v>417</v>
      </c>
      <c r="C11" s="40"/>
      <c r="D11" s="40"/>
      <c r="E11" s="40"/>
      <c r="F11" s="40"/>
    </row>
    <row r="12" spans="1:6" ht="15.6" x14ac:dyDescent="0.3">
      <c r="A12" s="44" t="s">
        <v>418</v>
      </c>
      <c r="B12" s="39" t="s">
        <v>419</v>
      </c>
      <c r="C12" s="40"/>
      <c r="D12" s="40"/>
      <c r="E12" s="40"/>
      <c r="F12" s="40"/>
    </row>
    <row r="13" spans="1:6" ht="15.6" x14ac:dyDescent="0.3">
      <c r="A13" s="39" t="s">
        <v>420</v>
      </c>
      <c r="B13" s="39" t="s">
        <v>421</v>
      </c>
      <c r="C13" s="40"/>
      <c r="D13" s="40"/>
      <c r="E13" s="40"/>
      <c r="F13" s="40"/>
    </row>
    <row r="14" spans="1:6" ht="15.6" x14ac:dyDescent="0.3">
      <c r="A14" s="39" t="s">
        <v>422</v>
      </c>
      <c r="B14" s="39" t="s">
        <v>423</v>
      </c>
      <c r="C14" s="40"/>
      <c r="D14" s="40"/>
      <c r="E14" s="40"/>
      <c r="F14" s="40"/>
    </row>
    <row r="15" spans="1:6" ht="15.6" x14ac:dyDescent="0.3">
      <c r="A15" s="39" t="s">
        <v>424</v>
      </c>
      <c r="B15" s="39" t="s">
        <v>425</v>
      </c>
      <c r="C15" s="40"/>
      <c r="D15" s="40"/>
      <c r="E15" s="40"/>
      <c r="F15" s="40"/>
    </row>
    <row r="16" spans="1:6" ht="15.6" x14ac:dyDescent="0.3">
      <c r="A16" s="39" t="s">
        <v>426</v>
      </c>
      <c r="B16" s="39" t="s">
        <v>427</v>
      </c>
      <c r="C16" s="40"/>
      <c r="D16" s="40"/>
      <c r="E16" s="40"/>
      <c r="F16" s="40"/>
    </row>
    <row r="17" spans="1:6" ht="15.6" x14ac:dyDescent="0.3">
      <c r="A17" s="39" t="s">
        <v>428</v>
      </c>
      <c r="B17" s="39" t="s">
        <v>429</v>
      </c>
      <c r="C17" s="40"/>
      <c r="D17" s="40"/>
      <c r="E17" s="40"/>
      <c r="F17" s="40"/>
    </row>
    <row r="18" spans="1:6" ht="15.6" x14ac:dyDescent="0.3">
      <c r="A18" s="39" t="s">
        <v>430</v>
      </c>
      <c r="B18" s="39" t="s">
        <v>431</v>
      </c>
      <c r="C18" s="40"/>
      <c r="D18" s="40"/>
      <c r="E18" s="40"/>
      <c r="F18" s="40"/>
    </row>
    <row r="19" spans="1:6" ht="15.6" x14ac:dyDescent="0.3">
      <c r="A19" s="39" t="s">
        <v>432</v>
      </c>
      <c r="B19" s="39" t="s">
        <v>433</v>
      </c>
      <c r="C19" s="40"/>
      <c r="D19" s="40"/>
      <c r="E19" s="40"/>
      <c r="F19" s="40"/>
    </row>
    <row r="20" spans="1:6" ht="15.6" x14ac:dyDescent="0.3">
      <c r="A20" s="39" t="s">
        <v>434</v>
      </c>
      <c r="B20" s="39" t="s">
        <v>435</v>
      </c>
      <c r="C20" s="40"/>
      <c r="D20" s="40"/>
      <c r="E20" s="40"/>
      <c r="F20" s="40"/>
    </row>
    <row r="21" spans="1:6" ht="15.6" x14ac:dyDescent="0.3">
      <c r="A21" s="39" t="s">
        <v>436</v>
      </c>
      <c r="B21" s="39" t="s">
        <v>437</v>
      </c>
      <c r="C21" s="40"/>
      <c r="D21" s="40"/>
      <c r="E21" s="40"/>
      <c r="F21" s="40"/>
    </row>
    <row r="22" spans="1:6" ht="15.6" x14ac:dyDescent="0.3">
      <c r="A22" s="39" t="s">
        <v>438</v>
      </c>
      <c r="B22" s="39" t="s">
        <v>439</v>
      </c>
      <c r="C22" s="40"/>
      <c r="D22" s="40"/>
      <c r="E22" s="40"/>
      <c r="F22" s="40"/>
    </row>
    <row r="23" spans="1:6" ht="15.6" x14ac:dyDescent="0.3">
      <c r="A23" s="39" t="s">
        <v>440</v>
      </c>
      <c r="B23" s="39" t="s">
        <v>441</v>
      </c>
      <c r="C23" s="40"/>
      <c r="D23" s="40"/>
      <c r="E23" s="40"/>
      <c r="F23" s="40"/>
    </row>
    <row r="24" spans="1:6" ht="15.6" x14ac:dyDescent="0.3">
      <c r="A24" s="44" t="s">
        <v>442</v>
      </c>
      <c r="B24" s="39" t="s">
        <v>443</v>
      </c>
      <c r="C24" s="40"/>
      <c r="D24" s="40"/>
      <c r="E24" s="40"/>
      <c r="F24" s="40"/>
    </row>
    <row r="25" spans="1:6" ht="15.6" x14ac:dyDescent="0.3">
      <c r="A25" s="39" t="s">
        <v>444</v>
      </c>
      <c r="B25" s="39" t="s">
        <v>445</v>
      </c>
      <c r="C25" s="40"/>
      <c r="D25" s="40"/>
      <c r="E25" s="40"/>
      <c r="F25" s="40"/>
    </row>
    <row r="26" spans="1:6" ht="15.6" x14ac:dyDescent="0.3">
      <c r="A26" s="39" t="s">
        <v>446</v>
      </c>
      <c r="B26" s="39" t="s">
        <v>447</v>
      </c>
      <c r="C26" s="40"/>
      <c r="D26" s="40"/>
      <c r="E26" s="40"/>
      <c r="F26" s="40"/>
    </row>
    <row r="27" spans="1:6" ht="15.6" x14ac:dyDescent="0.3">
      <c r="A27" s="39" t="s">
        <v>448</v>
      </c>
      <c r="B27" s="39" t="s">
        <v>449</v>
      </c>
      <c r="C27" s="40"/>
      <c r="D27" s="40"/>
      <c r="E27" s="40"/>
      <c r="F27" s="40"/>
    </row>
    <row r="28" spans="1:6" ht="15.6" x14ac:dyDescent="0.3">
      <c r="A28" s="39" t="s">
        <v>450</v>
      </c>
      <c r="B28" s="39" t="s">
        <v>451</v>
      </c>
      <c r="C28" s="40"/>
      <c r="D28" s="40"/>
      <c r="E28" s="40"/>
      <c r="F28" s="40"/>
    </row>
    <row r="29" spans="1:6" ht="15.6" x14ac:dyDescent="0.3">
      <c r="A29" s="39" t="s">
        <v>452</v>
      </c>
      <c r="B29" s="39" t="s">
        <v>453</v>
      </c>
      <c r="C29" s="40"/>
      <c r="D29" s="40"/>
      <c r="E29" s="40"/>
      <c r="F29" s="40"/>
    </row>
    <row r="30" spans="1:6" ht="15.6" x14ac:dyDescent="0.3">
      <c r="A30" s="39" t="s">
        <v>454</v>
      </c>
      <c r="B30" s="39" t="s">
        <v>455</v>
      </c>
      <c r="C30" s="40"/>
      <c r="D30" s="40"/>
      <c r="E30" s="40"/>
      <c r="F30" s="40"/>
    </row>
    <row r="31" spans="1:6" ht="15.6" x14ac:dyDescent="0.3">
      <c r="A31" s="39" t="s">
        <v>456</v>
      </c>
      <c r="B31" s="39" t="s">
        <v>457</v>
      </c>
      <c r="C31" s="40"/>
      <c r="D31" s="40"/>
      <c r="E31" s="40"/>
      <c r="F31" s="40"/>
    </row>
    <row r="32" spans="1:6" ht="15.6" x14ac:dyDescent="0.3">
      <c r="A32" s="39" t="s">
        <v>458</v>
      </c>
      <c r="B32" s="39" t="s">
        <v>459</v>
      </c>
      <c r="C32" s="40"/>
      <c r="D32" s="40"/>
      <c r="E32" s="40"/>
      <c r="F32" s="40"/>
    </row>
    <row r="33" spans="1:6" ht="15.6" x14ac:dyDescent="0.3">
      <c r="A33" s="44" t="s">
        <v>460</v>
      </c>
      <c r="B33" s="39" t="s">
        <v>461</v>
      </c>
      <c r="C33" s="40"/>
      <c r="D33" s="40"/>
      <c r="E33" s="40"/>
      <c r="F33" s="40"/>
    </row>
    <row r="34" spans="1:6" ht="15.6" x14ac:dyDescent="0.3">
      <c r="A34" s="39" t="s">
        <v>462</v>
      </c>
      <c r="B34" s="39" t="s">
        <v>463</v>
      </c>
      <c r="C34" s="40"/>
      <c r="D34" s="40"/>
      <c r="E34" s="40"/>
      <c r="F34" s="40"/>
    </row>
    <row r="35" spans="1:6" ht="15.6" x14ac:dyDescent="0.3">
      <c r="A35" s="39" t="s">
        <v>464</v>
      </c>
      <c r="B35" s="39" t="s">
        <v>465</v>
      </c>
      <c r="C35" s="40"/>
      <c r="D35" s="40"/>
      <c r="E35" s="40"/>
      <c r="F35" s="40"/>
    </row>
    <row r="36" spans="1:6" ht="15.6" x14ac:dyDescent="0.3">
      <c r="A36" s="39" t="s">
        <v>466</v>
      </c>
      <c r="B36" s="39" t="s">
        <v>467</v>
      </c>
      <c r="C36" s="40"/>
      <c r="D36" s="40"/>
      <c r="E36" s="40"/>
      <c r="F36" s="40"/>
    </row>
    <row r="37" spans="1:6" ht="15.6" x14ac:dyDescent="0.3">
      <c r="A37" s="39" t="s">
        <v>468</v>
      </c>
      <c r="B37" s="39" t="s">
        <v>469</v>
      </c>
      <c r="C37" s="40"/>
      <c r="D37" s="40"/>
      <c r="E37" s="40"/>
      <c r="F37" s="40"/>
    </row>
    <row r="38" spans="1:6" ht="15.6" x14ac:dyDescent="0.3">
      <c r="A38" s="39" t="s">
        <v>470</v>
      </c>
      <c r="B38" s="39" t="s">
        <v>471</v>
      </c>
      <c r="C38" s="40"/>
      <c r="D38" s="40"/>
      <c r="E38" s="40"/>
      <c r="F38" s="40"/>
    </row>
    <row r="39" spans="1:6" ht="15.6" x14ac:dyDescent="0.3">
      <c r="A39" s="39" t="s">
        <v>472</v>
      </c>
      <c r="B39" s="39" t="s">
        <v>473</v>
      </c>
      <c r="C39" s="40"/>
      <c r="D39" s="40"/>
      <c r="E39" s="40"/>
      <c r="F39" s="40"/>
    </row>
    <row r="40" spans="1:6" ht="15.6" x14ac:dyDescent="0.3">
      <c r="A40" s="44" t="s">
        <v>474</v>
      </c>
      <c r="B40" s="39" t="s">
        <v>475</v>
      </c>
      <c r="C40" s="40"/>
      <c r="D40" s="40"/>
      <c r="E40" s="40"/>
      <c r="F40" s="40"/>
    </row>
    <row r="41" spans="1:6" ht="15.6" x14ac:dyDescent="0.3">
      <c r="A41" s="39" t="s">
        <v>476</v>
      </c>
      <c r="B41" s="39" t="s">
        <v>477</v>
      </c>
      <c r="C41" s="40"/>
      <c r="D41" s="40"/>
      <c r="E41" s="40"/>
      <c r="F41" s="40"/>
    </row>
    <row r="42" spans="1:6" ht="15.6" x14ac:dyDescent="0.3">
      <c r="A42" s="39" t="s">
        <v>478</v>
      </c>
      <c r="B42" s="39" t="s">
        <v>479</v>
      </c>
      <c r="C42" s="40"/>
      <c r="D42" s="40"/>
      <c r="E42" s="40"/>
      <c r="F42" s="40"/>
    </row>
    <row r="43" spans="1:6" ht="15.6" x14ac:dyDescent="0.3">
      <c r="A43" s="39" t="s">
        <v>480</v>
      </c>
      <c r="B43" s="39" t="s">
        <v>481</v>
      </c>
      <c r="C43" s="40"/>
      <c r="D43" s="40"/>
      <c r="E43" s="40"/>
      <c r="F43" s="40"/>
    </row>
    <row r="44" spans="1:6" ht="15.6" x14ac:dyDescent="0.3">
      <c r="A44" s="39" t="s">
        <v>482</v>
      </c>
      <c r="B44" s="39" t="s">
        <v>483</v>
      </c>
      <c r="C44" s="40"/>
      <c r="D44" s="40"/>
      <c r="E44" s="40"/>
      <c r="F44" s="40"/>
    </row>
    <row r="45" spans="1:6" ht="15.6" x14ac:dyDescent="0.3">
      <c r="A45" s="44" t="s">
        <v>484</v>
      </c>
      <c r="B45" s="39" t="s">
        <v>485</v>
      </c>
      <c r="C45" s="40"/>
      <c r="D45" s="40"/>
      <c r="E45" s="40"/>
      <c r="F45" s="40"/>
    </row>
    <row r="46" spans="1:6" ht="15.6" x14ac:dyDescent="0.3">
      <c r="A46" s="39" t="s">
        <v>486</v>
      </c>
      <c r="B46" s="39" t="s">
        <v>487</v>
      </c>
      <c r="C46" s="40"/>
      <c r="D46" s="40"/>
      <c r="E46" s="40"/>
      <c r="F46" s="40"/>
    </row>
    <row r="47" spans="1:6" ht="15.6" x14ac:dyDescent="0.3">
      <c r="A47" s="39" t="s">
        <v>478</v>
      </c>
      <c r="B47" s="39" t="s">
        <v>488</v>
      </c>
      <c r="C47" s="40"/>
      <c r="D47" s="40"/>
      <c r="E47" s="40"/>
      <c r="F47" s="40"/>
    </row>
    <row r="48" spans="1:6" ht="15.6" x14ac:dyDescent="0.3">
      <c r="A48" s="39" t="s">
        <v>489</v>
      </c>
      <c r="B48" s="39" t="s">
        <v>490</v>
      </c>
      <c r="C48" s="40"/>
      <c r="D48" s="40"/>
      <c r="E48" s="40"/>
      <c r="F48" s="40"/>
    </row>
    <row r="49" spans="1:6" ht="15.6" x14ac:dyDescent="0.3">
      <c r="A49" s="39" t="s">
        <v>491</v>
      </c>
      <c r="B49" s="39" t="s">
        <v>492</v>
      </c>
      <c r="C49" s="40"/>
      <c r="D49" s="40"/>
      <c r="E49" s="40"/>
      <c r="F49" s="40"/>
    </row>
    <row r="50" spans="1:6" ht="15.6" x14ac:dyDescent="0.3">
      <c r="A50" s="39" t="s">
        <v>493</v>
      </c>
      <c r="B50" s="39" t="s">
        <v>494</v>
      </c>
      <c r="C50" s="40"/>
      <c r="D50" s="40"/>
      <c r="E50" s="40"/>
      <c r="F50" s="40"/>
    </row>
    <row r="51" spans="1:6" ht="15.6" x14ac:dyDescent="0.3">
      <c r="A51" s="39" t="s">
        <v>480</v>
      </c>
      <c r="B51" s="39" t="s">
        <v>495</v>
      </c>
      <c r="C51" s="40"/>
      <c r="D51" s="40"/>
      <c r="E51" s="40"/>
      <c r="F51" s="40"/>
    </row>
    <row r="52" spans="1:6" ht="15.6" x14ac:dyDescent="0.3">
      <c r="A52" s="39" t="s">
        <v>496</v>
      </c>
      <c r="B52" s="39" t="s">
        <v>497</v>
      </c>
      <c r="C52" s="40"/>
      <c r="D52" s="40"/>
      <c r="E52" s="40"/>
      <c r="F52" s="40"/>
    </row>
    <row r="53" spans="1:6" ht="15.6" x14ac:dyDescent="0.3">
      <c r="A53" s="39" t="s">
        <v>482</v>
      </c>
      <c r="B53" s="39" t="s">
        <v>498</v>
      </c>
      <c r="C53" s="40"/>
      <c r="D53" s="40"/>
      <c r="E53" s="40"/>
      <c r="F53" s="40"/>
    </row>
    <row r="54" spans="1:6" ht="15.6" x14ac:dyDescent="0.3">
      <c r="A54" s="44" t="s">
        <v>499</v>
      </c>
      <c r="B54" s="39" t="s">
        <v>500</v>
      </c>
      <c r="C54" s="40"/>
      <c r="D54" s="40"/>
      <c r="E54" s="40"/>
      <c r="F54" s="40"/>
    </row>
    <row r="55" spans="1:6" ht="15.6" x14ac:dyDescent="0.3">
      <c r="A55" s="39" t="s">
        <v>501</v>
      </c>
      <c r="B55" s="39" t="s">
        <v>502</v>
      </c>
      <c r="C55" s="40"/>
      <c r="D55" s="40"/>
      <c r="E55" s="40"/>
      <c r="F55" s="40"/>
    </row>
    <row r="56" spans="1:6" ht="15.6" x14ac:dyDescent="0.3">
      <c r="A56" s="39" t="s">
        <v>503</v>
      </c>
      <c r="B56" s="39" t="s">
        <v>504</v>
      </c>
      <c r="C56" s="40"/>
      <c r="D56" s="40"/>
      <c r="E56" s="40"/>
      <c r="F56" s="40"/>
    </row>
    <row r="57" spans="1:6" ht="15.6" x14ac:dyDescent="0.3">
      <c r="A57" s="39" t="s">
        <v>505</v>
      </c>
      <c r="B57" s="39" t="s">
        <v>506</v>
      </c>
      <c r="C57" s="40"/>
      <c r="D57" s="40"/>
      <c r="E57" s="40"/>
      <c r="F57" s="40"/>
    </row>
    <row r="58" spans="1:6" ht="15.6" x14ac:dyDescent="0.3">
      <c r="A58" s="39" t="s">
        <v>507</v>
      </c>
      <c r="B58" s="39" t="s">
        <v>508</v>
      </c>
      <c r="C58" s="40"/>
      <c r="D58" s="40"/>
      <c r="E58" s="40"/>
      <c r="F58" s="40"/>
    </row>
    <row r="59" spans="1:6" ht="15.6" x14ac:dyDescent="0.3">
      <c r="A59" s="39" t="s">
        <v>509</v>
      </c>
      <c r="B59" s="39" t="s">
        <v>510</v>
      </c>
      <c r="C59" s="40"/>
      <c r="D59" s="40"/>
      <c r="E59" s="40"/>
      <c r="F59" s="40"/>
    </row>
    <row r="60" spans="1:6" ht="15.6" x14ac:dyDescent="0.3">
      <c r="A60" s="39" t="s">
        <v>511</v>
      </c>
      <c r="B60" s="39" t="s">
        <v>512</v>
      </c>
      <c r="C60" s="40"/>
      <c r="D60" s="40"/>
      <c r="E60" s="40"/>
      <c r="F60" s="40"/>
    </row>
    <row r="61" spans="1:6" ht="15.6" x14ac:dyDescent="0.3">
      <c r="A61" s="44" t="s">
        <v>513</v>
      </c>
      <c r="B61" s="39" t="s">
        <v>514</v>
      </c>
      <c r="C61" s="40"/>
      <c r="D61" s="40"/>
      <c r="E61" s="40"/>
      <c r="F61" s="40"/>
    </row>
    <row r="62" spans="1:6" ht="15.6" x14ac:dyDescent="0.3">
      <c r="A62" s="39" t="s">
        <v>515</v>
      </c>
      <c r="B62" s="39" t="s">
        <v>516</v>
      </c>
      <c r="C62" s="40"/>
      <c r="D62" s="40"/>
      <c r="E62" s="40"/>
      <c r="F62" s="40"/>
    </row>
    <row r="63" spans="1:6" ht="15.6" x14ac:dyDescent="0.3">
      <c r="A63" s="39" t="s">
        <v>517</v>
      </c>
      <c r="B63" s="39" t="s">
        <v>518</v>
      </c>
      <c r="C63" s="40"/>
      <c r="D63" s="40"/>
      <c r="E63" s="40"/>
      <c r="F63" s="40"/>
    </row>
    <row r="64" spans="1:6" ht="15.6" x14ac:dyDescent="0.3">
      <c r="A64" s="41" t="s">
        <v>519</v>
      </c>
      <c r="B64" s="42"/>
      <c r="C64" s="40"/>
      <c r="D64" s="40"/>
      <c r="E64" s="40"/>
      <c r="F64" s="40"/>
    </row>
    <row r="65" spans="1:6" ht="15.6" x14ac:dyDescent="0.3">
      <c r="A65" s="19"/>
      <c r="B65" s="19"/>
      <c r="C65" s="19"/>
      <c r="D65" s="19"/>
      <c r="E65" s="19"/>
      <c r="F65" s="19"/>
    </row>
    <row r="66" spans="1:6" ht="15.6" x14ac:dyDescent="0.3">
      <c r="A66" s="19"/>
      <c r="B66" s="19"/>
      <c r="C66" s="19"/>
      <c r="D66" s="19"/>
      <c r="E66" s="19"/>
      <c r="F66" s="19"/>
    </row>
    <row r="67" spans="1:6" ht="15.6" x14ac:dyDescent="0.3">
      <c r="A67" s="19"/>
      <c r="B67" s="19"/>
      <c r="C67" s="19"/>
      <c r="D67" s="19"/>
      <c r="E67" s="19"/>
      <c r="F67" s="19"/>
    </row>
  </sheetData>
  <mergeCells count="2">
    <mergeCell ref="A2:F2"/>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46"/>
  <sheetViews>
    <sheetView zoomScaleNormal="100" workbookViewId="0">
      <pane xSplit="2" ySplit="5" topLeftCell="C6" activePane="bottomRight" state="frozen"/>
      <selection pane="topRight" activeCell="C1" sqref="C1"/>
      <selection pane="bottomLeft" activeCell="A6" sqref="A6"/>
      <selection pane="bottomRight" activeCell="C20" sqref="C20"/>
    </sheetView>
  </sheetViews>
  <sheetFormatPr defaultColWidth="9.109375" defaultRowHeight="15.6" x14ac:dyDescent="0.3"/>
  <cols>
    <col min="1" max="1" width="7.88671875" style="155" customWidth="1"/>
    <col min="2" max="2" width="71.109375" style="128" customWidth="1"/>
    <col min="3" max="3" width="18.109375" style="165" customWidth="1"/>
    <col min="4" max="4" width="18.33203125" style="165" customWidth="1"/>
    <col min="5" max="5" width="17.44140625" style="165" customWidth="1"/>
    <col min="6" max="6" width="19.109375" style="165" customWidth="1"/>
    <col min="7" max="7" width="16.88671875" style="165" customWidth="1"/>
    <col min="8" max="8" width="17.33203125" style="165" customWidth="1"/>
    <col min="9" max="16384" width="9.109375" style="9"/>
  </cols>
  <sheetData>
    <row r="1" spans="1:9" ht="35.1" customHeight="1" x14ac:dyDescent="0.35">
      <c r="A1" s="671" t="s">
        <v>1441</v>
      </c>
      <c r="B1" s="672"/>
      <c r="C1" s="672"/>
      <c r="D1" s="672"/>
      <c r="E1" s="672"/>
      <c r="F1" s="672"/>
      <c r="G1" s="672"/>
      <c r="H1" s="673"/>
      <c r="I1" s="592"/>
    </row>
    <row r="2" spans="1:9" ht="31.95" customHeight="1" thickBot="1" x14ac:dyDescent="0.35">
      <c r="A2" s="674" t="s">
        <v>1218</v>
      </c>
      <c r="B2" s="675"/>
      <c r="C2" s="676"/>
      <c r="D2" s="676"/>
      <c r="E2" s="676"/>
      <c r="F2" s="676"/>
      <c r="G2" s="676"/>
      <c r="H2" s="677"/>
    </row>
    <row r="3" spans="1:9" ht="24" customHeight="1" x14ac:dyDescent="0.3">
      <c r="A3" s="678" t="s">
        <v>205</v>
      </c>
      <c r="B3" s="680" t="s">
        <v>327</v>
      </c>
      <c r="C3" s="682">
        <v>2014</v>
      </c>
      <c r="D3" s="683"/>
      <c r="E3" s="682">
        <v>2015</v>
      </c>
      <c r="F3" s="684"/>
      <c r="G3" s="685" t="s">
        <v>1354</v>
      </c>
      <c r="H3" s="686"/>
    </row>
    <row r="4" spans="1:9" s="144" customFormat="1" ht="47.4" thickBot="1" x14ac:dyDescent="0.35">
      <c r="A4" s="679"/>
      <c r="B4" s="681"/>
      <c r="C4" s="133" t="s">
        <v>1285</v>
      </c>
      <c r="D4" s="133" t="s">
        <v>1286</v>
      </c>
      <c r="E4" s="133" t="s">
        <v>1285</v>
      </c>
      <c r="F4" s="133" t="s">
        <v>1286</v>
      </c>
      <c r="G4" s="133" t="s">
        <v>1285</v>
      </c>
      <c r="H4" s="133" t="s">
        <v>1286</v>
      </c>
    </row>
    <row r="5" spans="1:9" s="144" customFormat="1" x14ac:dyDescent="0.3">
      <c r="A5" s="208"/>
      <c r="B5" s="167"/>
      <c r="C5" s="168" t="s">
        <v>283</v>
      </c>
      <c r="D5" s="225" t="s">
        <v>284</v>
      </c>
      <c r="E5" s="251" t="s">
        <v>285</v>
      </c>
      <c r="F5" s="169" t="s">
        <v>292</v>
      </c>
      <c r="G5" s="251" t="s">
        <v>23</v>
      </c>
      <c r="H5" s="169" t="s">
        <v>24</v>
      </c>
    </row>
    <row r="6" spans="1:9" x14ac:dyDescent="0.3">
      <c r="A6" s="593" t="s">
        <v>722</v>
      </c>
      <c r="B6" s="594" t="s">
        <v>1090</v>
      </c>
      <c r="C6" s="170">
        <f>'T3-Výnosy'!C6</f>
        <v>164469.81000000003</v>
      </c>
      <c r="D6" s="171">
        <f>'T3-Výnosy'!D6</f>
        <v>363769.76</v>
      </c>
      <c r="E6" s="172">
        <v>209371.92</v>
      </c>
      <c r="F6" s="173">
        <v>432266.15</v>
      </c>
      <c r="G6" s="174">
        <f>E6-C6</f>
        <v>44902.109999999986</v>
      </c>
      <c r="H6" s="146">
        <f>F6-D6</f>
        <v>68496.390000000014</v>
      </c>
    </row>
    <row r="7" spans="1:9" x14ac:dyDescent="0.3">
      <c r="A7" s="593" t="s">
        <v>724</v>
      </c>
      <c r="B7" s="594" t="s">
        <v>1091</v>
      </c>
      <c r="C7" s="170">
        <f>'T3-Výnosy'!C11</f>
        <v>894632.82</v>
      </c>
      <c r="D7" s="171">
        <f>'T3-Výnosy'!D11</f>
        <v>877827.45</v>
      </c>
      <c r="E7" s="172">
        <v>1106104.3400000001</v>
      </c>
      <c r="F7" s="173">
        <v>1306786.8700000001</v>
      </c>
      <c r="G7" s="174">
        <f t="shared" ref="G7:H45" si="0">E7-C7</f>
        <v>211471.52000000014</v>
      </c>
      <c r="H7" s="146">
        <f t="shared" si="0"/>
        <v>428959.42000000016</v>
      </c>
    </row>
    <row r="8" spans="1:9" x14ac:dyDescent="0.3">
      <c r="A8" s="593" t="s">
        <v>726</v>
      </c>
      <c r="B8" s="594" t="s">
        <v>1092</v>
      </c>
      <c r="C8" s="170">
        <f>'T3-Výnosy'!C16</f>
        <v>0</v>
      </c>
      <c r="D8" s="171">
        <f>'T3-Výnosy'!D16</f>
        <v>61344.14</v>
      </c>
      <c r="E8" s="172"/>
      <c r="F8" s="173">
        <v>73906.92</v>
      </c>
      <c r="G8" s="174">
        <f t="shared" si="0"/>
        <v>0</v>
      </c>
      <c r="H8" s="146">
        <f t="shared" si="0"/>
        <v>12562.779999999999</v>
      </c>
    </row>
    <row r="9" spans="1:9" x14ac:dyDescent="0.3">
      <c r="A9" s="593" t="s">
        <v>728</v>
      </c>
      <c r="B9" s="594" t="s">
        <v>1093</v>
      </c>
      <c r="C9" s="170"/>
      <c r="D9" s="171"/>
      <c r="E9" s="172"/>
      <c r="F9" s="173"/>
      <c r="G9" s="174">
        <f t="shared" si="0"/>
        <v>0</v>
      </c>
      <c r="H9" s="146">
        <f t="shared" si="0"/>
        <v>0</v>
      </c>
    </row>
    <row r="10" spans="1:9" x14ac:dyDescent="0.3">
      <c r="A10" s="593" t="s">
        <v>730</v>
      </c>
      <c r="B10" s="594" t="s">
        <v>1094</v>
      </c>
      <c r="C10" s="170"/>
      <c r="D10" s="171"/>
      <c r="E10" s="172"/>
      <c r="F10" s="173"/>
      <c r="G10" s="174">
        <f t="shared" si="0"/>
        <v>0</v>
      </c>
      <c r="H10" s="146">
        <f t="shared" si="0"/>
        <v>0</v>
      </c>
    </row>
    <row r="11" spans="1:9" x14ac:dyDescent="0.3">
      <c r="A11" s="593" t="s">
        <v>732</v>
      </c>
      <c r="B11" s="594" t="s">
        <v>1095</v>
      </c>
      <c r="C11" s="170"/>
      <c r="D11" s="171"/>
      <c r="E11" s="172"/>
      <c r="F11" s="173"/>
      <c r="G11" s="174">
        <f t="shared" si="0"/>
        <v>0</v>
      </c>
      <c r="H11" s="146">
        <f t="shared" si="0"/>
        <v>0</v>
      </c>
    </row>
    <row r="12" spans="1:9" x14ac:dyDescent="0.3">
      <c r="A12" s="593" t="s">
        <v>734</v>
      </c>
      <c r="B12" s="594" t="s">
        <v>1096</v>
      </c>
      <c r="C12" s="170"/>
      <c r="D12" s="171"/>
      <c r="E12" s="172"/>
      <c r="F12" s="173"/>
      <c r="G12" s="174">
        <f t="shared" si="0"/>
        <v>0</v>
      </c>
      <c r="H12" s="146">
        <f t="shared" si="0"/>
        <v>0</v>
      </c>
    </row>
    <row r="13" spans="1:9" x14ac:dyDescent="0.3">
      <c r="A13" s="593" t="s">
        <v>736</v>
      </c>
      <c r="B13" s="594" t="s">
        <v>1097</v>
      </c>
      <c r="C13" s="170"/>
      <c r="D13" s="171"/>
      <c r="E13" s="172"/>
      <c r="F13" s="173"/>
      <c r="G13" s="174">
        <f t="shared" si="0"/>
        <v>0</v>
      </c>
      <c r="H13" s="146">
        <f t="shared" si="0"/>
        <v>0</v>
      </c>
    </row>
    <row r="14" spans="1:9" x14ac:dyDescent="0.3">
      <c r="A14" s="593" t="s">
        <v>738</v>
      </c>
      <c r="B14" s="594" t="s">
        <v>1098</v>
      </c>
      <c r="C14" s="170"/>
      <c r="D14" s="171"/>
      <c r="E14" s="172"/>
      <c r="F14" s="173"/>
      <c r="G14" s="174">
        <f t="shared" si="0"/>
        <v>0</v>
      </c>
      <c r="H14" s="146">
        <f t="shared" si="0"/>
        <v>0</v>
      </c>
    </row>
    <row r="15" spans="1:9" x14ac:dyDescent="0.3">
      <c r="A15" s="593" t="s">
        <v>740</v>
      </c>
      <c r="B15" s="594" t="s">
        <v>1099</v>
      </c>
      <c r="C15" s="170"/>
      <c r="D15" s="171"/>
      <c r="E15" s="172"/>
      <c r="F15" s="173"/>
      <c r="G15" s="174">
        <f t="shared" si="0"/>
        <v>0</v>
      </c>
      <c r="H15" s="146">
        <f t="shared" si="0"/>
        <v>0</v>
      </c>
    </row>
    <row r="16" spans="1:9" x14ac:dyDescent="0.3">
      <c r="A16" s="593" t="s">
        <v>742</v>
      </c>
      <c r="B16" s="594" t="s">
        <v>1100</v>
      </c>
      <c r="C16" s="170"/>
      <c r="D16" s="171"/>
      <c r="E16" s="172"/>
      <c r="F16" s="173"/>
      <c r="G16" s="174">
        <f t="shared" si="0"/>
        <v>0</v>
      </c>
      <c r="H16" s="146">
        <f t="shared" si="0"/>
        <v>0</v>
      </c>
    </row>
    <row r="17" spans="1:8" x14ac:dyDescent="0.3">
      <c r="A17" s="593" t="s">
        <v>743</v>
      </c>
      <c r="B17" s="594" t="s">
        <v>1101</v>
      </c>
      <c r="C17" s="170">
        <v>2545.23</v>
      </c>
      <c r="D17" s="171">
        <v>138.54</v>
      </c>
      <c r="E17" s="172">
        <v>235.01</v>
      </c>
      <c r="F17" s="173">
        <v>2493.85</v>
      </c>
      <c r="G17" s="174">
        <f t="shared" si="0"/>
        <v>-2310.2200000000003</v>
      </c>
      <c r="H17" s="146">
        <f t="shared" si="0"/>
        <v>2355.31</v>
      </c>
    </row>
    <row r="18" spans="1:8" x14ac:dyDescent="0.3">
      <c r="A18" s="593" t="s">
        <v>744</v>
      </c>
      <c r="B18" s="594" t="s">
        <v>1102</v>
      </c>
      <c r="C18" s="170">
        <v>810.2</v>
      </c>
      <c r="D18" s="171"/>
      <c r="E18" s="172">
        <v>10</v>
      </c>
      <c r="F18" s="173"/>
      <c r="G18" s="174">
        <f t="shared" si="0"/>
        <v>-800.2</v>
      </c>
      <c r="H18" s="146">
        <f t="shared" si="0"/>
        <v>0</v>
      </c>
    </row>
    <row r="19" spans="1:8" x14ac:dyDescent="0.3">
      <c r="A19" s="593" t="s">
        <v>746</v>
      </c>
      <c r="B19" s="594" t="s">
        <v>1103</v>
      </c>
      <c r="C19" s="170"/>
      <c r="D19" s="171"/>
      <c r="E19" s="172">
        <v>417.09</v>
      </c>
      <c r="F19" s="173">
        <v>13229.97</v>
      </c>
      <c r="G19" s="174">
        <f t="shared" si="0"/>
        <v>417.09</v>
      </c>
      <c r="H19" s="146">
        <f t="shared" si="0"/>
        <v>13229.97</v>
      </c>
    </row>
    <row r="20" spans="1:8" x14ac:dyDescent="0.3">
      <c r="A20" s="593" t="s">
        <v>747</v>
      </c>
      <c r="B20" s="594" t="s">
        <v>1104</v>
      </c>
      <c r="C20" s="170">
        <v>57.32</v>
      </c>
      <c r="D20" s="171">
        <v>79.8</v>
      </c>
      <c r="E20" s="172">
        <v>45.81</v>
      </c>
      <c r="F20" s="173">
        <v>39.07</v>
      </c>
      <c r="G20" s="174">
        <f t="shared" si="0"/>
        <v>-11.509999999999998</v>
      </c>
      <c r="H20" s="146">
        <f t="shared" si="0"/>
        <v>-40.729999999999997</v>
      </c>
    </row>
    <row r="21" spans="1:8" x14ac:dyDescent="0.3">
      <c r="A21" s="593" t="s">
        <v>749</v>
      </c>
      <c r="B21" s="594" t="s">
        <v>1105</v>
      </c>
      <c r="C21" s="170">
        <v>69980.539999999994</v>
      </c>
      <c r="D21" s="171"/>
      <c r="E21" s="172">
        <v>69014.52</v>
      </c>
      <c r="F21" s="173"/>
      <c r="G21" s="174">
        <f t="shared" si="0"/>
        <v>-966.01999999998952</v>
      </c>
      <c r="H21" s="146">
        <f t="shared" si="0"/>
        <v>0</v>
      </c>
    </row>
    <row r="22" spans="1:8" x14ac:dyDescent="0.3">
      <c r="A22" s="593" t="s">
        <v>751</v>
      </c>
      <c r="B22" s="594" t="s">
        <v>1106</v>
      </c>
      <c r="C22" s="170"/>
      <c r="D22" s="171"/>
      <c r="E22" s="172"/>
      <c r="F22" s="173"/>
      <c r="G22" s="174">
        <f t="shared" si="0"/>
        <v>0</v>
      </c>
      <c r="H22" s="146">
        <f t="shared" si="0"/>
        <v>0</v>
      </c>
    </row>
    <row r="23" spans="1:8" x14ac:dyDescent="0.3">
      <c r="A23" s="593" t="s">
        <v>753</v>
      </c>
      <c r="B23" s="594" t="s">
        <v>1107</v>
      </c>
      <c r="C23" s="170"/>
      <c r="D23" s="171"/>
      <c r="E23" s="172"/>
      <c r="F23" s="173"/>
      <c r="G23" s="174">
        <f t="shared" si="0"/>
        <v>0</v>
      </c>
      <c r="H23" s="146">
        <f t="shared" si="0"/>
        <v>0</v>
      </c>
    </row>
    <row r="24" spans="1:8" x14ac:dyDescent="0.3">
      <c r="A24" s="593" t="s">
        <v>755</v>
      </c>
      <c r="B24" s="594" t="s">
        <v>1108</v>
      </c>
      <c r="C24" s="170"/>
      <c r="D24" s="171"/>
      <c r="E24" s="172"/>
      <c r="F24" s="173"/>
      <c r="G24" s="174">
        <f t="shared" si="0"/>
        <v>0</v>
      </c>
      <c r="H24" s="146">
        <f t="shared" si="0"/>
        <v>0</v>
      </c>
    </row>
    <row r="25" spans="1:8" x14ac:dyDescent="0.3">
      <c r="A25" s="593" t="s">
        <v>757</v>
      </c>
      <c r="B25" s="594" t="s">
        <v>1109</v>
      </c>
      <c r="C25" s="170">
        <f>10913062.78+3812077.28</f>
        <v>14725140.059999999</v>
      </c>
      <c r="D25" s="171">
        <f>1524.01+27416.15</f>
        <v>28940.16</v>
      </c>
      <c r="E25" s="172">
        <v>15034087.779999999</v>
      </c>
      <c r="F25" s="173">
        <v>37114.89</v>
      </c>
      <c r="G25" s="174">
        <f t="shared" si="0"/>
        <v>308947.72000000067</v>
      </c>
      <c r="H25" s="146">
        <f t="shared" si="0"/>
        <v>8174.73</v>
      </c>
    </row>
    <row r="26" spans="1:8" x14ac:dyDescent="0.3">
      <c r="A26" s="593" t="s">
        <v>759</v>
      </c>
      <c r="B26" s="594" t="s">
        <v>1110</v>
      </c>
      <c r="C26" s="170">
        <v>161662.39999999999</v>
      </c>
      <c r="D26" s="171"/>
      <c r="E26" s="172">
        <v>6330</v>
      </c>
      <c r="F26" s="173"/>
      <c r="G26" s="174">
        <f t="shared" si="0"/>
        <v>-155332.4</v>
      </c>
      <c r="H26" s="146">
        <f t="shared" si="0"/>
        <v>0</v>
      </c>
    </row>
    <row r="27" spans="1:8" x14ac:dyDescent="0.3">
      <c r="A27" s="593" t="s">
        <v>761</v>
      </c>
      <c r="B27" s="594" t="s">
        <v>1111</v>
      </c>
      <c r="C27" s="170"/>
      <c r="D27" s="171"/>
      <c r="E27" s="172"/>
      <c r="F27" s="173"/>
      <c r="G27" s="174">
        <f t="shared" si="0"/>
        <v>0</v>
      </c>
      <c r="H27" s="146">
        <f t="shared" si="0"/>
        <v>0</v>
      </c>
    </row>
    <row r="28" spans="1:8" x14ac:dyDescent="0.3">
      <c r="A28" s="593" t="s">
        <v>763</v>
      </c>
      <c r="B28" s="594" t="s">
        <v>1112</v>
      </c>
      <c r="C28" s="170"/>
      <c r="D28" s="171"/>
      <c r="E28" s="172"/>
      <c r="F28" s="173"/>
      <c r="G28" s="174">
        <f t="shared" si="0"/>
        <v>0</v>
      </c>
      <c r="H28" s="146">
        <f t="shared" si="0"/>
        <v>0</v>
      </c>
    </row>
    <row r="29" spans="1:8" x14ac:dyDescent="0.3">
      <c r="A29" s="593" t="s">
        <v>765</v>
      </c>
      <c r="B29" s="594" t="s">
        <v>1113</v>
      </c>
      <c r="C29" s="170">
        <v>22</v>
      </c>
      <c r="D29" s="171"/>
      <c r="E29" s="172"/>
      <c r="F29" s="173">
        <v>312.5</v>
      </c>
      <c r="G29" s="174">
        <f t="shared" si="0"/>
        <v>-22</v>
      </c>
      <c r="H29" s="146">
        <f t="shared" si="0"/>
        <v>312.5</v>
      </c>
    </row>
    <row r="30" spans="1:8" x14ac:dyDescent="0.3">
      <c r="A30" s="593" t="s">
        <v>767</v>
      </c>
      <c r="B30" s="594" t="s">
        <v>1114</v>
      </c>
      <c r="C30" s="170"/>
      <c r="D30" s="171"/>
      <c r="E30" s="172"/>
      <c r="F30" s="173"/>
      <c r="G30" s="174">
        <f t="shared" si="0"/>
        <v>0</v>
      </c>
      <c r="H30" s="146">
        <f t="shared" si="0"/>
        <v>0</v>
      </c>
    </row>
    <row r="31" spans="1:8" x14ac:dyDescent="0.3">
      <c r="A31" s="593" t="s">
        <v>769</v>
      </c>
      <c r="B31" s="594" t="s">
        <v>1115</v>
      </c>
      <c r="C31" s="170">
        <v>69772.960000000006</v>
      </c>
      <c r="D31" s="171">
        <v>1876.39</v>
      </c>
      <c r="E31" s="172">
        <v>49231.98</v>
      </c>
      <c r="F31" s="173">
        <v>7497.54</v>
      </c>
      <c r="G31" s="174">
        <f t="shared" si="0"/>
        <v>-20540.980000000003</v>
      </c>
      <c r="H31" s="146">
        <f t="shared" si="0"/>
        <v>5621.15</v>
      </c>
    </row>
    <row r="32" spans="1:8" x14ac:dyDescent="0.3">
      <c r="A32" s="593" t="s">
        <v>771</v>
      </c>
      <c r="B32" s="594" t="s">
        <v>1116</v>
      </c>
      <c r="C32" s="170"/>
      <c r="D32" s="171"/>
      <c r="E32" s="172"/>
      <c r="F32" s="173"/>
      <c r="G32" s="174">
        <f t="shared" si="0"/>
        <v>0</v>
      </c>
      <c r="H32" s="146">
        <f t="shared" si="0"/>
        <v>0</v>
      </c>
    </row>
    <row r="33" spans="1:10" x14ac:dyDescent="0.3">
      <c r="A33" s="593" t="s">
        <v>773</v>
      </c>
      <c r="B33" s="594" t="s">
        <v>1117</v>
      </c>
      <c r="C33" s="170">
        <v>1245.6400000000001</v>
      </c>
      <c r="D33" s="171">
        <v>129007.37</v>
      </c>
      <c r="E33" s="172">
        <v>1661.22</v>
      </c>
      <c r="F33" s="173">
        <v>135383.59</v>
      </c>
      <c r="G33" s="174">
        <f t="shared" si="0"/>
        <v>415.57999999999993</v>
      </c>
      <c r="H33" s="146">
        <f t="shared" si="0"/>
        <v>6376.2200000000012</v>
      </c>
    </row>
    <row r="34" spans="1:10" x14ac:dyDescent="0.3">
      <c r="A34" s="593" t="s">
        <v>775</v>
      </c>
      <c r="B34" s="594" t="s">
        <v>1118</v>
      </c>
      <c r="C34" s="170"/>
      <c r="D34" s="171"/>
      <c r="E34" s="172"/>
      <c r="F34" s="173"/>
      <c r="G34" s="174">
        <f t="shared" si="0"/>
        <v>0</v>
      </c>
      <c r="H34" s="146">
        <f t="shared" si="0"/>
        <v>0</v>
      </c>
    </row>
    <row r="35" spans="1:10" x14ac:dyDescent="0.3">
      <c r="A35" s="593" t="s">
        <v>777</v>
      </c>
      <c r="B35" s="594" t="s">
        <v>1119</v>
      </c>
      <c r="C35" s="170">
        <v>5777</v>
      </c>
      <c r="D35" s="171"/>
      <c r="E35" s="172">
        <v>2479.88</v>
      </c>
      <c r="F35" s="173"/>
      <c r="G35" s="174">
        <f t="shared" si="0"/>
        <v>-3297.12</v>
      </c>
      <c r="H35" s="146">
        <f t="shared" si="0"/>
        <v>0</v>
      </c>
    </row>
    <row r="36" spans="1:10" x14ac:dyDescent="0.3">
      <c r="A36" s="593" t="s">
        <v>779</v>
      </c>
      <c r="B36" s="594" t="s">
        <v>1120</v>
      </c>
      <c r="C36" s="170"/>
      <c r="D36" s="171"/>
      <c r="E36" s="172"/>
      <c r="F36" s="173"/>
      <c r="G36" s="174">
        <f t="shared" si="0"/>
        <v>0</v>
      </c>
      <c r="H36" s="146">
        <f t="shared" si="0"/>
        <v>0</v>
      </c>
    </row>
    <row r="37" spans="1:10" x14ac:dyDescent="0.3">
      <c r="A37" s="593" t="s">
        <v>781</v>
      </c>
      <c r="B37" s="594" t="s">
        <v>1121</v>
      </c>
      <c r="C37" s="170"/>
      <c r="D37" s="171"/>
      <c r="E37" s="172"/>
      <c r="F37" s="173"/>
      <c r="G37" s="174">
        <f t="shared" si="0"/>
        <v>0</v>
      </c>
      <c r="H37" s="146">
        <f t="shared" si="0"/>
        <v>0</v>
      </c>
    </row>
    <row r="38" spans="1:10" x14ac:dyDescent="0.3">
      <c r="A38" s="593" t="s">
        <v>783</v>
      </c>
      <c r="B38" s="594" t="s">
        <v>1122</v>
      </c>
      <c r="C38" s="170"/>
      <c r="D38" s="171"/>
      <c r="E38" s="172"/>
      <c r="F38" s="173"/>
      <c r="G38" s="174">
        <f t="shared" si="0"/>
        <v>0</v>
      </c>
      <c r="H38" s="146">
        <f t="shared" si="0"/>
        <v>0</v>
      </c>
    </row>
    <row r="39" spans="1:10" x14ac:dyDescent="0.3">
      <c r="A39" s="593" t="s">
        <v>785</v>
      </c>
      <c r="B39" s="594" t="s">
        <v>1123</v>
      </c>
      <c r="C39" s="170"/>
      <c r="D39" s="171"/>
      <c r="E39" s="172"/>
      <c r="F39" s="173"/>
      <c r="G39" s="174">
        <f t="shared" si="0"/>
        <v>0</v>
      </c>
      <c r="H39" s="146">
        <f t="shared" si="0"/>
        <v>0</v>
      </c>
    </row>
    <row r="40" spans="1:10" ht="16.2" thickBot="1" x14ac:dyDescent="0.35">
      <c r="A40" s="595" t="s">
        <v>787</v>
      </c>
      <c r="B40" s="596" t="s">
        <v>1124</v>
      </c>
      <c r="C40" s="175">
        <v>37820063.289999999</v>
      </c>
      <c r="D40" s="176"/>
      <c r="E40" s="177">
        <v>36038355.719999999</v>
      </c>
      <c r="F40" s="178"/>
      <c r="G40" s="179">
        <f t="shared" si="0"/>
        <v>-1781707.5700000003</v>
      </c>
      <c r="H40" s="149">
        <f t="shared" si="0"/>
        <v>0</v>
      </c>
    </row>
    <row r="41" spans="1:10" ht="16.2" thickBot="1" x14ac:dyDescent="0.35">
      <c r="A41" s="597" t="s">
        <v>789</v>
      </c>
      <c r="B41" s="598" t="s">
        <v>1125</v>
      </c>
      <c r="C41" s="180">
        <f>SUM(C6:C40)</f>
        <v>53916179.269999996</v>
      </c>
      <c r="D41" s="181">
        <f>SUM(D6:D40)</f>
        <v>1462983.6099999999</v>
      </c>
      <c r="E41" s="182">
        <f>SUM(E6:E40)</f>
        <v>52517345.269999996</v>
      </c>
      <c r="F41" s="183">
        <f>SUM(F6:F40)</f>
        <v>2009031.35</v>
      </c>
      <c r="G41" s="184">
        <f t="shared" si="0"/>
        <v>-1398834</v>
      </c>
      <c r="H41" s="185">
        <f t="shared" si="0"/>
        <v>546047.74000000022</v>
      </c>
    </row>
    <row r="42" spans="1:10" ht="16.2" thickBot="1" x14ac:dyDescent="0.35">
      <c r="A42" s="597" t="s">
        <v>791</v>
      </c>
      <c r="B42" s="598" t="s">
        <v>1126</v>
      </c>
      <c r="C42" s="180">
        <f>C41-'T5a - Náklady '!C43</f>
        <v>850518.78999997675</v>
      </c>
      <c r="D42" s="186">
        <f>D41-'T5a - Náklady '!D43</f>
        <v>56691.409999999916</v>
      </c>
      <c r="E42" s="182">
        <f>E41-'T5a - Náklady '!E43</f>
        <v>1608674.1199999973</v>
      </c>
      <c r="F42" s="187">
        <f>F41-'T5a - Náklady '!F43</f>
        <v>208792.81000000029</v>
      </c>
      <c r="G42" s="184">
        <f t="shared" si="0"/>
        <v>758155.33000002056</v>
      </c>
      <c r="H42" s="185">
        <f t="shared" si="0"/>
        <v>152101.40000000037</v>
      </c>
    </row>
    <row r="43" spans="1:10" x14ac:dyDescent="0.3">
      <c r="A43" s="599" t="s">
        <v>793</v>
      </c>
      <c r="B43" s="600" t="s">
        <v>1127</v>
      </c>
      <c r="C43" s="173">
        <v>29531.13</v>
      </c>
      <c r="D43" s="173">
        <v>15093.9</v>
      </c>
      <c r="E43" s="188">
        <v>373.81</v>
      </c>
      <c r="F43" s="173">
        <v>55384.92</v>
      </c>
      <c r="G43" s="189">
        <f t="shared" si="0"/>
        <v>-29157.32</v>
      </c>
      <c r="H43" s="190">
        <f t="shared" si="0"/>
        <v>40291.019999999997</v>
      </c>
    </row>
    <row r="44" spans="1:10" x14ac:dyDescent="0.3">
      <c r="A44" s="593" t="s">
        <v>795</v>
      </c>
      <c r="B44" s="594" t="s">
        <v>1128</v>
      </c>
      <c r="C44" s="170"/>
      <c r="D44" s="171"/>
      <c r="E44" s="172"/>
      <c r="F44" s="173"/>
      <c r="G44" s="174">
        <f t="shared" si="0"/>
        <v>0</v>
      </c>
      <c r="H44" s="146">
        <f t="shared" si="0"/>
        <v>0</v>
      </c>
    </row>
    <row r="45" spans="1:10" ht="16.2" thickBot="1" x14ac:dyDescent="0.35">
      <c r="A45" s="601" t="s">
        <v>797</v>
      </c>
      <c r="B45" s="602" t="s">
        <v>1129</v>
      </c>
      <c r="C45" s="191">
        <f>C42-C43-C44</f>
        <v>820987.65999997675</v>
      </c>
      <c r="D45" s="192">
        <f>D42-D43-D44</f>
        <v>41597.509999999915</v>
      </c>
      <c r="E45" s="193">
        <f>E42-E43-E44</f>
        <v>1608300.3099999973</v>
      </c>
      <c r="F45" s="194">
        <f>F42-F43-F44</f>
        <v>153407.89000000031</v>
      </c>
      <c r="G45" s="195">
        <f t="shared" si="0"/>
        <v>787312.65000002051</v>
      </c>
      <c r="H45" s="151">
        <f t="shared" si="0"/>
        <v>111810.38000000038</v>
      </c>
    </row>
    <row r="46" spans="1:10" x14ac:dyDescent="0.3">
      <c r="D46" s="156"/>
      <c r="F46" s="156"/>
      <c r="I46" s="165"/>
      <c r="J46" s="165"/>
    </row>
  </sheetData>
  <mergeCells count="7">
    <mergeCell ref="A1:H1"/>
    <mergeCell ref="A2:H2"/>
    <mergeCell ref="A3:A4"/>
    <mergeCell ref="B3:B4"/>
    <mergeCell ref="C3:D3"/>
    <mergeCell ref="E3:F3"/>
    <mergeCell ref="G3:H3"/>
  </mergeCells>
  <printOptions gridLines="1"/>
  <pageMargins left="0.51181102362204722" right="0.31496062992125984" top="0.43307086614173229" bottom="0.48" header="0.39370078740157483" footer="0.23622047244094491"/>
  <pageSetup paperSize="9" scale="70" fitToWidth="2"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100" workbookViewId="0">
      <selection activeCell="H9" sqref="H9"/>
    </sheetView>
  </sheetViews>
  <sheetFormatPr defaultColWidth="9.109375" defaultRowHeight="15.6" x14ac:dyDescent="0.3"/>
  <cols>
    <col min="1" max="1" width="7.88671875" style="522" customWidth="1"/>
    <col min="2" max="2" width="89" style="591" customWidth="1"/>
    <col min="3" max="3" width="16.88671875" style="196" customWidth="1"/>
    <col min="4" max="4" width="17.33203125" style="196" customWidth="1"/>
    <col min="5" max="5" width="10" style="196" customWidth="1"/>
    <col min="6" max="9" width="9.109375" style="196"/>
    <col min="10" max="10" width="37" style="196" customWidth="1"/>
    <col min="11" max="16384" width="9.109375" style="196"/>
  </cols>
  <sheetData>
    <row r="1" spans="1:10" ht="45.75" customHeight="1" thickBot="1" x14ac:dyDescent="0.35">
      <c r="A1" s="650" t="s">
        <v>1350</v>
      </c>
      <c r="B1" s="651"/>
      <c r="C1" s="651"/>
      <c r="D1" s="652"/>
    </row>
    <row r="2" spans="1:10" ht="37.5" customHeight="1" x14ac:dyDescent="0.3">
      <c r="A2" s="647" t="s">
        <v>1219</v>
      </c>
      <c r="B2" s="648"/>
      <c r="C2" s="648"/>
      <c r="D2" s="649"/>
    </row>
    <row r="3" spans="1:10" s="517" customFormat="1" ht="31.2" x14ac:dyDescent="0.3">
      <c r="A3" s="516" t="s">
        <v>205</v>
      </c>
      <c r="B3" s="585" t="s">
        <v>327</v>
      </c>
      <c r="C3" s="5">
        <v>2014</v>
      </c>
      <c r="D3" s="250">
        <v>2015</v>
      </c>
    </row>
    <row r="4" spans="1:10" s="517" customFormat="1" x14ac:dyDescent="0.3">
      <c r="A4" s="516"/>
      <c r="B4" s="585"/>
      <c r="C4" s="5" t="s">
        <v>283</v>
      </c>
      <c r="D4" s="250" t="s">
        <v>284</v>
      </c>
      <c r="F4" s="196"/>
    </row>
    <row r="5" spans="1:10" x14ac:dyDescent="0.3">
      <c r="A5" s="572">
        <v>1</v>
      </c>
      <c r="B5" s="15" t="s">
        <v>1351</v>
      </c>
      <c r="C5" s="145">
        <f>+SUM(C6:C10)</f>
        <v>8367771.8799999999</v>
      </c>
      <c r="D5" s="199">
        <f>+SUM(D6:D10)</f>
        <v>9268357.2899999991</v>
      </c>
      <c r="E5" s="517"/>
      <c r="F5" s="197"/>
      <c r="G5" s="586"/>
      <c r="H5" s="586"/>
    </row>
    <row r="6" spans="1:10" x14ac:dyDescent="0.3">
      <c r="A6" s="572">
        <v>2</v>
      </c>
      <c r="B6" s="31" t="s">
        <v>1205</v>
      </c>
      <c r="C6" s="148"/>
      <c r="D6" s="198">
        <v>600</v>
      </c>
      <c r="F6" s="517"/>
      <c r="G6" s="586"/>
    </row>
    <row r="7" spans="1:10" x14ac:dyDescent="0.3">
      <c r="A7" s="572">
        <v>3</v>
      </c>
      <c r="B7" s="31" t="s">
        <v>1027</v>
      </c>
      <c r="C7" s="148">
        <v>247119.99</v>
      </c>
      <c r="D7" s="198">
        <v>198331.67</v>
      </c>
      <c r="G7" s="586"/>
    </row>
    <row r="8" spans="1:10" x14ac:dyDescent="0.3">
      <c r="A8" s="572">
        <v>4</v>
      </c>
      <c r="B8" s="31" t="s">
        <v>1203</v>
      </c>
      <c r="C8" s="148">
        <v>7670323.4199999999</v>
      </c>
      <c r="D8" s="198">
        <v>8713814.0099999998</v>
      </c>
      <c r="G8" s="586"/>
    </row>
    <row r="9" spans="1:10" x14ac:dyDescent="0.3">
      <c r="A9" s="572">
        <v>5</v>
      </c>
      <c r="B9" s="31" t="s">
        <v>1028</v>
      </c>
      <c r="C9" s="148">
        <v>450328.47</v>
      </c>
      <c r="D9" s="198">
        <v>355611.61</v>
      </c>
      <c r="G9" s="586"/>
    </row>
    <row r="10" spans="1:10" ht="18.600000000000001" x14ac:dyDescent="0.3">
      <c r="A10" s="572">
        <v>6</v>
      </c>
      <c r="B10" s="31" t="s">
        <v>1352</v>
      </c>
      <c r="C10" s="148"/>
      <c r="D10" s="198"/>
      <c r="G10" s="586"/>
    </row>
    <row r="11" spans="1:10" x14ac:dyDescent="0.3">
      <c r="A11" s="572">
        <v>7</v>
      </c>
      <c r="B11" s="15" t="s">
        <v>1353</v>
      </c>
      <c r="C11" s="145">
        <f>SUM(C12:C17)</f>
        <v>451597.91</v>
      </c>
      <c r="D11" s="199">
        <f>SUM(D12:D17)</f>
        <v>421609.06</v>
      </c>
    </row>
    <row r="12" spans="1:10" x14ac:dyDescent="0.3">
      <c r="A12" s="572">
        <v>8</v>
      </c>
      <c r="B12" s="31" t="s">
        <v>933</v>
      </c>
      <c r="C12" s="148">
        <v>271967.09999999998</v>
      </c>
      <c r="D12" s="198">
        <v>251324.64</v>
      </c>
    </row>
    <row r="13" spans="1:10" x14ac:dyDescent="0.3">
      <c r="A13" s="572">
        <v>9</v>
      </c>
      <c r="B13" s="31" t="s">
        <v>934</v>
      </c>
      <c r="C13" s="148">
        <v>123272.45</v>
      </c>
      <c r="D13" s="198">
        <v>118210.92</v>
      </c>
    </row>
    <row r="14" spans="1:10" x14ac:dyDescent="0.3">
      <c r="A14" s="572">
        <v>10</v>
      </c>
      <c r="B14" s="31" t="s">
        <v>935</v>
      </c>
      <c r="C14" s="148">
        <v>35398.36</v>
      </c>
      <c r="D14" s="198">
        <v>34272</v>
      </c>
    </row>
    <row r="15" spans="1:10" x14ac:dyDescent="0.3">
      <c r="A15" s="572">
        <v>11</v>
      </c>
      <c r="B15" s="31" t="s">
        <v>1035</v>
      </c>
      <c r="C15" s="148">
        <v>20960</v>
      </c>
      <c r="D15" s="198">
        <v>14567.5</v>
      </c>
      <c r="E15" s="196" t="s">
        <v>1138</v>
      </c>
    </row>
    <row r="16" spans="1:10" ht="31.2" x14ac:dyDescent="0.3">
      <c r="A16" s="572">
        <v>12</v>
      </c>
      <c r="B16" s="31" t="s">
        <v>1130</v>
      </c>
      <c r="C16" s="200" t="s">
        <v>312</v>
      </c>
      <c r="D16" s="198">
        <v>0</v>
      </c>
      <c r="F16" s="154"/>
      <c r="G16" s="154"/>
      <c r="H16" s="154"/>
      <c r="J16" s="587"/>
    </row>
    <row r="17" spans="1:10" x14ac:dyDescent="0.3">
      <c r="A17" s="572">
        <v>13</v>
      </c>
      <c r="B17" s="31" t="s">
        <v>1131</v>
      </c>
      <c r="C17" s="200" t="s">
        <v>312</v>
      </c>
      <c r="D17" s="198">
        <v>3234</v>
      </c>
      <c r="F17" s="154"/>
      <c r="G17" s="154"/>
      <c r="H17" s="154"/>
      <c r="J17" s="587"/>
    </row>
    <row r="18" spans="1:10" x14ac:dyDescent="0.3">
      <c r="A18" s="572">
        <v>14</v>
      </c>
      <c r="B18" s="15" t="s">
        <v>242</v>
      </c>
      <c r="C18" s="199">
        <f>(C6+C7)*0.2</f>
        <v>49423.998</v>
      </c>
      <c r="D18" s="199">
        <f>(D6+D7)*0.2</f>
        <v>39786.334000000003</v>
      </c>
    </row>
    <row r="19" spans="1:10" ht="16.2" thickBot="1" x14ac:dyDescent="0.35">
      <c r="A19" s="520">
        <v>15</v>
      </c>
      <c r="B19" s="21" t="s">
        <v>331</v>
      </c>
      <c r="C19" s="112">
        <v>56608</v>
      </c>
      <c r="D19" s="588">
        <v>46922.6</v>
      </c>
    </row>
    <row r="20" spans="1:10" x14ac:dyDescent="0.3">
      <c r="B20" s="201"/>
    </row>
    <row r="21" spans="1:10" ht="18.600000000000001" x14ac:dyDescent="0.3">
      <c r="A21" s="589"/>
      <c r="B21" s="201" t="s">
        <v>1132</v>
      </c>
    </row>
    <row r="22" spans="1:10" x14ac:dyDescent="0.3">
      <c r="B22" s="201"/>
    </row>
    <row r="23" spans="1:10" ht="31.2" x14ac:dyDescent="0.3">
      <c r="B23" s="590" t="s">
        <v>1215</v>
      </c>
    </row>
    <row r="24" spans="1:10" x14ac:dyDescent="0.3">
      <c r="B24" s="201"/>
    </row>
    <row r="25" spans="1:10" x14ac:dyDescent="0.3">
      <c r="B25" s="201"/>
    </row>
    <row r="26" spans="1:10" x14ac:dyDescent="0.3">
      <c r="B26" s="201"/>
    </row>
    <row r="27" spans="1:10" x14ac:dyDescent="0.3">
      <c r="B27" s="201"/>
    </row>
    <row r="28" spans="1:10" x14ac:dyDescent="0.3">
      <c r="B28" s="201"/>
    </row>
  </sheetData>
  <mergeCells count="2">
    <mergeCell ref="A1:D1"/>
    <mergeCell ref="A2:D2"/>
  </mergeCells>
  <pageMargins left="0.70866141732283472" right="0.2" top="0.74803149606299213" bottom="0.74803149606299213" header="0.31496062992125984" footer="0.31496062992125984"/>
  <pageSetup paperSize="9"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I993"/>
  <sheetViews>
    <sheetView zoomScaleNormal="100" zoomScaleSheetLayoutView="80" workbookViewId="0">
      <pane xSplit="2" ySplit="5" topLeftCell="C93" activePane="bottomRight" state="frozen"/>
      <selection pane="topRight" activeCell="C1" sqref="C1"/>
      <selection pane="bottomLeft" activeCell="A6" sqref="A6"/>
      <selection pane="bottomRight" activeCell="B97" sqref="B97"/>
    </sheetView>
  </sheetViews>
  <sheetFormatPr defaultColWidth="9.109375" defaultRowHeight="15.6" x14ac:dyDescent="0.3"/>
  <cols>
    <col min="1" max="1" width="8.44140625" style="522" customWidth="1"/>
    <col min="2" max="2" width="74.109375" style="582" customWidth="1"/>
    <col min="3" max="3" width="18" style="196" customWidth="1"/>
    <col min="4" max="7" width="17" style="196" customWidth="1"/>
    <col min="8" max="8" width="18" style="196" customWidth="1"/>
    <col min="9" max="9" width="14" style="196" bestFit="1" customWidth="1"/>
    <col min="10" max="16384" width="9.109375" style="196"/>
  </cols>
  <sheetData>
    <row r="1" spans="1:8" ht="35.1" customHeight="1" thickBot="1" x14ac:dyDescent="0.35">
      <c r="A1" s="687" t="s">
        <v>1338</v>
      </c>
      <c r="B1" s="688"/>
      <c r="C1" s="688"/>
      <c r="D1" s="688"/>
      <c r="E1" s="688"/>
      <c r="F1" s="688"/>
      <c r="G1" s="688"/>
      <c r="H1" s="689"/>
    </row>
    <row r="2" spans="1:8" ht="32.4" customHeight="1" x14ac:dyDescent="0.3">
      <c r="A2" s="690" t="s">
        <v>1220</v>
      </c>
      <c r="B2" s="691"/>
      <c r="C2" s="691"/>
      <c r="D2" s="691"/>
      <c r="E2" s="691"/>
      <c r="F2" s="691"/>
      <c r="G2" s="691"/>
      <c r="H2" s="692"/>
    </row>
    <row r="3" spans="1:8" s="517" customFormat="1" ht="31.5" customHeight="1" x14ac:dyDescent="0.3">
      <c r="A3" s="665" t="s">
        <v>205</v>
      </c>
      <c r="B3" s="666" t="s">
        <v>327</v>
      </c>
      <c r="C3" s="693">
        <v>2014</v>
      </c>
      <c r="D3" s="693"/>
      <c r="E3" s="693">
        <v>2015</v>
      </c>
      <c r="F3" s="693"/>
      <c r="G3" s="668" t="s">
        <v>1137</v>
      </c>
      <c r="H3" s="670"/>
    </row>
    <row r="4" spans="1:8" ht="43.2" customHeight="1" x14ac:dyDescent="0.3">
      <c r="A4" s="665"/>
      <c r="B4" s="667"/>
      <c r="C4" s="5" t="s">
        <v>1285</v>
      </c>
      <c r="D4" s="5" t="s">
        <v>1286</v>
      </c>
      <c r="E4" s="5" t="s">
        <v>1285</v>
      </c>
      <c r="F4" s="5" t="s">
        <v>1286</v>
      </c>
      <c r="G4" s="5" t="s">
        <v>1285</v>
      </c>
      <c r="H4" s="5" t="s">
        <v>1286</v>
      </c>
    </row>
    <row r="5" spans="1:8" x14ac:dyDescent="0.3">
      <c r="A5" s="572"/>
      <c r="B5" s="573"/>
      <c r="C5" s="4" t="s">
        <v>283</v>
      </c>
      <c r="D5" s="4" t="s">
        <v>284</v>
      </c>
      <c r="E5" s="4" t="s">
        <v>285</v>
      </c>
      <c r="F5" s="4" t="s">
        <v>292</v>
      </c>
      <c r="G5" s="4" t="s">
        <v>23</v>
      </c>
      <c r="H5" s="14" t="s">
        <v>24</v>
      </c>
    </row>
    <row r="6" spans="1:8" x14ac:dyDescent="0.3">
      <c r="A6" s="572">
        <v>1</v>
      </c>
      <c r="B6" s="574" t="s">
        <v>1339</v>
      </c>
      <c r="C6" s="145">
        <f>SUM(C7:C18)</f>
        <v>4930949.97</v>
      </c>
      <c r="D6" s="145">
        <f>SUM(D7:D18)</f>
        <v>328217.67000000004</v>
      </c>
      <c r="E6" s="145">
        <f>SUM(E7:E18)</f>
        <v>2452067.1400000006</v>
      </c>
      <c r="F6" s="145">
        <f>SUM(F7:F18)</f>
        <v>366106.44</v>
      </c>
      <c r="G6" s="158">
        <f>E6-C6</f>
        <v>-2478882.8299999991</v>
      </c>
      <c r="H6" s="146">
        <f>F6-D6</f>
        <v>37888.76999999996</v>
      </c>
    </row>
    <row r="7" spans="1:8" ht="17.25" customHeight="1" x14ac:dyDescent="0.3">
      <c r="A7" s="572">
        <f>A6+1</f>
        <v>2</v>
      </c>
      <c r="B7" s="575" t="s">
        <v>951</v>
      </c>
      <c r="C7" s="148">
        <v>278204.58</v>
      </c>
      <c r="D7" s="148">
        <v>5262.33</v>
      </c>
      <c r="E7" s="148">
        <f>252344.34-140.25</f>
        <v>252204.09</v>
      </c>
      <c r="F7" s="148">
        <v>4930.3999999999996</v>
      </c>
      <c r="G7" s="202">
        <f>E7-C7</f>
        <v>-26000.49000000002</v>
      </c>
      <c r="H7" s="203">
        <f>F7-D7</f>
        <v>-331.93000000000029</v>
      </c>
    </row>
    <row r="8" spans="1:8" ht="30.6" customHeight="1" x14ac:dyDescent="0.3">
      <c r="A8" s="572">
        <f t="shared" ref="A8:A71" si="0">A7+1</f>
        <v>3</v>
      </c>
      <c r="B8" s="576" t="s">
        <v>103</v>
      </c>
      <c r="C8" s="148">
        <v>2738964.01</v>
      </c>
      <c r="D8" s="148">
        <v>50.75</v>
      </c>
      <c r="E8" s="148">
        <v>882676.98</v>
      </c>
      <c r="F8" s="148">
        <v>389.68</v>
      </c>
      <c r="G8" s="202">
        <f t="shared" ref="G8:H71" si="1">E8-C8</f>
        <v>-1856287.0299999998</v>
      </c>
      <c r="H8" s="203">
        <f t="shared" si="1"/>
        <v>338.93</v>
      </c>
    </row>
    <row r="9" spans="1:8" x14ac:dyDescent="0.3">
      <c r="A9" s="572">
        <f t="shared" si="0"/>
        <v>4</v>
      </c>
      <c r="B9" s="575" t="s">
        <v>952</v>
      </c>
      <c r="C9" s="148">
        <v>151247.29</v>
      </c>
      <c r="D9" s="148">
        <v>3436.53</v>
      </c>
      <c r="E9" s="148">
        <v>202718.1</v>
      </c>
      <c r="F9" s="148">
        <v>8927.5300000000007</v>
      </c>
      <c r="G9" s="202">
        <f t="shared" si="1"/>
        <v>51470.81</v>
      </c>
      <c r="H9" s="203">
        <f t="shared" si="1"/>
        <v>5491</v>
      </c>
    </row>
    <row r="10" spans="1:8" x14ac:dyDescent="0.3">
      <c r="A10" s="572">
        <f t="shared" si="0"/>
        <v>5</v>
      </c>
      <c r="B10" s="575" t="s">
        <v>953</v>
      </c>
      <c r="C10" s="148">
        <v>17764.63</v>
      </c>
      <c r="D10" s="148">
        <v>513.5</v>
      </c>
      <c r="E10" s="148">
        <v>21016.09</v>
      </c>
      <c r="F10" s="148">
        <v>4390.76</v>
      </c>
      <c r="G10" s="202">
        <f t="shared" si="1"/>
        <v>3251.4599999999991</v>
      </c>
      <c r="H10" s="203">
        <f t="shared" si="1"/>
        <v>3877.26</v>
      </c>
    </row>
    <row r="11" spans="1:8" x14ac:dyDescent="0.3">
      <c r="A11" s="572">
        <f t="shared" si="0"/>
        <v>6</v>
      </c>
      <c r="B11" s="575" t="s">
        <v>954</v>
      </c>
      <c r="C11" s="148">
        <v>42038.13</v>
      </c>
      <c r="D11" s="148">
        <v>1162.55</v>
      </c>
      <c r="E11" s="148">
        <v>34181.300000000003</v>
      </c>
      <c r="F11" s="148">
        <v>3184.17</v>
      </c>
      <c r="G11" s="202">
        <f t="shared" si="1"/>
        <v>-7856.8299999999945</v>
      </c>
      <c r="H11" s="203">
        <f t="shared" si="1"/>
        <v>2021.6200000000001</v>
      </c>
    </row>
    <row r="12" spans="1:8" x14ac:dyDescent="0.3">
      <c r="A12" s="572">
        <f t="shared" si="0"/>
        <v>7</v>
      </c>
      <c r="B12" s="575" t="s">
        <v>955</v>
      </c>
      <c r="C12" s="148">
        <v>43815.09</v>
      </c>
      <c r="D12" s="148">
        <v>21645.53</v>
      </c>
      <c r="E12" s="148">
        <v>54163.07</v>
      </c>
      <c r="F12" s="148">
        <v>25114.58</v>
      </c>
      <c r="G12" s="202">
        <f t="shared" si="1"/>
        <v>10347.980000000003</v>
      </c>
      <c r="H12" s="203">
        <f t="shared" si="1"/>
        <v>3469.0500000000029</v>
      </c>
    </row>
    <row r="13" spans="1:8" ht="31.2" x14ac:dyDescent="0.3">
      <c r="A13" s="572">
        <f t="shared" si="0"/>
        <v>8</v>
      </c>
      <c r="B13" s="575" t="s">
        <v>104</v>
      </c>
      <c r="C13" s="148">
        <v>68294.45</v>
      </c>
      <c r="D13" s="148">
        <v>4124.87</v>
      </c>
      <c r="E13" s="148">
        <v>91482.16</v>
      </c>
      <c r="F13" s="148">
        <v>6325.02</v>
      </c>
      <c r="G13" s="202">
        <f t="shared" si="1"/>
        <v>23187.710000000006</v>
      </c>
      <c r="H13" s="203">
        <f t="shared" si="1"/>
        <v>2200.1500000000005</v>
      </c>
    </row>
    <row r="14" spans="1:8" x14ac:dyDescent="0.3">
      <c r="A14" s="572">
        <f t="shared" si="0"/>
        <v>9</v>
      </c>
      <c r="B14" s="575" t="s">
        <v>105</v>
      </c>
      <c r="C14" s="148">
        <v>135576.07999999999</v>
      </c>
      <c r="D14" s="148">
        <v>209484.53</v>
      </c>
      <c r="E14" s="148">
        <v>171638.84</v>
      </c>
      <c r="F14" s="148">
        <v>237640.74</v>
      </c>
      <c r="G14" s="202">
        <f t="shared" si="1"/>
        <v>36062.760000000009</v>
      </c>
      <c r="H14" s="203">
        <f t="shared" si="1"/>
        <v>28156.209999999992</v>
      </c>
    </row>
    <row r="15" spans="1:8" x14ac:dyDescent="0.3">
      <c r="A15" s="572">
        <f t="shared" si="0"/>
        <v>10</v>
      </c>
      <c r="B15" s="31" t="s">
        <v>106</v>
      </c>
      <c r="C15" s="148">
        <v>630412.62</v>
      </c>
      <c r="D15" s="148">
        <v>16255.04</v>
      </c>
      <c r="E15" s="148">
        <v>324200.01</v>
      </c>
      <c r="F15" s="148">
        <v>20232.73</v>
      </c>
      <c r="G15" s="202">
        <f t="shared" si="1"/>
        <v>-306212.61</v>
      </c>
      <c r="H15" s="203">
        <f t="shared" si="1"/>
        <v>3977.6899999999987</v>
      </c>
    </row>
    <row r="16" spans="1:8" ht="16.2" customHeight="1" x14ac:dyDescent="0.3">
      <c r="A16" s="572">
        <f t="shared" si="0"/>
        <v>11</v>
      </c>
      <c r="B16" s="575" t="s">
        <v>107</v>
      </c>
      <c r="C16" s="148">
        <v>282561.55</v>
      </c>
      <c r="D16" s="148">
        <v>24273.65</v>
      </c>
      <c r="E16" s="148">
        <v>25907.38</v>
      </c>
      <c r="F16" s="148">
        <v>20908.5</v>
      </c>
      <c r="G16" s="202">
        <f t="shared" si="1"/>
        <v>-256654.16999999998</v>
      </c>
      <c r="H16" s="203">
        <f t="shared" si="1"/>
        <v>-3365.1500000000015</v>
      </c>
    </row>
    <row r="17" spans="1:8" x14ac:dyDescent="0.3">
      <c r="A17" s="572">
        <f t="shared" si="0"/>
        <v>12</v>
      </c>
      <c r="B17" s="31" t="s">
        <v>818</v>
      </c>
      <c r="C17" s="148">
        <v>298641.7</v>
      </c>
      <c r="D17" s="148">
        <v>25563.68</v>
      </c>
      <c r="E17" s="148">
        <f>238313.44+105827.44</f>
        <v>344140.88</v>
      </c>
      <c r="F17" s="148">
        <v>28248.83</v>
      </c>
      <c r="G17" s="202">
        <f t="shared" si="1"/>
        <v>45499.179999999993</v>
      </c>
      <c r="H17" s="203">
        <f t="shared" si="1"/>
        <v>2685.1500000000015</v>
      </c>
    </row>
    <row r="18" spans="1:8" x14ac:dyDescent="0.3">
      <c r="A18" s="572">
        <f t="shared" si="0"/>
        <v>13</v>
      </c>
      <c r="B18" s="575" t="s">
        <v>956</v>
      </c>
      <c r="C18" s="148">
        <v>243429.84</v>
      </c>
      <c r="D18" s="148">
        <v>16444.71</v>
      </c>
      <c r="E18" s="148">
        <v>47738.239999999998</v>
      </c>
      <c r="F18" s="148">
        <v>5813.5</v>
      </c>
      <c r="G18" s="202">
        <f t="shared" si="1"/>
        <v>-195691.6</v>
      </c>
      <c r="H18" s="203">
        <f t="shared" si="1"/>
        <v>-10631.21</v>
      </c>
    </row>
    <row r="19" spans="1:8" x14ac:dyDescent="0.3">
      <c r="A19" s="572">
        <f t="shared" si="0"/>
        <v>14</v>
      </c>
      <c r="B19" s="574" t="s">
        <v>1340</v>
      </c>
      <c r="C19" s="145">
        <f>SUM(C20:C25)</f>
        <v>1797576.8099999996</v>
      </c>
      <c r="D19" s="145">
        <f>SUM(D20:D25)</f>
        <v>58983.88</v>
      </c>
      <c r="E19" s="145">
        <f>SUM(E20:E25)</f>
        <v>1734411.2</v>
      </c>
      <c r="F19" s="145">
        <f>SUM(F20:F25)</f>
        <v>70162.42</v>
      </c>
      <c r="G19" s="158">
        <f t="shared" si="1"/>
        <v>-63165.609999999637</v>
      </c>
      <c r="H19" s="146">
        <f t="shared" si="1"/>
        <v>11178.54</v>
      </c>
    </row>
    <row r="20" spans="1:8" x14ac:dyDescent="0.3">
      <c r="A20" s="572">
        <f t="shared" si="0"/>
        <v>15</v>
      </c>
      <c r="B20" s="575" t="s">
        <v>957</v>
      </c>
      <c r="C20" s="148">
        <v>583175.73</v>
      </c>
      <c r="D20" s="148">
        <v>21075.99</v>
      </c>
      <c r="E20" s="148">
        <v>507317.46</v>
      </c>
      <c r="F20" s="148">
        <v>23717.95</v>
      </c>
      <c r="G20" s="202">
        <f t="shared" si="1"/>
        <v>-75858.26999999996</v>
      </c>
      <c r="H20" s="203">
        <f t="shared" si="1"/>
        <v>2641.9599999999991</v>
      </c>
    </row>
    <row r="21" spans="1:8" x14ac:dyDescent="0.3">
      <c r="A21" s="572">
        <f t="shared" si="0"/>
        <v>16</v>
      </c>
      <c r="B21" s="575" t="s">
        <v>958</v>
      </c>
      <c r="C21" s="148">
        <v>868530.59</v>
      </c>
      <c r="D21" s="148">
        <v>13382.16</v>
      </c>
      <c r="E21" s="148">
        <v>927530.63</v>
      </c>
      <c r="F21" s="148">
        <v>19102.34</v>
      </c>
      <c r="G21" s="202">
        <f t="shared" si="1"/>
        <v>59000.040000000037</v>
      </c>
      <c r="H21" s="203">
        <f t="shared" si="1"/>
        <v>5720.18</v>
      </c>
    </row>
    <row r="22" spans="1:8" x14ac:dyDescent="0.3">
      <c r="A22" s="572">
        <f t="shared" si="0"/>
        <v>17</v>
      </c>
      <c r="B22" s="575" t="s">
        <v>959</v>
      </c>
      <c r="C22" s="148">
        <v>177180.96000000002</v>
      </c>
      <c r="D22" s="148">
        <v>17437.13</v>
      </c>
      <c r="E22" s="148">
        <v>165280.4</v>
      </c>
      <c r="F22" s="148">
        <v>20191.96</v>
      </c>
      <c r="G22" s="202">
        <f t="shared" si="1"/>
        <v>-11900.560000000027</v>
      </c>
      <c r="H22" s="203">
        <f t="shared" si="1"/>
        <v>2754.8299999999981</v>
      </c>
    </row>
    <row r="23" spans="1:8" x14ac:dyDescent="0.3">
      <c r="A23" s="572">
        <f t="shared" si="0"/>
        <v>18</v>
      </c>
      <c r="B23" s="575" t="s">
        <v>960</v>
      </c>
      <c r="C23" s="148">
        <v>155183.49</v>
      </c>
      <c r="D23" s="148">
        <v>7088.6</v>
      </c>
      <c r="E23" s="148">
        <v>117484.08</v>
      </c>
      <c r="F23" s="148">
        <v>7150.17</v>
      </c>
      <c r="G23" s="202">
        <f t="shared" si="1"/>
        <v>-37699.409999999989</v>
      </c>
      <c r="H23" s="203">
        <f t="shared" si="1"/>
        <v>61.569999999999709</v>
      </c>
    </row>
    <row r="24" spans="1:8" x14ac:dyDescent="0.3">
      <c r="A24" s="572">
        <f t="shared" si="0"/>
        <v>19</v>
      </c>
      <c r="B24" s="575" t="s">
        <v>961</v>
      </c>
      <c r="C24" s="148">
        <v>1938.91</v>
      </c>
      <c r="D24" s="148"/>
      <c r="E24" s="148">
        <v>1158.4000000000001</v>
      </c>
      <c r="F24" s="148"/>
      <c r="G24" s="202">
        <f t="shared" si="1"/>
        <v>-780.51</v>
      </c>
      <c r="H24" s="203">
        <f t="shared" si="1"/>
        <v>0</v>
      </c>
    </row>
    <row r="25" spans="1:8" x14ac:dyDescent="0.3">
      <c r="A25" s="572">
        <f t="shared" si="0"/>
        <v>20</v>
      </c>
      <c r="B25" s="575" t="s">
        <v>801</v>
      </c>
      <c r="C25" s="148">
        <v>11567.13</v>
      </c>
      <c r="D25" s="148"/>
      <c r="E25" s="148">
        <v>15640.23</v>
      </c>
      <c r="F25" s="148"/>
      <c r="G25" s="202">
        <f t="shared" si="1"/>
        <v>4073.1000000000004</v>
      </c>
      <c r="H25" s="203">
        <f t="shared" si="1"/>
        <v>0</v>
      </c>
    </row>
    <row r="26" spans="1:8" x14ac:dyDescent="0.3">
      <c r="A26" s="572">
        <f t="shared" si="0"/>
        <v>21</v>
      </c>
      <c r="B26" s="574" t="s">
        <v>322</v>
      </c>
      <c r="C26" s="111" t="s">
        <v>312</v>
      </c>
      <c r="D26" s="111" t="s">
        <v>312</v>
      </c>
      <c r="E26" s="111" t="s">
        <v>312</v>
      </c>
      <c r="F26" s="111" t="s">
        <v>312</v>
      </c>
      <c r="G26" s="202" t="s">
        <v>157</v>
      </c>
      <c r="H26" s="203" t="s">
        <v>157</v>
      </c>
    </row>
    <row r="27" spans="1:8" x14ac:dyDescent="0.3">
      <c r="A27" s="572">
        <f t="shared" si="0"/>
        <v>22</v>
      </c>
      <c r="B27" s="574" t="s">
        <v>1341</v>
      </c>
      <c r="C27" s="145">
        <f>SUM(C28:C31)</f>
        <v>0</v>
      </c>
      <c r="D27" s="145">
        <f>SUM(D28:D31)</f>
        <v>30711.599999999999</v>
      </c>
      <c r="E27" s="145">
        <f>SUM(E28:E31)</f>
        <v>415.28</v>
      </c>
      <c r="F27" s="145">
        <f>SUM(F28:F31)</f>
        <v>38822.699999999997</v>
      </c>
      <c r="G27" s="158">
        <f t="shared" si="1"/>
        <v>415.28</v>
      </c>
      <c r="H27" s="146">
        <f t="shared" si="1"/>
        <v>8111.0999999999985</v>
      </c>
    </row>
    <row r="28" spans="1:8" x14ac:dyDescent="0.3">
      <c r="A28" s="572">
        <f t="shared" si="0"/>
        <v>23</v>
      </c>
      <c r="B28" s="575" t="s">
        <v>273</v>
      </c>
      <c r="C28" s="148"/>
      <c r="D28" s="148"/>
      <c r="E28" s="148"/>
      <c r="F28" s="148"/>
      <c r="G28" s="202">
        <f t="shared" si="1"/>
        <v>0</v>
      </c>
      <c r="H28" s="203">
        <f t="shared" si="1"/>
        <v>0</v>
      </c>
    </row>
    <row r="29" spans="1:8" x14ac:dyDescent="0.3">
      <c r="A29" s="572">
        <f t="shared" si="0"/>
        <v>24</v>
      </c>
      <c r="B29" s="576" t="s">
        <v>299</v>
      </c>
      <c r="C29" s="148"/>
      <c r="D29" s="148"/>
      <c r="E29" s="148"/>
      <c r="F29" s="148"/>
      <c r="G29" s="202">
        <f t="shared" si="1"/>
        <v>0</v>
      </c>
      <c r="H29" s="203">
        <f t="shared" si="1"/>
        <v>0</v>
      </c>
    </row>
    <row r="30" spans="1:8" x14ac:dyDescent="0.3">
      <c r="A30" s="572">
        <f t="shared" si="0"/>
        <v>25</v>
      </c>
      <c r="B30" s="576" t="s">
        <v>59</v>
      </c>
      <c r="C30" s="148"/>
      <c r="D30" s="148"/>
      <c r="E30" s="148"/>
      <c r="F30" s="148"/>
      <c r="G30" s="202">
        <f t="shared" si="1"/>
        <v>0</v>
      </c>
      <c r="H30" s="203">
        <f t="shared" si="1"/>
        <v>0</v>
      </c>
    </row>
    <row r="31" spans="1:8" x14ac:dyDescent="0.3">
      <c r="A31" s="572">
        <f t="shared" si="0"/>
        <v>26</v>
      </c>
      <c r="B31" s="575" t="s">
        <v>60</v>
      </c>
      <c r="C31" s="148"/>
      <c r="D31" s="148">
        <v>30711.599999999999</v>
      </c>
      <c r="E31" s="148">
        <v>415.28</v>
      </c>
      <c r="F31" s="148">
        <v>38822.699999999997</v>
      </c>
      <c r="G31" s="202">
        <f t="shared" si="1"/>
        <v>415.28</v>
      </c>
      <c r="H31" s="203">
        <f t="shared" si="1"/>
        <v>8111.0999999999985</v>
      </c>
    </row>
    <row r="32" spans="1:8" x14ac:dyDescent="0.3">
      <c r="A32" s="572">
        <f t="shared" si="0"/>
        <v>27</v>
      </c>
      <c r="B32" s="574" t="s">
        <v>1342</v>
      </c>
      <c r="C32" s="145">
        <f>SUM(C33:C39)</f>
        <v>973915.17999999993</v>
      </c>
      <c r="D32" s="145">
        <f>SUM(D33:D39)</f>
        <v>28826.379999999997</v>
      </c>
      <c r="E32" s="145">
        <f>SUM(E33:E39)</f>
        <v>526924.1100000001</v>
      </c>
      <c r="F32" s="145">
        <f>SUM(F33:F39)</f>
        <v>41568.519999999997</v>
      </c>
      <c r="G32" s="158">
        <f t="shared" si="1"/>
        <v>-446991.06999999983</v>
      </c>
      <c r="H32" s="146">
        <f t="shared" si="1"/>
        <v>12742.14</v>
      </c>
    </row>
    <row r="33" spans="1:8" x14ac:dyDescent="0.3">
      <c r="A33" s="572">
        <f t="shared" si="0"/>
        <v>28</v>
      </c>
      <c r="B33" s="575" t="s">
        <v>108</v>
      </c>
      <c r="C33" s="148">
        <v>776099.44</v>
      </c>
      <c r="D33" s="148">
        <v>10880.7</v>
      </c>
      <c r="E33" s="148">
        <v>305008.59000000003</v>
      </c>
      <c r="F33" s="148">
        <v>24336.16</v>
      </c>
      <c r="G33" s="202">
        <f t="shared" si="1"/>
        <v>-471090.84999999992</v>
      </c>
      <c r="H33" s="203">
        <f t="shared" si="1"/>
        <v>13455.46</v>
      </c>
    </row>
    <row r="34" spans="1:8" ht="31.2" x14ac:dyDescent="0.3">
      <c r="A34" s="572">
        <f t="shared" si="0"/>
        <v>29</v>
      </c>
      <c r="B34" s="575" t="s">
        <v>109</v>
      </c>
      <c r="C34" s="148">
        <v>77212.08</v>
      </c>
      <c r="D34" s="148">
        <v>9344.98</v>
      </c>
      <c r="E34" s="148">
        <v>97463.02</v>
      </c>
      <c r="F34" s="148">
        <v>7608.35</v>
      </c>
      <c r="G34" s="202">
        <f t="shared" si="1"/>
        <v>20250.940000000002</v>
      </c>
      <c r="H34" s="203">
        <f t="shared" si="1"/>
        <v>-1736.6299999999992</v>
      </c>
    </row>
    <row r="35" spans="1:8" x14ac:dyDescent="0.3">
      <c r="A35" s="572">
        <f t="shared" si="0"/>
        <v>30</v>
      </c>
      <c r="B35" s="575" t="s">
        <v>110</v>
      </c>
      <c r="C35" s="148">
        <v>22494.75</v>
      </c>
      <c r="D35" s="148">
        <v>992</v>
      </c>
      <c r="E35" s="148">
        <v>30188</v>
      </c>
      <c r="F35" s="148">
        <v>1769.21</v>
      </c>
      <c r="G35" s="202">
        <f t="shared" si="1"/>
        <v>7693.25</v>
      </c>
      <c r="H35" s="203">
        <f t="shared" si="1"/>
        <v>777.21</v>
      </c>
    </row>
    <row r="36" spans="1:8" x14ac:dyDescent="0.3">
      <c r="A36" s="572">
        <f t="shared" si="0"/>
        <v>31</v>
      </c>
      <c r="B36" s="575" t="s">
        <v>111</v>
      </c>
      <c r="C36" s="148">
        <v>17878.59</v>
      </c>
      <c r="D36" s="148">
        <v>4746.6899999999996</v>
      </c>
      <c r="E36" s="148">
        <v>31811.61</v>
      </c>
      <c r="F36" s="148">
        <v>6014.04</v>
      </c>
      <c r="G36" s="202">
        <f t="shared" si="1"/>
        <v>13933.02</v>
      </c>
      <c r="H36" s="203">
        <f t="shared" si="1"/>
        <v>1267.3500000000004</v>
      </c>
    </row>
    <row r="37" spans="1:8" ht="31.2" x14ac:dyDescent="0.3">
      <c r="A37" s="572">
        <f t="shared" si="0"/>
        <v>32</v>
      </c>
      <c r="B37" s="31" t="s">
        <v>112</v>
      </c>
      <c r="C37" s="148">
        <v>2794.51</v>
      </c>
      <c r="D37" s="148">
        <v>1840.2</v>
      </c>
      <c r="E37" s="148">
        <v>7874.2</v>
      </c>
      <c r="F37" s="148">
        <v>53.2</v>
      </c>
      <c r="G37" s="202">
        <f t="shared" si="1"/>
        <v>5079.6899999999996</v>
      </c>
      <c r="H37" s="203">
        <f t="shared" si="1"/>
        <v>-1787</v>
      </c>
    </row>
    <row r="38" spans="1:8" x14ac:dyDescent="0.3">
      <c r="A38" s="572">
        <f t="shared" si="0"/>
        <v>33</v>
      </c>
      <c r="B38" s="575" t="s">
        <v>1021</v>
      </c>
      <c r="C38" s="148">
        <v>34290.01</v>
      </c>
      <c r="D38" s="148">
        <v>634.44000000000005</v>
      </c>
      <c r="E38" s="148">
        <v>51700.21</v>
      </c>
      <c r="F38" s="148">
        <v>267.02999999999997</v>
      </c>
      <c r="G38" s="202">
        <f t="shared" si="1"/>
        <v>17410.199999999997</v>
      </c>
      <c r="H38" s="203">
        <f t="shared" si="1"/>
        <v>-367.41000000000008</v>
      </c>
    </row>
    <row r="39" spans="1:8" x14ac:dyDescent="0.3">
      <c r="A39" s="572">
        <f t="shared" si="0"/>
        <v>34</v>
      </c>
      <c r="B39" s="575" t="s">
        <v>113</v>
      </c>
      <c r="C39" s="148">
        <v>43145.8</v>
      </c>
      <c r="D39" s="148">
        <v>387.37</v>
      </c>
      <c r="E39" s="148">
        <v>2878.48</v>
      </c>
      <c r="F39" s="148">
        <v>1520.53</v>
      </c>
      <c r="G39" s="202">
        <f t="shared" si="1"/>
        <v>-40267.32</v>
      </c>
      <c r="H39" s="203">
        <f t="shared" si="1"/>
        <v>1133.1599999999999</v>
      </c>
    </row>
    <row r="40" spans="1:8" x14ac:dyDescent="0.3">
      <c r="A40" s="572">
        <f t="shared" si="0"/>
        <v>35</v>
      </c>
      <c r="B40" s="574" t="s">
        <v>1343</v>
      </c>
      <c r="C40" s="145">
        <f>C41+C42</f>
        <v>1415518.3399999999</v>
      </c>
      <c r="D40" s="145">
        <f>D41+D42</f>
        <v>6314.43</v>
      </c>
      <c r="E40" s="145">
        <f>E41+E42</f>
        <v>1376221.44</v>
      </c>
      <c r="F40" s="145">
        <f>F41+F42</f>
        <v>15490.33</v>
      </c>
      <c r="G40" s="158">
        <f t="shared" si="1"/>
        <v>-39296.899999999907</v>
      </c>
      <c r="H40" s="146">
        <f t="shared" si="1"/>
        <v>9175.9</v>
      </c>
    </row>
    <row r="41" spans="1:8" x14ac:dyDescent="0.3">
      <c r="A41" s="572">
        <f t="shared" si="0"/>
        <v>36</v>
      </c>
      <c r="B41" s="575" t="s">
        <v>962</v>
      </c>
      <c r="C41" s="148">
        <v>169564.16999999998</v>
      </c>
      <c r="D41" s="148">
        <v>6090.01</v>
      </c>
      <c r="E41" s="148">
        <v>154942.51999999999</v>
      </c>
      <c r="F41" s="148">
        <v>15077.11</v>
      </c>
      <c r="G41" s="202">
        <f t="shared" si="1"/>
        <v>-14621.649999999994</v>
      </c>
      <c r="H41" s="203">
        <f t="shared" si="1"/>
        <v>8987.1</v>
      </c>
    </row>
    <row r="42" spans="1:8" x14ac:dyDescent="0.3">
      <c r="A42" s="572">
        <f t="shared" si="0"/>
        <v>37</v>
      </c>
      <c r="B42" s="575" t="s">
        <v>963</v>
      </c>
      <c r="C42" s="148">
        <v>1245954.17</v>
      </c>
      <c r="D42" s="148">
        <v>224.42</v>
      </c>
      <c r="E42" s="148">
        <f>780601.55+440677.37</f>
        <v>1221278.92</v>
      </c>
      <c r="F42" s="148">
        <v>413.22</v>
      </c>
      <c r="G42" s="202">
        <f t="shared" si="1"/>
        <v>-24675.25</v>
      </c>
      <c r="H42" s="203">
        <f t="shared" si="1"/>
        <v>188.80000000000004</v>
      </c>
    </row>
    <row r="43" spans="1:8" x14ac:dyDescent="0.3">
      <c r="A43" s="572">
        <f t="shared" si="0"/>
        <v>38</v>
      </c>
      <c r="B43" s="574" t="s">
        <v>323</v>
      </c>
      <c r="C43" s="145">
        <v>42038.26</v>
      </c>
      <c r="D43" s="145">
        <v>2493.62</v>
      </c>
      <c r="E43" s="145">
        <v>51701.94</v>
      </c>
      <c r="F43" s="145">
        <v>1746.61</v>
      </c>
      <c r="G43" s="202">
        <f t="shared" si="1"/>
        <v>9663.68</v>
      </c>
      <c r="H43" s="203">
        <f t="shared" si="1"/>
        <v>-747.01</v>
      </c>
    </row>
    <row r="44" spans="1:8" x14ac:dyDescent="0.3">
      <c r="A44" s="572">
        <f t="shared" si="0"/>
        <v>39</v>
      </c>
      <c r="B44" s="574" t="s">
        <v>1344</v>
      </c>
      <c r="C44" s="145">
        <f>SUM(C45:C59)</f>
        <v>3822702.4</v>
      </c>
      <c r="D44" s="145">
        <f>SUM(D45:D59)</f>
        <v>278453.24000000005</v>
      </c>
      <c r="E44" s="145">
        <f>SUM(E45:E59)</f>
        <v>5175031.49</v>
      </c>
      <c r="F44" s="145">
        <f>SUM(F45:F59)</f>
        <v>325459.7</v>
      </c>
      <c r="G44" s="158">
        <f t="shared" si="1"/>
        <v>1352329.0900000003</v>
      </c>
      <c r="H44" s="146">
        <f t="shared" si="1"/>
        <v>47006.459999999963</v>
      </c>
    </row>
    <row r="45" spans="1:8" x14ac:dyDescent="0.3">
      <c r="A45" s="572">
        <f t="shared" si="0"/>
        <v>40</v>
      </c>
      <c r="B45" s="575" t="s">
        <v>115</v>
      </c>
      <c r="C45" s="148">
        <v>87951.25</v>
      </c>
      <c r="D45" s="148"/>
      <c r="E45" s="148">
        <v>91187.16</v>
      </c>
      <c r="F45" s="148">
        <v>54215.46</v>
      </c>
      <c r="G45" s="202">
        <f t="shared" si="1"/>
        <v>3235.9100000000035</v>
      </c>
      <c r="H45" s="203">
        <f t="shared" si="1"/>
        <v>54215.46</v>
      </c>
    </row>
    <row r="46" spans="1:8" x14ac:dyDescent="0.3">
      <c r="A46" s="572">
        <f t="shared" si="0"/>
        <v>41</v>
      </c>
      <c r="B46" s="575" t="s">
        <v>114</v>
      </c>
      <c r="C46" s="148">
        <v>2727.63</v>
      </c>
      <c r="D46" s="148">
        <v>278.88</v>
      </c>
      <c r="E46" s="148">
        <v>17000.18</v>
      </c>
      <c r="F46" s="148">
        <v>1501.64</v>
      </c>
      <c r="G46" s="202">
        <f t="shared" si="1"/>
        <v>14272.55</v>
      </c>
      <c r="H46" s="203">
        <f t="shared" si="1"/>
        <v>1222.7600000000002</v>
      </c>
    </row>
    <row r="47" spans="1:8" x14ac:dyDescent="0.3">
      <c r="A47" s="572">
        <f t="shared" si="0"/>
        <v>42</v>
      </c>
      <c r="B47" s="575" t="s">
        <v>116</v>
      </c>
      <c r="C47" s="148">
        <v>136497.73000000001</v>
      </c>
      <c r="D47" s="148">
        <v>178.4</v>
      </c>
      <c r="E47" s="148">
        <v>157420.26999999999</v>
      </c>
      <c r="F47" s="148">
        <v>222</v>
      </c>
      <c r="G47" s="202">
        <f t="shared" si="1"/>
        <v>20922.539999999979</v>
      </c>
      <c r="H47" s="203">
        <f t="shared" si="1"/>
        <v>43.599999999999994</v>
      </c>
    </row>
    <row r="48" spans="1:8" x14ac:dyDescent="0.3">
      <c r="A48" s="572">
        <f t="shared" si="0"/>
        <v>43</v>
      </c>
      <c r="B48" s="575" t="s">
        <v>117</v>
      </c>
      <c r="C48" s="148">
        <v>288899.77</v>
      </c>
      <c r="D48" s="148">
        <v>223163.07</v>
      </c>
      <c r="E48" s="148">
        <v>111582.42</v>
      </c>
      <c r="F48" s="148">
        <v>183681.85</v>
      </c>
      <c r="G48" s="202">
        <f t="shared" si="1"/>
        <v>-177317.35000000003</v>
      </c>
      <c r="H48" s="203">
        <f t="shared" si="1"/>
        <v>-39481.22</v>
      </c>
    </row>
    <row r="49" spans="1:8" x14ac:dyDescent="0.3">
      <c r="A49" s="572">
        <f t="shared" si="0"/>
        <v>44</v>
      </c>
      <c r="B49" s="575" t="s">
        <v>964</v>
      </c>
      <c r="C49" s="148">
        <v>65211.199999999997</v>
      </c>
      <c r="D49" s="148">
        <v>5734.3099999999995</v>
      </c>
      <c r="E49" s="148">
        <v>59801.22</v>
      </c>
      <c r="F49" s="148">
        <v>5820.99</v>
      </c>
      <c r="G49" s="202">
        <f t="shared" si="1"/>
        <v>-5409.9799999999959</v>
      </c>
      <c r="H49" s="203">
        <f t="shared" si="1"/>
        <v>86.680000000000291</v>
      </c>
    </row>
    <row r="50" spans="1:8" x14ac:dyDescent="0.3">
      <c r="A50" s="572">
        <f t="shared" si="0"/>
        <v>45</v>
      </c>
      <c r="B50" s="575" t="s">
        <v>118</v>
      </c>
      <c r="C50" s="148">
        <v>1420.83</v>
      </c>
      <c r="D50" s="148">
        <v>600.88</v>
      </c>
      <c r="E50" s="148">
        <v>5135.37</v>
      </c>
      <c r="F50" s="148">
        <v>1531.96</v>
      </c>
      <c r="G50" s="202">
        <f t="shared" si="1"/>
        <v>3714.54</v>
      </c>
      <c r="H50" s="203">
        <f t="shared" si="1"/>
        <v>931.08</v>
      </c>
    </row>
    <row r="51" spans="1:8" x14ac:dyDescent="0.3">
      <c r="A51" s="572">
        <f t="shared" si="0"/>
        <v>46</v>
      </c>
      <c r="B51" s="575" t="s">
        <v>965</v>
      </c>
      <c r="C51" s="148">
        <v>49957.26</v>
      </c>
      <c r="D51" s="148">
        <v>1640.42</v>
      </c>
      <c r="E51" s="148">
        <v>49257.96</v>
      </c>
      <c r="F51" s="148">
        <v>2409.0100000000002</v>
      </c>
      <c r="G51" s="202">
        <f t="shared" si="1"/>
        <v>-699.30000000000291</v>
      </c>
      <c r="H51" s="203">
        <f t="shared" si="1"/>
        <v>768.59000000000015</v>
      </c>
    </row>
    <row r="52" spans="1:8" x14ac:dyDescent="0.3">
      <c r="A52" s="572">
        <f t="shared" si="0"/>
        <v>47</v>
      </c>
      <c r="B52" s="575" t="s">
        <v>966</v>
      </c>
      <c r="C52" s="148">
        <v>10971.6</v>
      </c>
      <c r="D52" s="148"/>
      <c r="E52" s="148">
        <v>19360.02</v>
      </c>
      <c r="F52" s="148"/>
      <c r="G52" s="202">
        <f t="shared" si="1"/>
        <v>8388.42</v>
      </c>
      <c r="H52" s="203">
        <f t="shared" si="1"/>
        <v>0</v>
      </c>
    </row>
    <row r="53" spans="1:8" x14ac:dyDescent="0.3">
      <c r="A53" s="572">
        <f t="shared" si="0"/>
        <v>48</v>
      </c>
      <c r="B53" s="575" t="s">
        <v>119</v>
      </c>
      <c r="C53" s="148">
        <v>33599.1</v>
      </c>
      <c r="D53" s="148">
        <v>1517.93</v>
      </c>
      <c r="E53" s="148">
        <v>41519.019999999997</v>
      </c>
      <c r="F53" s="148">
        <v>1032.6300000000001</v>
      </c>
      <c r="G53" s="202">
        <f t="shared" si="1"/>
        <v>7919.9199999999983</v>
      </c>
      <c r="H53" s="203">
        <f t="shared" si="1"/>
        <v>-485.29999999999995</v>
      </c>
    </row>
    <row r="54" spans="1:8" x14ac:dyDescent="0.3">
      <c r="A54" s="572">
        <f t="shared" si="0"/>
        <v>49</v>
      </c>
      <c r="B54" s="575" t="s">
        <v>120</v>
      </c>
      <c r="C54" s="148">
        <v>0</v>
      </c>
      <c r="D54" s="148"/>
      <c r="E54" s="148"/>
      <c r="F54" s="148"/>
      <c r="G54" s="202">
        <f t="shared" si="1"/>
        <v>0</v>
      </c>
      <c r="H54" s="203">
        <f t="shared" si="1"/>
        <v>0</v>
      </c>
    </row>
    <row r="55" spans="1:8" x14ac:dyDescent="0.3">
      <c r="A55" s="572">
        <f t="shared" si="0"/>
        <v>50</v>
      </c>
      <c r="B55" s="575" t="s">
        <v>121</v>
      </c>
      <c r="C55" s="148">
        <v>12109.82</v>
      </c>
      <c r="D55" s="148">
        <v>0.7</v>
      </c>
      <c r="E55" s="148">
        <v>11992.85</v>
      </c>
      <c r="F55" s="148">
        <v>178.92</v>
      </c>
      <c r="G55" s="202">
        <f t="shared" si="1"/>
        <v>-116.96999999999935</v>
      </c>
      <c r="H55" s="203">
        <f t="shared" si="1"/>
        <v>178.22</v>
      </c>
    </row>
    <row r="56" spans="1:8" x14ac:dyDescent="0.3">
      <c r="A56" s="572">
        <f t="shared" si="0"/>
        <v>51</v>
      </c>
      <c r="B56" s="575" t="s">
        <v>90</v>
      </c>
      <c r="C56" s="148">
        <v>50428.22</v>
      </c>
      <c r="D56" s="148">
        <v>6468.84</v>
      </c>
      <c r="E56" s="148">
        <v>38123.46</v>
      </c>
      <c r="F56" s="148">
        <v>3257.1</v>
      </c>
      <c r="G56" s="202">
        <f t="shared" si="1"/>
        <v>-12304.760000000002</v>
      </c>
      <c r="H56" s="203">
        <f t="shared" si="1"/>
        <v>-3211.7400000000002</v>
      </c>
    </row>
    <row r="57" spans="1:8" x14ac:dyDescent="0.3">
      <c r="A57" s="572">
        <f t="shared" si="0"/>
        <v>52</v>
      </c>
      <c r="B57" s="575" t="s">
        <v>91</v>
      </c>
      <c r="C57" s="148">
        <v>0</v>
      </c>
      <c r="D57" s="148"/>
      <c r="E57" s="148">
        <v>35</v>
      </c>
      <c r="F57" s="148"/>
      <c r="G57" s="202">
        <f t="shared" si="1"/>
        <v>35</v>
      </c>
      <c r="H57" s="203">
        <f t="shared" si="1"/>
        <v>0</v>
      </c>
    </row>
    <row r="58" spans="1:8" ht="31.2" x14ac:dyDescent="0.3">
      <c r="A58" s="572">
        <f t="shared" si="0"/>
        <v>53</v>
      </c>
      <c r="B58" s="575" t="s">
        <v>967</v>
      </c>
      <c r="C58" s="148">
        <v>2189657.9500000002</v>
      </c>
      <c r="D58" s="148">
        <v>22044.04</v>
      </c>
      <c r="E58" s="148">
        <v>3189522.85</v>
      </c>
      <c r="F58" s="148">
        <f>67371.56</f>
        <v>67371.56</v>
      </c>
      <c r="G58" s="202">
        <f t="shared" si="1"/>
        <v>999864.89999999991</v>
      </c>
      <c r="H58" s="203">
        <f t="shared" si="1"/>
        <v>45327.519999999997</v>
      </c>
    </row>
    <row r="59" spans="1:8" x14ac:dyDescent="0.3">
      <c r="A59" s="572">
        <f t="shared" si="0"/>
        <v>54</v>
      </c>
      <c r="B59" s="575" t="s">
        <v>122</v>
      </c>
      <c r="C59" s="148">
        <v>893270.04</v>
      </c>
      <c r="D59" s="148">
        <v>16825.77</v>
      </c>
      <c r="E59" s="148">
        <v>1383093.71</v>
      </c>
      <c r="F59" s="148">
        <v>4236.58</v>
      </c>
      <c r="G59" s="202">
        <f t="shared" si="1"/>
        <v>489823.66999999993</v>
      </c>
      <c r="H59" s="203">
        <f t="shared" si="1"/>
        <v>-12589.19</v>
      </c>
    </row>
    <row r="60" spans="1:8" x14ac:dyDescent="0.3">
      <c r="A60" s="572">
        <f t="shared" si="0"/>
        <v>55</v>
      </c>
      <c r="B60" s="574" t="s">
        <v>1345</v>
      </c>
      <c r="C60" s="145">
        <f>C61+C62</f>
        <v>19555741.75</v>
      </c>
      <c r="D60" s="145">
        <f>D61+D62</f>
        <v>413391.21</v>
      </c>
      <c r="E60" s="145">
        <f>E61+E62</f>
        <v>20490332.169999998</v>
      </c>
      <c r="F60" s="145">
        <f>F61+F62</f>
        <v>593873.59000000008</v>
      </c>
      <c r="G60" s="158">
        <f t="shared" si="1"/>
        <v>934590.41999999806</v>
      </c>
      <c r="H60" s="146">
        <f t="shared" si="1"/>
        <v>180482.38000000006</v>
      </c>
    </row>
    <row r="61" spans="1:8" x14ac:dyDescent="0.3">
      <c r="A61" s="572">
        <f t="shared" si="0"/>
        <v>56</v>
      </c>
      <c r="B61" s="575" t="s">
        <v>968</v>
      </c>
      <c r="C61" s="148">
        <v>19075448.280000001</v>
      </c>
      <c r="D61" s="148">
        <v>380663.63</v>
      </c>
      <c r="E61" s="148">
        <v>20017734.629999999</v>
      </c>
      <c r="F61" s="148">
        <v>534785.41</v>
      </c>
      <c r="G61" s="202">
        <f t="shared" si="1"/>
        <v>942286.34999999776</v>
      </c>
      <c r="H61" s="203">
        <f t="shared" si="1"/>
        <v>154121.78000000003</v>
      </c>
    </row>
    <row r="62" spans="1:8" x14ac:dyDescent="0.3">
      <c r="A62" s="572">
        <f t="shared" si="0"/>
        <v>57</v>
      </c>
      <c r="B62" s="574" t="s">
        <v>4</v>
      </c>
      <c r="C62" s="145">
        <f>SUM(C63:C65)</f>
        <v>480293.47</v>
      </c>
      <c r="D62" s="145">
        <f>SUM(D63:D65)</f>
        <v>32727.58</v>
      </c>
      <c r="E62" s="145">
        <f>SUM(E63:E65)</f>
        <v>472597.54</v>
      </c>
      <c r="F62" s="145">
        <f>SUM(F63:F65)</f>
        <v>59088.179999999993</v>
      </c>
      <c r="G62" s="158">
        <f t="shared" si="1"/>
        <v>-7695.929999999993</v>
      </c>
      <c r="H62" s="146">
        <f t="shared" si="1"/>
        <v>26360.599999999991</v>
      </c>
    </row>
    <row r="63" spans="1:8" s="579" customFormat="1" ht="16.5" customHeight="1" x14ac:dyDescent="0.25">
      <c r="A63" s="572">
        <f t="shared" si="0"/>
        <v>58</v>
      </c>
      <c r="B63" s="577" t="s">
        <v>2</v>
      </c>
      <c r="C63" s="578"/>
      <c r="D63" s="578"/>
      <c r="E63" s="578"/>
      <c r="F63" s="578"/>
      <c r="G63" s="202">
        <f t="shared" si="1"/>
        <v>0</v>
      </c>
      <c r="H63" s="203">
        <f t="shared" si="1"/>
        <v>0</v>
      </c>
    </row>
    <row r="64" spans="1:8" ht="31.2" x14ac:dyDescent="0.3">
      <c r="A64" s="572">
        <f t="shared" si="0"/>
        <v>59</v>
      </c>
      <c r="B64" s="577" t="s">
        <v>3</v>
      </c>
      <c r="C64" s="148">
        <v>451281.1</v>
      </c>
      <c r="D64" s="148">
        <v>24492.06</v>
      </c>
      <c r="E64" s="148">
        <v>444585.87</v>
      </c>
      <c r="F64" s="148">
        <v>48999.7</v>
      </c>
      <c r="G64" s="202">
        <f t="shared" si="1"/>
        <v>-6695.2299999999814</v>
      </c>
      <c r="H64" s="203">
        <f t="shared" si="1"/>
        <v>24507.639999999996</v>
      </c>
    </row>
    <row r="65" spans="1:8" x14ac:dyDescent="0.3">
      <c r="A65" s="572">
        <f t="shared" si="0"/>
        <v>60</v>
      </c>
      <c r="B65" s="575" t="s">
        <v>238</v>
      </c>
      <c r="C65" s="148">
        <v>29012.37</v>
      </c>
      <c r="D65" s="148">
        <v>8235.52</v>
      </c>
      <c r="E65" s="148">
        <v>28011.67</v>
      </c>
      <c r="F65" s="148">
        <v>10088.48</v>
      </c>
      <c r="G65" s="202">
        <f t="shared" si="1"/>
        <v>-1000.7000000000007</v>
      </c>
      <c r="H65" s="203">
        <f t="shared" si="1"/>
        <v>1852.9599999999991</v>
      </c>
    </row>
    <row r="66" spans="1:8" x14ac:dyDescent="0.3">
      <c r="A66" s="572">
        <f t="shared" si="0"/>
        <v>61</v>
      </c>
      <c r="B66" s="574" t="s">
        <v>178</v>
      </c>
      <c r="C66" s="148">
        <v>6619362.5199999996</v>
      </c>
      <c r="D66" s="148">
        <v>139786.38</v>
      </c>
      <c r="E66" s="148">
        <v>6925661.3899999997</v>
      </c>
      <c r="F66" s="148">
        <v>197335.43</v>
      </c>
      <c r="G66" s="202">
        <f t="shared" si="1"/>
        <v>306298.87000000011</v>
      </c>
      <c r="H66" s="203">
        <f t="shared" si="1"/>
        <v>57549.049999999988</v>
      </c>
    </row>
    <row r="67" spans="1:8" x14ac:dyDescent="0.3">
      <c r="A67" s="572">
        <f t="shared" si="0"/>
        <v>62</v>
      </c>
      <c r="B67" s="574" t="s">
        <v>21</v>
      </c>
      <c r="C67" s="148">
        <v>105344.48</v>
      </c>
      <c r="D67" s="148">
        <v>3677.7</v>
      </c>
      <c r="E67" s="148">
        <v>128891.42</v>
      </c>
      <c r="F67" s="148">
        <v>6129.58</v>
      </c>
      <c r="G67" s="202">
        <f t="shared" si="1"/>
        <v>23546.940000000002</v>
      </c>
      <c r="H67" s="203">
        <f t="shared" si="1"/>
        <v>2451.88</v>
      </c>
    </row>
    <row r="68" spans="1:8" x14ac:dyDescent="0.3">
      <c r="A68" s="572">
        <f t="shared" si="0"/>
        <v>63</v>
      </c>
      <c r="B68" s="574" t="s">
        <v>5</v>
      </c>
      <c r="C68" s="145">
        <f>SUM(C69:C74)</f>
        <v>577138.67999999993</v>
      </c>
      <c r="D68" s="145">
        <f>SUM(D69:D74)</f>
        <v>7368.58</v>
      </c>
      <c r="E68" s="145">
        <f>SUM(E69:E74)</f>
        <v>629674.16</v>
      </c>
      <c r="F68" s="145">
        <f>SUM(F69:F74)</f>
        <v>8122.65</v>
      </c>
      <c r="G68" s="158">
        <f t="shared" si="1"/>
        <v>52535.480000000098</v>
      </c>
      <c r="H68" s="146">
        <f t="shared" si="1"/>
        <v>754.06999999999971</v>
      </c>
    </row>
    <row r="69" spans="1:8" x14ac:dyDescent="0.3">
      <c r="A69" s="572">
        <f t="shared" si="0"/>
        <v>64</v>
      </c>
      <c r="B69" s="575" t="s">
        <v>78</v>
      </c>
      <c r="C69" s="148">
        <v>206939.75</v>
      </c>
      <c r="D69" s="148">
        <v>4608.45</v>
      </c>
      <c r="E69" s="148">
        <v>217426.12</v>
      </c>
      <c r="F69" s="148">
        <v>5911.51</v>
      </c>
      <c r="G69" s="202">
        <f t="shared" si="1"/>
        <v>10486.369999999995</v>
      </c>
      <c r="H69" s="203">
        <f t="shared" si="1"/>
        <v>1303.0600000000004</v>
      </c>
    </row>
    <row r="70" spans="1:8" x14ac:dyDescent="0.3">
      <c r="A70" s="572">
        <f t="shared" si="0"/>
        <v>65</v>
      </c>
      <c r="B70" s="575" t="s">
        <v>123</v>
      </c>
      <c r="C70" s="148">
        <v>285431.39</v>
      </c>
      <c r="D70" s="148"/>
      <c r="E70" s="148">
        <v>311045.17</v>
      </c>
      <c r="F70" s="148"/>
      <c r="G70" s="202">
        <f t="shared" si="1"/>
        <v>25613.77999999997</v>
      </c>
      <c r="H70" s="203">
        <f t="shared" si="1"/>
        <v>0</v>
      </c>
    </row>
    <row r="71" spans="1:8" x14ac:dyDescent="0.3">
      <c r="A71" s="572">
        <f t="shared" si="0"/>
        <v>66</v>
      </c>
      <c r="B71" s="575" t="s">
        <v>124</v>
      </c>
      <c r="C71" s="148">
        <v>51424.480000000003</v>
      </c>
      <c r="D71" s="148">
        <v>1476</v>
      </c>
      <c r="E71" s="148">
        <v>49707.23</v>
      </c>
      <c r="F71" s="148"/>
      <c r="G71" s="202">
        <f t="shared" si="1"/>
        <v>-1717.25</v>
      </c>
      <c r="H71" s="203">
        <f t="shared" si="1"/>
        <v>-1476</v>
      </c>
    </row>
    <row r="72" spans="1:8" x14ac:dyDescent="0.3">
      <c r="A72" s="572">
        <f t="shared" ref="A72:A102" si="2">A71+1</f>
        <v>67</v>
      </c>
      <c r="B72" s="575" t="s">
        <v>125</v>
      </c>
      <c r="C72" s="148">
        <v>33320.370000000003</v>
      </c>
      <c r="D72" s="148">
        <v>1284.1300000000001</v>
      </c>
      <c r="E72" s="148">
        <v>51495.64</v>
      </c>
      <c r="F72" s="148">
        <v>2211.14</v>
      </c>
      <c r="G72" s="202">
        <f t="shared" ref="G72:H101" si="3">E72-C72</f>
        <v>18175.269999999997</v>
      </c>
      <c r="H72" s="203">
        <f t="shared" si="3"/>
        <v>927.00999999999976</v>
      </c>
    </row>
    <row r="73" spans="1:8" x14ac:dyDescent="0.3">
      <c r="A73" s="572">
        <f t="shared" si="2"/>
        <v>68</v>
      </c>
      <c r="B73" s="575" t="s">
        <v>126</v>
      </c>
      <c r="C73" s="148">
        <v>22.69</v>
      </c>
      <c r="D73" s="148"/>
      <c r="E73" s="148"/>
      <c r="F73" s="148"/>
      <c r="G73" s="202">
        <f t="shared" si="3"/>
        <v>-22.69</v>
      </c>
      <c r="H73" s="203">
        <f t="shared" si="3"/>
        <v>0</v>
      </c>
    </row>
    <row r="74" spans="1:8" x14ac:dyDescent="0.3">
      <c r="A74" s="572">
        <f t="shared" si="2"/>
        <v>69</v>
      </c>
      <c r="B74" s="575" t="s">
        <v>127</v>
      </c>
      <c r="C74" s="148">
        <v>0</v>
      </c>
      <c r="D74" s="148"/>
      <c r="E74" s="148"/>
      <c r="F74" s="148"/>
      <c r="G74" s="202">
        <f t="shared" si="3"/>
        <v>0</v>
      </c>
      <c r="H74" s="203">
        <f t="shared" si="3"/>
        <v>0</v>
      </c>
    </row>
    <row r="75" spans="1:8" x14ac:dyDescent="0.3">
      <c r="A75" s="572">
        <f t="shared" si="2"/>
        <v>70</v>
      </c>
      <c r="B75" s="574" t="s">
        <v>36</v>
      </c>
      <c r="C75" s="148">
        <v>0</v>
      </c>
      <c r="D75" s="148"/>
      <c r="E75" s="148"/>
      <c r="F75" s="148"/>
      <c r="G75" s="202">
        <f t="shared" si="3"/>
        <v>0</v>
      </c>
      <c r="H75" s="203">
        <f t="shared" si="3"/>
        <v>0</v>
      </c>
    </row>
    <row r="76" spans="1:8" x14ac:dyDescent="0.3">
      <c r="A76" s="572">
        <f t="shared" si="2"/>
        <v>71</v>
      </c>
      <c r="B76" s="574" t="s">
        <v>373</v>
      </c>
      <c r="C76" s="148">
        <v>0</v>
      </c>
      <c r="D76" s="148">
        <v>124.15</v>
      </c>
      <c r="E76" s="148"/>
      <c r="F76" s="148">
        <v>124.15</v>
      </c>
      <c r="G76" s="202">
        <f t="shared" si="3"/>
        <v>0</v>
      </c>
      <c r="H76" s="203">
        <f t="shared" si="3"/>
        <v>0</v>
      </c>
    </row>
    <row r="77" spans="1:8" x14ac:dyDescent="0.3">
      <c r="A77" s="572">
        <f t="shared" si="2"/>
        <v>72</v>
      </c>
      <c r="B77" s="574" t="s">
        <v>180</v>
      </c>
      <c r="C77" s="148">
        <v>23234.38</v>
      </c>
      <c r="D77" s="148">
        <v>2184.92</v>
      </c>
      <c r="E77" s="148">
        <v>21189.66</v>
      </c>
      <c r="F77" s="148">
        <v>4200.76</v>
      </c>
      <c r="G77" s="202">
        <f t="shared" si="3"/>
        <v>-2044.7200000000012</v>
      </c>
      <c r="H77" s="203">
        <f t="shared" si="3"/>
        <v>2015.8400000000001</v>
      </c>
    </row>
    <row r="78" spans="1:8" x14ac:dyDescent="0.3">
      <c r="A78" s="572">
        <f t="shared" si="2"/>
        <v>73</v>
      </c>
      <c r="B78" s="574" t="s">
        <v>296</v>
      </c>
      <c r="C78" s="148">
        <v>139806.21</v>
      </c>
      <c r="D78" s="148">
        <v>3555.78</v>
      </c>
      <c r="E78" s="148">
        <v>118997.85</v>
      </c>
      <c r="F78" s="148">
        <v>2986.31</v>
      </c>
      <c r="G78" s="202">
        <f t="shared" si="3"/>
        <v>-20808.359999999986</v>
      </c>
      <c r="H78" s="203">
        <f t="shared" si="3"/>
        <v>-569.47000000000025</v>
      </c>
    </row>
    <row r="79" spans="1:8" x14ac:dyDescent="0.3">
      <c r="A79" s="572">
        <f t="shared" si="2"/>
        <v>74</v>
      </c>
      <c r="B79" s="574" t="s">
        <v>1346</v>
      </c>
      <c r="C79" s="145">
        <f>C80+C81</f>
        <v>6310314.4000000004</v>
      </c>
      <c r="D79" s="145">
        <f>D80+D81</f>
        <v>31916.84</v>
      </c>
      <c r="E79" s="145">
        <f>E80+E81</f>
        <v>5475418.2199999997</v>
      </c>
      <c r="F79" s="145">
        <f>F80+F81</f>
        <v>99793.96</v>
      </c>
      <c r="G79" s="158">
        <f t="shared" si="3"/>
        <v>-834896.18000000063</v>
      </c>
      <c r="H79" s="146">
        <f t="shared" si="3"/>
        <v>67877.12000000001</v>
      </c>
    </row>
    <row r="80" spans="1:8" ht="31.2" x14ac:dyDescent="0.3">
      <c r="A80" s="572">
        <f t="shared" si="2"/>
        <v>75</v>
      </c>
      <c r="B80" s="574" t="s">
        <v>241</v>
      </c>
      <c r="C80" s="145">
        <v>16401.23</v>
      </c>
      <c r="D80" s="145">
        <v>257.83999999999997</v>
      </c>
      <c r="E80" s="145">
        <v>24426.17</v>
      </c>
      <c r="F80" s="145">
        <v>4.99</v>
      </c>
      <c r="G80" s="202">
        <f t="shared" si="3"/>
        <v>8024.9399999999987</v>
      </c>
      <c r="H80" s="203">
        <f t="shared" si="3"/>
        <v>-252.84999999999997</v>
      </c>
    </row>
    <row r="81" spans="1:9" x14ac:dyDescent="0.3">
      <c r="A81" s="572">
        <f t="shared" si="2"/>
        <v>76</v>
      </c>
      <c r="B81" s="574" t="s">
        <v>6</v>
      </c>
      <c r="C81" s="145">
        <f>SUM(C82:C88)</f>
        <v>6293913.1699999999</v>
      </c>
      <c r="D81" s="145">
        <f>SUM(D82:D88)</f>
        <v>31659</v>
      </c>
      <c r="E81" s="145">
        <f>SUM(E82:E88)</f>
        <v>5450992.0499999998</v>
      </c>
      <c r="F81" s="145">
        <f>SUM(F82:F88)</f>
        <v>99788.97</v>
      </c>
      <c r="G81" s="158">
        <f t="shared" si="3"/>
        <v>-842921.12000000011</v>
      </c>
      <c r="H81" s="146">
        <f t="shared" si="3"/>
        <v>68129.97</v>
      </c>
      <c r="I81" s="580"/>
    </row>
    <row r="82" spans="1:9" x14ac:dyDescent="0.3">
      <c r="A82" s="572">
        <f t="shared" si="2"/>
        <v>77</v>
      </c>
      <c r="B82" s="575" t="s">
        <v>888</v>
      </c>
      <c r="C82" s="148">
        <v>2141898.0099999998</v>
      </c>
      <c r="D82" s="148">
        <v>200</v>
      </c>
      <c r="E82" s="148">
        <v>2088649.37</v>
      </c>
      <c r="F82" s="148"/>
      <c r="G82" s="202">
        <f t="shared" si="3"/>
        <v>-53248.639999999665</v>
      </c>
      <c r="H82" s="203">
        <f t="shared" si="3"/>
        <v>-200</v>
      </c>
    </row>
    <row r="83" spans="1:9" x14ac:dyDescent="0.3">
      <c r="A83" s="572">
        <f t="shared" si="2"/>
        <v>78</v>
      </c>
      <c r="B83" s="575" t="s">
        <v>128</v>
      </c>
      <c r="C83" s="148">
        <v>4342.4399999999996</v>
      </c>
      <c r="D83" s="148">
        <v>209.8</v>
      </c>
      <c r="E83" s="148">
        <v>4447.91</v>
      </c>
      <c r="F83" s="148">
        <v>298.25</v>
      </c>
      <c r="G83" s="202">
        <f t="shared" si="3"/>
        <v>105.47000000000025</v>
      </c>
      <c r="H83" s="203">
        <f t="shared" si="3"/>
        <v>88.449999999999989</v>
      </c>
    </row>
    <row r="84" spans="1:9" x14ac:dyDescent="0.3">
      <c r="A84" s="572">
        <f t="shared" si="2"/>
        <v>79</v>
      </c>
      <c r="B84" s="575" t="s">
        <v>129</v>
      </c>
      <c r="C84" s="148">
        <v>0</v>
      </c>
      <c r="D84" s="148"/>
      <c r="E84" s="148"/>
      <c r="F84" s="148"/>
      <c r="G84" s="202">
        <f t="shared" si="3"/>
        <v>0</v>
      </c>
      <c r="H84" s="203">
        <f t="shared" si="3"/>
        <v>0</v>
      </c>
    </row>
    <row r="85" spans="1:9" ht="31.2" x14ac:dyDescent="0.3">
      <c r="A85" s="572">
        <f t="shared" si="2"/>
        <v>80</v>
      </c>
      <c r="B85" s="575" t="s">
        <v>1022</v>
      </c>
      <c r="C85" s="148">
        <v>52908.95</v>
      </c>
      <c r="D85" s="148">
        <v>27.04</v>
      </c>
      <c r="E85" s="148">
        <v>56111.05</v>
      </c>
      <c r="F85" s="148">
        <v>708.35</v>
      </c>
      <c r="G85" s="202">
        <f t="shared" si="3"/>
        <v>3202.1000000000058</v>
      </c>
      <c r="H85" s="203">
        <f t="shared" si="3"/>
        <v>681.31000000000006</v>
      </c>
    </row>
    <row r="86" spans="1:9" x14ac:dyDescent="0.3">
      <c r="A86" s="572">
        <f t="shared" si="2"/>
        <v>81</v>
      </c>
      <c r="B86" s="575" t="s">
        <v>130</v>
      </c>
      <c r="C86" s="148">
        <v>22163</v>
      </c>
      <c r="D86" s="148"/>
      <c r="E86" s="148">
        <f>2390</f>
        <v>2390</v>
      </c>
      <c r="F86" s="148"/>
      <c r="G86" s="202">
        <f t="shared" si="3"/>
        <v>-19773</v>
      </c>
      <c r="H86" s="203">
        <f t="shared" si="3"/>
        <v>0</v>
      </c>
    </row>
    <row r="87" spans="1:9" x14ac:dyDescent="0.3">
      <c r="A87" s="572">
        <f t="shared" si="2"/>
        <v>82</v>
      </c>
      <c r="B87" s="575" t="s">
        <v>131</v>
      </c>
      <c r="C87" s="148">
        <v>46979.9</v>
      </c>
      <c r="D87" s="148">
        <v>0</v>
      </c>
      <c r="E87" s="148">
        <f>26990+13081.94</f>
        <v>40071.94</v>
      </c>
      <c r="F87" s="148">
        <v>-13.44</v>
      </c>
      <c r="G87" s="202">
        <f t="shared" si="3"/>
        <v>-6907.9599999999991</v>
      </c>
      <c r="H87" s="203">
        <f t="shared" si="3"/>
        <v>-13.44</v>
      </c>
    </row>
    <row r="88" spans="1:9" x14ac:dyDescent="0.3">
      <c r="A88" s="572">
        <f t="shared" si="2"/>
        <v>83</v>
      </c>
      <c r="B88" s="575" t="s">
        <v>1284</v>
      </c>
      <c r="C88" s="148">
        <f>217350.33+3808270.54</f>
        <v>4025620.87</v>
      </c>
      <c r="D88" s="148">
        <f>-0.73+31222.89</f>
        <v>31222.16</v>
      </c>
      <c r="E88" s="148">
        <f>21341.34+3237980.44</f>
        <v>3259321.78</v>
      </c>
      <c r="F88" s="148">
        <f>53.34+98742.47</f>
        <v>98795.81</v>
      </c>
      <c r="G88" s="202">
        <f t="shared" si="3"/>
        <v>-766299.09000000032</v>
      </c>
      <c r="H88" s="203">
        <f t="shared" si="3"/>
        <v>67573.649999999994</v>
      </c>
    </row>
    <row r="89" spans="1:9" ht="31.2" x14ac:dyDescent="0.3">
      <c r="A89" s="572">
        <f t="shared" si="2"/>
        <v>84</v>
      </c>
      <c r="B89" s="574" t="s">
        <v>1139</v>
      </c>
      <c r="C89" s="145">
        <f>SUM(C90:C98)</f>
        <v>6728850.0999999996</v>
      </c>
      <c r="D89" s="145">
        <f>SUM(D90:D98)</f>
        <v>70285.820000000007</v>
      </c>
      <c r="E89" s="145">
        <f>SUM(E90:E98)</f>
        <v>5777339.6799999997</v>
      </c>
      <c r="F89" s="145">
        <f>SUM(F90:F98)</f>
        <v>28315.39</v>
      </c>
      <c r="G89" s="158">
        <f t="shared" si="3"/>
        <v>-951510.41999999993</v>
      </c>
      <c r="H89" s="146">
        <f t="shared" si="3"/>
        <v>-41970.430000000008</v>
      </c>
    </row>
    <row r="90" spans="1:9" ht="31.5" customHeight="1" x14ac:dyDescent="0.3">
      <c r="A90" s="572">
        <f t="shared" si="2"/>
        <v>85</v>
      </c>
      <c r="B90" s="575" t="s">
        <v>969</v>
      </c>
      <c r="C90" s="148">
        <v>747669.74</v>
      </c>
      <c r="D90" s="148"/>
      <c r="E90" s="148">
        <v>513833.26</v>
      </c>
      <c r="F90" s="148"/>
      <c r="G90" s="202">
        <f t="shared" si="3"/>
        <v>-233836.47999999998</v>
      </c>
      <c r="H90" s="203">
        <f t="shared" si="3"/>
        <v>0</v>
      </c>
    </row>
    <row r="91" spans="1:9" x14ac:dyDescent="0.3">
      <c r="A91" s="572">
        <f t="shared" si="2"/>
        <v>86</v>
      </c>
      <c r="B91" s="575" t="s">
        <v>982</v>
      </c>
      <c r="C91" s="148">
        <v>1257512.68</v>
      </c>
      <c r="D91" s="148">
        <v>42375.64</v>
      </c>
      <c r="E91" s="148">
        <v>1127244.1399999999</v>
      </c>
      <c r="F91" s="148">
        <v>28315.39</v>
      </c>
      <c r="G91" s="202">
        <f t="shared" si="3"/>
        <v>-130268.54000000004</v>
      </c>
      <c r="H91" s="203">
        <f t="shared" si="3"/>
        <v>-14060.25</v>
      </c>
    </row>
    <row r="92" spans="1:9" ht="31.2" x14ac:dyDescent="0.3">
      <c r="A92" s="572" t="s">
        <v>819</v>
      </c>
      <c r="B92" s="575" t="s">
        <v>983</v>
      </c>
      <c r="C92" s="148">
        <v>4535895.1399999997</v>
      </c>
      <c r="D92" s="148"/>
      <c r="E92" s="148">
        <v>4083479.68</v>
      </c>
      <c r="F92" s="148"/>
      <c r="G92" s="202">
        <f>E92-C92</f>
        <v>-452415.4599999995</v>
      </c>
      <c r="H92" s="203">
        <f>F92-D92</f>
        <v>0</v>
      </c>
    </row>
    <row r="93" spans="1:9" x14ac:dyDescent="0.3">
      <c r="A93" s="572">
        <f>A91+1</f>
        <v>87</v>
      </c>
      <c r="B93" s="575" t="s">
        <v>970</v>
      </c>
      <c r="C93" s="148">
        <v>35940.869999999995</v>
      </c>
      <c r="D93" s="148">
        <v>27910.18</v>
      </c>
      <c r="E93" s="148">
        <v>5860</v>
      </c>
      <c r="F93" s="148"/>
      <c r="G93" s="202">
        <f t="shared" si="3"/>
        <v>-30080.869999999995</v>
      </c>
      <c r="H93" s="203">
        <f t="shared" si="3"/>
        <v>-27910.18</v>
      </c>
    </row>
    <row r="94" spans="1:9" x14ac:dyDescent="0.3">
      <c r="A94" s="572">
        <f t="shared" si="2"/>
        <v>88</v>
      </c>
      <c r="B94" s="575" t="s">
        <v>160</v>
      </c>
      <c r="C94" s="148">
        <v>0</v>
      </c>
      <c r="D94" s="148"/>
      <c r="E94" s="148"/>
      <c r="F94" s="148"/>
      <c r="G94" s="202">
        <f t="shared" si="3"/>
        <v>0</v>
      </c>
      <c r="H94" s="203">
        <f t="shared" si="3"/>
        <v>0</v>
      </c>
    </row>
    <row r="95" spans="1:9" x14ac:dyDescent="0.3">
      <c r="A95" s="572">
        <f t="shared" si="2"/>
        <v>89</v>
      </c>
      <c r="B95" s="575" t="s">
        <v>161</v>
      </c>
      <c r="C95" s="148">
        <v>56608</v>
      </c>
      <c r="D95" s="148"/>
      <c r="E95" s="148">
        <v>46922.6</v>
      </c>
      <c r="F95" s="148"/>
      <c r="G95" s="202">
        <f t="shared" si="3"/>
        <v>-9685.4000000000015</v>
      </c>
      <c r="H95" s="203">
        <f t="shared" si="3"/>
        <v>0</v>
      </c>
    </row>
    <row r="96" spans="1:9" x14ac:dyDescent="0.3">
      <c r="A96" s="572">
        <f t="shared" si="2"/>
        <v>90</v>
      </c>
      <c r="B96" s="575" t="s">
        <v>971</v>
      </c>
      <c r="C96" s="148">
        <v>95223.67</v>
      </c>
      <c r="D96" s="148"/>
      <c r="E96" s="148"/>
      <c r="F96" s="148"/>
      <c r="G96" s="202">
        <f t="shared" si="3"/>
        <v>-95223.67</v>
      </c>
      <c r="H96" s="203">
        <f t="shared" si="3"/>
        <v>0</v>
      </c>
    </row>
    <row r="97" spans="1:9" ht="46.8" x14ac:dyDescent="0.3">
      <c r="A97" s="572">
        <f t="shared" si="2"/>
        <v>91</v>
      </c>
      <c r="B97" s="31" t="s">
        <v>1037</v>
      </c>
      <c r="C97" s="148">
        <v>0</v>
      </c>
      <c r="D97" s="148"/>
      <c r="E97" s="148"/>
      <c r="F97" s="148"/>
      <c r="G97" s="202">
        <f t="shared" ref="G97" si="4">E97-C97</f>
        <v>0</v>
      </c>
      <c r="H97" s="203">
        <f t="shared" ref="H97" si="5">F97-D97</f>
        <v>0</v>
      </c>
    </row>
    <row r="98" spans="1:9" x14ac:dyDescent="0.3">
      <c r="A98" s="572">
        <f>A97+1</f>
        <v>92</v>
      </c>
      <c r="B98" s="575" t="s">
        <v>1029</v>
      </c>
      <c r="C98" s="148">
        <v>0</v>
      </c>
      <c r="D98" s="148"/>
      <c r="E98" s="148"/>
      <c r="F98" s="148"/>
      <c r="G98" s="202">
        <f t="shared" si="3"/>
        <v>0</v>
      </c>
      <c r="H98" s="203">
        <f t="shared" si="3"/>
        <v>0</v>
      </c>
    </row>
    <row r="99" spans="1:9" x14ac:dyDescent="0.3">
      <c r="A99" s="572">
        <f t="shared" si="2"/>
        <v>93</v>
      </c>
      <c r="B99" s="574" t="s">
        <v>1347</v>
      </c>
      <c r="C99" s="148">
        <v>23167</v>
      </c>
      <c r="D99" s="148"/>
      <c r="E99" s="148">
        <v>24394</v>
      </c>
      <c r="F99" s="148"/>
      <c r="G99" s="202">
        <f t="shared" si="3"/>
        <v>1227</v>
      </c>
      <c r="H99" s="203">
        <f t="shared" si="3"/>
        <v>0</v>
      </c>
    </row>
    <row r="100" spans="1:9" x14ac:dyDescent="0.3">
      <c r="A100" s="572" t="s">
        <v>1036</v>
      </c>
      <c r="B100" s="574" t="s">
        <v>820</v>
      </c>
      <c r="C100" s="200" t="s">
        <v>312</v>
      </c>
      <c r="D100" s="200" t="s">
        <v>312</v>
      </c>
      <c r="E100" s="200" t="s">
        <v>312</v>
      </c>
      <c r="F100" s="200" t="s">
        <v>312</v>
      </c>
      <c r="G100" s="202" t="s">
        <v>157</v>
      </c>
      <c r="H100" s="203" t="s">
        <v>157</v>
      </c>
    </row>
    <row r="101" spans="1:9" x14ac:dyDescent="0.3">
      <c r="A101" s="572">
        <f>A99+1</f>
        <v>94</v>
      </c>
      <c r="B101" s="574" t="s">
        <v>272</v>
      </c>
      <c r="C101" s="148">
        <v>29531.13</v>
      </c>
      <c r="D101" s="148">
        <v>15093.9</v>
      </c>
      <c r="E101" s="148">
        <v>373.81</v>
      </c>
      <c r="F101" s="148">
        <v>55384.92</v>
      </c>
      <c r="G101" s="202">
        <f t="shared" si="3"/>
        <v>-29157.32</v>
      </c>
      <c r="H101" s="203">
        <f t="shared" si="3"/>
        <v>40291.019999999997</v>
      </c>
    </row>
    <row r="102" spans="1:9" ht="31.8" thickBot="1" x14ac:dyDescent="0.35">
      <c r="A102" s="520">
        <f t="shared" si="2"/>
        <v>95</v>
      </c>
      <c r="B102" s="581" t="s">
        <v>1348</v>
      </c>
      <c r="C102" s="112">
        <f>C6+C19+C27+C32+C40+C43+C44+C60+C66+C67+C68+SUM(C75:C79)+C89+C99+C101</f>
        <v>53095191.610000007</v>
      </c>
      <c r="D102" s="112">
        <f>D6+D19+D27+D32+D40+D43+D44+D60+D66+D67+D68+SUM(D75:D79)+D89+D99+D101</f>
        <v>1421386.1</v>
      </c>
      <c r="E102" s="112">
        <f>E6+E19+E27+E32+E40+E43+E44+E60+E66+E67+E68+SUM(E75:E79)+E89+E99+E101</f>
        <v>50909044.959999993</v>
      </c>
      <c r="F102" s="112">
        <f>F6+F19+F27+F32+F40+F43+F44+F60+F66+F67+F68+SUM(F75:F79)+F89+F99+F101</f>
        <v>1855623.4599999997</v>
      </c>
      <c r="G102" s="206">
        <f>E102-C102</f>
        <v>-2186146.6500000134</v>
      </c>
      <c r="H102" s="151">
        <f>F102-D102</f>
        <v>434237.35999999964</v>
      </c>
    </row>
    <row r="103" spans="1:9" x14ac:dyDescent="0.3">
      <c r="A103" s="196"/>
      <c r="B103" s="196"/>
    </row>
    <row r="104" spans="1:9" s="579" customFormat="1" ht="27" customHeight="1" x14ac:dyDescent="0.3">
      <c r="A104" s="196" t="s">
        <v>162</v>
      </c>
      <c r="B104" s="196"/>
      <c r="C104" s="196"/>
      <c r="D104" s="196"/>
      <c r="E104" s="196"/>
      <c r="F104" s="196"/>
      <c r="G104" s="196"/>
      <c r="H104" s="196"/>
    </row>
    <row r="105" spans="1:9" x14ac:dyDescent="0.3">
      <c r="D105" s="583"/>
      <c r="E105" s="583"/>
      <c r="F105" s="583"/>
      <c r="I105" s="583"/>
    </row>
    <row r="106" spans="1:9" x14ac:dyDescent="0.3">
      <c r="A106" s="207" t="s">
        <v>972</v>
      </c>
      <c r="B106" s="584" t="s">
        <v>1349</v>
      </c>
    </row>
    <row r="974" spans="6:6" x14ac:dyDescent="0.3">
      <c r="F974" s="196" t="s">
        <v>377</v>
      </c>
    </row>
    <row r="993" spans="4:4" x14ac:dyDescent="0.3">
      <c r="D993" s="196" t="s">
        <v>376</v>
      </c>
    </row>
  </sheetData>
  <mergeCells count="7">
    <mergeCell ref="A1:H1"/>
    <mergeCell ref="A2:H2"/>
    <mergeCell ref="A3:A4"/>
    <mergeCell ref="B3:B4"/>
    <mergeCell ref="C3:D3"/>
    <mergeCell ref="E3:F3"/>
    <mergeCell ref="G3:H3"/>
  </mergeCells>
  <printOptions gridLines="1"/>
  <pageMargins left="0.74803149606299213" right="0.63" top="0.64" bottom="0.39370078740157483" header="0.39370078740157483" footer="0.23622047244094491"/>
  <pageSetup paperSize="9" scale="70" fitToWidth="3" fitToHeight="3" orientation="landscape" r:id="rId1"/>
  <headerFooter alignWithMargins="0">
    <oddFooter xml:space="preserve">&amp;C &amp;P z &amp;N  </oddFooter>
  </headerFooter>
  <rowBreaks count="2" manualBreakCount="2">
    <brk id="39" max="7" man="1"/>
    <brk id="7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890"/>
  <sheetViews>
    <sheetView zoomScaleNormal="100" workbookViewId="0">
      <pane xSplit="2" ySplit="5" topLeftCell="C6" activePane="bottomRight" state="frozen"/>
      <selection pane="topRight" activeCell="C1" sqref="C1"/>
      <selection pane="bottomLeft" activeCell="A6" sqref="A6"/>
      <selection pane="bottomRight" sqref="A1:H1"/>
    </sheetView>
  </sheetViews>
  <sheetFormatPr defaultColWidth="9.109375" defaultRowHeight="15.6" x14ac:dyDescent="0.3"/>
  <cols>
    <col min="1" max="1" width="8.44140625" style="155" customWidth="1"/>
    <col min="2" max="2" width="74.109375" style="129" customWidth="1"/>
    <col min="3" max="8" width="17" style="9" customWidth="1"/>
    <col min="9" max="9" width="14" style="9" bestFit="1" customWidth="1"/>
    <col min="10" max="16384" width="9.109375" style="9"/>
  </cols>
  <sheetData>
    <row r="1" spans="1:9" ht="35.1" customHeight="1" thickBot="1" x14ac:dyDescent="0.4">
      <c r="A1" s="694" t="s">
        <v>1440</v>
      </c>
      <c r="B1" s="695"/>
      <c r="C1" s="695"/>
      <c r="D1" s="695"/>
      <c r="E1" s="695"/>
      <c r="F1" s="695"/>
      <c r="G1" s="695"/>
      <c r="H1" s="696"/>
      <c r="I1" s="166"/>
    </row>
    <row r="2" spans="1:9" ht="32.4" customHeight="1" thickBot="1" x14ac:dyDescent="0.35">
      <c r="A2" s="697" t="s">
        <v>1221</v>
      </c>
      <c r="B2" s="698"/>
      <c r="C2" s="698"/>
      <c r="D2" s="698"/>
      <c r="E2" s="698"/>
      <c r="F2" s="698"/>
      <c r="G2" s="698"/>
      <c r="H2" s="699"/>
    </row>
    <row r="3" spans="1:9" s="144" customFormat="1" ht="31.5" customHeight="1" x14ac:dyDescent="0.3">
      <c r="A3" s="700" t="s">
        <v>205</v>
      </c>
      <c r="B3" s="702" t="s">
        <v>327</v>
      </c>
      <c r="C3" s="682">
        <v>2014</v>
      </c>
      <c r="D3" s="684"/>
      <c r="E3" s="703">
        <v>2015</v>
      </c>
      <c r="F3" s="704"/>
      <c r="G3" s="683" t="s">
        <v>1136</v>
      </c>
      <c r="H3" s="686"/>
    </row>
    <row r="4" spans="1:9" ht="44.4" customHeight="1" thickBot="1" x14ac:dyDescent="0.35">
      <c r="A4" s="701"/>
      <c r="B4" s="681"/>
      <c r="C4" s="126" t="s">
        <v>1285</v>
      </c>
      <c r="D4" s="126" t="s">
        <v>1286</v>
      </c>
      <c r="E4" s="126" t="s">
        <v>1285</v>
      </c>
      <c r="F4" s="126" t="s">
        <v>1286</v>
      </c>
      <c r="G4" s="126" t="s">
        <v>1285</v>
      </c>
      <c r="H4" s="126" t="s">
        <v>1286</v>
      </c>
    </row>
    <row r="5" spans="1:9" ht="16.2" thickBot="1" x14ac:dyDescent="0.35">
      <c r="A5" s="209"/>
      <c r="B5" s="95"/>
      <c r="C5" s="89" t="s">
        <v>283</v>
      </c>
      <c r="D5" s="90" t="s">
        <v>284</v>
      </c>
      <c r="E5" s="91" t="s">
        <v>285</v>
      </c>
      <c r="F5" s="92" t="s">
        <v>292</v>
      </c>
      <c r="G5" s="92" t="s">
        <v>23</v>
      </c>
      <c r="H5" s="90" t="s">
        <v>24</v>
      </c>
    </row>
    <row r="6" spans="1:9" x14ac:dyDescent="0.3">
      <c r="A6" s="87" t="s">
        <v>649</v>
      </c>
      <c r="B6" s="87" t="s">
        <v>1052</v>
      </c>
      <c r="C6" s="210">
        <v>4930949.97</v>
      </c>
      <c r="D6" s="211">
        <v>328217.67</v>
      </c>
      <c r="E6" s="212">
        <v>2452067.14</v>
      </c>
      <c r="F6" s="213">
        <v>366106.44</v>
      </c>
      <c r="G6" s="214">
        <f t="shared" ref="G6:H42" si="0">E6-C6</f>
        <v>-2478882.8299999996</v>
      </c>
      <c r="H6" s="215">
        <f t="shared" si="0"/>
        <v>37888.770000000019</v>
      </c>
    </row>
    <row r="7" spans="1:9" x14ac:dyDescent="0.3">
      <c r="A7" s="88" t="s">
        <v>651</v>
      </c>
      <c r="B7" s="88" t="s">
        <v>1053</v>
      </c>
      <c r="C7" s="216">
        <v>1797576.81</v>
      </c>
      <c r="D7" s="217">
        <v>58983.88</v>
      </c>
      <c r="E7" s="218">
        <v>1734411.2</v>
      </c>
      <c r="F7" s="219">
        <v>70162.42</v>
      </c>
      <c r="G7" s="174">
        <f t="shared" si="0"/>
        <v>-63165.610000000102</v>
      </c>
      <c r="H7" s="146">
        <f t="shared" si="0"/>
        <v>11178.54</v>
      </c>
    </row>
    <row r="8" spans="1:9" x14ac:dyDescent="0.3">
      <c r="A8" s="88" t="s">
        <v>653</v>
      </c>
      <c r="B8" s="88" t="s">
        <v>1054</v>
      </c>
      <c r="C8" s="216"/>
      <c r="D8" s="217">
        <v>30711.599999999999</v>
      </c>
      <c r="E8" s="218">
        <v>415.28</v>
      </c>
      <c r="F8" s="219">
        <v>38822.699999999997</v>
      </c>
      <c r="G8" s="174">
        <f t="shared" si="0"/>
        <v>415.28</v>
      </c>
      <c r="H8" s="146">
        <f t="shared" si="0"/>
        <v>8111.0999999999985</v>
      </c>
    </row>
    <row r="9" spans="1:9" x14ac:dyDescent="0.3">
      <c r="A9" s="88" t="s">
        <v>655</v>
      </c>
      <c r="B9" s="88" t="s">
        <v>1055</v>
      </c>
      <c r="C9" s="216">
        <v>973915.18</v>
      </c>
      <c r="D9" s="217">
        <v>28826.38</v>
      </c>
      <c r="E9" s="218">
        <v>526924.11</v>
      </c>
      <c r="F9" s="219">
        <v>41568.519999999997</v>
      </c>
      <c r="G9" s="174">
        <f t="shared" si="0"/>
        <v>-446991.07000000007</v>
      </c>
      <c r="H9" s="146">
        <f t="shared" si="0"/>
        <v>12742.139999999996</v>
      </c>
    </row>
    <row r="10" spans="1:9" x14ac:dyDescent="0.3">
      <c r="A10" s="88" t="s">
        <v>657</v>
      </c>
      <c r="B10" s="88" t="s">
        <v>1056</v>
      </c>
      <c r="C10" s="216">
        <v>1415518.34</v>
      </c>
      <c r="D10" s="217">
        <v>6314.43</v>
      </c>
      <c r="E10" s="218">
        <v>1376221.44</v>
      </c>
      <c r="F10" s="219">
        <v>15490.33</v>
      </c>
      <c r="G10" s="174">
        <f t="shared" si="0"/>
        <v>-39296.90000000014</v>
      </c>
      <c r="H10" s="146">
        <f t="shared" si="0"/>
        <v>9175.9</v>
      </c>
    </row>
    <row r="11" spans="1:9" x14ac:dyDescent="0.3">
      <c r="A11" s="88" t="s">
        <v>659</v>
      </c>
      <c r="B11" s="88" t="s">
        <v>1057</v>
      </c>
      <c r="C11" s="216">
        <v>42038.26</v>
      </c>
      <c r="D11" s="217">
        <v>2493.62</v>
      </c>
      <c r="E11" s="218">
        <v>51701.94</v>
      </c>
      <c r="F11" s="219">
        <v>1746.61</v>
      </c>
      <c r="G11" s="174">
        <f t="shared" si="0"/>
        <v>9663.68</v>
      </c>
      <c r="H11" s="146">
        <f t="shared" si="0"/>
        <v>-747.01</v>
      </c>
    </row>
    <row r="12" spans="1:9" x14ac:dyDescent="0.3">
      <c r="A12" s="88" t="s">
        <v>661</v>
      </c>
      <c r="B12" s="88" t="s">
        <v>1058</v>
      </c>
      <c r="C12" s="216">
        <v>3822702.4</v>
      </c>
      <c r="D12" s="217">
        <v>278453.24</v>
      </c>
      <c r="E12" s="218">
        <v>5175031.49</v>
      </c>
      <c r="F12" s="219">
        <v>325459.7</v>
      </c>
      <c r="G12" s="174">
        <f t="shared" si="0"/>
        <v>1352329.0900000003</v>
      </c>
      <c r="H12" s="146">
        <f t="shared" si="0"/>
        <v>47006.460000000021</v>
      </c>
    </row>
    <row r="13" spans="1:9" x14ac:dyDescent="0.3">
      <c r="A13" s="88" t="s">
        <v>663</v>
      </c>
      <c r="B13" s="88" t="s">
        <v>1059</v>
      </c>
      <c r="C13" s="216">
        <v>19555741.75</v>
      </c>
      <c r="D13" s="217">
        <v>413391.21</v>
      </c>
      <c r="E13" s="218">
        <v>20490332.170000002</v>
      </c>
      <c r="F13" s="219">
        <v>593873.59</v>
      </c>
      <c r="G13" s="174">
        <f t="shared" si="0"/>
        <v>934590.42000000179</v>
      </c>
      <c r="H13" s="146">
        <f t="shared" si="0"/>
        <v>180482.37999999995</v>
      </c>
    </row>
    <row r="14" spans="1:9" x14ac:dyDescent="0.3">
      <c r="A14" s="88" t="s">
        <v>665</v>
      </c>
      <c r="B14" s="88" t="s">
        <v>1060</v>
      </c>
      <c r="C14" s="216">
        <v>6619362.5199999996</v>
      </c>
      <c r="D14" s="217">
        <v>139786.38</v>
      </c>
      <c r="E14" s="218">
        <v>6925661.3899999997</v>
      </c>
      <c r="F14" s="219">
        <v>197335.43</v>
      </c>
      <c r="G14" s="174">
        <f t="shared" si="0"/>
        <v>306298.87000000011</v>
      </c>
      <c r="H14" s="146">
        <f t="shared" si="0"/>
        <v>57549.049999999988</v>
      </c>
    </row>
    <row r="15" spans="1:9" x14ac:dyDescent="0.3">
      <c r="A15" s="88" t="s">
        <v>667</v>
      </c>
      <c r="B15" s="88" t="s">
        <v>1061</v>
      </c>
      <c r="C15" s="216">
        <v>105344.48</v>
      </c>
      <c r="D15" s="217">
        <v>3677.7</v>
      </c>
      <c r="E15" s="218">
        <v>128891.42</v>
      </c>
      <c r="F15" s="219">
        <v>6129.58</v>
      </c>
      <c r="G15" s="174">
        <f t="shared" si="0"/>
        <v>23546.940000000002</v>
      </c>
      <c r="H15" s="146">
        <f t="shared" si="0"/>
        <v>2451.88</v>
      </c>
    </row>
    <row r="16" spans="1:9" x14ac:dyDescent="0.3">
      <c r="A16" s="88" t="s">
        <v>669</v>
      </c>
      <c r="B16" s="88" t="s">
        <v>1062</v>
      </c>
      <c r="C16" s="216">
        <v>577138.68000000005</v>
      </c>
      <c r="D16" s="217">
        <v>7368.58</v>
      </c>
      <c r="E16" s="218">
        <v>629674.16</v>
      </c>
      <c r="F16" s="219">
        <v>8122.65</v>
      </c>
      <c r="G16" s="174">
        <f t="shared" si="0"/>
        <v>52535.479999999981</v>
      </c>
      <c r="H16" s="146">
        <f t="shared" si="0"/>
        <v>754.06999999999971</v>
      </c>
    </row>
    <row r="17" spans="1:8" x14ac:dyDescent="0.3">
      <c r="A17" s="88" t="s">
        <v>671</v>
      </c>
      <c r="B17" s="88" t="s">
        <v>1063</v>
      </c>
      <c r="C17" s="216"/>
      <c r="D17" s="217"/>
      <c r="E17" s="218"/>
      <c r="F17" s="219"/>
      <c r="G17" s="174">
        <f t="shared" si="0"/>
        <v>0</v>
      </c>
      <c r="H17" s="146">
        <f t="shared" si="0"/>
        <v>0</v>
      </c>
    </row>
    <row r="18" spans="1:8" x14ac:dyDescent="0.3">
      <c r="A18" s="88" t="s">
        <v>673</v>
      </c>
      <c r="B18" s="88" t="s">
        <v>1064</v>
      </c>
      <c r="C18" s="216"/>
      <c r="D18" s="217">
        <v>124.15</v>
      </c>
      <c r="E18" s="218"/>
      <c r="F18" s="219">
        <v>124.15</v>
      </c>
      <c r="G18" s="174">
        <f t="shared" si="0"/>
        <v>0</v>
      </c>
      <c r="H18" s="146">
        <f t="shared" si="0"/>
        <v>0</v>
      </c>
    </row>
    <row r="19" spans="1:8" x14ac:dyDescent="0.3">
      <c r="A19" s="88" t="s">
        <v>675</v>
      </c>
      <c r="B19" s="88" t="s">
        <v>1065</v>
      </c>
      <c r="C19" s="216">
        <v>23234.38</v>
      </c>
      <c r="D19" s="217">
        <v>2184.92</v>
      </c>
      <c r="E19" s="218">
        <v>21189.66</v>
      </c>
      <c r="F19" s="219">
        <v>4200.76</v>
      </c>
      <c r="G19" s="174">
        <f t="shared" si="0"/>
        <v>-2044.7200000000012</v>
      </c>
      <c r="H19" s="146">
        <f t="shared" si="0"/>
        <v>2015.8400000000001</v>
      </c>
    </row>
    <row r="20" spans="1:8" x14ac:dyDescent="0.3">
      <c r="A20" s="88" t="s">
        <v>677</v>
      </c>
      <c r="B20" s="88" t="s">
        <v>1066</v>
      </c>
      <c r="C20" s="216">
        <v>139806.21</v>
      </c>
      <c r="D20" s="217">
        <v>3555.78</v>
      </c>
      <c r="E20" s="218">
        <v>118997.85</v>
      </c>
      <c r="F20" s="219">
        <v>2986.31</v>
      </c>
      <c r="G20" s="174">
        <f t="shared" si="0"/>
        <v>-20808.359999999986</v>
      </c>
      <c r="H20" s="146">
        <f t="shared" si="0"/>
        <v>-569.47000000000025</v>
      </c>
    </row>
    <row r="21" spans="1:8" x14ac:dyDescent="0.3">
      <c r="A21" s="88" t="s">
        <v>679</v>
      </c>
      <c r="B21" s="88" t="s">
        <v>1067</v>
      </c>
      <c r="C21" s="216"/>
      <c r="D21" s="217"/>
      <c r="E21" s="218">
        <v>14.83</v>
      </c>
      <c r="F21" s="219">
        <v>4.99</v>
      </c>
      <c r="G21" s="174">
        <f t="shared" si="0"/>
        <v>14.83</v>
      </c>
      <c r="H21" s="146">
        <f t="shared" si="0"/>
        <v>4.99</v>
      </c>
    </row>
    <row r="22" spans="1:8" x14ac:dyDescent="0.3">
      <c r="A22" s="88" t="s">
        <v>681</v>
      </c>
      <c r="B22" s="88" t="s">
        <v>1068</v>
      </c>
      <c r="C22" s="216">
        <v>42.7</v>
      </c>
      <c r="D22" s="217">
        <v>12.1</v>
      </c>
      <c r="E22" s="218">
        <v>25</v>
      </c>
      <c r="F22" s="219"/>
      <c r="G22" s="174">
        <f t="shared" si="0"/>
        <v>-17.700000000000003</v>
      </c>
      <c r="H22" s="146">
        <f t="shared" si="0"/>
        <v>-12.1</v>
      </c>
    </row>
    <row r="23" spans="1:8" x14ac:dyDescent="0.3">
      <c r="A23" s="88" t="s">
        <v>683</v>
      </c>
      <c r="B23" s="88" t="s">
        <v>1069</v>
      </c>
      <c r="C23" s="216">
        <v>190</v>
      </c>
      <c r="D23" s="217">
        <v>245.74</v>
      </c>
      <c r="E23" s="218">
        <v>52.2</v>
      </c>
      <c r="F23" s="219"/>
      <c r="G23" s="174">
        <f t="shared" si="0"/>
        <v>-137.80000000000001</v>
      </c>
      <c r="H23" s="146">
        <f t="shared" si="0"/>
        <v>-245.74</v>
      </c>
    </row>
    <row r="24" spans="1:8" x14ac:dyDescent="0.3">
      <c r="A24" s="88" t="s">
        <v>685</v>
      </c>
      <c r="B24" s="88" t="s">
        <v>1070</v>
      </c>
      <c r="C24" s="216"/>
      <c r="D24" s="217"/>
      <c r="E24" s="218"/>
      <c r="F24" s="219"/>
      <c r="G24" s="174">
        <f t="shared" si="0"/>
        <v>0</v>
      </c>
      <c r="H24" s="146">
        <f t="shared" si="0"/>
        <v>0</v>
      </c>
    </row>
    <row r="25" spans="1:8" x14ac:dyDescent="0.3">
      <c r="A25" s="88" t="s">
        <v>687</v>
      </c>
      <c r="B25" s="88" t="s">
        <v>1071</v>
      </c>
      <c r="C25" s="216">
        <v>8876.66</v>
      </c>
      <c r="D25" s="217"/>
      <c r="E25" s="218">
        <v>24334.14</v>
      </c>
      <c r="F25" s="219"/>
      <c r="G25" s="174">
        <f t="shared" si="0"/>
        <v>15457.48</v>
      </c>
      <c r="H25" s="146">
        <f t="shared" si="0"/>
        <v>0</v>
      </c>
    </row>
    <row r="26" spans="1:8" x14ac:dyDescent="0.3">
      <c r="A26" s="88" t="s">
        <v>689</v>
      </c>
      <c r="B26" s="88" t="s">
        <v>1072</v>
      </c>
      <c r="C26" s="216">
        <v>185.6</v>
      </c>
      <c r="D26" s="217"/>
      <c r="E26" s="218"/>
      <c r="F26" s="219"/>
      <c r="G26" s="174">
        <f t="shared" si="0"/>
        <v>-185.6</v>
      </c>
      <c r="H26" s="146">
        <f t="shared" si="0"/>
        <v>0</v>
      </c>
    </row>
    <row r="27" spans="1:8" x14ac:dyDescent="0.3">
      <c r="A27" s="88" t="s">
        <v>691</v>
      </c>
      <c r="B27" s="88" t="s">
        <v>1073</v>
      </c>
      <c r="C27" s="216"/>
      <c r="D27" s="217"/>
      <c r="E27" s="218"/>
      <c r="F27" s="219"/>
      <c r="G27" s="174">
        <f t="shared" si="0"/>
        <v>0</v>
      </c>
      <c r="H27" s="146">
        <f t="shared" si="0"/>
        <v>0</v>
      </c>
    </row>
    <row r="28" spans="1:8" x14ac:dyDescent="0.3">
      <c r="A28" s="88" t="s">
        <v>693</v>
      </c>
      <c r="B28" s="88" t="s">
        <v>1074</v>
      </c>
      <c r="C28" s="216">
        <v>7106.27</v>
      </c>
      <c r="D28" s="217"/>
      <c r="E28" s="218"/>
      <c r="F28" s="219"/>
      <c r="G28" s="174">
        <f t="shared" si="0"/>
        <v>-7106.27</v>
      </c>
      <c r="H28" s="146">
        <f t="shared" si="0"/>
        <v>0</v>
      </c>
    </row>
    <row r="29" spans="1:8" x14ac:dyDescent="0.3">
      <c r="A29" s="88" t="s">
        <v>695</v>
      </c>
      <c r="B29" s="88" t="s">
        <v>1075</v>
      </c>
      <c r="C29" s="216">
        <f>2485642.63+3808270.54</f>
        <v>6293913.1699999999</v>
      </c>
      <c r="D29" s="217">
        <f>436.11+31222.89</f>
        <v>31659</v>
      </c>
      <c r="E29" s="218">
        <f>2213011.61+3237980.44</f>
        <v>5450992.0499999998</v>
      </c>
      <c r="F29" s="219">
        <f>1046.5+98742.47</f>
        <v>99788.97</v>
      </c>
      <c r="G29" s="174">
        <f t="shared" si="0"/>
        <v>-842921.12000000011</v>
      </c>
      <c r="H29" s="146">
        <f t="shared" si="0"/>
        <v>68129.97</v>
      </c>
    </row>
    <row r="30" spans="1:8" x14ac:dyDescent="0.3">
      <c r="A30" s="88" t="s">
        <v>697</v>
      </c>
      <c r="B30" s="88" t="s">
        <v>1076</v>
      </c>
      <c r="C30" s="216">
        <v>6541077.5599999996</v>
      </c>
      <c r="D30" s="217">
        <v>42375.64</v>
      </c>
      <c r="E30" s="218">
        <v>5724557.0800000001</v>
      </c>
      <c r="F30" s="219">
        <v>28315.39</v>
      </c>
      <c r="G30" s="174">
        <f t="shared" si="0"/>
        <v>-816520.47999999952</v>
      </c>
      <c r="H30" s="146">
        <f t="shared" si="0"/>
        <v>-14060.25</v>
      </c>
    </row>
    <row r="31" spans="1:8" x14ac:dyDescent="0.3">
      <c r="A31" s="88" t="s">
        <v>698</v>
      </c>
      <c r="B31" s="88" t="s">
        <v>1077</v>
      </c>
      <c r="C31" s="216">
        <v>35422.949999999997</v>
      </c>
      <c r="D31" s="217"/>
      <c r="E31" s="218">
        <v>5860</v>
      </c>
      <c r="F31" s="219"/>
      <c r="G31" s="174">
        <f t="shared" si="0"/>
        <v>-29562.949999999997</v>
      </c>
      <c r="H31" s="146">
        <f t="shared" si="0"/>
        <v>0</v>
      </c>
    </row>
    <row r="32" spans="1:8" x14ac:dyDescent="0.3">
      <c r="A32" s="88" t="s">
        <v>700</v>
      </c>
      <c r="B32" s="88" t="s">
        <v>1078</v>
      </c>
      <c r="C32" s="216"/>
      <c r="D32" s="217"/>
      <c r="E32" s="218"/>
      <c r="F32" s="219"/>
      <c r="G32" s="174">
        <f t="shared" si="0"/>
        <v>0</v>
      </c>
      <c r="H32" s="146">
        <f t="shared" si="0"/>
        <v>0</v>
      </c>
    </row>
    <row r="33" spans="1:8" x14ac:dyDescent="0.3">
      <c r="A33" s="88" t="s">
        <v>702</v>
      </c>
      <c r="B33" s="88" t="s">
        <v>1079</v>
      </c>
      <c r="C33" s="216"/>
      <c r="D33" s="217"/>
      <c r="E33" s="218"/>
      <c r="F33" s="219"/>
      <c r="G33" s="174">
        <f t="shared" si="0"/>
        <v>0</v>
      </c>
      <c r="H33" s="146">
        <f t="shared" si="0"/>
        <v>0</v>
      </c>
    </row>
    <row r="34" spans="1:8" x14ac:dyDescent="0.3">
      <c r="A34" s="88" t="s">
        <v>704</v>
      </c>
      <c r="B34" s="88" t="s">
        <v>1080</v>
      </c>
      <c r="C34" s="216"/>
      <c r="D34" s="217"/>
      <c r="E34" s="218"/>
      <c r="F34" s="219"/>
      <c r="G34" s="174">
        <f t="shared" si="0"/>
        <v>0</v>
      </c>
      <c r="H34" s="146">
        <f t="shared" si="0"/>
        <v>0</v>
      </c>
    </row>
    <row r="35" spans="1:8" x14ac:dyDescent="0.3">
      <c r="A35" s="88" t="s">
        <v>706</v>
      </c>
      <c r="B35" s="88" t="s">
        <v>1081</v>
      </c>
      <c r="C35" s="216">
        <v>151831.67000000001</v>
      </c>
      <c r="D35" s="217"/>
      <c r="E35" s="218">
        <v>46922.6</v>
      </c>
      <c r="F35" s="219"/>
      <c r="G35" s="174">
        <f t="shared" si="0"/>
        <v>-104909.07</v>
      </c>
      <c r="H35" s="146">
        <f t="shared" si="0"/>
        <v>0</v>
      </c>
    </row>
    <row r="36" spans="1:8" x14ac:dyDescent="0.3">
      <c r="A36" s="88" t="s">
        <v>708</v>
      </c>
      <c r="B36" s="88" t="s">
        <v>1082</v>
      </c>
      <c r="C36" s="216"/>
      <c r="D36" s="217"/>
      <c r="E36" s="218"/>
      <c r="F36" s="219"/>
      <c r="G36" s="174">
        <f t="shared" si="0"/>
        <v>0</v>
      </c>
      <c r="H36" s="146">
        <f t="shared" si="0"/>
        <v>0</v>
      </c>
    </row>
    <row r="37" spans="1:8" x14ac:dyDescent="0.3">
      <c r="A37" s="88" t="s">
        <v>710</v>
      </c>
      <c r="B37" s="88" t="s">
        <v>1083</v>
      </c>
      <c r="C37" s="216">
        <v>517.91999999999996</v>
      </c>
      <c r="D37" s="217">
        <v>27910.18</v>
      </c>
      <c r="E37" s="218"/>
      <c r="F37" s="219"/>
      <c r="G37" s="174">
        <f t="shared" si="0"/>
        <v>-517.91999999999996</v>
      </c>
      <c r="H37" s="146">
        <f t="shared" si="0"/>
        <v>-27910.18</v>
      </c>
    </row>
    <row r="38" spans="1:8" x14ac:dyDescent="0.3">
      <c r="A38" s="88" t="s">
        <v>711</v>
      </c>
      <c r="B38" s="88" t="s">
        <v>1084</v>
      </c>
      <c r="C38" s="216"/>
      <c r="D38" s="217"/>
      <c r="E38" s="218"/>
      <c r="F38" s="219"/>
      <c r="G38" s="174">
        <f t="shared" si="0"/>
        <v>0</v>
      </c>
      <c r="H38" s="146">
        <f t="shared" si="0"/>
        <v>0</v>
      </c>
    </row>
    <row r="39" spans="1:8" x14ac:dyDescent="0.3">
      <c r="A39" s="88" t="s">
        <v>713</v>
      </c>
      <c r="B39" s="88" t="s">
        <v>1085</v>
      </c>
      <c r="C39" s="216">
        <v>23167</v>
      </c>
      <c r="D39" s="217"/>
      <c r="E39" s="218">
        <v>24394</v>
      </c>
      <c r="F39" s="219"/>
      <c r="G39" s="174">
        <f t="shared" si="0"/>
        <v>1227</v>
      </c>
      <c r="H39" s="146">
        <f t="shared" si="0"/>
        <v>0</v>
      </c>
    </row>
    <row r="40" spans="1:8" x14ac:dyDescent="0.3">
      <c r="A40" s="88" t="s">
        <v>715</v>
      </c>
      <c r="B40" s="88" t="s">
        <v>1086</v>
      </c>
      <c r="C40" s="216"/>
      <c r="D40" s="217"/>
      <c r="E40" s="218"/>
      <c r="F40" s="219"/>
      <c r="G40" s="174">
        <f t="shared" si="0"/>
        <v>0</v>
      </c>
      <c r="H40" s="146">
        <f t="shared" si="0"/>
        <v>0</v>
      </c>
    </row>
    <row r="41" spans="1:8" x14ac:dyDescent="0.3">
      <c r="A41" s="88" t="s">
        <v>717</v>
      </c>
      <c r="B41" s="88" t="s">
        <v>1087</v>
      </c>
      <c r="C41" s="216"/>
      <c r="D41" s="217"/>
      <c r="E41" s="218"/>
      <c r="F41" s="219"/>
      <c r="G41" s="174">
        <f t="shared" si="0"/>
        <v>0</v>
      </c>
      <c r="H41" s="146">
        <f t="shared" si="0"/>
        <v>0</v>
      </c>
    </row>
    <row r="42" spans="1:8" ht="16.2" thickBot="1" x14ac:dyDescent="0.35">
      <c r="A42" s="93" t="s">
        <v>719</v>
      </c>
      <c r="B42" s="93" t="s">
        <v>1088</v>
      </c>
      <c r="C42" s="220"/>
      <c r="D42" s="221"/>
      <c r="E42" s="222"/>
      <c r="F42" s="223"/>
      <c r="G42" s="179">
        <f t="shared" si="0"/>
        <v>0</v>
      </c>
      <c r="H42" s="149">
        <f t="shared" si="0"/>
        <v>0</v>
      </c>
    </row>
    <row r="43" spans="1:8" ht="16.2" thickBot="1" x14ac:dyDescent="0.35">
      <c r="A43" s="94" t="s">
        <v>720</v>
      </c>
      <c r="B43" s="94" t="s">
        <v>1089</v>
      </c>
      <c r="C43" s="182">
        <f>SUM(C6:C42)</f>
        <v>53065660.480000019</v>
      </c>
      <c r="D43" s="182">
        <f>SUM(D6:D42)</f>
        <v>1406292.2</v>
      </c>
      <c r="E43" s="182">
        <f>SUM(E6:E42)</f>
        <v>50908671.149999999</v>
      </c>
      <c r="F43" s="182">
        <f>SUM(F6:F42)</f>
        <v>1800238.5399999998</v>
      </c>
      <c r="G43" s="184">
        <f>E43-C43</f>
        <v>-2156989.3300000206</v>
      </c>
      <c r="H43" s="185">
        <f>F43-D43</f>
        <v>393946.33999999985</v>
      </c>
    </row>
    <row r="44" spans="1:8" x14ac:dyDescent="0.3">
      <c r="C44" s="205"/>
      <c r="D44" s="205"/>
      <c r="F44" s="205"/>
    </row>
    <row r="871" spans="6:6" x14ac:dyDescent="0.3">
      <c r="F871" s="9" t="s">
        <v>377</v>
      </c>
    </row>
    <row r="890" spans="4:4" x14ac:dyDescent="0.3">
      <c r="D890" s="9" t="s">
        <v>376</v>
      </c>
    </row>
  </sheetData>
  <mergeCells count="7">
    <mergeCell ref="A1:H1"/>
    <mergeCell ref="A2:H2"/>
    <mergeCell ref="A3:A4"/>
    <mergeCell ref="B3:B4"/>
    <mergeCell ref="C3:D3"/>
    <mergeCell ref="E3:F3"/>
    <mergeCell ref="G3:H3"/>
  </mergeCells>
  <printOptions gridLines="1"/>
  <pageMargins left="0.74803149606299213" right="0.74803149606299213" top="0.43307086614173229" bottom="0.39370078740157483" header="0.39370078740157483" footer="0.23622047244094491"/>
  <pageSetup paperSize="9" scale="71" orientation="landscape" r:id="rId1"/>
  <headerFooter alignWithMargins="0"/>
  <rowBreaks count="1" manualBreakCount="1">
    <brk id="43"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tabColor indexed="42"/>
    <pageSetUpPr fitToPage="1"/>
  </sheetPr>
  <dimension ref="A1:K37"/>
  <sheetViews>
    <sheetView zoomScaleNormal="100" workbookViewId="0">
      <pane xSplit="2" ySplit="6" topLeftCell="D28" activePane="bottomRight" state="frozen"/>
      <selection pane="topRight" activeCell="C1" sqref="C1"/>
      <selection pane="bottomLeft" activeCell="A7" sqref="A7"/>
      <selection pane="bottomRight" activeCell="B34" sqref="B34:J34"/>
    </sheetView>
  </sheetViews>
  <sheetFormatPr defaultColWidth="9.109375" defaultRowHeight="15.6" x14ac:dyDescent="0.25"/>
  <cols>
    <col min="1" max="1" width="5.5546875" style="142" customWidth="1"/>
    <col min="2" max="2" width="65.44140625" style="143" customWidth="1"/>
    <col min="3" max="3" width="14.6640625" style="27" customWidth="1"/>
    <col min="4" max="4" width="14" style="27" customWidth="1"/>
    <col min="5" max="5" width="15.88671875" style="27" customWidth="1"/>
    <col min="6" max="6" width="15.6640625" style="27" customWidth="1"/>
    <col min="7" max="7" width="19.109375" style="27" customWidth="1"/>
    <col min="8" max="8" width="18.6640625" style="27" customWidth="1"/>
    <col min="9" max="9" width="16.33203125" style="27" customWidth="1"/>
    <col min="10" max="10" width="17.6640625" style="27" bestFit="1" customWidth="1"/>
    <col min="11" max="11" width="13.33203125" style="27" customWidth="1"/>
    <col min="12" max="16384" width="9.109375" style="27"/>
  </cols>
  <sheetData>
    <row r="1" spans="1:11" ht="35.1" customHeight="1" thickBot="1" x14ac:dyDescent="0.3">
      <c r="A1" s="715" t="s">
        <v>1336</v>
      </c>
      <c r="B1" s="716"/>
      <c r="C1" s="716"/>
      <c r="D1" s="716"/>
      <c r="E1" s="716"/>
      <c r="F1" s="716"/>
      <c r="G1" s="716"/>
      <c r="H1" s="716"/>
      <c r="I1" s="716"/>
      <c r="J1" s="716"/>
      <c r="K1" s="716"/>
    </row>
    <row r="2" spans="1:11" ht="35.4" customHeight="1" x14ac:dyDescent="0.25">
      <c r="A2" s="690" t="s">
        <v>1272</v>
      </c>
      <c r="B2" s="691"/>
      <c r="C2" s="691"/>
      <c r="D2" s="691"/>
      <c r="E2" s="691"/>
      <c r="F2" s="691"/>
      <c r="G2" s="691"/>
      <c r="H2" s="691"/>
      <c r="I2" s="691"/>
      <c r="J2" s="691"/>
      <c r="K2" s="692"/>
    </row>
    <row r="3" spans="1:11" ht="42.75" customHeight="1" x14ac:dyDescent="0.25">
      <c r="A3" s="713" t="s">
        <v>205</v>
      </c>
      <c r="B3" s="711" t="s">
        <v>228</v>
      </c>
      <c r="C3" s="706" t="s">
        <v>1337</v>
      </c>
      <c r="D3" s="706"/>
      <c r="E3" s="706"/>
      <c r="F3" s="706"/>
      <c r="G3" s="706" t="s">
        <v>859</v>
      </c>
      <c r="H3" s="706" t="s">
        <v>300</v>
      </c>
      <c r="I3" s="706" t="s">
        <v>861</v>
      </c>
      <c r="J3" s="717" t="s">
        <v>862</v>
      </c>
      <c r="K3" s="719" t="s">
        <v>1023</v>
      </c>
    </row>
    <row r="4" spans="1:11" ht="34.5" customHeight="1" x14ac:dyDescent="0.25">
      <c r="A4" s="714"/>
      <c r="B4" s="712"/>
      <c r="C4" s="707" t="s">
        <v>226</v>
      </c>
      <c r="D4" s="133" t="s">
        <v>300</v>
      </c>
      <c r="E4" s="707" t="s">
        <v>227</v>
      </c>
      <c r="F4" s="707" t="s">
        <v>184</v>
      </c>
      <c r="G4" s="707"/>
      <c r="H4" s="707"/>
      <c r="I4" s="707"/>
      <c r="J4" s="718"/>
      <c r="K4" s="719"/>
    </row>
    <row r="5" spans="1:11" s="226" customFormat="1" ht="62.4" x14ac:dyDescent="0.25">
      <c r="A5" s="714"/>
      <c r="B5" s="712"/>
      <c r="C5" s="707"/>
      <c r="D5" s="133" t="s">
        <v>805</v>
      </c>
      <c r="E5" s="707"/>
      <c r="F5" s="707"/>
      <c r="G5" s="707"/>
      <c r="H5" s="133" t="s">
        <v>860</v>
      </c>
      <c r="I5" s="707"/>
      <c r="J5" s="718"/>
      <c r="K5" s="720"/>
    </row>
    <row r="6" spans="1:11" s="228" customFormat="1" ht="18" customHeight="1" x14ac:dyDescent="0.25">
      <c r="A6" s="157"/>
      <c r="B6" s="11"/>
      <c r="C6" s="133" t="s">
        <v>283</v>
      </c>
      <c r="D6" s="133" t="s">
        <v>284</v>
      </c>
      <c r="E6" s="133" t="s">
        <v>285</v>
      </c>
      <c r="F6" s="133" t="s">
        <v>185</v>
      </c>
      <c r="G6" s="133" t="s">
        <v>286</v>
      </c>
      <c r="H6" s="133" t="s">
        <v>287</v>
      </c>
      <c r="I6" s="133" t="s">
        <v>288</v>
      </c>
      <c r="J6" s="132" t="s">
        <v>186</v>
      </c>
      <c r="K6" s="227" t="s">
        <v>1024</v>
      </c>
    </row>
    <row r="7" spans="1:11" s="231" customFormat="1" x14ac:dyDescent="0.25">
      <c r="A7" s="7">
        <v>1</v>
      </c>
      <c r="B7" s="11" t="s">
        <v>279</v>
      </c>
      <c r="C7" s="145">
        <f>SUM(C8:C12)</f>
        <v>568.29</v>
      </c>
      <c r="D7" s="145">
        <f>SUM(D8:D12)</f>
        <v>563.51</v>
      </c>
      <c r="E7" s="145">
        <f>SUM(E8:E12)</f>
        <v>78.42</v>
      </c>
      <c r="F7" s="145">
        <f t="shared" ref="F7:F13" si="0">C7+E7</f>
        <v>646.70999999999992</v>
      </c>
      <c r="G7" s="145">
        <f>SUM(G8:G12)</f>
        <v>8721411.1300000008</v>
      </c>
      <c r="H7" s="145">
        <f>SUM(H8:H12)</f>
        <v>8116010.4100000001</v>
      </c>
      <c r="I7" s="145">
        <f>SUM(I8:I12)</f>
        <v>3595489.82</v>
      </c>
      <c r="J7" s="229">
        <f t="shared" ref="J7:J13" si="1">G7+I7</f>
        <v>12316900.950000001</v>
      </c>
      <c r="K7" s="230">
        <f>IF(F7=0,0,J7/F7/12)</f>
        <v>1587.1231502528183</v>
      </c>
    </row>
    <row r="8" spans="1:11" ht="31.2" x14ac:dyDescent="0.25">
      <c r="A8" s="7">
        <v>2</v>
      </c>
      <c r="B8" s="10" t="s">
        <v>1025</v>
      </c>
      <c r="C8" s="232">
        <v>91.75</v>
      </c>
      <c r="D8" s="232">
        <v>91.65</v>
      </c>
      <c r="E8" s="232">
        <v>18.59</v>
      </c>
      <c r="F8" s="145">
        <f t="shared" si="0"/>
        <v>110.34</v>
      </c>
      <c r="G8" s="232">
        <v>2168061.08</v>
      </c>
      <c r="H8" s="232">
        <v>2024485.01</v>
      </c>
      <c r="I8" s="232">
        <v>1080452.42</v>
      </c>
      <c r="J8" s="229">
        <f t="shared" si="1"/>
        <v>3248513.5</v>
      </c>
      <c r="K8" s="230">
        <f t="shared" ref="K8:K30" si="2">IF(F8=0,0,J8/F8/12)</f>
        <v>2453.4118029122105</v>
      </c>
    </row>
    <row r="9" spans="1:11" x14ac:dyDescent="0.25">
      <c r="A9" s="7">
        <v>3</v>
      </c>
      <c r="B9" s="10" t="s">
        <v>229</v>
      </c>
      <c r="C9" s="232">
        <v>121.92</v>
      </c>
      <c r="D9" s="232">
        <v>121.81</v>
      </c>
      <c r="E9" s="232">
        <v>11.86</v>
      </c>
      <c r="F9" s="145">
        <f t="shared" si="0"/>
        <v>133.78</v>
      </c>
      <c r="G9" s="232">
        <v>2193186.4900000002</v>
      </c>
      <c r="H9" s="232">
        <v>2033952.51</v>
      </c>
      <c r="I9" s="232">
        <v>612910.59</v>
      </c>
      <c r="J9" s="229">
        <f t="shared" si="1"/>
        <v>2806097.08</v>
      </c>
      <c r="K9" s="230">
        <f t="shared" si="2"/>
        <v>1747.9550256640257</v>
      </c>
    </row>
    <row r="10" spans="1:11" x14ac:dyDescent="0.25">
      <c r="A10" s="7">
        <v>4</v>
      </c>
      <c r="B10" s="10" t="s">
        <v>230</v>
      </c>
      <c r="C10" s="232">
        <v>305.16000000000003</v>
      </c>
      <c r="D10" s="232">
        <v>301.64</v>
      </c>
      <c r="E10" s="232">
        <v>39.619999999999997</v>
      </c>
      <c r="F10" s="145">
        <f t="shared" si="0"/>
        <v>344.78000000000003</v>
      </c>
      <c r="G10" s="232">
        <v>3897072.56</v>
      </c>
      <c r="H10" s="232">
        <v>3605209.4</v>
      </c>
      <c r="I10" s="232">
        <v>1673015.15</v>
      </c>
      <c r="J10" s="229">
        <f t="shared" si="1"/>
        <v>5570087.71</v>
      </c>
      <c r="K10" s="230">
        <f t="shared" si="2"/>
        <v>1346.2903179805478</v>
      </c>
    </row>
    <row r="11" spans="1:11" x14ac:dyDescent="0.25">
      <c r="A11" s="7">
        <v>5</v>
      </c>
      <c r="B11" s="10" t="s">
        <v>231</v>
      </c>
      <c r="C11" s="232">
        <v>39.03</v>
      </c>
      <c r="D11" s="232">
        <v>38.61</v>
      </c>
      <c r="E11" s="232">
        <v>2.81</v>
      </c>
      <c r="F11" s="145">
        <f t="shared" si="0"/>
        <v>41.84</v>
      </c>
      <c r="G11" s="232">
        <v>356993.49</v>
      </c>
      <c r="H11" s="232">
        <v>351765.11</v>
      </c>
      <c r="I11" s="232">
        <v>163740.68</v>
      </c>
      <c r="J11" s="229">
        <f t="shared" si="1"/>
        <v>520734.17</v>
      </c>
      <c r="K11" s="230">
        <f t="shared" si="2"/>
        <v>1037.1537802740597</v>
      </c>
    </row>
    <row r="12" spans="1:11" x14ac:dyDescent="0.25">
      <c r="A12" s="7">
        <v>6</v>
      </c>
      <c r="B12" s="10" t="s">
        <v>232</v>
      </c>
      <c r="C12" s="232">
        <v>10.43</v>
      </c>
      <c r="D12" s="232">
        <v>9.8000000000000007</v>
      </c>
      <c r="E12" s="232">
        <v>5.54</v>
      </c>
      <c r="F12" s="145">
        <f t="shared" si="0"/>
        <v>15.969999999999999</v>
      </c>
      <c r="G12" s="232">
        <v>106097.51</v>
      </c>
      <c r="H12" s="232">
        <v>100598.38</v>
      </c>
      <c r="I12" s="232">
        <v>65370.98</v>
      </c>
      <c r="J12" s="229">
        <f t="shared" si="1"/>
        <v>171468.49</v>
      </c>
      <c r="K12" s="230">
        <f t="shared" si="2"/>
        <v>894.74269463577548</v>
      </c>
    </row>
    <row r="13" spans="1:11" x14ac:dyDescent="0.25">
      <c r="A13" s="7">
        <v>7</v>
      </c>
      <c r="B13" s="11" t="s">
        <v>61</v>
      </c>
      <c r="C13" s="232">
        <v>172.74</v>
      </c>
      <c r="D13" s="232">
        <v>158.88999999999999</v>
      </c>
      <c r="E13" s="232">
        <v>30.09</v>
      </c>
      <c r="F13" s="145">
        <f t="shared" si="0"/>
        <v>202.83</v>
      </c>
      <c r="G13" s="232">
        <v>1705684.49</v>
      </c>
      <c r="H13" s="232">
        <v>1431417</v>
      </c>
      <c r="I13" s="232">
        <v>494504.83</v>
      </c>
      <c r="J13" s="229">
        <f t="shared" si="1"/>
        <v>2200189.3199999998</v>
      </c>
      <c r="K13" s="230">
        <f t="shared" si="2"/>
        <v>903.95459251589989</v>
      </c>
    </row>
    <row r="14" spans="1:11" x14ac:dyDescent="0.25">
      <c r="A14" s="7"/>
      <c r="B14" s="10" t="s">
        <v>300</v>
      </c>
      <c r="C14" s="232"/>
      <c r="D14" s="232"/>
      <c r="E14" s="232"/>
      <c r="F14" s="145"/>
      <c r="G14" s="232"/>
      <c r="H14" s="232"/>
      <c r="I14" s="232"/>
      <c r="J14" s="229"/>
      <c r="K14" s="230"/>
    </row>
    <row r="15" spans="1:11" x14ac:dyDescent="0.25">
      <c r="A15" s="7">
        <v>8</v>
      </c>
      <c r="B15" s="10" t="s">
        <v>65</v>
      </c>
      <c r="C15" s="232">
        <v>41</v>
      </c>
      <c r="D15" s="232">
        <v>39.07</v>
      </c>
      <c r="E15" s="232">
        <v>7.06</v>
      </c>
      <c r="F15" s="145">
        <f t="shared" ref="F15:F21" si="3">C15+E15</f>
        <v>48.06</v>
      </c>
      <c r="G15" s="232">
        <v>519526.34</v>
      </c>
      <c r="H15" s="232">
        <v>443314.03</v>
      </c>
      <c r="I15" s="232">
        <v>127398.79</v>
      </c>
      <c r="J15" s="229">
        <f t="shared" ref="J15:J21" si="4">G15+I15</f>
        <v>646925.13</v>
      </c>
      <c r="K15" s="230">
        <f t="shared" si="2"/>
        <v>1121.7317415730338</v>
      </c>
    </row>
    <row r="16" spans="1:11" x14ac:dyDescent="0.25">
      <c r="A16" s="7">
        <v>9</v>
      </c>
      <c r="B16" s="11" t="s">
        <v>280</v>
      </c>
      <c r="C16" s="145">
        <f>SUM(C17:C19)</f>
        <v>174.57999999999998</v>
      </c>
      <c r="D16" s="145">
        <f>SUM(D17:D19)</f>
        <v>172.02999999999997</v>
      </c>
      <c r="E16" s="145">
        <f>SUM(E17:E19)</f>
        <v>36.21</v>
      </c>
      <c r="F16" s="145">
        <f t="shared" si="3"/>
        <v>210.79</v>
      </c>
      <c r="G16" s="145">
        <f>SUM(G17:G19)</f>
        <v>1685226.51</v>
      </c>
      <c r="H16" s="145">
        <f>SUM(H17:H19)</f>
        <v>1610828</v>
      </c>
      <c r="I16" s="145">
        <f>SUM(I17:I19)</f>
        <v>532009.98</v>
      </c>
      <c r="J16" s="229">
        <f t="shared" si="4"/>
        <v>2217236.4900000002</v>
      </c>
      <c r="K16" s="230">
        <f t="shared" si="2"/>
        <v>876.55822145263073</v>
      </c>
    </row>
    <row r="17" spans="1:11" x14ac:dyDescent="0.25">
      <c r="A17" s="7">
        <v>10</v>
      </c>
      <c r="B17" s="10" t="s">
        <v>233</v>
      </c>
      <c r="C17" s="232">
        <v>67.36</v>
      </c>
      <c r="D17" s="232">
        <v>66.67</v>
      </c>
      <c r="E17" s="232">
        <v>2.87</v>
      </c>
      <c r="F17" s="145">
        <f t="shared" si="3"/>
        <v>70.23</v>
      </c>
      <c r="G17" s="232">
        <v>710280.83</v>
      </c>
      <c r="H17" s="232">
        <v>679747.27</v>
      </c>
      <c r="I17" s="232">
        <v>57151.37</v>
      </c>
      <c r="J17" s="229">
        <f t="shared" si="4"/>
        <v>767432.2</v>
      </c>
      <c r="K17" s="230">
        <f t="shared" si="2"/>
        <v>910.61773221320402</v>
      </c>
    </row>
    <row r="18" spans="1:11" x14ac:dyDescent="0.25">
      <c r="A18" s="7">
        <v>11</v>
      </c>
      <c r="B18" s="10" t="s">
        <v>187</v>
      </c>
      <c r="C18" s="232">
        <v>65.92</v>
      </c>
      <c r="D18" s="232">
        <v>64.099999999999994</v>
      </c>
      <c r="E18" s="232">
        <v>22.2</v>
      </c>
      <c r="F18" s="145">
        <f t="shared" si="3"/>
        <v>88.12</v>
      </c>
      <c r="G18" s="232">
        <v>666910.43000000005</v>
      </c>
      <c r="H18" s="232">
        <v>625019.05000000005</v>
      </c>
      <c r="I18" s="232">
        <v>347137.96</v>
      </c>
      <c r="J18" s="229">
        <f t="shared" si="4"/>
        <v>1014048.3900000001</v>
      </c>
      <c r="K18" s="230">
        <f t="shared" si="2"/>
        <v>958.96541647753065</v>
      </c>
    </row>
    <row r="19" spans="1:11" x14ac:dyDescent="0.25">
      <c r="A19" s="7">
        <v>12</v>
      </c>
      <c r="B19" s="10" t="s">
        <v>164</v>
      </c>
      <c r="C19" s="232">
        <v>41.3</v>
      </c>
      <c r="D19" s="232">
        <v>41.26</v>
      </c>
      <c r="E19" s="232">
        <v>11.14</v>
      </c>
      <c r="F19" s="145">
        <f t="shared" si="3"/>
        <v>52.44</v>
      </c>
      <c r="G19" s="232">
        <v>308035.25</v>
      </c>
      <c r="H19" s="232">
        <v>306061.68</v>
      </c>
      <c r="I19" s="232">
        <v>127720.65</v>
      </c>
      <c r="J19" s="229">
        <f t="shared" si="4"/>
        <v>435755.9</v>
      </c>
      <c r="K19" s="230">
        <f t="shared" si="2"/>
        <v>692.4674230867023</v>
      </c>
    </row>
    <row r="20" spans="1:11" x14ac:dyDescent="0.25">
      <c r="A20" s="7">
        <v>13</v>
      </c>
      <c r="B20" s="11" t="s">
        <v>277</v>
      </c>
      <c r="C20" s="232">
        <v>107.1</v>
      </c>
      <c r="D20" s="232">
        <v>84.6</v>
      </c>
      <c r="E20" s="232">
        <v>21.33</v>
      </c>
      <c r="F20" s="145">
        <f t="shared" si="3"/>
        <v>128.43</v>
      </c>
      <c r="G20" s="232">
        <v>1497185.49</v>
      </c>
      <c r="H20" s="232">
        <v>1196733.21</v>
      </c>
      <c r="I20" s="232">
        <v>616832.01</v>
      </c>
      <c r="J20" s="229">
        <f t="shared" si="4"/>
        <v>2114017.5</v>
      </c>
      <c r="K20" s="230">
        <f t="shared" si="2"/>
        <v>1371.7054037218716</v>
      </c>
    </row>
    <row r="21" spans="1:11" ht="31.2" x14ac:dyDescent="0.25">
      <c r="A21" s="7">
        <v>14</v>
      </c>
      <c r="B21" s="11" t="s">
        <v>62</v>
      </c>
      <c r="C21" s="232">
        <v>135.28</v>
      </c>
      <c r="D21" s="232">
        <v>135.28</v>
      </c>
      <c r="E21" s="232">
        <v>18.97</v>
      </c>
      <c r="F21" s="145">
        <f t="shared" si="3"/>
        <v>154.25</v>
      </c>
      <c r="G21" s="232">
        <v>843743.74</v>
      </c>
      <c r="H21" s="232">
        <v>842543.74</v>
      </c>
      <c r="I21" s="232">
        <v>197088.34</v>
      </c>
      <c r="J21" s="229">
        <f t="shared" si="4"/>
        <v>1040832.08</v>
      </c>
      <c r="K21" s="230">
        <f t="shared" si="2"/>
        <v>562.30798487304162</v>
      </c>
    </row>
    <row r="22" spans="1:11" ht="46.8" x14ac:dyDescent="0.25">
      <c r="A22" s="7">
        <v>15</v>
      </c>
      <c r="B22" s="11" t="s">
        <v>319</v>
      </c>
      <c r="C22" s="145">
        <f>SUM(C23:C26)</f>
        <v>37.86</v>
      </c>
      <c r="D22" s="145">
        <f>SUM(D23:D26)</f>
        <v>37.86</v>
      </c>
      <c r="E22" s="145">
        <f>SUM(E23:E26)</f>
        <v>1.54</v>
      </c>
      <c r="F22" s="145">
        <f>SUM(F27:F27)</f>
        <v>0</v>
      </c>
      <c r="G22" s="145">
        <f>SUM(G23:G26)</f>
        <v>251932.15</v>
      </c>
      <c r="H22" s="145">
        <f>SUM(H23:H26)</f>
        <v>251932.15</v>
      </c>
      <c r="I22" s="145">
        <f>SUM(I23:I26)</f>
        <v>19502.04</v>
      </c>
      <c r="J22" s="229">
        <f>SUM(J23:J26)</f>
        <v>271434.19</v>
      </c>
      <c r="K22" s="230">
        <f t="shared" si="2"/>
        <v>0</v>
      </c>
    </row>
    <row r="23" spans="1:11" x14ac:dyDescent="0.25">
      <c r="A23" s="7" t="s">
        <v>278</v>
      </c>
      <c r="B23" s="10" t="s">
        <v>1273</v>
      </c>
      <c r="C23" s="232">
        <v>37.86</v>
      </c>
      <c r="D23" s="232">
        <v>37.86</v>
      </c>
      <c r="E23" s="232">
        <v>1.54</v>
      </c>
      <c r="F23" s="145">
        <f t="shared" ref="F23:F29" si="5">C23+E23</f>
        <v>39.4</v>
      </c>
      <c r="G23" s="232">
        <v>251932.15</v>
      </c>
      <c r="H23" s="232">
        <v>251932.15</v>
      </c>
      <c r="I23" s="232">
        <v>19502.04</v>
      </c>
      <c r="J23" s="229">
        <f>G23+I23</f>
        <v>271434.19</v>
      </c>
      <c r="K23" s="230">
        <f t="shared" si="2"/>
        <v>574.09938663282571</v>
      </c>
    </row>
    <row r="24" spans="1:11" x14ac:dyDescent="0.25">
      <c r="A24" s="7" t="s">
        <v>388</v>
      </c>
      <c r="B24" s="10"/>
      <c r="C24" s="232"/>
      <c r="D24" s="232"/>
      <c r="E24" s="232"/>
      <c r="F24" s="145">
        <f t="shared" si="5"/>
        <v>0</v>
      </c>
      <c r="G24" s="232"/>
      <c r="H24" s="232"/>
      <c r="I24" s="232"/>
      <c r="J24" s="229">
        <f>G24+I24</f>
        <v>0</v>
      </c>
      <c r="K24" s="230">
        <f t="shared" si="2"/>
        <v>0</v>
      </c>
    </row>
    <row r="25" spans="1:11" x14ac:dyDescent="0.25">
      <c r="A25" s="7" t="s">
        <v>389</v>
      </c>
      <c r="B25" s="10"/>
      <c r="C25" s="232"/>
      <c r="D25" s="232"/>
      <c r="E25" s="232"/>
      <c r="F25" s="145">
        <f t="shared" si="5"/>
        <v>0</v>
      </c>
      <c r="G25" s="232"/>
      <c r="H25" s="232"/>
      <c r="I25" s="232"/>
      <c r="J25" s="229">
        <f>G25+I25</f>
        <v>0</v>
      </c>
      <c r="K25" s="230">
        <f t="shared" si="2"/>
        <v>0</v>
      </c>
    </row>
    <row r="26" spans="1:11" ht="16.5" customHeight="1" x14ac:dyDescent="0.25">
      <c r="A26" s="7" t="s">
        <v>390</v>
      </c>
      <c r="B26" s="10"/>
      <c r="C26" s="232"/>
      <c r="D26" s="232"/>
      <c r="E26" s="232"/>
      <c r="F26" s="145">
        <f t="shared" si="5"/>
        <v>0</v>
      </c>
      <c r="G26" s="232"/>
      <c r="H26" s="232"/>
      <c r="I26" s="232"/>
      <c r="J26" s="229">
        <f>G26+I26</f>
        <v>0</v>
      </c>
      <c r="K26" s="230">
        <f t="shared" si="2"/>
        <v>0</v>
      </c>
    </row>
    <row r="27" spans="1:11" x14ac:dyDescent="0.25">
      <c r="A27" s="7"/>
      <c r="B27" s="10"/>
      <c r="C27" s="232"/>
      <c r="D27" s="232"/>
      <c r="E27" s="232"/>
      <c r="F27" s="145">
        <f t="shared" si="5"/>
        <v>0</v>
      </c>
      <c r="G27" s="232"/>
      <c r="H27" s="232"/>
      <c r="I27" s="232"/>
      <c r="J27" s="229"/>
      <c r="K27" s="230"/>
    </row>
    <row r="28" spans="1:11" x14ac:dyDescent="0.25">
      <c r="A28" s="7">
        <v>16</v>
      </c>
      <c r="B28" s="11" t="s">
        <v>63</v>
      </c>
      <c r="C28" s="232">
        <v>46.2</v>
      </c>
      <c r="D28" s="232">
        <v>46.2</v>
      </c>
      <c r="E28" s="232">
        <v>13.9</v>
      </c>
      <c r="F28" s="145">
        <f t="shared" si="5"/>
        <v>60.1</v>
      </c>
      <c r="G28" s="232">
        <v>308014.96999999997</v>
      </c>
      <c r="H28" s="232">
        <v>308014.96999999997</v>
      </c>
      <c r="I28" s="232">
        <v>123105.48</v>
      </c>
      <c r="J28" s="229">
        <f>G28+I28</f>
        <v>431120.44999999995</v>
      </c>
      <c r="K28" s="230">
        <f t="shared" si="2"/>
        <v>597.78209927897944</v>
      </c>
    </row>
    <row r="29" spans="1:11" x14ac:dyDescent="0.25">
      <c r="A29" s="7">
        <v>17</v>
      </c>
      <c r="B29" s="11" t="s">
        <v>64</v>
      </c>
      <c r="C29" s="232"/>
      <c r="D29" s="232"/>
      <c r="E29" s="232">
        <v>36.299999999999997</v>
      </c>
      <c r="F29" s="145">
        <f t="shared" si="5"/>
        <v>36.299999999999997</v>
      </c>
      <c r="G29" s="232">
        <v>6041.08</v>
      </c>
      <c r="H29" s="232">
        <v>6041.08</v>
      </c>
      <c r="I29" s="232">
        <v>230768.43</v>
      </c>
      <c r="J29" s="229">
        <f>G29+I29</f>
        <v>236809.50999999998</v>
      </c>
      <c r="K29" s="230">
        <f t="shared" si="2"/>
        <v>543.63983011937557</v>
      </c>
    </row>
    <row r="30" spans="1:11" ht="16.2" thickBot="1" x14ac:dyDescent="0.3">
      <c r="A30" s="66">
        <v>18</v>
      </c>
      <c r="B30" s="12" t="s">
        <v>320</v>
      </c>
      <c r="C30" s="112">
        <f t="shared" ref="C30:J30" si="6">C7+C13+C16+C20+C21+C28+C29</f>
        <v>1204.19</v>
      </c>
      <c r="D30" s="112">
        <f t="shared" si="6"/>
        <v>1160.51</v>
      </c>
      <c r="E30" s="112">
        <f t="shared" si="6"/>
        <v>235.22000000000003</v>
      </c>
      <c r="F30" s="112">
        <f t="shared" si="6"/>
        <v>1439.4099999999999</v>
      </c>
      <c r="G30" s="112">
        <f t="shared" si="6"/>
        <v>14767307.410000002</v>
      </c>
      <c r="H30" s="112">
        <f t="shared" si="6"/>
        <v>13511588.410000002</v>
      </c>
      <c r="I30" s="112">
        <f t="shared" si="6"/>
        <v>5789798.8899999997</v>
      </c>
      <c r="J30" s="233">
        <f t="shared" si="6"/>
        <v>20557106.300000001</v>
      </c>
      <c r="K30" s="234">
        <f t="shared" si="2"/>
        <v>1190.1349800728542</v>
      </c>
    </row>
    <row r="31" spans="1:11" x14ac:dyDescent="0.25">
      <c r="A31" s="130"/>
      <c r="B31" s="130"/>
      <c r="C31" s="235"/>
      <c r="D31" s="130"/>
      <c r="E31" s="130"/>
      <c r="F31" s="235"/>
      <c r="G31" s="235"/>
      <c r="H31" s="235"/>
      <c r="I31" s="235"/>
      <c r="J31" s="235"/>
    </row>
    <row r="32" spans="1:11" x14ac:dyDescent="0.3">
      <c r="A32" s="242" t="s">
        <v>1277</v>
      </c>
      <c r="B32" s="236"/>
      <c r="C32" s="236"/>
      <c r="D32" s="236"/>
      <c r="E32" s="236"/>
      <c r="F32" s="236"/>
      <c r="G32" s="236"/>
      <c r="H32" s="236"/>
      <c r="I32" s="236"/>
      <c r="J32" s="237"/>
    </row>
    <row r="33" spans="1:11" x14ac:dyDescent="0.3">
      <c r="A33" s="708" t="s">
        <v>1026</v>
      </c>
      <c r="B33" s="709"/>
      <c r="C33" s="709"/>
      <c r="D33" s="709"/>
      <c r="E33" s="709"/>
      <c r="F33" s="709"/>
      <c r="G33" s="709"/>
      <c r="H33" s="709"/>
      <c r="I33" s="709"/>
      <c r="J33" s="710"/>
    </row>
    <row r="34" spans="1:11" ht="50.25" customHeight="1" x14ac:dyDescent="0.25">
      <c r="B34" s="705" t="s">
        <v>1335</v>
      </c>
      <c r="C34" s="705"/>
      <c r="D34" s="705"/>
      <c r="E34" s="705"/>
      <c r="F34" s="705"/>
      <c r="G34" s="705"/>
      <c r="H34" s="705"/>
      <c r="I34" s="705"/>
      <c r="J34" s="705"/>
      <c r="K34" s="142"/>
    </row>
    <row r="35" spans="1:11" x14ac:dyDescent="0.25">
      <c r="B35" s="571" t="s">
        <v>838</v>
      </c>
    </row>
    <row r="36" spans="1:11" x14ac:dyDescent="0.25">
      <c r="B36" s="571" t="s">
        <v>839</v>
      </c>
    </row>
    <row r="37" spans="1:11" x14ac:dyDescent="0.25">
      <c r="B37" s="571" t="s">
        <v>840</v>
      </c>
    </row>
  </sheetData>
  <mergeCells count="15">
    <mergeCell ref="A1:K1"/>
    <mergeCell ref="A2:K2"/>
    <mergeCell ref="J3:J5"/>
    <mergeCell ref="C3:F3"/>
    <mergeCell ref="H3:H4"/>
    <mergeCell ref="K3:K5"/>
    <mergeCell ref="B34:J34"/>
    <mergeCell ref="G3:G5"/>
    <mergeCell ref="I3:I5"/>
    <mergeCell ref="C4:C5"/>
    <mergeCell ref="A33:J33"/>
    <mergeCell ref="E4:E5"/>
    <mergeCell ref="F4:F5"/>
    <mergeCell ref="B3:B5"/>
    <mergeCell ref="A3:A5"/>
  </mergeCells>
  <phoneticPr fontId="0" type="noConversion"/>
  <printOptions gridLines="1"/>
  <pageMargins left="0.47244094488188981" right="0.31496062992125984" top="0.74803149606299213" bottom="0.39370078740157483" header="0.51181102362204722" footer="0.27559055118110237"/>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zoomScaleNormal="100" workbookViewId="0">
      <pane xSplit="2" ySplit="6" topLeftCell="E25" activePane="bottomRight" state="frozen"/>
      <selection pane="topRight" activeCell="C1" sqref="C1"/>
      <selection pane="bottomLeft" activeCell="A7" sqref="A7"/>
      <selection pane="bottomRight" activeCell="H31" sqref="H31"/>
    </sheetView>
  </sheetViews>
  <sheetFormatPr defaultColWidth="9.109375" defaultRowHeight="15.6" x14ac:dyDescent="0.25"/>
  <cols>
    <col min="1" max="1" width="5.5546875" style="142" customWidth="1"/>
    <col min="2" max="2" width="65.44140625" style="143" customWidth="1"/>
    <col min="3" max="3" width="14.6640625" style="27" customWidth="1"/>
    <col min="4" max="4" width="14" style="27" customWidth="1"/>
    <col min="5" max="5" width="15.88671875" style="27" customWidth="1"/>
    <col min="6" max="6" width="15.6640625" style="27" customWidth="1"/>
    <col min="7" max="7" width="19.109375" style="27" customWidth="1"/>
    <col min="8" max="8" width="18.6640625" style="27" customWidth="1"/>
    <col min="9" max="9" width="16.33203125" style="27" customWidth="1"/>
    <col min="10" max="10" width="17.6640625" style="27" bestFit="1" customWidth="1"/>
    <col min="11" max="11" width="13.33203125" style="27" customWidth="1"/>
    <col min="12" max="12" width="14.6640625" style="27" customWidth="1"/>
    <col min="13" max="16384" width="9.109375" style="27"/>
  </cols>
  <sheetData>
    <row r="1" spans="1:12" ht="35.1" customHeight="1" thickBot="1" x14ac:dyDescent="0.3">
      <c r="A1" s="715" t="s">
        <v>1333</v>
      </c>
      <c r="B1" s="716"/>
      <c r="C1" s="716"/>
      <c r="D1" s="716"/>
      <c r="E1" s="716"/>
      <c r="F1" s="716"/>
      <c r="G1" s="716"/>
      <c r="H1" s="716"/>
      <c r="I1" s="716"/>
      <c r="J1" s="716"/>
      <c r="K1" s="716"/>
    </row>
    <row r="2" spans="1:12" ht="35.4" customHeight="1" x14ac:dyDescent="0.25">
      <c r="A2" s="690" t="s">
        <v>1272</v>
      </c>
      <c r="B2" s="691"/>
      <c r="C2" s="691"/>
      <c r="D2" s="691"/>
      <c r="E2" s="691"/>
      <c r="F2" s="691"/>
      <c r="G2" s="691"/>
      <c r="H2" s="691"/>
      <c r="I2" s="691"/>
      <c r="J2" s="691"/>
      <c r="K2" s="691"/>
      <c r="L2" s="570" t="s">
        <v>1206</v>
      </c>
    </row>
    <row r="3" spans="1:12" ht="42.75" customHeight="1" x14ac:dyDescent="0.25">
      <c r="A3" s="713" t="s">
        <v>205</v>
      </c>
      <c r="B3" s="711" t="s">
        <v>1332</v>
      </c>
      <c r="C3" s="706" t="s">
        <v>1334</v>
      </c>
      <c r="D3" s="706"/>
      <c r="E3" s="706"/>
      <c r="F3" s="706"/>
      <c r="G3" s="706" t="s">
        <v>859</v>
      </c>
      <c r="H3" s="706" t="s">
        <v>300</v>
      </c>
      <c r="I3" s="706" t="s">
        <v>861</v>
      </c>
      <c r="J3" s="717" t="s">
        <v>862</v>
      </c>
      <c r="K3" s="721" t="s">
        <v>1208</v>
      </c>
      <c r="L3" s="726" t="s">
        <v>1207</v>
      </c>
    </row>
    <row r="4" spans="1:12" ht="34.5" customHeight="1" x14ac:dyDescent="0.25">
      <c r="A4" s="714"/>
      <c r="B4" s="712"/>
      <c r="C4" s="707" t="s">
        <v>1209</v>
      </c>
      <c r="D4" s="133" t="s">
        <v>300</v>
      </c>
      <c r="E4" s="707" t="s">
        <v>1211</v>
      </c>
      <c r="F4" s="707" t="s">
        <v>1212</v>
      </c>
      <c r="G4" s="707"/>
      <c r="H4" s="707"/>
      <c r="I4" s="707"/>
      <c r="J4" s="718"/>
      <c r="K4" s="721"/>
      <c r="L4" s="726"/>
    </row>
    <row r="5" spans="1:12" s="226" customFormat="1" ht="62.4" x14ac:dyDescent="0.25">
      <c r="A5" s="714"/>
      <c r="B5" s="712"/>
      <c r="C5" s="707"/>
      <c r="D5" s="5" t="s">
        <v>1210</v>
      </c>
      <c r="E5" s="707"/>
      <c r="F5" s="707"/>
      <c r="G5" s="707"/>
      <c r="H5" s="133" t="s">
        <v>860</v>
      </c>
      <c r="I5" s="707"/>
      <c r="J5" s="718"/>
      <c r="K5" s="722"/>
      <c r="L5" s="727"/>
    </row>
    <row r="6" spans="1:12" s="228" customFormat="1" ht="18" customHeight="1" x14ac:dyDescent="0.25">
      <c r="A6" s="157"/>
      <c r="B6" s="11"/>
      <c r="C6" s="133" t="s">
        <v>283</v>
      </c>
      <c r="D6" s="133" t="s">
        <v>284</v>
      </c>
      <c r="E6" s="133" t="s">
        <v>285</v>
      </c>
      <c r="F6" s="133" t="s">
        <v>185</v>
      </c>
      <c r="G6" s="133" t="s">
        <v>286</v>
      </c>
      <c r="H6" s="133" t="s">
        <v>287</v>
      </c>
      <c r="I6" s="133" t="s">
        <v>288</v>
      </c>
      <c r="J6" s="132" t="s">
        <v>186</v>
      </c>
      <c r="K6" s="238" t="s">
        <v>1024</v>
      </c>
      <c r="L6" s="227" t="s">
        <v>826</v>
      </c>
    </row>
    <row r="7" spans="1:12" s="231" customFormat="1" x14ac:dyDescent="0.25">
      <c r="A7" s="7">
        <v>1</v>
      </c>
      <c r="B7" s="11" t="s">
        <v>279</v>
      </c>
      <c r="C7" s="145">
        <f>SUM(C8:C12)</f>
        <v>280.80399999999997</v>
      </c>
      <c r="D7" s="145">
        <f>SUM(D8:D12)</f>
        <v>277.65999999999997</v>
      </c>
      <c r="E7" s="145">
        <f>SUM(E8:E12)</f>
        <v>39.79999999999999</v>
      </c>
      <c r="F7" s="145">
        <f t="shared" ref="F7:F13" si="0">C7+E7</f>
        <v>320.60399999999998</v>
      </c>
      <c r="G7" s="145">
        <f>SUM(G8:G12)</f>
        <v>3941084.2600000002</v>
      </c>
      <c r="H7" s="145">
        <f>SUM(H8:H12)</f>
        <v>3708265.4099999997</v>
      </c>
      <c r="I7" s="145">
        <f>SUM(I8:I12)</f>
        <v>1689618.61</v>
      </c>
      <c r="J7" s="229">
        <f t="shared" ref="J7:J13" si="1">G7+I7</f>
        <v>5630702.8700000001</v>
      </c>
      <c r="K7" s="239">
        <f>IF(F7=0,0,J7/F7/12)</f>
        <v>1463.566390833136</v>
      </c>
      <c r="L7" s="230">
        <f>IF('[2]T6-Zamestnanci_a_mzdy'!F7-'[2]T6a-Zamestnanci_a_mzdy (ženy)'!F7=0,0,('[2]T6-Zamestnanci_a_mzdy'!J7-'[2]T6a-Zamestnanci_a_mzdy (ženy)'!J7)/('[2]T6-Zamestnanci_a_mzdy'!F7-'[2]T6a-Zamestnanci_a_mzdy (ženy)'!F7)/12)</f>
        <v>1708.5952829243668</v>
      </c>
    </row>
    <row r="8" spans="1:12" ht="31.2" x14ac:dyDescent="0.25">
      <c r="A8" s="7">
        <v>2</v>
      </c>
      <c r="B8" s="10" t="s">
        <v>1025</v>
      </c>
      <c r="C8" s="232">
        <v>22.07</v>
      </c>
      <c r="D8" s="232">
        <v>22.07</v>
      </c>
      <c r="E8" s="232">
        <v>6.85</v>
      </c>
      <c r="F8" s="145">
        <f t="shared" si="0"/>
        <v>28.92</v>
      </c>
      <c r="G8" s="232">
        <v>520357.01</v>
      </c>
      <c r="H8" s="232">
        <v>491204.73</v>
      </c>
      <c r="I8" s="232">
        <v>392969.25</v>
      </c>
      <c r="J8" s="229">
        <f t="shared" si="1"/>
        <v>913326.26</v>
      </c>
      <c r="K8" s="239">
        <f t="shared" ref="K8:K30" si="2">IF(F8=0,0,J8/F8/12)</f>
        <v>2631.7607768556936</v>
      </c>
      <c r="L8" s="230">
        <f>IF('[2]T6-Zamestnanci_a_mzdy'!F8-'[2]T6a-Zamestnanci_a_mzdy (ženy)'!F8=0,0,('[2]T6-Zamestnanci_a_mzdy'!J8-'[2]T6a-Zamestnanci_a_mzdy (ženy)'!J8)/('[2]T6-Zamestnanci_a_mzdy'!F8-'[2]T6a-Zamestnanci_a_mzdy (ženy)'!F8)/12)</f>
        <v>2390.0630885122414</v>
      </c>
    </row>
    <row r="9" spans="1:12" x14ac:dyDescent="0.25">
      <c r="A9" s="7">
        <v>3</v>
      </c>
      <c r="B9" s="10" t="s">
        <v>229</v>
      </c>
      <c r="C9" s="232">
        <v>56.54</v>
      </c>
      <c r="D9" s="232">
        <v>56.46</v>
      </c>
      <c r="E9" s="232">
        <v>6.9</v>
      </c>
      <c r="F9" s="145">
        <f t="shared" si="0"/>
        <v>63.44</v>
      </c>
      <c r="G9" s="232">
        <v>990422.27</v>
      </c>
      <c r="H9" s="232">
        <v>927896.29</v>
      </c>
      <c r="I9" s="232">
        <v>339052.65</v>
      </c>
      <c r="J9" s="229">
        <f t="shared" si="1"/>
        <v>1329474.92</v>
      </c>
      <c r="K9" s="239">
        <f t="shared" si="2"/>
        <v>1746.3678541403951</v>
      </c>
      <c r="L9" s="230">
        <f>IF('[2]T6-Zamestnanci_a_mzdy'!F9-'[2]T6a-Zamestnanci_a_mzdy (ženy)'!F9=0,0,('[2]T6-Zamestnanci_a_mzdy'!J9-'[2]T6a-Zamestnanci_a_mzdy (ženy)'!J9)/('[2]T6-Zamestnanci_a_mzdy'!F9-'[2]T6a-Zamestnanci_a_mzdy (ženy)'!F9)/12)</f>
        <v>1749.3865036489433</v>
      </c>
    </row>
    <row r="10" spans="1:12" x14ac:dyDescent="0.25">
      <c r="A10" s="7">
        <v>4</v>
      </c>
      <c r="B10" s="10" t="s">
        <v>230</v>
      </c>
      <c r="C10" s="232">
        <v>172.32</v>
      </c>
      <c r="D10" s="232">
        <v>170.12</v>
      </c>
      <c r="E10" s="232">
        <v>19.38</v>
      </c>
      <c r="F10" s="145">
        <f t="shared" si="0"/>
        <v>191.7</v>
      </c>
      <c r="G10" s="232">
        <v>2154453.83</v>
      </c>
      <c r="H10" s="232">
        <v>2021980.5</v>
      </c>
      <c r="I10" s="232">
        <v>804556.86</v>
      </c>
      <c r="J10" s="229">
        <f t="shared" si="1"/>
        <v>2959010.69</v>
      </c>
      <c r="K10" s="239">
        <f t="shared" si="2"/>
        <v>1286.3026821422361</v>
      </c>
      <c r="L10" s="230">
        <f>IF('[2]T6-Zamestnanci_a_mzdy'!F10-'[2]T6a-Zamestnanci_a_mzdy (ženy)'!F10=0,0,('[2]T6-Zamestnanci_a_mzdy'!J10-'[2]T6a-Zamestnanci_a_mzdy (ženy)'!J10)/('[2]T6-Zamestnanci_a_mzdy'!F10-'[2]T6a-Zamestnanci_a_mzdy (ženy)'!F10)/12)</f>
        <v>1421.4120176813865</v>
      </c>
    </row>
    <row r="11" spans="1:12" x14ac:dyDescent="0.25">
      <c r="A11" s="7">
        <v>5</v>
      </c>
      <c r="B11" s="10" t="s">
        <v>231</v>
      </c>
      <c r="C11" s="232">
        <v>24.974</v>
      </c>
      <c r="D11" s="232">
        <v>24.74</v>
      </c>
      <c r="E11" s="232">
        <v>2.12</v>
      </c>
      <c r="F11" s="145">
        <f t="shared" si="0"/>
        <v>27.094000000000001</v>
      </c>
      <c r="G11" s="232">
        <v>227850.26</v>
      </c>
      <c r="H11" s="232">
        <v>224682.13</v>
      </c>
      <c r="I11" s="232">
        <v>102150.49</v>
      </c>
      <c r="J11" s="229">
        <f t="shared" si="1"/>
        <v>330000.75</v>
      </c>
      <c r="K11" s="239">
        <f t="shared" si="2"/>
        <v>1014.9871742821289</v>
      </c>
      <c r="L11" s="230">
        <f>IF('[2]T6-Zamestnanci_a_mzdy'!F11-'[2]T6a-Zamestnanci_a_mzdy (ženy)'!F11=0,0,('[2]T6-Zamestnanci_a_mzdy'!J11-'[2]T6a-Zamestnanci_a_mzdy (ženy)'!J11)/('[2]T6-Zamestnanci_a_mzdy'!F11-'[2]T6a-Zamestnanci_a_mzdy (ženy)'!F11)/12)</f>
        <v>1077.8822505538221</v>
      </c>
    </row>
    <row r="12" spans="1:12" x14ac:dyDescent="0.25">
      <c r="A12" s="7">
        <v>6</v>
      </c>
      <c r="B12" s="10" t="s">
        <v>232</v>
      </c>
      <c r="C12" s="232">
        <v>4.9000000000000004</v>
      </c>
      <c r="D12" s="232">
        <v>4.2699999999999996</v>
      </c>
      <c r="E12" s="232">
        <v>4.55</v>
      </c>
      <c r="F12" s="145">
        <f t="shared" si="0"/>
        <v>9.4499999999999993</v>
      </c>
      <c r="G12" s="232">
        <v>48000.89</v>
      </c>
      <c r="H12" s="232">
        <v>42501.760000000002</v>
      </c>
      <c r="I12" s="232">
        <v>50889.36</v>
      </c>
      <c r="J12" s="229">
        <f t="shared" si="1"/>
        <v>98890.25</v>
      </c>
      <c r="K12" s="239">
        <f t="shared" si="2"/>
        <v>872.04805996472669</v>
      </c>
      <c r="L12" s="230">
        <f>IF('[2]T6-Zamestnanci_a_mzdy'!F12-'[2]T6a-Zamestnanci_a_mzdy (ženy)'!F12=0,0,('[2]T6-Zamestnanci_a_mzdy'!J12-'[2]T6a-Zamestnanci_a_mzdy (ženy)'!J12)/('[2]T6-Zamestnanci_a_mzdy'!F12-'[2]T6a-Zamestnanci_a_mzdy (ženy)'!F12)/12)</f>
        <v>927.63599182004089</v>
      </c>
    </row>
    <row r="13" spans="1:12" x14ac:dyDescent="0.25">
      <c r="A13" s="7">
        <v>7</v>
      </c>
      <c r="B13" s="11" t="s">
        <v>61</v>
      </c>
      <c r="C13" s="232">
        <v>116.47</v>
      </c>
      <c r="D13" s="232">
        <v>108.65</v>
      </c>
      <c r="E13" s="232">
        <v>15.42</v>
      </c>
      <c r="F13" s="145">
        <f t="shared" si="0"/>
        <v>131.88999999999999</v>
      </c>
      <c r="G13" s="232">
        <v>998887.22</v>
      </c>
      <c r="H13" s="232">
        <v>874563.37</v>
      </c>
      <c r="I13" s="232">
        <v>237988.81</v>
      </c>
      <c r="J13" s="229">
        <f t="shared" si="1"/>
        <v>1236876.03</v>
      </c>
      <c r="K13" s="239">
        <f t="shared" si="2"/>
        <v>781.50733565850339</v>
      </c>
      <c r="L13" s="230">
        <f>IF('[2]T6-Zamestnanci_a_mzdy'!F13-'[2]T6a-Zamestnanci_a_mzdy (ženy)'!F13=0,0,('[2]T6-Zamestnanci_a_mzdy'!J13-'[2]T6a-Zamestnanci_a_mzdy (ženy)'!J13)/('[2]T6-Zamestnanci_a_mzdy'!F13-'[2]T6a-Zamestnanci_a_mzdy (ženy)'!F13)/12)</f>
        <v>1131.6056879052715</v>
      </c>
    </row>
    <row r="14" spans="1:12" x14ac:dyDescent="0.25">
      <c r="A14" s="7"/>
      <c r="B14" s="10" t="s">
        <v>300</v>
      </c>
      <c r="C14" s="232"/>
      <c r="D14" s="232"/>
      <c r="E14" s="232"/>
      <c r="F14" s="145"/>
      <c r="G14" s="232"/>
      <c r="H14" s="232"/>
      <c r="I14" s="232"/>
      <c r="J14" s="229"/>
      <c r="K14" s="240"/>
      <c r="L14" s="230"/>
    </row>
    <row r="15" spans="1:12" x14ac:dyDescent="0.25">
      <c r="A15" s="7">
        <v>8</v>
      </c>
      <c r="B15" s="10" t="s">
        <v>65</v>
      </c>
      <c r="C15" s="232">
        <v>12.077999999999999</v>
      </c>
      <c r="D15" s="232">
        <v>12.08</v>
      </c>
      <c r="E15" s="232">
        <v>2.62</v>
      </c>
      <c r="F15" s="145">
        <f t="shared" ref="F15:F21" si="3">C15+E15</f>
        <v>14.698</v>
      </c>
      <c r="G15" s="232">
        <v>116886.44</v>
      </c>
      <c r="H15" s="232">
        <v>107525.79</v>
      </c>
      <c r="I15" s="232">
        <v>34875.410000000003</v>
      </c>
      <c r="J15" s="229">
        <f t="shared" ref="J15:J21" si="4">G15+I15</f>
        <v>151761.85</v>
      </c>
      <c r="K15" s="239">
        <f t="shared" si="2"/>
        <v>860.44501519481116</v>
      </c>
      <c r="L15" s="230">
        <f>IF('[2]T6-Zamestnanci_a_mzdy'!F15-'[2]T6a-Zamestnanci_a_mzdy (ženy)'!F15=0,0,('[2]T6-Zamestnanci_a_mzdy'!J15-'[2]T6a-Zamestnanci_a_mzdy (ženy)'!J15)/('[2]T6-Zamestnanci_a_mzdy'!F15-'[2]T6a-Zamestnanci_a_mzdy (ženy)'!F15)/12)</f>
        <v>1236.8445137182023</v>
      </c>
    </row>
    <row r="16" spans="1:12" x14ac:dyDescent="0.25">
      <c r="A16" s="7">
        <v>9</v>
      </c>
      <c r="B16" s="11" t="s">
        <v>280</v>
      </c>
      <c r="C16" s="145">
        <f>SUM(C17:C19)</f>
        <v>165.72900000000001</v>
      </c>
      <c r="D16" s="145">
        <f>SUM(D17:D19)</f>
        <v>163.99</v>
      </c>
      <c r="E16" s="145">
        <f>SUM(E17:E19)</f>
        <v>36.18</v>
      </c>
      <c r="F16" s="145">
        <f t="shared" si="3"/>
        <v>201.90900000000002</v>
      </c>
      <c r="G16" s="145">
        <f>SUM(G17:G19)</f>
        <v>1571948.53</v>
      </c>
      <c r="H16" s="145">
        <f>SUM(H17:H19)</f>
        <v>1515120.0199999998</v>
      </c>
      <c r="I16" s="145">
        <f>SUM(I17:I19)</f>
        <v>515878.67000000004</v>
      </c>
      <c r="J16" s="229">
        <f t="shared" si="4"/>
        <v>2087827.2000000002</v>
      </c>
      <c r="K16" s="239">
        <f t="shared" si="2"/>
        <v>861.70304444081239</v>
      </c>
      <c r="L16" s="230">
        <f>IF('[2]T6-Zamestnanci_a_mzdy'!F16-'[2]T6a-Zamestnanci_a_mzdy (ženy)'!F16=0,0,('[2]T6-Zamestnanci_a_mzdy'!J16-'[2]T6a-Zamestnanci_a_mzdy (ženy)'!J16)/('[2]T6-Zamestnanci_a_mzdy'!F16-'[2]T6a-Zamestnanci_a_mzdy (ženy)'!F16)/12)</f>
        <v>1214.2897759261386</v>
      </c>
    </row>
    <row r="17" spans="1:12" x14ac:dyDescent="0.25">
      <c r="A17" s="7">
        <v>10</v>
      </c>
      <c r="B17" s="10" t="s">
        <v>233</v>
      </c>
      <c r="C17" s="232">
        <v>60.68</v>
      </c>
      <c r="D17" s="232">
        <v>60.68</v>
      </c>
      <c r="E17" s="232">
        <v>2.84</v>
      </c>
      <c r="F17" s="145">
        <f t="shared" si="3"/>
        <v>63.519999999999996</v>
      </c>
      <c r="G17" s="232">
        <v>614952.06000000006</v>
      </c>
      <c r="H17" s="232">
        <v>600744.69999999995</v>
      </c>
      <c r="I17" s="232">
        <v>41710.07</v>
      </c>
      <c r="J17" s="229">
        <f t="shared" si="4"/>
        <v>656662.13</v>
      </c>
      <c r="K17" s="239">
        <f t="shared" si="2"/>
        <v>861.48999002938717</v>
      </c>
      <c r="L17" s="230">
        <f>IF('[2]T6-Zamestnanci_a_mzdy'!F17-'[2]T6a-Zamestnanci_a_mzdy (ženy)'!F17=0,0,('[2]T6-Zamestnanci_a_mzdy'!J17-'[2]T6a-Zamestnanci_a_mzdy (ženy)'!J17)/('[2]T6-Zamestnanci_a_mzdy'!F17-'[2]T6a-Zamestnanci_a_mzdy (ženy)'!F17)/12)</f>
        <v>1375.6839294585172</v>
      </c>
    </row>
    <row r="18" spans="1:12" x14ac:dyDescent="0.25">
      <c r="A18" s="7">
        <v>11</v>
      </c>
      <c r="B18" s="10" t="s">
        <v>187</v>
      </c>
      <c r="C18" s="232">
        <v>63.75</v>
      </c>
      <c r="D18" s="232">
        <v>62.02</v>
      </c>
      <c r="E18" s="232">
        <v>22.2</v>
      </c>
      <c r="F18" s="145">
        <f t="shared" si="3"/>
        <v>85.95</v>
      </c>
      <c r="G18" s="232">
        <v>648961.22</v>
      </c>
      <c r="H18" s="232">
        <v>608313.64</v>
      </c>
      <c r="I18" s="232">
        <v>346447.95</v>
      </c>
      <c r="J18" s="229">
        <f t="shared" si="4"/>
        <v>995409.16999999993</v>
      </c>
      <c r="K18" s="239">
        <f t="shared" si="2"/>
        <v>965.1048768663951</v>
      </c>
      <c r="L18" s="230">
        <f>IF('[2]T6-Zamestnanci_a_mzdy'!F18-'[2]T6a-Zamestnanci_a_mzdy (ženy)'!F18=0,0,('[2]T6-Zamestnanci_a_mzdy'!J18-'[2]T6a-Zamestnanci_a_mzdy (ženy)'!J18)/('[2]T6-Zamestnanci_a_mzdy'!F18-'[2]T6a-Zamestnanci_a_mzdy (ženy)'!F18)/12)</f>
        <v>715.79185867896274</v>
      </c>
    </row>
    <row r="19" spans="1:12" x14ac:dyDescent="0.25">
      <c r="A19" s="7">
        <v>12</v>
      </c>
      <c r="B19" s="10" t="s">
        <v>164</v>
      </c>
      <c r="C19" s="232">
        <v>41.298999999999999</v>
      </c>
      <c r="D19" s="232">
        <v>41.29</v>
      </c>
      <c r="E19" s="232">
        <v>11.14</v>
      </c>
      <c r="F19" s="145">
        <f t="shared" si="3"/>
        <v>52.439</v>
      </c>
      <c r="G19" s="232">
        <v>308035.25</v>
      </c>
      <c r="H19" s="232">
        <v>306061.68</v>
      </c>
      <c r="I19" s="232">
        <v>127720.65</v>
      </c>
      <c r="J19" s="229">
        <f t="shared" si="4"/>
        <v>435755.9</v>
      </c>
      <c r="K19" s="239">
        <f t="shared" si="2"/>
        <v>692.48062828556351</v>
      </c>
      <c r="L19" s="230">
        <f>IF('[2]T6-Zamestnanci_a_mzdy'!F19-'[2]T6a-Zamestnanci_a_mzdy (ženy)'!F19=0,0,('[2]T6-Zamestnanci_a_mzdy'!J19-'[2]T6a-Zamestnanci_a_mzdy (ženy)'!J19)/('[2]T6-Zamestnanci_a_mzdy'!F19-'[2]T6a-Zamestnanci_a_mzdy (ženy)'!F19)/12)</f>
        <v>0</v>
      </c>
    </row>
    <row r="20" spans="1:12" x14ac:dyDescent="0.25">
      <c r="A20" s="7">
        <v>13</v>
      </c>
      <c r="B20" s="11" t="s">
        <v>277</v>
      </c>
      <c r="C20" s="232">
        <v>58.35</v>
      </c>
      <c r="D20" s="232">
        <v>53.93</v>
      </c>
      <c r="E20" s="232">
        <v>12.87</v>
      </c>
      <c r="F20" s="145">
        <f t="shared" si="3"/>
        <v>71.22</v>
      </c>
      <c r="G20" s="232">
        <v>792373.76000000001</v>
      </c>
      <c r="H20" s="232">
        <v>734415.81</v>
      </c>
      <c r="I20" s="232">
        <v>336135.46</v>
      </c>
      <c r="J20" s="229">
        <f t="shared" si="4"/>
        <v>1128509.22</v>
      </c>
      <c r="K20" s="239">
        <f t="shared" si="2"/>
        <v>1320.4498034260039</v>
      </c>
      <c r="L20" s="230">
        <f>IF('[2]T6-Zamestnanci_a_mzdy'!F20-'[2]T6a-Zamestnanci_a_mzdy (ženy)'!F20=0,0,('[2]T6-Zamestnanci_a_mzdy'!J20-'[2]T6a-Zamestnanci_a_mzdy (ženy)'!J20)/('[2]T6-Zamestnanci_a_mzdy'!F20-'[2]T6a-Zamestnanci_a_mzdy (ženy)'!F20)/12)</f>
        <v>1435.5128474042997</v>
      </c>
    </row>
    <row r="21" spans="1:12" ht="31.2" x14ac:dyDescent="0.25">
      <c r="A21" s="7">
        <v>14</v>
      </c>
      <c r="B21" s="11" t="s">
        <v>62</v>
      </c>
      <c r="C21" s="232">
        <v>76.5</v>
      </c>
      <c r="D21" s="232">
        <v>76.5</v>
      </c>
      <c r="E21" s="232">
        <v>11.03</v>
      </c>
      <c r="F21" s="145">
        <f t="shared" si="3"/>
        <v>87.53</v>
      </c>
      <c r="G21" s="232">
        <v>406839.48</v>
      </c>
      <c r="H21" s="232">
        <v>406839.48</v>
      </c>
      <c r="I21" s="232">
        <v>107256</v>
      </c>
      <c r="J21" s="229">
        <f t="shared" si="4"/>
        <v>514095.48</v>
      </c>
      <c r="K21" s="239">
        <f t="shared" si="2"/>
        <v>489.44693248029245</v>
      </c>
      <c r="L21" s="230">
        <f>IF('[2]T6-Zamestnanci_a_mzdy'!F21-'[2]T6a-Zamestnanci_a_mzdy (ženy)'!F21=0,0,('[2]T6-Zamestnanci_a_mzdy'!J21-'[2]T6a-Zamestnanci_a_mzdy (ženy)'!J21)/('[2]T6-Zamestnanci_a_mzdy'!F21-'[2]T6a-Zamestnanci_a_mzdy (ženy)'!F21)/12)</f>
        <v>657.89443445243808</v>
      </c>
    </row>
    <row r="22" spans="1:12" ht="46.8" x14ac:dyDescent="0.25">
      <c r="A22" s="7">
        <v>15</v>
      </c>
      <c r="B22" s="11" t="s">
        <v>319</v>
      </c>
      <c r="C22" s="145">
        <f>SUM(C23:C26)</f>
        <v>21.14</v>
      </c>
      <c r="D22" s="145">
        <f>SUM(D23:D26)</f>
        <v>21.14</v>
      </c>
      <c r="E22" s="145">
        <f>SUM(E23:E26)</f>
        <v>0</v>
      </c>
      <c r="F22" s="145">
        <f>SUM(F27:F27)</f>
        <v>0</v>
      </c>
      <c r="G22" s="145">
        <f>SUM(G23:G26)</f>
        <v>120719.37</v>
      </c>
      <c r="H22" s="145">
        <f>SUM(H23:H26)</f>
        <v>120719.37</v>
      </c>
      <c r="I22" s="145">
        <f>SUM(I23:I26)</f>
        <v>4610</v>
      </c>
      <c r="J22" s="229">
        <f>SUM(J23:J26)</f>
        <v>125329.37</v>
      </c>
      <c r="K22" s="239">
        <f t="shared" si="2"/>
        <v>0</v>
      </c>
      <c r="L22" s="230">
        <f>IF('[2]T6-Zamestnanci_a_mzdy'!F22-'[2]T6a-Zamestnanci_a_mzdy (ženy)'!F22=0,0,('[2]T6-Zamestnanci_a_mzdy'!J22-'[2]T6a-Zamestnanci_a_mzdy (ženy)'!J22)/('[2]T6-Zamestnanci_a_mzdy'!F22-'[2]T6a-Zamestnanci_a_mzdy (ženy)'!F22)/12)</f>
        <v>0</v>
      </c>
    </row>
    <row r="23" spans="1:12" x14ac:dyDescent="0.25">
      <c r="A23" s="7" t="s">
        <v>278</v>
      </c>
      <c r="B23" s="10" t="s">
        <v>1273</v>
      </c>
      <c r="C23" s="232">
        <v>21.14</v>
      </c>
      <c r="D23" s="232">
        <v>21.14</v>
      </c>
      <c r="E23" s="232">
        <v>0</v>
      </c>
      <c r="F23" s="145">
        <f t="shared" ref="F23:F29" si="5">C23+E23</f>
        <v>21.14</v>
      </c>
      <c r="G23" s="232">
        <v>120719.37</v>
      </c>
      <c r="H23" s="232">
        <v>120719.37</v>
      </c>
      <c r="I23" s="232">
        <v>4610</v>
      </c>
      <c r="J23" s="229">
        <f>G23+I23</f>
        <v>125329.37</v>
      </c>
      <c r="K23" s="239">
        <f t="shared" si="2"/>
        <v>494.04513560391041</v>
      </c>
      <c r="L23" s="230">
        <f>IF('[2]T6-Zamestnanci_a_mzdy'!F23-'[2]T6a-Zamestnanci_a_mzdy (ženy)'!F23=0,0,('[2]T6-Zamestnanci_a_mzdy'!J23-'[2]T6a-Zamestnanci_a_mzdy (ženy)'!J23)/('[2]T6-Zamestnanci_a_mzdy'!F23-'[2]T6a-Zamestnanci_a_mzdy (ženy)'!F23)/12)</f>
        <v>666.77993793355256</v>
      </c>
    </row>
    <row r="24" spans="1:12" x14ac:dyDescent="0.25">
      <c r="A24" s="7" t="s">
        <v>388</v>
      </c>
      <c r="B24" s="10"/>
      <c r="C24" s="232"/>
      <c r="D24" s="232"/>
      <c r="E24" s="232"/>
      <c r="F24" s="145">
        <f t="shared" si="5"/>
        <v>0</v>
      </c>
      <c r="G24" s="232"/>
      <c r="H24" s="232"/>
      <c r="I24" s="232"/>
      <c r="J24" s="229">
        <f>G24+I24</f>
        <v>0</v>
      </c>
      <c r="K24" s="239">
        <f t="shared" si="2"/>
        <v>0</v>
      </c>
      <c r="L24" s="230">
        <f>IF('[2]T6-Zamestnanci_a_mzdy'!F24-'[2]T6a-Zamestnanci_a_mzdy (ženy)'!F24=0,0,('[2]T6-Zamestnanci_a_mzdy'!J24-'[2]T6a-Zamestnanci_a_mzdy (ženy)'!J24)/('[2]T6-Zamestnanci_a_mzdy'!F24-'[2]T6a-Zamestnanci_a_mzdy (ženy)'!F24)/12)</f>
        <v>0</v>
      </c>
    </row>
    <row r="25" spans="1:12" x14ac:dyDescent="0.25">
      <c r="A25" s="7" t="s">
        <v>389</v>
      </c>
      <c r="B25" s="10"/>
      <c r="C25" s="232"/>
      <c r="D25" s="232"/>
      <c r="E25" s="232"/>
      <c r="F25" s="145">
        <f t="shared" si="5"/>
        <v>0</v>
      </c>
      <c r="G25" s="232"/>
      <c r="H25" s="232"/>
      <c r="I25" s="232"/>
      <c r="J25" s="229">
        <f>G25+I25</f>
        <v>0</v>
      </c>
      <c r="K25" s="239">
        <f t="shared" si="2"/>
        <v>0</v>
      </c>
      <c r="L25" s="230">
        <f>IF('[2]T6-Zamestnanci_a_mzdy'!F25-'[2]T6a-Zamestnanci_a_mzdy (ženy)'!F25=0,0,('[2]T6-Zamestnanci_a_mzdy'!J25-'[2]T6a-Zamestnanci_a_mzdy (ženy)'!J25)/('[2]T6-Zamestnanci_a_mzdy'!F25-'[2]T6a-Zamestnanci_a_mzdy (ženy)'!F25)/12)</f>
        <v>0</v>
      </c>
    </row>
    <row r="26" spans="1:12" ht="16.5" customHeight="1" x14ac:dyDescent="0.25">
      <c r="A26" s="7" t="s">
        <v>390</v>
      </c>
      <c r="B26" s="10"/>
      <c r="C26" s="232"/>
      <c r="D26" s="232"/>
      <c r="E26" s="232"/>
      <c r="F26" s="145">
        <f t="shared" si="5"/>
        <v>0</v>
      </c>
      <c r="G26" s="232"/>
      <c r="H26" s="232"/>
      <c r="I26" s="232"/>
      <c r="J26" s="229">
        <f>G26+I26</f>
        <v>0</v>
      </c>
      <c r="K26" s="239">
        <f t="shared" si="2"/>
        <v>0</v>
      </c>
      <c r="L26" s="230">
        <f>IF('[2]T6-Zamestnanci_a_mzdy'!F26-'[2]T6a-Zamestnanci_a_mzdy (ženy)'!F26=0,0,('[2]T6-Zamestnanci_a_mzdy'!J26-'[2]T6a-Zamestnanci_a_mzdy (ženy)'!J26)/('[2]T6-Zamestnanci_a_mzdy'!F26-'[2]T6a-Zamestnanci_a_mzdy (ženy)'!F26)/12)</f>
        <v>0</v>
      </c>
    </row>
    <row r="27" spans="1:12" x14ac:dyDescent="0.25">
      <c r="A27" s="7"/>
      <c r="B27" s="10"/>
      <c r="C27" s="232"/>
      <c r="D27" s="232"/>
      <c r="E27" s="232"/>
      <c r="F27" s="145">
        <f t="shared" si="5"/>
        <v>0</v>
      </c>
      <c r="G27" s="232"/>
      <c r="H27" s="232"/>
      <c r="I27" s="232"/>
      <c r="J27" s="229"/>
      <c r="K27" s="240"/>
      <c r="L27" s="230"/>
    </row>
    <row r="28" spans="1:12" x14ac:dyDescent="0.25">
      <c r="A28" s="7">
        <v>16</v>
      </c>
      <c r="B28" s="11" t="s">
        <v>63</v>
      </c>
      <c r="C28" s="232">
        <v>27.95</v>
      </c>
      <c r="D28" s="232">
        <v>27.95</v>
      </c>
      <c r="E28" s="232">
        <v>9.2200000000000006</v>
      </c>
      <c r="F28" s="145">
        <f t="shared" si="5"/>
        <v>37.17</v>
      </c>
      <c r="G28" s="232">
        <v>172486.46</v>
      </c>
      <c r="H28" s="232">
        <v>172486.46</v>
      </c>
      <c r="I28" s="232">
        <v>81832.06</v>
      </c>
      <c r="J28" s="229">
        <f>G28+I28</f>
        <v>254318.52</v>
      </c>
      <c r="K28" s="239">
        <f t="shared" si="2"/>
        <v>570.16976055959105</v>
      </c>
      <c r="L28" s="230">
        <f>IF('[2]T6-Zamestnanci_a_mzdy'!F28-'[2]T6a-Zamestnanci_a_mzdy (ženy)'!F28=0,0,('[2]T6-Zamestnanci_a_mzdy'!J28-'[2]T6a-Zamestnanci_a_mzdy (ženy)'!J28)/('[2]T6-Zamestnanci_a_mzdy'!F28-'[2]T6a-Zamestnanci_a_mzdy (ženy)'!F28)/12)</f>
        <v>642.54226631777863</v>
      </c>
    </row>
    <row r="29" spans="1:12" x14ac:dyDescent="0.25">
      <c r="A29" s="7">
        <v>17</v>
      </c>
      <c r="B29" s="11" t="s">
        <v>64</v>
      </c>
      <c r="C29" s="232"/>
      <c r="D29" s="232"/>
      <c r="E29" s="232">
        <v>33.31</v>
      </c>
      <c r="F29" s="145">
        <f t="shared" si="5"/>
        <v>33.31</v>
      </c>
      <c r="G29" s="232">
        <v>5591</v>
      </c>
      <c r="H29" s="232">
        <v>5591</v>
      </c>
      <c r="I29" s="232">
        <v>210928.73</v>
      </c>
      <c r="J29" s="229">
        <f>G29+I29</f>
        <v>216519.73</v>
      </c>
      <c r="K29" s="239">
        <f t="shared" si="2"/>
        <v>541.67849994996493</v>
      </c>
      <c r="L29" s="230">
        <f>IF('[2]T6-Zamestnanci_a_mzdy'!F29-'[2]T6a-Zamestnanci_a_mzdy (ženy)'!F29=0,0,('[2]T6-Zamestnanci_a_mzdy'!J29-'[2]T6a-Zamestnanci_a_mzdy (ženy)'!J29)/('[2]T6-Zamestnanci_a_mzdy'!F29-'[2]T6a-Zamestnanci_a_mzdy (ženy)'!F29)/12)</f>
        <v>565.48996655518408</v>
      </c>
    </row>
    <row r="30" spans="1:12" ht="16.2" thickBot="1" x14ac:dyDescent="0.3">
      <c r="A30" s="66">
        <v>18</v>
      </c>
      <c r="B30" s="12" t="s">
        <v>320</v>
      </c>
      <c r="C30" s="112">
        <f t="shared" ref="C30:J30" si="6">C7+C13+C16+C20+C21+C28+C29</f>
        <v>725.80300000000011</v>
      </c>
      <c r="D30" s="112">
        <f t="shared" si="6"/>
        <v>708.68</v>
      </c>
      <c r="E30" s="112">
        <f t="shared" si="6"/>
        <v>157.82999999999998</v>
      </c>
      <c r="F30" s="112">
        <f t="shared" si="6"/>
        <v>883.63300000000004</v>
      </c>
      <c r="G30" s="112">
        <f t="shared" si="6"/>
        <v>7889210.71</v>
      </c>
      <c r="H30" s="112">
        <f t="shared" si="6"/>
        <v>7417281.5499999998</v>
      </c>
      <c r="I30" s="112">
        <f t="shared" si="6"/>
        <v>3179638.3400000003</v>
      </c>
      <c r="J30" s="233">
        <f t="shared" si="6"/>
        <v>11068849.050000003</v>
      </c>
      <c r="K30" s="241">
        <f t="shared" si="2"/>
        <v>1043.8769121343364</v>
      </c>
      <c r="L30" s="234">
        <f>IF('[2]T6-Zamestnanci_a_mzdy'!F30-'[2]T6a-Zamestnanci_a_mzdy (ženy)'!F30=0,0,('[2]T6-Zamestnanci_a_mzdy'!J30-'[2]T6a-Zamestnanci_a_mzdy (ženy)'!J30)/('[2]T6-Zamestnanci_a_mzdy'!F30-'[2]T6a-Zamestnanci_a_mzdy (ženy)'!F30)/12)</f>
        <v>1422.6715106358606</v>
      </c>
    </row>
    <row r="31" spans="1:12" x14ac:dyDescent="0.25">
      <c r="A31" s="130"/>
      <c r="B31" s="130"/>
      <c r="C31" s="235"/>
      <c r="D31" s="130"/>
      <c r="E31" s="130"/>
      <c r="F31" s="235"/>
      <c r="G31" s="235"/>
      <c r="H31" s="235"/>
      <c r="I31" s="235"/>
      <c r="J31" s="235"/>
    </row>
    <row r="32" spans="1:12" x14ac:dyDescent="0.3">
      <c r="A32" s="723" t="s">
        <v>0</v>
      </c>
      <c r="B32" s="724"/>
      <c r="C32" s="724"/>
      <c r="D32" s="724"/>
      <c r="E32" s="724"/>
      <c r="F32" s="724"/>
      <c r="G32" s="724"/>
      <c r="H32" s="724"/>
      <c r="I32" s="724"/>
      <c r="J32" s="725"/>
    </row>
    <row r="33" spans="1:12" x14ac:dyDescent="0.3">
      <c r="A33" s="708" t="s">
        <v>1026</v>
      </c>
      <c r="B33" s="709"/>
      <c r="C33" s="709"/>
      <c r="D33" s="709"/>
      <c r="E33" s="709"/>
      <c r="F33" s="709"/>
      <c r="G33" s="709"/>
      <c r="H33" s="709"/>
      <c r="I33" s="709"/>
      <c r="J33" s="710"/>
    </row>
    <row r="34" spans="1:12" ht="50.25" customHeight="1" x14ac:dyDescent="0.25">
      <c r="B34" s="705" t="s">
        <v>1335</v>
      </c>
      <c r="C34" s="705"/>
      <c r="D34" s="705"/>
      <c r="E34" s="705"/>
      <c r="F34" s="705"/>
      <c r="G34" s="705"/>
      <c r="H34" s="705"/>
      <c r="I34" s="705"/>
      <c r="J34" s="705"/>
      <c r="L34" s="142"/>
    </row>
    <row r="35" spans="1:12" x14ac:dyDescent="0.25">
      <c r="B35" s="571" t="s">
        <v>838</v>
      </c>
    </row>
    <row r="36" spans="1:12" x14ac:dyDescent="0.25">
      <c r="B36" s="571" t="s">
        <v>839</v>
      </c>
    </row>
    <row r="37" spans="1:12" x14ac:dyDescent="0.25">
      <c r="B37" s="571" t="s">
        <v>840</v>
      </c>
    </row>
  </sheetData>
  <mergeCells count="17">
    <mergeCell ref="A32:J32"/>
    <mergeCell ref="A33:J33"/>
    <mergeCell ref="L3:L5"/>
    <mergeCell ref="B34:J34"/>
    <mergeCell ref="A1:K1"/>
    <mergeCell ref="A2:K2"/>
    <mergeCell ref="A3:A5"/>
    <mergeCell ref="B3:B5"/>
    <mergeCell ref="C3:F3"/>
    <mergeCell ref="G3:G5"/>
    <mergeCell ref="H3:H4"/>
    <mergeCell ref="I3:I5"/>
    <mergeCell ref="J3:J5"/>
    <mergeCell ref="K3:K5"/>
    <mergeCell ref="C4:C5"/>
    <mergeCell ref="E4:E5"/>
    <mergeCell ref="F4:F5"/>
  </mergeCells>
  <printOptions gridLines="1"/>
  <pageMargins left="0.2" right="0.19" top="0.8" bottom="0.39370078740157483" header="0.51181102362204722" footer="0.27559055118110237"/>
  <pageSetup paperSize="9" scale="63"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09021EF4742B343A1D85F8700228882" ma:contentTypeVersion="0" ma:contentTypeDescription="Umožňuje vytvoriť nový dokument." ma:contentTypeScope="" ma:versionID="d5ce656bb9126b90eba25d1deb3ab1ba">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C4697A-4BC5-4925-A0CC-1EECB6356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78802F3-CAF1-414B-986B-3ACC0176C017}">
  <ds:schemaRefs>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2E69B052-6B58-40C2-8603-8925FD4879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31</vt:i4>
      </vt:variant>
      <vt:variant>
        <vt:lpstr>Pomenované rozsahy</vt:lpstr>
      </vt:variant>
      <vt:variant>
        <vt:i4>28</vt:i4>
      </vt:variant>
    </vt:vector>
  </HeadingPairs>
  <TitlesOfParts>
    <vt:vector size="59" baseType="lpstr">
      <vt:lpstr>T1-Dotácie podľa DZ</vt:lpstr>
      <vt:lpstr>T2-Ostatné dot mimo MŠ SR</vt:lpstr>
      <vt:lpstr>T3-Výnosy</vt:lpstr>
      <vt:lpstr>T3a-Výnosy</vt:lpstr>
      <vt:lpstr>T4-Výnosy zo školného</vt:lpstr>
      <vt:lpstr>T5 - Analýza nákladov</vt:lpstr>
      <vt:lpstr>T5a - Náklady </vt:lpstr>
      <vt:lpstr>T6-Zamestnanci_a_mzdy</vt:lpstr>
      <vt:lpstr>T6a-Zamestnanci_a_mzdy (ženy)</vt:lpstr>
      <vt:lpstr>T7_Doktorandi </vt:lpstr>
      <vt:lpstr>T8-Soc_štipendiá</vt:lpstr>
      <vt:lpstr>T9_ŠD </vt:lpstr>
      <vt:lpstr>T10-ŠJ </vt:lpstr>
      <vt:lpstr>T11-Zdroje KV</vt:lpstr>
      <vt:lpstr>T12-KV</vt:lpstr>
      <vt:lpstr>T13-Fondy</vt:lpstr>
      <vt:lpstr>T16 - Štruktúra hotovosti</vt:lpstr>
      <vt:lpstr>T17-Dotácie zo ŠF EU</vt:lpstr>
      <vt:lpstr>T18-Ostatné dotacie z kap MŠ SR</vt:lpstr>
      <vt:lpstr>T19-Štip_ z vlastných </vt:lpstr>
      <vt:lpstr>T20_motivačné štipendiá_nová</vt:lpstr>
      <vt:lpstr>T21-štruktúra_384</vt:lpstr>
      <vt:lpstr>T22_Výnosy_soc_oblasť</vt:lpstr>
      <vt:lpstr>T23_Náklady_soc_oblasť</vt:lpstr>
      <vt:lpstr>T24a_Aktíva_1</vt:lpstr>
      <vt:lpstr>T24b_Aktíva_2</vt:lpstr>
      <vt:lpstr>T25_Pasíva </vt:lpstr>
      <vt:lpstr>Vysvetlivky</vt:lpstr>
      <vt:lpstr>Súvzťažnosti</vt:lpstr>
      <vt:lpstr>Kódy z CRŠ</vt:lpstr>
      <vt:lpstr>T24__Aktíva</vt:lpstr>
      <vt:lpstr>Súvzťažnosti!Oblasť_tlače</vt:lpstr>
      <vt:lpstr>'T10-ŠJ '!Oblasť_tlače</vt:lpstr>
      <vt:lpstr>'T11-Zdroje KV'!Oblasť_tlače</vt:lpstr>
      <vt:lpstr>'T12-KV'!Oblasť_tlače</vt:lpstr>
      <vt:lpstr>'T13-Fondy'!Oblasť_tlače</vt:lpstr>
      <vt:lpstr>'T16 - Štruktúra hotovosti'!Oblasť_tlače</vt:lpstr>
      <vt:lpstr>'T17-Dotácie zo ŠF EU'!Oblasť_tlače</vt:lpstr>
      <vt:lpstr>'T18-Ostatné dotacie z kap MŠ SR'!Oblasť_tlače</vt:lpstr>
      <vt:lpstr>'T19-Štip_ z vlastných '!Oblasť_tlače</vt:lpstr>
      <vt:lpstr>'T1-Dotácie podľa DZ'!Oblasť_tlače</vt:lpstr>
      <vt:lpstr>'T20_motivačné štipendiá_nová'!Oblasť_tlače</vt:lpstr>
      <vt:lpstr>'T21-štruktúra_384'!Oblasť_tlače</vt:lpstr>
      <vt:lpstr>T22_Výnosy_soc_oblasť!Oblasť_tlače</vt:lpstr>
      <vt:lpstr>T23_Náklady_soc_oblasť!Oblasť_tlače</vt:lpstr>
      <vt:lpstr>T24a_Aktíva_1!Oblasť_tlače</vt:lpstr>
      <vt:lpstr>T24b_Aktíva_2!Oblasť_tlače</vt:lpstr>
      <vt:lpstr>'T25_Pasíva '!Oblasť_tlače</vt:lpstr>
      <vt:lpstr>'T3a-Výnosy'!Oblasť_tlače</vt:lpstr>
      <vt:lpstr>'T3-Výnosy'!Oblasť_tlače</vt:lpstr>
      <vt:lpstr>'T4-Výnosy zo školného'!Oblasť_tlače</vt:lpstr>
      <vt:lpstr>'T5 - Analýza nákladov'!Oblasť_tlače</vt:lpstr>
      <vt:lpstr>'T5a - Náklady '!Oblasť_tlače</vt:lpstr>
      <vt:lpstr>'T6a-Zamestnanci_a_mzdy (ženy)'!Oblasť_tlače</vt:lpstr>
      <vt:lpstr>'T6-Zamestnanci_a_mzdy'!Oblasť_tlače</vt:lpstr>
      <vt:lpstr>'T7_Doktorandi '!Oblasť_tlače</vt:lpstr>
      <vt:lpstr>'T8-Soc_štipendiá'!Oblasť_tlače</vt:lpstr>
      <vt:lpstr>'T9_ŠD '!Oblasť_tlače</vt:lpstr>
      <vt:lpstr>Vysvetlivky!Oblasť_tlače</vt:lpstr>
    </vt:vector>
  </TitlesOfParts>
  <Company>MSSR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Tabuľky k výročnej správe o hospodárení VVš 2004</dc:title>
  <dc:creator>Viest</dc:creator>
  <cp:lastModifiedBy>renata.lucanska</cp:lastModifiedBy>
  <cp:lastPrinted>2016-05-02T12:00:06Z</cp:lastPrinted>
  <dcterms:created xsi:type="dcterms:W3CDTF">2002-06-05T18:53:25Z</dcterms:created>
  <dcterms:modified xsi:type="dcterms:W3CDTF">2016-05-16T11:15:14Z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0x010100909021EF4742B343A1D85F8700228882</vt:lpwstr>
  </property>
</Properties>
</file>