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Zaloha Lucanska\Moje Dokumenty\Dokumenty\Správy o hosp.a cerp\2019\VSoH\"/>
    </mc:Choice>
  </mc:AlternateContent>
  <bookViews>
    <workbookView xWindow="0" yWindow="0" windowWidth="10170" windowHeight="7620" tabRatio="895" firstSheet="18" activeTab="26"/>
  </bookViews>
  <sheets>
    <sheet name="Obsah" sheetId="127" r:id="rId1"/>
    <sheet name="zmeny" sheetId="129" r:id="rId2"/>
    <sheet name="Vysvetlivky" sheetId="115" r:id="rId3"/>
    <sheet name="Súvzťažnosti" sheetId="82" r:id="rId4"/>
    <sheet name="Kódy z CRŠ" sheetId="152" r:id="rId5"/>
    <sheet name="T1-Dotácie podľa DZ" sheetId="23" r:id="rId6"/>
    <sheet name="T2-Ostatné dot mimo MŠ SR" sheetId="3" r:id="rId7"/>
    <sheet name="T3-Výnosy" sheetId="142" r:id="rId8"/>
    <sheet name="T4-Výnosy zo školného" sheetId="154" r:id="rId9"/>
    <sheet name="T5 - Analýza nákladov" sheetId="150" r:id="rId10"/>
    <sheet name="T6-Zamestnanci_a_mzdy" sheetId="76" r:id="rId11"/>
    <sheet name="T6a-Zamestnanci_a_mzdy (ženy)" sheetId="155" r:id="rId12"/>
    <sheet name="T7_Doktorandi " sheetId="159" r:id="rId13"/>
    <sheet name="T8-Soc_štipendiá" sheetId="109" r:id="rId14"/>
    <sheet name="T9_ŠD " sheetId="116" r:id="rId15"/>
    <sheet name="T10-ŠJ " sheetId="146" r:id="rId16"/>
    <sheet name="T11-Zdroje KV" sheetId="90" r:id="rId17"/>
    <sheet name="T12-KV" sheetId="91" r:id="rId18"/>
    <sheet name="T13-Fondy" sheetId="145" r:id="rId19"/>
    <sheet name="T16 - Štruktúra hotovosti" sheetId="64" r:id="rId20"/>
    <sheet name="T17-Dotácie zo ŠF EU-nová" sheetId="160" r:id="rId21"/>
    <sheet name="T18-Ostatné dotácie z kap MŠ SR" sheetId="61" r:id="rId22"/>
    <sheet name="T19-Štip_ z vlastných " sheetId="144" r:id="rId23"/>
    <sheet name="T20_motivačné štipendiá_nová" sheetId="157" r:id="rId24"/>
    <sheet name="T21-štruktúra_384" sheetId="97" r:id="rId25"/>
    <sheet name="T22_Výnosy_soc_oblasť" sheetId="133" r:id="rId26"/>
    <sheet name="T23_Náklady_soc_oblasť" sheetId="134" r:id="rId27"/>
    <sheet name="T24__Aktíva" sheetId="135" state="hidden" r:id="rId28"/>
  </sheets>
  <externalReferences>
    <externalReference r:id="rId29"/>
    <externalReference r:id="rId30"/>
  </externalReferences>
  <definedNames>
    <definedName name="_kmp1" localSheetId="20">#REF!</definedName>
    <definedName name="_kmp1" localSheetId="9">#REF!</definedName>
    <definedName name="_kmp1" localSheetId="12">#REF!</definedName>
    <definedName name="_kmp1">#REF!</definedName>
    <definedName name="_kmp2" localSheetId="20">#REF!</definedName>
    <definedName name="_kmp2" localSheetId="12">#REF!</definedName>
    <definedName name="_kmp2">#REF!</definedName>
    <definedName name="_kmt1" localSheetId="20">#REF!</definedName>
    <definedName name="_kmt1" localSheetId="9">#REF!</definedName>
    <definedName name="_kmt1" localSheetId="12">#REF!</definedName>
    <definedName name="_kmt1">#REF!</definedName>
    <definedName name="_T1" localSheetId="20">#REF!</definedName>
    <definedName name="_T1" localSheetId="12">#REF!</definedName>
    <definedName name="_T1">#REF!</definedName>
    <definedName name="_wd1" localSheetId="23">[1]vahy!$B$1</definedName>
    <definedName name="_wd1">[1]vahy!$B$1</definedName>
    <definedName name="_wd3" localSheetId="23">[1]vahy!$B$3</definedName>
    <definedName name="_wd3">[1]vahy!$B$3</definedName>
    <definedName name="_we1" localSheetId="23">[1]vahy!$B$2</definedName>
    <definedName name="_we1">[1]vahy!$B$2</definedName>
    <definedName name="_we3" localSheetId="23">[1]vahy!$B$4</definedName>
    <definedName name="_we3">[1]vahy!$B$4</definedName>
    <definedName name="aaa" hidden="1">3</definedName>
    <definedName name="denní" localSheetId="20">#REF!</definedName>
    <definedName name="denní" localSheetId="9">#REF!</definedName>
    <definedName name="denní" localSheetId="12">#REF!</definedName>
    <definedName name="denní">#REF!</definedName>
    <definedName name="dokpo" localSheetId="20">#REF!</definedName>
    <definedName name="dokpo" localSheetId="9">#REF!</definedName>
    <definedName name="dokpo" localSheetId="12">#REF!</definedName>
    <definedName name="dokpo">#REF!</definedName>
    <definedName name="dokpred" localSheetId="20">#REF!</definedName>
    <definedName name="dokpred" localSheetId="9">#REF!</definedName>
    <definedName name="dokpred" localSheetId="12">#REF!</definedName>
    <definedName name="dokpred">#REF!</definedName>
    <definedName name="druhý" localSheetId="20">#REF!</definedName>
    <definedName name="druhý" localSheetId="9">#REF!</definedName>
    <definedName name="druhý" localSheetId="12">#REF!</definedName>
    <definedName name="druhý">#REF!</definedName>
    <definedName name="exterdruhý" localSheetId="20">#REF!</definedName>
    <definedName name="exterdruhý" localSheetId="9">#REF!</definedName>
    <definedName name="exterdruhý" localSheetId="12">#REF!</definedName>
    <definedName name="exterdruhý">#REF!</definedName>
    <definedName name="externeplat" localSheetId="20">#REF!</definedName>
    <definedName name="externeplat" localSheetId="9">#REF!</definedName>
    <definedName name="externeplat" localSheetId="12">#REF!</definedName>
    <definedName name="externeplat">#REF!</definedName>
    <definedName name="exterplat" localSheetId="20">#REF!</definedName>
    <definedName name="exterplat" localSheetId="9">#REF!</definedName>
    <definedName name="exterplat" localSheetId="12">#REF!</definedName>
    <definedName name="exterplat">#REF!</definedName>
    <definedName name="KKS_doc" localSheetId="20">#REF!</definedName>
    <definedName name="KKS_doc" localSheetId="9">#REF!</definedName>
    <definedName name="KKS_doc" localSheetId="12">#REF!</definedName>
    <definedName name="KKS_doc">#REF!</definedName>
    <definedName name="KKS_ost" localSheetId="20">#REF!</definedName>
    <definedName name="KKS_ost" localSheetId="9">#REF!</definedName>
    <definedName name="KKS_ost" localSheetId="12">#REF!</definedName>
    <definedName name="KKS_ost">#REF!</definedName>
    <definedName name="KKS_phd" localSheetId="20">#REF!</definedName>
    <definedName name="KKS_phd" localSheetId="9">#REF!</definedName>
    <definedName name="KKS_phd" localSheetId="12">#REF!</definedName>
    <definedName name="KKS_phd">#REF!</definedName>
    <definedName name="KKS_prof" localSheetId="20">#REF!</definedName>
    <definedName name="KKS_prof" localSheetId="9">#REF!</definedName>
    <definedName name="KKS_prof" localSheetId="12">#REF!</definedName>
    <definedName name="KKS_prof">#REF!</definedName>
    <definedName name="koef_gm_mzdy" localSheetId="20">#REF!</definedName>
    <definedName name="koef_gm_mzdy" localSheetId="9">#REF!</definedName>
    <definedName name="koef_gm_mzdy" localSheetId="12">#REF!</definedName>
    <definedName name="koef_gm_mzdy">#REF!</definedName>
    <definedName name="koef_kpn" localSheetId="20">#REF!</definedName>
    <definedName name="koef_kpn" localSheetId="9">#REF!</definedName>
    <definedName name="koef_kpn" localSheetId="12">#REF!</definedName>
    <definedName name="koef_kpn">#REF!</definedName>
    <definedName name="koef_prer_nad_gm_mzdy" localSheetId="20">#REF!</definedName>
    <definedName name="koef_prer_nad_gm_mzdy" localSheetId="9">#REF!</definedName>
    <definedName name="koef_prer_nad_gm_mzdy" localSheetId="12">#REF!</definedName>
    <definedName name="koef_prer_nad_gm_mzdy">#REF!</definedName>
    <definedName name="koef_PV" localSheetId="20">#REF!</definedName>
    <definedName name="koef_PV" localSheetId="9">#REF!</definedName>
    <definedName name="koef_PV" localSheetId="12">#REF!</definedName>
    <definedName name="koef_PV">#REF!</definedName>
    <definedName name="koef_udr_kat1" localSheetId="20">#REF!</definedName>
    <definedName name="koef_udr_kat1" localSheetId="9">#REF!</definedName>
    <definedName name="koef_udr_kat1" localSheetId="11">#REF!</definedName>
    <definedName name="koef_udr_kat1" localSheetId="12">#REF!</definedName>
    <definedName name="koef_udr_kat1">#REF!</definedName>
    <definedName name="koef_udr_kat2" localSheetId="20">#REF!</definedName>
    <definedName name="koef_udr_kat2" localSheetId="9">#REF!</definedName>
    <definedName name="koef_udr_kat2" localSheetId="11">#REF!</definedName>
    <definedName name="koef_udr_kat2" localSheetId="12">#REF!</definedName>
    <definedName name="koef_udr_kat2">#REF!</definedName>
    <definedName name="koef_udr_kat3" localSheetId="20">#REF!</definedName>
    <definedName name="koef_udr_kat3" localSheetId="9">#REF!</definedName>
    <definedName name="koef_udr_kat3" localSheetId="11">#REF!</definedName>
    <definedName name="koef_udr_kat3" localSheetId="12">#REF!</definedName>
    <definedName name="koef_udr_kat3">#REF!</definedName>
    <definedName name="koef_VV" localSheetId="20">#REF!</definedName>
    <definedName name="koef_VV" localSheetId="9">#REF!</definedName>
    <definedName name="koef_VV" localSheetId="12">#REF!</definedName>
    <definedName name="koef_VV">#REF!</definedName>
    <definedName name="kpn_ca_do" localSheetId="20">#REF!</definedName>
    <definedName name="kpn_ca_do" localSheetId="9">#REF!</definedName>
    <definedName name="kpn_ca_do" localSheetId="12">#REF!</definedName>
    <definedName name="kpn_ca_do">#REF!</definedName>
    <definedName name="kpn_ca_nad" localSheetId="20">#REF!</definedName>
    <definedName name="kpn_ca_nad" localSheetId="9">#REF!</definedName>
    <definedName name="kpn_ca_nad" localSheetId="12">#REF!</definedName>
    <definedName name="kpn_ca_nad">#REF!</definedName>
    <definedName name="kzk" localSheetId="20">#REF!</definedName>
    <definedName name="kzk" localSheetId="9">#REF!</definedName>
    <definedName name="kzk" localSheetId="12">#REF!</definedName>
    <definedName name="kzk">#REF!</definedName>
    <definedName name="kzspp" localSheetId="20">#REF!</definedName>
    <definedName name="kzspp" localSheetId="9">#REF!</definedName>
    <definedName name="kzspp" localSheetId="12">#REF!</definedName>
    <definedName name="kzspp">#REF!</definedName>
    <definedName name="nefinanc">1</definedName>
    <definedName name="_xlnm.Print_Area" localSheetId="0">Obsah!$A$1:$Q$26</definedName>
    <definedName name="_xlnm.Print_Area" localSheetId="3">Súvzťažnosti!$A$1:$D$42</definedName>
    <definedName name="_xlnm.Print_Area" localSheetId="15">'T10-ŠJ '!$A$1:$D$26</definedName>
    <definedName name="_xlnm.Print_Area" localSheetId="16">'T11-Zdroje KV'!$A$1:$D$23</definedName>
    <definedName name="_xlnm.Print_Area" localSheetId="17">'T12-KV'!$A$1:$I$23</definedName>
    <definedName name="_xlnm.Print_Area" localSheetId="18">'T13-Fondy'!$A$1:$N$22</definedName>
    <definedName name="_xlnm.Print_Area" localSheetId="19">'T16 - Štruktúra hotovosti'!$A$1:$D$24</definedName>
    <definedName name="_xlnm.Print_Area" localSheetId="20">'T17-Dotácie zo ŠF EU-nová'!$A$1:$H$35</definedName>
    <definedName name="_xlnm.Print_Area" localSheetId="21">'T18-Ostatné dotácie z kap MŠ SR'!$A$1:$E$18</definedName>
    <definedName name="_xlnm.Print_Area" localSheetId="22">'T19-Štip_ z vlastných '!$A$1:$F$29</definedName>
    <definedName name="_xlnm.Print_Area" localSheetId="5">'T1-Dotácie podľa DZ'!$A$1:$E$19</definedName>
    <definedName name="_xlnm.Print_Area" localSheetId="23">'T20_motivačné štipendiá_nová'!$A$1:$F$14</definedName>
    <definedName name="_xlnm.Print_Area" localSheetId="24">'T21-štruktúra_384'!$A$1:$M$9</definedName>
    <definedName name="_xlnm.Print_Area" localSheetId="25">T22_Výnosy_soc_oblasť!$A$1:$F$44</definedName>
    <definedName name="_xlnm.Print_Area" localSheetId="26">T23_Náklady_soc_oblasť!$A$1:$F$42</definedName>
    <definedName name="_xlnm.Print_Area" localSheetId="7">'T3-Výnosy'!$A$1:$H$70</definedName>
    <definedName name="_xlnm.Print_Area" localSheetId="8">'T4-Výnosy zo školného'!$A$1:$D$22</definedName>
    <definedName name="_xlnm.Print_Area" localSheetId="9">'T5 - Analýza nákladov'!$A$1:$H$105</definedName>
    <definedName name="_xlnm.Print_Area" localSheetId="11">'T6a-Zamestnanci_a_mzdy (ženy)'!$A$1:$O$37</definedName>
    <definedName name="_xlnm.Print_Area" localSheetId="10">'T6-Zamestnanci_a_mzdy'!$A$1:$N$37</definedName>
    <definedName name="_xlnm.Print_Area" localSheetId="12">'T7_Doktorandi '!$A$1:$E$8</definedName>
    <definedName name="_xlnm.Print_Area" localSheetId="13">'T8-Soc_štipendiá'!$A$1:$F$15</definedName>
    <definedName name="_xlnm.Print_Area" localSheetId="14">'T9_ŠD '!$A$1:$F$21</definedName>
    <definedName name="_xlnm.Print_Area" localSheetId="2">Vysvetlivky!$A$64:$B$68</definedName>
    <definedName name="pocet_jedal" localSheetId="20">#REF!</definedName>
    <definedName name="pocet_jedal" localSheetId="9">#REF!</definedName>
    <definedName name="pocet_jedal" localSheetId="11">#REF!</definedName>
    <definedName name="pocet_jedal" localSheetId="12">#REF!</definedName>
    <definedName name="pocet_jedal">#REF!</definedName>
    <definedName name="podiel" localSheetId="20">#REF!</definedName>
    <definedName name="podiel" localSheetId="9">#REF!</definedName>
    <definedName name="podiel" localSheetId="12">#REF!</definedName>
    <definedName name="podiel">#REF!</definedName>
    <definedName name="poistné" localSheetId="20">#REF!</definedName>
    <definedName name="poistné" localSheetId="9">#REF!</definedName>
    <definedName name="poistné" localSheetId="12">#REF!</definedName>
    <definedName name="poistné">#REF!</definedName>
    <definedName name="Pp_DrŠ_exist" localSheetId="20">#REF!</definedName>
    <definedName name="Pp_DrŠ_exist" localSheetId="9">#REF!</definedName>
    <definedName name="Pp_DrŠ_exist" localSheetId="11">#REF!</definedName>
    <definedName name="Pp_DrŠ_exist" localSheetId="12">#REF!</definedName>
    <definedName name="Pp_DrŠ_exist">#REF!</definedName>
    <definedName name="Pp_DrŠ_noví" localSheetId="20">#REF!</definedName>
    <definedName name="Pp_DrŠ_noví" localSheetId="9">#REF!</definedName>
    <definedName name="Pp_DrŠ_noví" localSheetId="11">#REF!</definedName>
    <definedName name="Pp_DrŠ_noví" localSheetId="12">#REF!</definedName>
    <definedName name="Pp_DrŠ_noví">#REF!</definedName>
    <definedName name="Pp_DrŠ_spolu" localSheetId="20">#REF!</definedName>
    <definedName name="Pp_DrŠ_spolu" localSheetId="9">#REF!</definedName>
    <definedName name="Pp_DrŠ_spolu" localSheetId="11">#REF!</definedName>
    <definedName name="Pp_DrŠ_spolu" localSheetId="12">#REF!</definedName>
    <definedName name="Pp_DrŠ_spolu">#REF!</definedName>
    <definedName name="Pp_klinické_TaS" localSheetId="20">#REF!</definedName>
    <definedName name="Pp_klinické_TaS" localSheetId="9">#REF!</definedName>
    <definedName name="Pp_klinické_TaS" localSheetId="11">#REF!</definedName>
    <definedName name="Pp_klinické_TaS" localSheetId="12">#REF!</definedName>
    <definedName name="Pp_klinické_TaS">#REF!</definedName>
    <definedName name="Pp_klinické_TaS_rozpísaný" localSheetId="20">#REF!</definedName>
    <definedName name="Pp_klinické_TaS_rozpísaný" localSheetId="9">#REF!</definedName>
    <definedName name="Pp_klinické_TaS_rozpísaný" localSheetId="11">#REF!</definedName>
    <definedName name="Pp_klinické_TaS_rozpísaný" localSheetId="12">#REF!</definedName>
    <definedName name="Pp_klinické_TaS_rozpísaný">#REF!</definedName>
    <definedName name="Pp_Rozvoj_BD" localSheetId="20">#REF!</definedName>
    <definedName name="Pp_Rozvoj_BD" localSheetId="9">#REF!</definedName>
    <definedName name="Pp_Rozvoj_BD" localSheetId="12">#REF!</definedName>
    <definedName name="Pp_Rozvoj_BD">#REF!</definedName>
    <definedName name="Pp_Soc_BD" localSheetId="20">#REF!</definedName>
    <definedName name="Pp_Soc_BD" localSheetId="9">#REF!</definedName>
    <definedName name="Pp_Soc_BD" localSheetId="12">#REF!</definedName>
    <definedName name="Pp_Soc_BD">#REF!</definedName>
    <definedName name="Pp_VaT_BD" localSheetId="20">#REF!</definedName>
    <definedName name="Pp_VaT_BD" localSheetId="9">#REF!</definedName>
    <definedName name="Pp_VaT_BD" localSheetId="12">#REF!</definedName>
    <definedName name="Pp_VaT_BD">#REF!</definedName>
    <definedName name="Pp_VaT_mzdy" localSheetId="20">#REF!</definedName>
    <definedName name="Pp_VaT_mzdy" localSheetId="9">#REF!</definedName>
    <definedName name="Pp_VaT_mzdy" localSheetId="12">#REF!</definedName>
    <definedName name="Pp_VaT_mzdy">#REF!</definedName>
    <definedName name="Pp_VaT_mzdy_rezerva" localSheetId="20">#REF!</definedName>
    <definedName name="Pp_VaT_mzdy_rezerva" localSheetId="9">#REF!</definedName>
    <definedName name="Pp_VaT_mzdy_rezerva" localSheetId="12">#REF!</definedName>
    <definedName name="Pp_VaT_mzdy_rezerva">#REF!</definedName>
    <definedName name="Pp_VaT_mzdy_zac_roka" localSheetId="20">#REF!</definedName>
    <definedName name="Pp_VaT_mzdy_zac_roka" localSheetId="9">#REF!</definedName>
    <definedName name="Pp_VaT_mzdy_zac_roka" localSheetId="12">#REF!</definedName>
    <definedName name="Pp_VaT_mzdy_zac_roka">#REF!</definedName>
    <definedName name="Pp_Vzdel_BD" localSheetId="20">#REF!</definedName>
    <definedName name="Pp_Vzdel_BD" localSheetId="9">#REF!</definedName>
    <definedName name="Pp_Vzdel_BD" localSheetId="12">#REF!</definedName>
    <definedName name="Pp_Vzdel_BD">#REF!</definedName>
    <definedName name="Pp_Vzdel_mzdy" localSheetId="20">#REF!</definedName>
    <definedName name="Pp_Vzdel_mzdy" localSheetId="9">#REF!</definedName>
    <definedName name="Pp_Vzdel_mzdy" localSheetId="12">#REF!</definedName>
    <definedName name="Pp_Vzdel_mzdy">#REF!</definedName>
    <definedName name="Pp_Vzdel_mzdy_kontr" localSheetId="20">#REF!</definedName>
    <definedName name="Pp_Vzdel_mzdy_kontr" localSheetId="9">#REF!</definedName>
    <definedName name="Pp_Vzdel_mzdy_kontr" localSheetId="12">#REF!</definedName>
    <definedName name="Pp_Vzdel_mzdy_kontr">#REF!</definedName>
    <definedName name="Pp_Vzdel_mzdy_na_prer_modif" localSheetId="20">#REF!</definedName>
    <definedName name="Pp_Vzdel_mzdy_na_prer_modif" localSheetId="9">#REF!</definedName>
    <definedName name="Pp_Vzdel_mzdy_na_prer_modif" localSheetId="11">#REF!</definedName>
    <definedName name="Pp_Vzdel_mzdy_na_prer_modif" localSheetId="12">#REF!</definedName>
    <definedName name="Pp_Vzdel_mzdy_na_prer_modif">#REF!</definedName>
    <definedName name="Pp_Vzdel_mzdy_na_prer_nemodif" localSheetId="20">#REF!</definedName>
    <definedName name="Pp_Vzdel_mzdy_na_prer_nemodif" localSheetId="9">#REF!</definedName>
    <definedName name="Pp_Vzdel_mzdy_na_prer_nemodif" localSheetId="11">#REF!</definedName>
    <definedName name="Pp_Vzdel_mzdy_na_prer_nemodif" localSheetId="12">#REF!</definedName>
    <definedName name="Pp_Vzdel_mzdy_na_prer_nemodif">#REF!</definedName>
    <definedName name="Pp_Vzdel_mzdy_prevádz" localSheetId="20">#REF!</definedName>
    <definedName name="Pp_Vzdel_mzdy_prevádz" localSheetId="9">#REF!</definedName>
    <definedName name="Pp_Vzdel_mzdy_prevádz" localSheetId="12">#REF!</definedName>
    <definedName name="Pp_Vzdel_mzdy_prevádz">#REF!</definedName>
    <definedName name="Pp_Vzdel_mzdy_rezerva" localSheetId="20">#REF!</definedName>
    <definedName name="Pp_Vzdel_mzdy_rezerva" localSheetId="9">#REF!</definedName>
    <definedName name="Pp_Vzdel_mzdy_rezerva" localSheetId="12">#REF!</definedName>
    <definedName name="Pp_Vzdel_mzdy_rezerva">#REF!</definedName>
    <definedName name="Pp_Vzdel_mzdy_spec" localSheetId="20">#REF!</definedName>
    <definedName name="Pp_Vzdel_mzdy_spec" localSheetId="9">#REF!</definedName>
    <definedName name="Pp_Vzdel_mzdy_spec" localSheetId="12">#REF!</definedName>
    <definedName name="Pp_Vzdel_mzdy_spec">#REF!</definedName>
    <definedName name="Pp_Vzdel_mzdy_výkon" localSheetId="20">#REF!</definedName>
    <definedName name="Pp_Vzdel_mzdy_výkon" localSheetId="9">#REF!</definedName>
    <definedName name="Pp_Vzdel_mzdy_výkon" localSheetId="12">#REF!</definedName>
    <definedName name="Pp_Vzdel_mzdy_výkon">#REF!</definedName>
    <definedName name="Pp_Vzdel_mzdy_výkon_PV" localSheetId="20">#REF!</definedName>
    <definedName name="Pp_Vzdel_mzdy_výkon_PV" localSheetId="9">#REF!</definedName>
    <definedName name="Pp_Vzdel_mzdy_výkon_PV" localSheetId="12">#REF!</definedName>
    <definedName name="Pp_Vzdel_mzdy_výkon_PV">#REF!</definedName>
    <definedName name="Pp_Vzdel_mzdy_výkon_PV_bez" localSheetId="20">#REF!</definedName>
    <definedName name="Pp_Vzdel_mzdy_výkon_PV_bez" localSheetId="9">#REF!</definedName>
    <definedName name="Pp_Vzdel_mzdy_výkon_PV_bez" localSheetId="12">#REF!</definedName>
    <definedName name="Pp_Vzdel_mzdy_výkon_PV_bez">#REF!</definedName>
    <definedName name="Pp_Vzdel_mzdy_výkon_PV_um" localSheetId="20">#REF!</definedName>
    <definedName name="Pp_Vzdel_mzdy_výkon_PV_um" localSheetId="9">#REF!</definedName>
    <definedName name="Pp_Vzdel_mzdy_výkon_PV_um" localSheetId="12">#REF!</definedName>
    <definedName name="Pp_Vzdel_mzdy_výkon_PV_um">#REF!</definedName>
    <definedName name="Pp_Vzdel_mzdy_výkon_VV" localSheetId="20">#REF!</definedName>
    <definedName name="Pp_Vzdel_mzdy_výkon_VV" localSheetId="9">#REF!</definedName>
    <definedName name="Pp_Vzdel_mzdy_výkon_VV" localSheetId="12">#REF!</definedName>
    <definedName name="Pp_Vzdel_mzdy_výkon_VV">#REF!</definedName>
    <definedName name="Pp_Vzdel_mzdy_výkon_VV_bez" localSheetId="20">#REF!</definedName>
    <definedName name="Pp_Vzdel_mzdy_výkon_VV_bez" localSheetId="9">#REF!</definedName>
    <definedName name="Pp_Vzdel_mzdy_výkon_VV_bez" localSheetId="12">#REF!</definedName>
    <definedName name="Pp_Vzdel_mzdy_výkon_VV_bez">#REF!</definedName>
    <definedName name="Pp_Vzdel_mzdy_výkon_VV_um" localSheetId="20">#REF!</definedName>
    <definedName name="Pp_Vzdel_mzdy_výkon_VV_um" localSheetId="9">#REF!</definedName>
    <definedName name="Pp_Vzdel_mzdy_výkon_VV_um" localSheetId="12">#REF!</definedName>
    <definedName name="Pp_Vzdel_mzdy_výkon_VV_um">#REF!</definedName>
    <definedName name="Pp_Vzdel_spec_prax" localSheetId="20">#REF!</definedName>
    <definedName name="Pp_Vzdel_spec_prax" localSheetId="9">#REF!</definedName>
    <definedName name="Pp_Vzdel_spec_prax" localSheetId="11">#REF!</definedName>
    <definedName name="Pp_Vzdel_spec_prax" localSheetId="12">#REF!</definedName>
    <definedName name="Pp_Vzdel_spec_prax">#REF!</definedName>
    <definedName name="Pp_Vzdel_TaS" localSheetId="20">#REF!</definedName>
    <definedName name="Pp_Vzdel_TaS" localSheetId="9">#REF!</definedName>
    <definedName name="Pp_Vzdel_TaS" localSheetId="12">#REF!</definedName>
    <definedName name="Pp_Vzdel_TaS">#REF!</definedName>
    <definedName name="Pp_Vzdel_TaS_rezerva" localSheetId="20">#REF!</definedName>
    <definedName name="Pp_Vzdel_TaS_rezerva" localSheetId="9">#REF!</definedName>
    <definedName name="Pp_Vzdel_TaS_rezerva" localSheetId="12">#REF!</definedName>
    <definedName name="Pp_Vzdel_TaS_rezerva">#REF!</definedName>
    <definedName name="Pp_Vzdel_TaS_spec" localSheetId="20">#REF!</definedName>
    <definedName name="Pp_Vzdel_TaS_spec" localSheetId="9">#REF!</definedName>
    <definedName name="Pp_Vzdel_TaS_spec" localSheetId="11">#REF!</definedName>
    <definedName name="Pp_Vzdel_TaS_spec" localSheetId="12">#REF!</definedName>
    <definedName name="Pp_Vzdel_TaS_spec">#REF!</definedName>
    <definedName name="Pp_Vzdel_TaS_stav" localSheetId="20">#REF!</definedName>
    <definedName name="Pp_Vzdel_TaS_stav" localSheetId="9">#REF!</definedName>
    <definedName name="Pp_Vzdel_TaS_stav" localSheetId="12">#REF!</definedName>
    <definedName name="Pp_Vzdel_TaS_stav">#REF!</definedName>
    <definedName name="Pp_Vzdel_TaS_výkon" localSheetId="20">#REF!</definedName>
    <definedName name="Pp_Vzdel_TaS_výkon" localSheetId="9">#REF!</definedName>
    <definedName name="Pp_Vzdel_TaS_výkon" localSheetId="11">#REF!</definedName>
    <definedName name="Pp_Vzdel_TaS_výkon" localSheetId="12">#REF!</definedName>
    <definedName name="Pp_Vzdel_TaS_výkon">#REF!</definedName>
    <definedName name="Pp_Vzdel_TaS_výkon_PPŠ" localSheetId="20">#REF!</definedName>
    <definedName name="Pp_Vzdel_TaS_výkon_PPŠ" localSheetId="9">#REF!</definedName>
    <definedName name="Pp_Vzdel_TaS_výkon_PPŠ" localSheetId="11">#REF!</definedName>
    <definedName name="Pp_Vzdel_TaS_výkon_PPŠ" localSheetId="12">#REF!</definedName>
    <definedName name="Pp_Vzdel_TaS_výkon_PPŠ">#REF!</definedName>
    <definedName name="Pp_Vzdel_TaS_výkon_PPŠ_a_zákl" localSheetId="20">#REF!</definedName>
    <definedName name="Pp_Vzdel_TaS_výkon_PPŠ_a_zákl" localSheetId="9">#REF!</definedName>
    <definedName name="Pp_Vzdel_TaS_výkon_PPŠ_a_zákl" localSheetId="11">#REF!</definedName>
    <definedName name="Pp_Vzdel_TaS_výkon_PPŠ_a_zákl" localSheetId="12">#REF!</definedName>
    <definedName name="Pp_Vzdel_TaS_výkon_PPŠ_a_zákl">#REF!</definedName>
    <definedName name="Pp_Vzdel_TaS_výkon_PPŠ_KEN" localSheetId="20">#REF!</definedName>
    <definedName name="Pp_Vzdel_TaS_výkon_PPŠ_KEN" localSheetId="9">#REF!</definedName>
    <definedName name="Pp_Vzdel_TaS_výkon_PPŠ_KEN" localSheetId="11">#REF!</definedName>
    <definedName name="Pp_Vzdel_TaS_výkon_PPŠ_KEN" localSheetId="12">#REF!</definedName>
    <definedName name="Pp_Vzdel_TaS_výkon_PPŠ_KEN">#REF!</definedName>
    <definedName name="Pp_Vzdel_TaS_zahr_granty" localSheetId="20">#REF!</definedName>
    <definedName name="Pp_Vzdel_TaS_zahr_granty" localSheetId="9">#REF!</definedName>
    <definedName name="Pp_Vzdel_TaS_zahr_granty" localSheetId="12">#REF!</definedName>
    <definedName name="Pp_Vzdel_TaS_zahr_granty">#REF!</definedName>
    <definedName name="Pp_Vzdel_TaS_zákl" localSheetId="20">#REF!</definedName>
    <definedName name="Pp_Vzdel_TaS_zákl" localSheetId="9">#REF!</definedName>
    <definedName name="Pp_Vzdel_TaS_zákl" localSheetId="11">#REF!</definedName>
    <definedName name="Pp_Vzdel_TaS_zákl" localSheetId="12">#REF!</definedName>
    <definedName name="Pp_Vzdel_TaS_zákl">#REF!</definedName>
    <definedName name="Pr_AV_BD" localSheetId="20">#REF!</definedName>
    <definedName name="Pr_AV_BD" localSheetId="9">#REF!</definedName>
    <definedName name="Pr_AV_BD" localSheetId="12">#REF!</definedName>
    <definedName name="Pr_AV_BD">#REF!</definedName>
    <definedName name="Pr_IV_BD" localSheetId="20">#REF!</definedName>
    <definedName name="Pr_IV_BD" localSheetId="9">#REF!</definedName>
    <definedName name="Pr_IV_BD" localSheetId="12">#REF!</definedName>
    <definedName name="Pr_IV_BD">#REF!</definedName>
    <definedName name="Pr_IV_KV" localSheetId="20">#REF!</definedName>
    <definedName name="Pr_IV_KV" localSheetId="9">#REF!</definedName>
    <definedName name="Pr_IV_KV" localSheetId="12">#REF!</definedName>
    <definedName name="Pr_IV_KV">#REF!</definedName>
    <definedName name="Pr_IV_KV_rezerva" localSheetId="20">#REF!</definedName>
    <definedName name="Pr_IV_KV_rezerva" localSheetId="9">#REF!</definedName>
    <definedName name="Pr_IV_KV_rezerva" localSheetId="12">#REF!</definedName>
    <definedName name="Pr_IV_KV_rezerva">#REF!</definedName>
    <definedName name="Pr_KEGA_BD" localSheetId="20">#REF!</definedName>
    <definedName name="Pr_KEGA_BD" localSheetId="9">#REF!</definedName>
    <definedName name="Pr_KEGA_BD" localSheetId="12">#REF!</definedName>
    <definedName name="Pr_KEGA_BD">#REF!</definedName>
    <definedName name="Pr_klinické" localSheetId="20">#REF!</definedName>
    <definedName name="Pr_klinické" localSheetId="9">#REF!</definedName>
    <definedName name="Pr_klinické" localSheetId="12">#REF!</definedName>
    <definedName name="Pr_klinické">#REF!</definedName>
    <definedName name="Pr_KŠ" localSheetId="20">#REF!</definedName>
    <definedName name="Pr_KŠ" localSheetId="9">#REF!</definedName>
    <definedName name="Pr_KŠ" localSheetId="11">#REF!</definedName>
    <definedName name="Pr_KŠ" localSheetId="12">#REF!</definedName>
    <definedName name="Pr_KŠ">#REF!</definedName>
    <definedName name="Pr_motštip_BD" localSheetId="20">#REF!</definedName>
    <definedName name="Pr_motštip_BD" localSheetId="9">#REF!</definedName>
    <definedName name="Pr_motštip_BD" localSheetId="12">#REF!</definedName>
    <definedName name="Pr_motštip_BD">#REF!</definedName>
    <definedName name="Pr_MVTS_BD" localSheetId="20">#REF!</definedName>
    <definedName name="Pr_MVTS_BD" localSheetId="9">#REF!</definedName>
    <definedName name="Pr_MVTS_BD" localSheetId="12">#REF!</definedName>
    <definedName name="Pr_MVTS_BD">#REF!</definedName>
    <definedName name="Pr_socštip_BD" localSheetId="20">#REF!</definedName>
    <definedName name="Pr_socštip_BD" localSheetId="9">#REF!</definedName>
    <definedName name="Pr_socštip_BD" localSheetId="12">#REF!</definedName>
    <definedName name="Pr_socštip_BD">#REF!</definedName>
    <definedName name="Pr_ŠD" localSheetId="20">#REF!</definedName>
    <definedName name="Pr_ŠD" localSheetId="9">#REF!</definedName>
    <definedName name="Pr_ŠD" localSheetId="11">#REF!</definedName>
    <definedName name="Pr_ŠD" localSheetId="12">#REF!</definedName>
    <definedName name="Pr_ŠD">#REF!</definedName>
    <definedName name="Pr_ŠDaJKŠPC_BD" localSheetId="20">#REF!</definedName>
    <definedName name="Pr_ŠDaJKŠPC_BD" localSheetId="9">#REF!</definedName>
    <definedName name="Pr_ŠDaJKŠPC_BD" localSheetId="12">#REF!</definedName>
    <definedName name="Pr_ŠDaJKŠPC_BD">#REF!</definedName>
    <definedName name="Pr_VaT_KV_zac_roka" localSheetId="20">#REF!</definedName>
    <definedName name="Pr_VaT_KV_zac_roka" localSheetId="9">#REF!</definedName>
    <definedName name="Pr_VaT_KV_zac_roka" localSheetId="12">#REF!</definedName>
    <definedName name="Pr_VaT_KV_zac_roka">#REF!</definedName>
    <definedName name="Pr_VaT_TaS" localSheetId="20">#REF!</definedName>
    <definedName name="Pr_VaT_TaS" localSheetId="9">#REF!</definedName>
    <definedName name="Pr_VaT_TaS" localSheetId="12">#REF!</definedName>
    <definedName name="Pr_VaT_TaS">#REF!</definedName>
    <definedName name="Pr_VaT_TaS_rezerva" localSheetId="20">#REF!</definedName>
    <definedName name="Pr_VaT_TaS_rezerva" localSheetId="9">#REF!</definedName>
    <definedName name="Pr_VaT_TaS_rezerva" localSheetId="12">#REF!</definedName>
    <definedName name="Pr_VaT_TaS_rezerva">#REF!</definedName>
    <definedName name="Pr_VaT_TaS_zac_roka" localSheetId="20">#REF!</definedName>
    <definedName name="Pr_VaT_TaS_zac_roka" localSheetId="9">#REF!</definedName>
    <definedName name="Pr_VaT_TaS_zac_roka" localSheetId="12">#REF!</definedName>
    <definedName name="Pr_VaT_TaS_zac_roka">#REF!</definedName>
    <definedName name="Pr_VEGA_BD" localSheetId="20">#REF!</definedName>
    <definedName name="Pr_VEGA_BD" localSheetId="9">#REF!</definedName>
    <definedName name="Pr_VEGA_BD" localSheetId="12">#REF!</definedName>
    <definedName name="Pr_VEGA_BD">#REF!</definedName>
    <definedName name="predmety" localSheetId="20">#REF!</definedName>
    <definedName name="predmety" localSheetId="9">#REF!</definedName>
    <definedName name="predmety" localSheetId="12">#REF!</definedName>
    <definedName name="predmety">#REF!</definedName>
    <definedName name="prisp_na_1_jedlo" localSheetId="20">#REF!</definedName>
    <definedName name="prisp_na_1_jedlo" localSheetId="9">#REF!</definedName>
    <definedName name="prisp_na_1_jedlo" localSheetId="11">#REF!</definedName>
    <definedName name="prisp_na_1_jedlo" localSheetId="12">#REF!</definedName>
    <definedName name="prisp_na_1_jedlo">#REF!</definedName>
    <definedName name="prisp_na_ubyt_stud_SD" localSheetId="20">#REF!</definedName>
    <definedName name="prisp_na_ubyt_stud_SD" localSheetId="9">#REF!</definedName>
    <definedName name="prisp_na_ubyt_stud_SD" localSheetId="11">#REF!</definedName>
    <definedName name="prisp_na_ubyt_stud_SD" localSheetId="12">#REF!</definedName>
    <definedName name="prisp_na_ubyt_stud_SD">#REF!</definedName>
    <definedName name="prisp_na_ubyt_stud_ZZ" localSheetId="20">#REF!</definedName>
    <definedName name="prisp_na_ubyt_stud_ZZ" localSheetId="9">#REF!</definedName>
    <definedName name="prisp_na_ubyt_stud_ZZ" localSheetId="11">#REF!</definedName>
    <definedName name="prisp_na_ubyt_stud_ZZ" localSheetId="12">#REF!</definedName>
    <definedName name="prisp_na_ubyt_stud_ZZ">#REF!</definedName>
    <definedName name="prísp_zákl_prev" localSheetId="20">#REF!</definedName>
    <definedName name="prísp_zákl_prev" localSheetId="9">#REF!</definedName>
    <definedName name="prísp_zákl_prev" localSheetId="12">#REF!</definedName>
    <definedName name="prísp_zákl_prev">#REF!</definedName>
    <definedName name="R_vvs" localSheetId="20">#REF!</definedName>
    <definedName name="R_vvs" localSheetId="9">#REF!</definedName>
    <definedName name="R_vvs" localSheetId="12">#REF!</definedName>
    <definedName name="R_vvs">#REF!</definedName>
    <definedName name="R_vvs_BD" localSheetId="20">#REF!</definedName>
    <definedName name="R_vvs_BD" localSheetId="9">#REF!</definedName>
    <definedName name="R_vvs_BD" localSheetId="12">#REF!</definedName>
    <definedName name="R_vvs_BD">#REF!</definedName>
    <definedName name="R_vvs_VaT_BD" localSheetId="20">#REF!</definedName>
    <definedName name="R_vvs_VaT_BD" localSheetId="9">#REF!</definedName>
    <definedName name="R_vvs_VaT_BD" localSheetId="12">#REF!</definedName>
    <definedName name="R_vvs_VaT_BD">#REF!</definedName>
    <definedName name="Sanet" localSheetId="20">#REF!</definedName>
    <definedName name="Sanet" localSheetId="9">#REF!</definedName>
    <definedName name="Sanet" localSheetId="12">#REF!</definedName>
    <definedName name="Sanet">#REF!</definedName>
    <definedName name="SAPBEXrevision" hidden="1">7</definedName>
    <definedName name="SAPBEXsysID" hidden="1">"BS1"</definedName>
    <definedName name="SAPBEXwbID" hidden="1">"3TG3S316PX9BHXMQEBSXSYZZO"</definedName>
    <definedName name="stavba_ucelova" localSheetId="20">#REF!</definedName>
    <definedName name="stavba_ucelova" localSheetId="9">#REF!</definedName>
    <definedName name="stavba_ucelova" localSheetId="12">#REF!</definedName>
    <definedName name="stavba_ucelova">#REF!</definedName>
    <definedName name="studenti_vstup" localSheetId="20">#REF!</definedName>
    <definedName name="studenti_vstup" localSheetId="9">#REF!</definedName>
    <definedName name="studenti_vstup" localSheetId="12">#REF!</definedName>
    <definedName name="studenti_vstup">#REF!</definedName>
    <definedName name="sustava" localSheetId="20">#REF!</definedName>
    <definedName name="sustava" localSheetId="9">#REF!</definedName>
    <definedName name="sustava" localSheetId="12">#REF!</definedName>
    <definedName name="sustava">#REF!</definedName>
    <definedName name="T_1" localSheetId="20">#REF!</definedName>
    <definedName name="T_1" localSheetId="12">#REF!</definedName>
    <definedName name="T_1">#REF!</definedName>
    <definedName name="T_25_so_štip_2007" localSheetId="20">#REF!</definedName>
    <definedName name="T_25_so_štip_2007" localSheetId="12">#REF!</definedName>
    <definedName name="T_25_so_štip_2007">#REF!</definedName>
    <definedName name="T_M" localSheetId="20">#REF!</definedName>
    <definedName name="T_M" localSheetId="12">#REF!</definedName>
    <definedName name="T_M">#REF!</definedName>
    <definedName name="váha_absDrš" localSheetId="20">#REF!</definedName>
    <definedName name="váha_absDrš" localSheetId="9">#REF!</definedName>
    <definedName name="váha_absDrš" localSheetId="12">#REF!</definedName>
    <definedName name="váha_absDrš">#REF!</definedName>
    <definedName name="váha_DG" localSheetId="20">#REF!</definedName>
    <definedName name="váha_DG" localSheetId="9">#REF!</definedName>
    <definedName name="váha_DG" localSheetId="12">#REF!</definedName>
    <definedName name="váha_DG">#REF!</definedName>
    <definedName name="váha_poDs" localSheetId="20">#REF!</definedName>
    <definedName name="váha_poDs" localSheetId="9">#REF!</definedName>
    <definedName name="váha_poDs" localSheetId="12">#REF!</definedName>
    <definedName name="váha_poDs">#REF!</definedName>
    <definedName name="váha_Pub" localSheetId="20">#REF!</definedName>
    <definedName name="váha_Pub" localSheetId="9">#REF!</definedName>
    <definedName name="váha_Pub" localSheetId="12">#REF!</definedName>
    <definedName name="váha_Pub">#REF!</definedName>
    <definedName name="váha_ZG" localSheetId="20">#REF!</definedName>
    <definedName name="váha_ZG" localSheetId="9">#REF!</definedName>
    <definedName name="váha_ZG" localSheetId="12">#REF!</definedName>
    <definedName name="váha_ZG">#REF!</definedName>
    <definedName name="výkon_um" localSheetId="20">#REF!</definedName>
    <definedName name="výkon_um" localSheetId="9">#REF!</definedName>
    <definedName name="výkon_um" localSheetId="12">#REF!</definedName>
    <definedName name="výkon_um">#REF!</definedName>
    <definedName name="x" localSheetId="20">#REF!</definedName>
    <definedName name="x" localSheetId="12">#REF!</definedName>
    <definedName name="x">#REF!</definedName>
    <definedName name="xxx" hidden="1">"3TGMUFSSIAIMK2KTNC9DELQD0"</definedName>
    <definedName name="zakl_prisp_na_prev_SD" localSheetId="20">#REF!</definedName>
    <definedName name="zakl_prisp_na_prev_SD" localSheetId="9">#REF!</definedName>
    <definedName name="zakl_prisp_na_prev_SD" localSheetId="11">#REF!</definedName>
    <definedName name="zakl_prisp_na_prev_SD" localSheetId="12">#REF!</definedName>
    <definedName name="zakl_prisp_na_prev_SD">#REF!</definedName>
    <definedName name="záloha" localSheetId="20">#REF!</definedName>
    <definedName name="záloha" localSheetId="9">#REF!</definedName>
    <definedName name="záloha" localSheetId="11">#REF!</definedName>
    <definedName name="záloha" localSheetId="12">#REF!</definedName>
    <definedName name="záloha">#REF!</definedName>
  </definedNames>
  <calcPr calcId="162913"/>
</workbook>
</file>

<file path=xl/calcChain.xml><?xml version="1.0" encoding="utf-8"?>
<calcChain xmlns="http://schemas.openxmlformats.org/spreadsheetml/2006/main">
  <c r="D11" i="116" l="1"/>
  <c r="D13" i="146" l="1"/>
  <c r="D15" i="146"/>
  <c r="D15" i="116"/>
  <c r="C26" i="160" l="1"/>
  <c r="E28" i="134" l="1"/>
  <c r="H6" i="97"/>
  <c r="D11" i="146"/>
  <c r="F49" i="142" l="1"/>
  <c r="E49" i="142"/>
  <c r="E10" i="145" l="1"/>
  <c r="E9" i="145"/>
  <c r="F90" i="150" l="1"/>
  <c r="E90" i="150"/>
  <c r="F15" i="142" l="1"/>
  <c r="E63" i="142"/>
  <c r="E38" i="142"/>
  <c r="E31" i="142"/>
  <c r="E10" i="91" l="1"/>
  <c r="C14" i="91"/>
  <c r="E19" i="91" l="1"/>
  <c r="D23" i="91"/>
  <c r="E34" i="134" l="1"/>
  <c r="D34" i="134"/>
  <c r="D28" i="134"/>
  <c r="E11" i="134"/>
  <c r="D11" i="134"/>
  <c r="D30" i="133"/>
  <c r="E24" i="133"/>
  <c r="D24" i="133"/>
  <c r="E23" i="133"/>
  <c r="D23" i="133"/>
  <c r="C5" i="64" l="1"/>
  <c r="C7" i="64" l="1"/>
  <c r="L6" i="97" l="1"/>
  <c r="D19" i="90" l="1"/>
  <c r="D9" i="90"/>
  <c r="F6" i="144" l="1"/>
  <c r="F91" i="150" l="1"/>
  <c r="E91" i="150"/>
  <c r="D91" i="150"/>
  <c r="C91" i="150"/>
  <c r="F82" i="150"/>
  <c r="F80" i="150" s="1"/>
  <c r="E82" i="150"/>
  <c r="E80" i="150" s="1"/>
  <c r="D82" i="150"/>
  <c r="C82" i="150"/>
  <c r="D80" i="150"/>
  <c r="C80" i="150"/>
  <c r="F68" i="150"/>
  <c r="E68" i="150"/>
  <c r="D68" i="150"/>
  <c r="C68" i="150"/>
  <c r="F62" i="150"/>
  <c r="F60" i="150" s="1"/>
  <c r="E62" i="150"/>
  <c r="D62" i="150"/>
  <c r="C62" i="150"/>
  <c r="E60" i="150"/>
  <c r="D60" i="150"/>
  <c r="C60" i="150"/>
  <c r="F44" i="150"/>
  <c r="E44" i="150"/>
  <c r="D44" i="150"/>
  <c r="C44" i="150"/>
  <c r="F40" i="150"/>
  <c r="E40" i="150"/>
  <c r="D40" i="150"/>
  <c r="C40" i="150"/>
  <c r="F32" i="150"/>
  <c r="E32" i="150"/>
  <c r="D32" i="150"/>
  <c r="C32" i="150"/>
  <c r="F27" i="150"/>
  <c r="E27" i="150"/>
  <c r="D27" i="150"/>
  <c r="C27" i="150"/>
  <c r="F19" i="150"/>
  <c r="E19" i="150"/>
  <c r="D19" i="150"/>
  <c r="C19" i="150"/>
  <c r="F6" i="150"/>
  <c r="E6" i="150"/>
  <c r="D6" i="150"/>
  <c r="C6" i="150"/>
  <c r="D17" i="154" l="1"/>
  <c r="C17" i="154"/>
  <c r="C14" i="154"/>
  <c r="D10" i="154"/>
  <c r="C10" i="154"/>
  <c r="D5" i="154"/>
  <c r="C5" i="154"/>
  <c r="F55" i="142" l="1"/>
  <c r="E55" i="142"/>
  <c r="D55" i="142"/>
  <c r="C55" i="142"/>
  <c r="F39" i="142"/>
  <c r="E39" i="142"/>
  <c r="D39" i="142"/>
  <c r="C39" i="142"/>
  <c r="F31" i="142"/>
  <c r="D31" i="142"/>
  <c r="C31" i="142"/>
  <c r="F25" i="142"/>
  <c r="E25" i="142"/>
  <c r="D25" i="142"/>
  <c r="C25" i="142"/>
  <c r="F21" i="142"/>
  <c r="E21" i="142"/>
  <c r="D21" i="142"/>
  <c r="C21" i="142"/>
  <c r="F11" i="142"/>
  <c r="E11" i="142"/>
  <c r="D11" i="142"/>
  <c r="C11" i="142"/>
  <c r="F6" i="142"/>
  <c r="D6" i="142"/>
  <c r="C6" i="142"/>
  <c r="C16" i="3" l="1"/>
  <c r="C5" i="3"/>
  <c r="D20" i="146"/>
  <c r="D6" i="146" l="1"/>
  <c r="D12" i="146"/>
  <c r="D9" i="146" s="1"/>
  <c r="C36" i="3" l="1"/>
  <c r="C24" i="3"/>
  <c r="C27" i="3" l="1"/>
  <c r="E11" i="3" l="1"/>
  <c r="E10" i="3"/>
  <c r="E9" i="3"/>
  <c r="C13" i="3"/>
  <c r="E13" i="3" s="1"/>
  <c r="D13" i="3"/>
  <c r="E19" i="160" l="1"/>
  <c r="F19" i="160"/>
  <c r="C19" i="160"/>
  <c r="G19" i="160" s="1"/>
  <c r="H28" i="160"/>
  <c r="H26" i="160" s="1"/>
  <c r="G27" i="160"/>
  <c r="G26" i="160"/>
  <c r="F26" i="160"/>
  <c r="E26" i="160"/>
  <c r="D26" i="160"/>
  <c r="H25" i="160"/>
  <c r="H23" i="160" s="1"/>
  <c r="G23" i="160"/>
  <c r="F23" i="160"/>
  <c r="E23" i="160"/>
  <c r="D23" i="160"/>
  <c r="D19" i="160" s="1"/>
  <c r="H19" i="160" s="1"/>
  <c r="C23" i="160"/>
  <c r="H22" i="160"/>
  <c r="H20" i="160" s="1"/>
  <c r="G21" i="160"/>
  <c r="G20" i="160"/>
  <c r="F20" i="160"/>
  <c r="E20" i="160"/>
  <c r="D20" i="160"/>
  <c r="C20" i="160"/>
  <c r="H17" i="160"/>
  <c r="G16" i="160"/>
  <c r="F15" i="160"/>
  <c r="F18" i="160" s="1"/>
  <c r="F35" i="160" s="1"/>
  <c r="E15" i="160"/>
  <c r="E18" i="160" s="1"/>
  <c r="E35" i="160" s="1"/>
  <c r="D15" i="160"/>
  <c r="C15" i="160"/>
  <c r="C18" i="160" s="1"/>
  <c r="H14" i="160"/>
  <c r="G13" i="160"/>
  <c r="F12" i="160"/>
  <c r="E12" i="160"/>
  <c r="D12" i="160"/>
  <c r="H12" i="160" s="1"/>
  <c r="C12" i="160"/>
  <c r="H11" i="160"/>
  <c r="G10" i="160"/>
  <c r="F9" i="160"/>
  <c r="E9" i="160"/>
  <c r="D9" i="160"/>
  <c r="C9" i="160"/>
  <c r="G9" i="160" s="1"/>
  <c r="H8" i="160"/>
  <c r="A8" i="160"/>
  <c r="A9" i="160" s="1"/>
  <c r="A10" i="160" s="1"/>
  <c r="A11" i="160" s="1"/>
  <c r="G7" i="160"/>
  <c r="F6" i="160"/>
  <c r="E6" i="160"/>
  <c r="D6" i="160"/>
  <c r="C6" i="160"/>
  <c r="G18" i="160" l="1"/>
  <c r="G35" i="160" s="1"/>
  <c r="D18" i="160"/>
  <c r="H9" i="160"/>
  <c r="G12" i="160"/>
  <c r="C35" i="160"/>
  <c r="G6" i="160"/>
  <c r="H6" i="160"/>
  <c r="G15" i="160"/>
  <c r="H15" i="160"/>
  <c r="H18" i="160" l="1"/>
  <c r="H35" i="160" s="1"/>
  <c r="D35" i="160"/>
  <c r="C24" i="64"/>
  <c r="C20" i="146" l="1"/>
  <c r="C12" i="146" s="1"/>
  <c r="C14" i="116"/>
  <c r="C18" i="116" s="1"/>
  <c r="H19" i="145"/>
  <c r="F19" i="145"/>
  <c r="I16" i="91"/>
  <c r="H31" i="142"/>
  <c r="G31" i="142"/>
  <c r="D10" i="91"/>
  <c r="E23" i="91"/>
  <c r="F10" i="91"/>
  <c r="F23" i="91"/>
  <c r="G10" i="91"/>
  <c r="G23" i="91"/>
  <c r="H10" i="91"/>
  <c r="I11" i="91"/>
  <c r="I12" i="91"/>
  <c r="I13" i="91"/>
  <c r="I14" i="91"/>
  <c r="I15" i="91"/>
  <c r="C10" i="91"/>
  <c r="C23" i="91" s="1"/>
  <c r="H25" i="142"/>
  <c r="G39" i="142"/>
  <c r="G55" i="142"/>
  <c r="G28" i="142"/>
  <c r="H28" i="142"/>
  <c r="D22" i="144"/>
  <c r="E22" i="144"/>
  <c r="F22" i="144"/>
  <c r="C22" i="144"/>
  <c r="I22" i="91"/>
  <c r="H23" i="91"/>
  <c r="G48" i="142"/>
  <c r="H48" i="142"/>
  <c r="G36" i="142"/>
  <c r="H36" i="142"/>
  <c r="G37" i="142"/>
  <c r="H37" i="142"/>
  <c r="H38" i="142"/>
  <c r="G38" i="142"/>
  <c r="E6" i="159"/>
  <c r="D7" i="159"/>
  <c r="C7" i="159"/>
  <c r="E5" i="159"/>
  <c r="D9" i="157"/>
  <c r="F6" i="157" s="1"/>
  <c r="F9" i="157" s="1"/>
  <c r="D19" i="144"/>
  <c r="E19" i="144"/>
  <c r="F19" i="144"/>
  <c r="D16" i="144"/>
  <c r="E16" i="144"/>
  <c r="F16" i="144"/>
  <c r="D13" i="144"/>
  <c r="E13" i="144"/>
  <c r="F13" i="144"/>
  <c r="D10" i="144"/>
  <c r="E10" i="144"/>
  <c r="E7" i="144"/>
  <c r="F10" i="144"/>
  <c r="D7" i="144"/>
  <c r="F7" i="144"/>
  <c r="I6" i="97"/>
  <c r="E6" i="23"/>
  <c r="E14" i="23"/>
  <c r="E16" i="23"/>
  <c r="E17" i="23"/>
  <c r="E18" i="23"/>
  <c r="E8" i="23"/>
  <c r="E9" i="23"/>
  <c r="E10" i="23"/>
  <c r="E11" i="23"/>
  <c r="E12" i="23"/>
  <c r="D7" i="23"/>
  <c r="C7" i="23"/>
  <c r="G64" i="142"/>
  <c r="H64" i="142"/>
  <c r="G66" i="142"/>
  <c r="H66" i="142"/>
  <c r="G88" i="150"/>
  <c r="H88" i="150"/>
  <c r="G56" i="142"/>
  <c r="G57" i="142"/>
  <c r="G58" i="142"/>
  <c r="G59" i="142"/>
  <c r="G60" i="142"/>
  <c r="G61" i="142"/>
  <c r="G62" i="142"/>
  <c r="G7" i="142"/>
  <c r="H7" i="142"/>
  <c r="G8" i="142"/>
  <c r="H8" i="142"/>
  <c r="G9" i="142"/>
  <c r="H9" i="142"/>
  <c r="G10" i="142"/>
  <c r="H10" i="142"/>
  <c r="G12" i="142"/>
  <c r="H12" i="142"/>
  <c r="G13" i="142"/>
  <c r="H13" i="142"/>
  <c r="G14" i="142"/>
  <c r="H14" i="142"/>
  <c r="G15" i="142"/>
  <c r="H15" i="142"/>
  <c r="G16" i="142"/>
  <c r="H16" i="142"/>
  <c r="G17" i="142"/>
  <c r="H17" i="142"/>
  <c r="G18" i="142"/>
  <c r="H18" i="142"/>
  <c r="G19" i="142"/>
  <c r="H19" i="142"/>
  <c r="G20" i="142"/>
  <c r="G22" i="142"/>
  <c r="H22" i="142"/>
  <c r="G23" i="142"/>
  <c r="H23" i="142"/>
  <c r="G24" i="142"/>
  <c r="H24" i="142"/>
  <c r="G26" i="142"/>
  <c r="H26" i="142"/>
  <c r="G27" i="142"/>
  <c r="H27" i="142"/>
  <c r="G29" i="142"/>
  <c r="H29" i="142"/>
  <c r="G30" i="142"/>
  <c r="H30" i="142"/>
  <c r="G32" i="142"/>
  <c r="H32" i="142"/>
  <c r="G33" i="142"/>
  <c r="H33" i="142"/>
  <c r="G34" i="142"/>
  <c r="H34" i="142"/>
  <c r="G35" i="142"/>
  <c r="H35" i="142"/>
  <c r="G40" i="142"/>
  <c r="H40" i="142"/>
  <c r="G41" i="142"/>
  <c r="H41" i="142"/>
  <c r="G42" i="142"/>
  <c r="H42" i="142"/>
  <c r="G43" i="142"/>
  <c r="H43" i="142"/>
  <c r="G44" i="142"/>
  <c r="H44" i="142"/>
  <c r="G45" i="142"/>
  <c r="H45" i="142"/>
  <c r="G46" i="142"/>
  <c r="H46" i="142"/>
  <c r="G47" i="142"/>
  <c r="H47" i="142"/>
  <c r="G49" i="142"/>
  <c r="H49" i="142"/>
  <c r="G50" i="142"/>
  <c r="H50" i="142"/>
  <c r="G51" i="142"/>
  <c r="H51" i="142"/>
  <c r="G52" i="142"/>
  <c r="H52" i="142"/>
  <c r="G53" i="142"/>
  <c r="H53" i="142"/>
  <c r="G54" i="142"/>
  <c r="H54" i="142"/>
  <c r="H61" i="142"/>
  <c r="H62" i="142"/>
  <c r="G63" i="142"/>
  <c r="H63" i="142"/>
  <c r="G65" i="142"/>
  <c r="H65" i="142"/>
  <c r="G67" i="142"/>
  <c r="H67" i="142"/>
  <c r="G68" i="142"/>
  <c r="H68" i="142"/>
  <c r="G69" i="142"/>
  <c r="H69" i="142"/>
  <c r="D70" i="142"/>
  <c r="E70" i="142"/>
  <c r="H11" i="142"/>
  <c r="H39" i="142"/>
  <c r="C7" i="144"/>
  <c r="C10" i="144"/>
  <c r="C16" i="144"/>
  <c r="C19" i="144"/>
  <c r="C13" i="144"/>
  <c r="G99" i="150"/>
  <c r="H99" i="150"/>
  <c r="C9" i="157"/>
  <c r="E6" i="157" s="1"/>
  <c r="E9" i="157" s="1"/>
  <c r="J29" i="155"/>
  <c r="F29" i="155"/>
  <c r="K29" i="155"/>
  <c r="J28" i="155"/>
  <c r="K28" i="155" s="1"/>
  <c r="F28" i="155"/>
  <c r="F27" i="155"/>
  <c r="F22" i="155"/>
  <c r="K22" i="155"/>
  <c r="J26" i="155"/>
  <c r="F26" i="155"/>
  <c r="K26" i="155"/>
  <c r="J25" i="155"/>
  <c r="F25" i="155"/>
  <c r="K25" i="155"/>
  <c r="J24" i="155"/>
  <c r="F24" i="155"/>
  <c r="K24" i="155"/>
  <c r="J23" i="155"/>
  <c r="J22" i="155" s="1"/>
  <c r="F23" i="155"/>
  <c r="I22" i="155"/>
  <c r="H22" i="155"/>
  <c r="G22" i="155"/>
  <c r="E22" i="155"/>
  <c r="D22" i="155"/>
  <c r="C22" i="155"/>
  <c r="J21" i="155"/>
  <c r="F21" i="155"/>
  <c r="K21" i="155"/>
  <c r="J20" i="155"/>
  <c r="F20" i="155"/>
  <c r="K20" i="155"/>
  <c r="J19" i="155"/>
  <c r="K19" i="155" s="1"/>
  <c r="F19" i="155"/>
  <c r="J18" i="155"/>
  <c r="F18" i="155"/>
  <c r="K18" i="155" s="1"/>
  <c r="J17" i="155"/>
  <c r="F17" i="155"/>
  <c r="L17" i="155" s="1"/>
  <c r="K17" i="155"/>
  <c r="I16" i="155"/>
  <c r="J16" i="155" s="1"/>
  <c r="H16" i="155"/>
  <c r="G16" i="155"/>
  <c r="E16" i="155"/>
  <c r="D16" i="155"/>
  <c r="C16" i="155"/>
  <c r="C30" i="155" s="1"/>
  <c r="F16" i="155"/>
  <c r="J15" i="155"/>
  <c r="F15" i="155"/>
  <c r="K15" i="155" s="1"/>
  <c r="J13" i="155"/>
  <c r="K13" i="155" s="1"/>
  <c r="F13" i="155"/>
  <c r="J12" i="155"/>
  <c r="F12" i="155"/>
  <c r="K12" i="155" s="1"/>
  <c r="J11" i="155"/>
  <c r="F11" i="155"/>
  <c r="K11" i="155"/>
  <c r="J10" i="155"/>
  <c r="L10" i="155" s="1"/>
  <c r="F10" i="155"/>
  <c r="J9" i="155"/>
  <c r="K9" i="155" s="1"/>
  <c r="F9" i="155"/>
  <c r="J8" i="155"/>
  <c r="F8" i="155"/>
  <c r="K8" i="155" s="1"/>
  <c r="I7" i="155"/>
  <c r="H7" i="155"/>
  <c r="H30" i="155" s="1"/>
  <c r="G7" i="155"/>
  <c r="G30" i="155"/>
  <c r="E7" i="155"/>
  <c r="E30" i="155"/>
  <c r="D7" i="155"/>
  <c r="C7" i="155"/>
  <c r="F23" i="76"/>
  <c r="D16" i="3"/>
  <c r="D24" i="3"/>
  <c r="E24" i="3"/>
  <c r="H102" i="150"/>
  <c r="G102" i="150"/>
  <c r="H101" i="150"/>
  <c r="G101" i="150"/>
  <c r="H100" i="150"/>
  <c r="G100" i="150"/>
  <c r="H98" i="150"/>
  <c r="G98" i="150"/>
  <c r="H97" i="150"/>
  <c r="G97" i="150"/>
  <c r="H96" i="150"/>
  <c r="G96" i="150"/>
  <c r="H95" i="150"/>
  <c r="G95" i="150"/>
  <c r="H94" i="150"/>
  <c r="G94" i="150"/>
  <c r="H93" i="150"/>
  <c r="G93" i="150"/>
  <c r="H92" i="150"/>
  <c r="G92" i="150"/>
  <c r="H90" i="150"/>
  <c r="G90" i="150"/>
  <c r="H89" i="150"/>
  <c r="G89" i="150"/>
  <c r="H87" i="150"/>
  <c r="G87" i="150"/>
  <c r="H86" i="150"/>
  <c r="G86" i="150"/>
  <c r="H85" i="150"/>
  <c r="G85" i="150"/>
  <c r="H84" i="150"/>
  <c r="G84" i="150"/>
  <c r="H83" i="150"/>
  <c r="G83" i="150"/>
  <c r="H81" i="150"/>
  <c r="G81" i="150"/>
  <c r="H79" i="150"/>
  <c r="G79" i="150"/>
  <c r="H78" i="150"/>
  <c r="G78" i="150"/>
  <c r="H77" i="150"/>
  <c r="G77" i="150"/>
  <c r="H76" i="150"/>
  <c r="G76" i="150"/>
  <c r="H75" i="150"/>
  <c r="G75" i="150"/>
  <c r="H73" i="150"/>
  <c r="G73" i="150"/>
  <c r="H72" i="150"/>
  <c r="G72" i="150"/>
  <c r="H71" i="150"/>
  <c r="G71" i="150"/>
  <c r="H70" i="150"/>
  <c r="G70" i="150"/>
  <c r="H69" i="150"/>
  <c r="G69" i="150"/>
  <c r="H67" i="150"/>
  <c r="G67" i="150"/>
  <c r="H66" i="150"/>
  <c r="G66" i="150"/>
  <c r="H65" i="150"/>
  <c r="G65" i="150"/>
  <c r="H64" i="150"/>
  <c r="G64" i="150"/>
  <c r="H63" i="150"/>
  <c r="G63" i="150"/>
  <c r="H62" i="150"/>
  <c r="G62" i="150"/>
  <c r="H61" i="150"/>
  <c r="G61" i="150"/>
  <c r="H59" i="150"/>
  <c r="G59" i="150"/>
  <c r="H58" i="150"/>
  <c r="G58" i="150"/>
  <c r="H57" i="150"/>
  <c r="G57" i="150"/>
  <c r="H56" i="150"/>
  <c r="G56" i="150"/>
  <c r="H55" i="150"/>
  <c r="G55" i="150"/>
  <c r="H54" i="150"/>
  <c r="G54" i="150"/>
  <c r="H53" i="150"/>
  <c r="G53" i="150"/>
  <c r="H52" i="150"/>
  <c r="G52" i="150"/>
  <c r="H51" i="150"/>
  <c r="G51" i="150"/>
  <c r="H50" i="150"/>
  <c r="G50" i="150"/>
  <c r="H49" i="150"/>
  <c r="G49" i="150"/>
  <c r="H48" i="150"/>
  <c r="G48" i="150"/>
  <c r="H47" i="150"/>
  <c r="G47" i="150"/>
  <c r="H46" i="150"/>
  <c r="G46" i="150"/>
  <c r="H45" i="150"/>
  <c r="G45" i="150"/>
  <c r="H43" i="150"/>
  <c r="G43" i="150"/>
  <c r="H42" i="150"/>
  <c r="G42" i="150"/>
  <c r="H41" i="150"/>
  <c r="G41" i="150"/>
  <c r="H40" i="150"/>
  <c r="H39" i="150"/>
  <c r="G39" i="150"/>
  <c r="H38" i="150"/>
  <c r="G38" i="150"/>
  <c r="H37" i="150"/>
  <c r="G37" i="150"/>
  <c r="H36" i="150"/>
  <c r="G36" i="150"/>
  <c r="H35" i="150"/>
  <c r="G35" i="150"/>
  <c r="H34" i="150"/>
  <c r="G34" i="150"/>
  <c r="H33" i="150"/>
  <c r="G33" i="150"/>
  <c r="H32" i="150"/>
  <c r="G32" i="150"/>
  <c r="H31" i="150"/>
  <c r="G31" i="150"/>
  <c r="H30" i="150"/>
  <c r="G30" i="150"/>
  <c r="H29" i="150"/>
  <c r="G29" i="150"/>
  <c r="H28" i="150"/>
  <c r="G28" i="150"/>
  <c r="H27" i="150"/>
  <c r="G27" i="150"/>
  <c r="H25" i="150"/>
  <c r="G25" i="150"/>
  <c r="H24" i="150"/>
  <c r="G24" i="150"/>
  <c r="H23" i="150"/>
  <c r="G23" i="150"/>
  <c r="H22" i="150"/>
  <c r="G22" i="150"/>
  <c r="H21" i="150"/>
  <c r="G21" i="150"/>
  <c r="H20" i="150"/>
  <c r="G20" i="150"/>
  <c r="H19" i="150"/>
  <c r="G19" i="150"/>
  <c r="H18" i="150"/>
  <c r="G18" i="150"/>
  <c r="H17" i="150"/>
  <c r="G17" i="150"/>
  <c r="H16" i="150"/>
  <c r="G16" i="150"/>
  <c r="H15" i="150"/>
  <c r="G15" i="150"/>
  <c r="H14" i="150"/>
  <c r="G14" i="150"/>
  <c r="H13" i="150"/>
  <c r="G13" i="150"/>
  <c r="H12" i="150"/>
  <c r="G12" i="150"/>
  <c r="H11" i="150"/>
  <c r="G11" i="150"/>
  <c r="H10" i="150"/>
  <c r="G10" i="150"/>
  <c r="H9" i="150"/>
  <c r="G9" i="150"/>
  <c r="H8" i="150"/>
  <c r="G8" i="150"/>
  <c r="H7" i="150"/>
  <c r="G7" i="150"/>
  <c r="A7" i="150"/>
  <c r="A8" i="150"/>
  <c r="A9" i="150"/>
  <c r="A10" i="150" s="1"/>
  <c r="A11" i="150" s="1"/>
  <c r="A12" i="150" s="1"/>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A66" i="150" s="1"/>
  <c r="A67" i="150" s="1"/>
  <c r="A68" i="150" s="1"/>
  <c r="A69" i="150" s="1"/>
  <c r="A70" i="150" s="1"/>
  <c r="A71" i="150" s="1"/>
  <c r="A72" i="150" s="1"/>
  <c r="A73" i="150" s="1"/>
  <c r="A75" i="150" s="1"/>
  <c r="A76" i="150" s="1"/>
  <c r="A77" i="150" s="1"/>
  <c r="A78" i="150" s="1"/>
  <c r="A79" i="150" s="1"/>
  <c r="A80" i="150" s="1"/>
  <c r="A81" i="150" s="1"/>
  <c r="A82" i="150" s="1"/>
  <c r="A83" i="150" s="1"/>
  <c r="A84" i="150" s="1"/>
  <c r="A85" i="150" s="1"/>
  <c r="A86" i="150" s="1"/>
  <c r="A87" i="150" s="1"/>
  <c r="A89" i="150" s="1"/>
  <c r="A90" i="150" s="1"/>
  <c r="A91" i="150" s="1"/>
  <c r="A92" i="150" s="1"/>
  <c r="A93" i="150" s="1"/>
  <c r="A95" i="150" s="1"/>
  <c r="A96" i="150" s="1"/>
  <c r="A97" i="150" s="1"/>
  <c r="A98" i="150" s="1"/>
  <c r="A99" i="150" s="1"/>
  <c r="A100" i="150" s="1"/>
  <c r="A101" i="150" s="1"/>
  <c r="A102" i="150" s="1"/>
  <c r="A103" i="150" s="1"/>
  <c r="G6" i="150"/>
  <c r="D10" i="146"/>
  <c r="D21" i="146"/>
  <c r="F43" i="133"/>
  <c r="F42" i="133"/>
  <c r="N15" i="145"/>
  <c r="M15" i="145"/>
  <c r="M18" i="145"/>
  <c r="N18" i="145"/>
  <c r="N16" i="145"/>
  <c r="M16" i="145"/>
  <c r="N12" i="145"/>
  <c r="M12" i="145"/>
  <c r="N11" i="145"/>
  <c r="M11" i="145"/>
  <c r="M8" i="145"/>
  <c r="N8" i="145"/>
  <c r="M6" i="145"/>
  <c r="C17" i="146"/>
  <c r="H20" i="142"/>
  <c r="H7" i="145"/>
  <c r="N7" i="145" s="1"/>
  <c r="G7" i="145"/>
  <c r="G17" i="145"/>
  <c r="H6" i="145" s="1"/>
  <c r="C21" i="146"/>
  <c r="D17" i="146"/>
  <c r="C6" i="146"/>
  <c r="A6" i="146"/>
  <c r="A7" i="146"/>
  <c r="A8" i="146"/>
  <c r="A9" i="146"/>
  <c r="A10" i="146"/>
  <c r="A11" i="146"/>
  <c r="A12" i="146"/>
  <c r="A13" i="146"/>
  <c r="A15" i="146"/>
  <c r="A16" i="146"/>
  <c r="A17" i="146"/>
  <c r="A18" i="146"/>
  <c r="A19" i="146"/>
  <c r="A20" i="146"/>
  <c r="A21" i="146"/>
  <c r="N14" i="145"/>
  <c r="M14" i="145"/>
  <c r="N13" i="145"/>
  <c r="M13" i="145"/>
  <c r="N10" i="145"/>
  <c r="M10" i="145"/>
  <c r="N9" i="145"/>
  <c r="M9" i="145"/>
  <c r="L7" i="145"/>
  <c r="K7" i="145"/>
  <c r="K17" i="145"/>
  <c r="L6" i="145"/>
  <c r="L17" i="145"/>
  <c r="J7" i="145"/>
  <c r="I7" i="145"/>
  <c r="F7" i="145"/>
  <c r="E7" i="145"/>
  <c r="E17" i="145" s="1"/>
  <c r="F6" i="145" s="1"/>
  <c r="F17" i="145" s="1"/>
  <c r="D7" i="145"/>
  <c r="C7" i="145"/>
  <c r="C17" i="145" s="1"/>
  <c r="D6" i="145" s="1"/>
  <c r="F40" i="134"/>
  <c r="I21" i="91"/>
  <c r="I20" i="91"/>
  <c r="I19" i="91"/>
  <c r="I18" i="91"/>
  <c r="I17" i="91"/>
  <c r="I9" i="91"/>
  <c r="I8" i="91"/>
  <c r="I6" i="91"/>
  <c r="G6" i="97"/>
  <c r="G21" i="142"/>
  <c r="G11" i="142"/>
  <c r="A7" i="142"/>
  <c r="A8" i="142"/>
  <c r="A9" i="142"/>
  <c r="A10" i="142"/>
  <c r="A11" i="142"/>
  <c r="A12" i="142"/>
  <c r="A13" i="142"/>
  <c r="A14" i="142"/>
  <c r="A15" i="142"/>
  <c r="A16" i="142"/>
  <c r="A17" i="142"/>
  <c r="A18" i="142"/>
  <c r="A19" i="142"/>
  <c r="A20" i="142"/>
  <c r="A21" i="142"/>
  <c r="A22" i="142"/>
  <c r="A23" i="142"/>
  <c r="A24" i="142"/>
  <c r="A25" i="142"/>
  <c r="A26" i="142"/>
  <c r="A27" i="142"/>
  <c r="A28" i="142"/>
  <c r="A29" i="142"/>
  <c r="A30" i="142"/>
  <c r="A31" i="142"/>
  <c r="A32" i="142"/>
  <c r="A33" i="142"/>
  <c r="A34" i="142"/>
  <c r="A35" i="142"/>
  <c r="A36" i="142"/>
  <c r="A37" i="142"/>
  <c r="A38" i="142"/>
  <c r="A39" i="142"/>
  <c r="A40" i="142"/>
  <c r="A41" i="142"/>
  <c r="A42" i="142"/>
  <c r="A43" i="142"/>
  <c r="A44" i="142"/>
  <c r="A45" i="142"/>
  <c r="A46" i="142"/>
  <c r="A47" i="142"/>
  <c r="A48" i="142"/>
  <c r="A49" i="142"/>
  <c r="A50" i="142"/>
  <c r="A51" i="142"/>
  <c r="A52" i="142"/>
  <c r="A53" i="142"/>
  <c r="A54" i="142"/>
  <c r="A55" i="142"/>
  <c r="A56" i="142"/>
  <c r="A57" i="142"/>
  <c r="A58" i="142"/>
  <c r="A59" i="142"/>
  <c r="A60" i="142"/>
  <c r="A61" i="142"/>
  <c r="A62" i="142"/>
  <c r="A63" i="142"/>
  <c r="A64" i="142"/>
  <c r="A65" i="142"/>
  <c r="A66" i="142"/>
  <c r="A67" i="142"/>
  <c r="A68" i="142"/>
  <c r="A69" i="142"/>
  <c r="A70" i="142"/>
  <c r="J23" i="76"/>
  <c r="J24" i="76"/>
  <c r="J25" i="76"/>
  <c r="J26" i="76"/>
  <c r="F24" i="76"/>
  <c r="K24" i="76"/>
  <c r="F25" i="76"/>
  <c r="K25" i="76"/>
  <c r="F26" i="76"/>
  <c r="L26" i="155"/>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1" i="134"/>
  <c r="D42" i="134"/>
  <c r="E42" i="134"/>
  <c r="F5" i="133"/>
  <c r="F6" i="133"/>
  <c r="F40" i="133" s="1"/>
  <c r="F7" i="133"/>
  <c r="F8" i="133"/>
  <c r="F9" i="133"/>
  <c r="F10" i="133"/>
  <c r="F11" i="133"/>
  <c r="F12" i="133"/>
  <c r="F13" i="133"/>
  <c r="F14" i="133"/>
  <c r="F15" i="133"/>
  <c r="F16" i="133"/>
  <c r="F17" i="133"/>
  <c r="F18" i="133"/>
  <c r="F19" i="133"/>
  <c r="F20" i="133"/>
  <c r="F21" i="133"/>
  <c r="F22" i="133"/>
  <c r="F23" i="133"/>
  <c r="F24" i="133"/>
  <c r="F25" i="133"/>
  <c r="F26" i="133"/>
  <c r="F27" i="133"/>
  <c r="F28" i="133"/>
  <c r="F29" i="133"/>
  <c r="F30" i="133"/>
  <c r="F31" i="133"/>
  <c r="F32" i="133"/>
  <c r="F33" i="133"/>
  <c r="F34" i="133"/>
  <c r="F35" i="133"/>
  <c r="F36" i="133"/>
  <c r="F37" i="133"/>
  <c r="F38" i="133"/>
  <c r="F39" i="133"/>
  <c r="D40" i="133"/>
  <c r="E40" i="133"/>
  <c r="C6" i="61"/>
  <c r="D6" i="61"/>
  <c r="E6" i="61"/>
  <c r="A7" i="61"/>
  <c r="A8" i="61"/>
  <c r="A9" i="61"/>
  <c r="A10" i="61"/>
  <c r="E7" i="61"/>
  <c r="E8" i="61"/>
  <c r="E10" i="61"/>
  <c r="E12" i="61"/>
  <c r="E13" i="61"/>
  <c r="C15" i="61"/>
  <c r="D15" i="61"/>
  <c r="E15" i="61"/>
  <c r="E16" i="61"/>
  <c r="A7" i="90"/>
  <c r="A8" i="90"/>
  <c r="A9" i="90"/>
  <c r="A10" i="90"/>
  <c r="A11" i="90"/>
  <c r="A12" i="90"/>
  <c r="A13" i="90"/>
  <c r="A14" i="90"/>
  <c r="A15" i="90"/>
  <c r="A17" i="90"/>
  <c r="A18" i="90"/>
  <c r="A19" i="90"/>
  <c r="A20" i="90"/>
  <c r="C7" i="90"/>
  <c r="C14" i="90"/>
  <c r="C20" i="90" s="1"/>
  <c r="D7" i="90"/>
  <c r="D14" i="90" s="1"/>
  <c r="D20" i="90" s="1"/>
  <c r="A7" i="116"/>
  <c r="E8" i="116"/>
  <c r="F8" i="116"/>
  <c r="A9" i="116"/>
  <c r="A10" i="116"/>
  <c r="A11" i="116"/>
  <c r="A12" i="116"/>
  <c r="A13" i="116"/>
  <c r="A14" i="116"/>
  <c r="A15" i="116"/>
  <c r="A16" i="116"/>
  <c r="A17" i="116"/>
  <c r="A18" i="116"/>
  <c r="C13" i="116"/>
  <c r="D13" i="116"/>
  <c r="D14" i="116"/>
  <c r="D18" i="116" s="1"/>
  <c r="A7" i="109"/>
  <c r="A8" i="109"/>
  <c r="A9" i="109"/>
  <c r="A10" i="109"/>
  <c r="C11" i="109"/>
  <c r="E9" i="109" s="1"/>
  <c r="E11" i="109" s="1"/>
  <c r="C12" i="109"/>
  <c r="E12" i="109"/>
  <c r="C7" i="76"/>
  <c r="F7" i="76" s="1"/>
  <c r="D7" i="76"/>
  <c r="E7" i="76"/>
  <c r="G7" i="76"/>
  <c r="G16" i="76"/>
  <c r="H7" i="76"/>
  <c r="H30" i="76" s="1"/>
  <c r="I7" i="76"/>
  <c r="F8" i="76"/>
  <c r="J8" i="76"/>
  <c r="F9" i="76"/>
  <c r="J9" i="76"/>
  <c r="K9" i="76" s="1"/>
  <c r="F10" i="76"/>
  <c r="K10" i="76" s="1"/>
  <c r="J10" i="76"/>
  <c r="F11" i="76"/>
  <c r="J11" i="76"/>
  <c r="F12" i="76"/>
  <c r="L12" i="155" s="1"/>
  <c r="J12" i="76"/>
  <c r="F13" i="76"/>
  <c r="J13" i="76"/>
  <c r="K13" i="76" s="1"/>
  <c r="F15" i="76"/>
  <c r="L15" i="155" s="1"/>
  <c r="J15" i="76"/>
  <c r="C16" i="76"/>
  <c r="F16" i="76" s="1"/>
  <c r="E16" i="76"/>
  <c r="D16" i="76"/>
  <c r="H16" i="76"/>
  <c r="I16" i="76"/>
  <c r="J16" i="76" s="1"/>
  <c r="F17" i="76"/>
  <c r="J17" i="76"/>
  <c r="F18" i="76"/>
  <c r="J18" i="76"/>
  <c r="F19" i="76"/>
  <c r="J19" i="76"/>
  <c r="F20" i="76"/>
  <c r="J20" i="76"/>
  <c r="K20" i="76" s="1"/>
  <c r="F21" i="76"/>
  <c r="J21" i="76"/>
  <c r="C22" i="76"/>
  <c r="D22" i="76"/>
  <c r="E22" i="76"/>
  <c r="G22" i="76"/>
  <c r="H22" i="76"/>
  <c r="I22" i="76"/>
  <c r="F27" i="76"/>
  <c r="F22" i="76"/>
  <c r="F28" i="76"/>
  <c r="J28" i="76"/>
  <c r="F29" i="76"/>
  <c r="J29" i="76"/>
  <c r="D30" i="76"/>
  <c r="E5" i="3"/>
  <c r="D5" i="3"/>
  <c r="E6" i="3"/>
  <c r="E7" i="3"/>
  <c r="E8" i="3"/>
  <c r="E14" i="3"/>
  <c r="E15" i="3"/>
  <c r="E17" i="3"/>
  <c r="E23" i="3"/>
  <c r="E25" i="3"/>
  <c r="E26" i="3"/>
  <c r="E27" i="3"/>
  <c r="C5" i="23"/>
  <c r="D5" i="23"/>
  <c r="D19" i="23" s="1"/>
  <c r="A6" i="23"/>
  <c r="A7" i="23"/>
  <c r="A8" i="23"/>
  <c r="A9" i="23"/>
  <c r="A10" i="23"/>
  <c r="A11" i="23"/>
  <c r="A12" i="23"/>
  <c r="A13" i="23"/>
  <c r="A14" i="23"/>
  <c r="A15" i="23"/>
  <c r="A16" i="23"/>
  <c r="A17" i="23"/>
  <c r="A18" i="23"/>
  <c r="A19" i="23"/>
  <c r="C13" i="23"/>
  <c r="D13" i="23"/>
  <c r="E13" i="23"/>
  <c r="C15" i="23"/>
  <c r="E15" i="23" s="1"/>
  <c r="D15" i="23"/>
  <c r="I17" i="145"/>
  <c r="J6" i="145"/>
  <c r="J17" i="145"/>
  <c r="H6" i="150"/>
  <c r="H60" i="150"/>
  <c r="J7" i="155"/>
  <c r="K7" i="155" s="1"/>
  <c r="L24" i="155"/>
  <c r="G6" i="142"/>
  <c r="H82" i="150"/>
  <c r="C18" i="61"/>
  <c r="G91" i="150"/>
  <c r="H55" i="142"/>
  <c r="G25" i="142"/>
  <c r="D30" i="155"/>
  <c r="G44" i="150"/>
  <c r="L9" i="155"/>
  <c r="F70" i="142"/>
  <c r="H70" i="142" s="1"/>
  <c r="L22" i="155"/>
  <c r="K22" i="76"/>
  <c r="K19" i="76"/>
  <c r="K8" i="76"/>
  <c r="G68" i="150"/>
  <c r="K15" i="76"/>
  <c r="C30" i="76"/>
  <c r="E30" i="76"/>
  <c r="K17" i="76"/>
  <c r="E7" i="23"/>
  <c r="K26" i="76"/>
  <c r="L25" i="155"/>
  <c r="G30" i="76"/>
  <c r="J7" i="76"/>
  <c r="K28" i="76"/>
  <c r="H6" i="142"/>
  <c r="F7" i="155"/>
  <c r="C70" i="142"/>
  <c r="D103" i="150"/>
  <c r="H21" i="142"/>
  <c r="D18" i="61"/>
  <c r="J22" i="76"/>
  <c r="H44" i="150"/>
  <c r="H68" i="150"/>
  <c r="G80" i="150"/>
  <c r="G82" i="150"/>
  <c r="E103" i="150"/>
  <c r="G40" i="150"/>
  <c r="C103" i="150"/>
  <c r="H91" i="150"/>
  <c r="H80" i="150"/>
  <c r="F103" i="150"/>
  <c r="G60" i="150"/>
  <c r="D41" i="133" l="1"/>
  <c r="D44" i="133" s="1"/>
  <c r="E41" i="133"/>
  <c r="E44" i="133" s="1"/>
  <c r="F42" i="134"/>
  <c r="E7" i="159"/>
  <c r="I10" i="91"/>
  <c r="I23" i="91"/>
  <c r="F41" i="133"/>
  <c r="D6" i="144"/>
  <c r="C6" i="144"/>
  <c r="E6" i="144"/>
  <c r="D17" i="116"/>
  <c r="C17" i="116"/>
  <c r="H103" i="150"/>
  <c r="M6" i="97"/>
  <c r="G103" i="150"/>
  <c r="G70" i="142"/>
  <c r="H17" i="145"/>
  <c r="M7" i="145"/>
  <c r="N6" i="145"/>
  <c r="M17" i="145"/>
  <c r="D17" i="145"/>
  <c r="N17" i="145" s="1"/>
  <c r="C9" i="146"/>
  <c r="C5" i="146" s="1"/>
  <c r="C16" i="146" s="1"/>
  <c r="D5" i="146"/>
  <c r="D16" i="146" s="1"/>
  <c r="K23" i="155"/>
  <c r="L23" i="155"/>
  <c r="I30" i="155"/>
  <c r="L19" i="155"/>
  <c r="K16" i="155"/>
  <c r="F30" i="155"/>
  <c r="K10" i="155"/>
  <c r="L11" i="155"/>
  <c r="J30" i="155"/>
  <c r="K29" i="76"/>
  <c r="L28" i="155"/>
  <c r="L29" i="155"/>
  <c r="K23" i="76"/>
  <c r="L20" i="155"/>
  <c r="I30" i="76"/>
  <c r="L21" i="155"/>
  <c r="L18" i="155"/>
  <c r="J30" i="76"/>
  <c r="K16" i="76"/>
  <c r="L16" i="155"/>
  <c r="K21" i="76"/>
  <c r="K18" i="76"/>
  <c r="L8" i="155"/>
  <c r="L13" i="155"/>
  <c r="K11" i="76"/>
  <c r="K7" i="76"/>
  <c r="F30" i="76"/>
  <c r="L7" i="155"/>
  <c r="K12" i="76"/>
  <c r="E18" i="61"/>
  <c r="E16" i="3"/>
  <c r="D36" i="3"/>
  <c r="E5" i="23"/>
  <c r="C19" i="23"/>
  <c r="E19" i="23" s="1"/>
  <c r="F44" i="133" l="1"/>
  <c r="K30" i="155"/>
  <c r="L30" i="155"/>
  <c r="K30" i="76"/>
  <c r="E36" i="3"/>
</calcChain>
</file>

<file path=xl/comments1.xml><?xml version="1.0" encoding="utf-8"?>
<comments xmlns="http://schemas.openxmlformats.org/spreadsheetml/2006/main">
  <authors>
    <author>anna.horvathova</author>
  </authors>
  <commentList>
    <comment ref="B31" authorId="0" shapeId="0">
      <text>
        <r>
          <rPr>
            <b/>
            <sz val="9"/>
            <color indexed="81"/>
            <rFont val="Segoe UI"/>
            <family val="2"/>
            <charset val="238"/>
          </rPr>
          <t>anna.horvathova:</t>
        </r>
        <r>
          <rPr>
            <sz val="9"/>
            <color indexed="81"/>
            <rFont val="Segoe UI"/>
            <family val="2"/>
            <charset val="238"/>
          </rPr>
          <t xml:space="preserve">
SPS = Science for Peace and Security</t>
        </r>
      </text>
    </comment>
  </commentList>
</comments>
</file>

<file path=xl/comments2.xml><?xml version="1.0" encoding="utf-8"?>
<comments xmlns="http://schemas.openxmlformats.org/spreadsheetml/2006/main">
  <authors>
    <author>Ing. Gondárová Beata</author>
  </authors>
  <commentList>
    <comment ref="I83" authorId="0" shapeId="0">
      <text>
        <r>
          <rPr>
            <b/>
            <sz val="8"/>
            <color indexed="81"/>
            <rFont val="Tahoma"/>
            <family val="2"/>
            <charset val="238"/>
          </rPr>
          <t>Ing. Gondárová Beata:</t>
        </r>
        <r>
          <rPr>
            <sz val="8"/>
            <color indexed="81"/>
            <rFont val="Tahoma"/>
            <family val="2"/>
            <charset val="238"/>
          </rPr>
          <t xml:space="preserve">
na uvedenej analytike sa účt. keď ešte boli účelové DrŠ a tu sa uvádzali sumy navýšenia z neúčelovej dotácie
Účty sú neaktuálne, ale môžu sa používať, NEVSTUPUJÚ do nápočtov (napr.na valorizáciu).</t>
        </r>
      </text>
    </comment>
  </commentList>
</comments>
</file>

<file path=xl/comments3.xml><?xml version="1.0" encoding="utf-8"?>
<comments xmlns="http://schemas.openxmlformats.org/spreadsheetml/2006/main">
  <authors>
    <author>Používateľ systému Windows</author>
  </authors>
  <commentList>
    <comment ref="D11" authorId="0" shapeId="0">
      <text>
        <r>
          <rPr>
            <b/>
            <sz val="9"/>
            <color indexed="81"/>
            <rFont val="Segoe UI"/>
            <family val="2"/>
            <charset val="238"/>
          </rPr>
          <t xml:space="preserve">v tom aj náklady na ostatné prevádzkové náklady patriace na účet HK 649 = 88 481,57 €
</t>
        </r>
      </text>
    </comment>
  </commentList>
</comments>
</file>

<file path=xl/sharedStrings.xml><?xml version="1.0" encoding="utf-8"?>
<sst xmlns="http://schemas.openxmlformats.org/spreadsheetml/2006/main" count="1769" uniqueCount="1272">
  <si>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</si>
  <si>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</si>
  <si>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</si>
  <si>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</si>
  <si>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</si>
  <si>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</si>
  <si>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</si>
  <si>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</si>
  <si>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</si>
  <si>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</si>
  <si>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</si>
  <si>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 xml:space="preserve">  - tvorba fondu z predaja alebo likvidácie majetku</t>
  </si>
  <si>
    <t>Vysvetlivky</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</si>
  <si>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</si>
  <si>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</si>
  <si>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</si>
  <si>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</si>
  <si>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</si>
  <si>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</si>
  <si>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</si>
  <si>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</si>
  <si>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</si>
  <si>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</si>
  <si>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</si>
  <si>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</si>
  <si>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</si>
  <si>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</si>
  <si>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</si>
  <si>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</si>
  <si>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</si>
  <si>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</si>
  <si>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</si>
  <si>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</si>
  <si>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</si>
  <si>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</si>
  <si>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</si>
  <si>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</si>
  <si>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</si>
  <si>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</si>
  <si>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</si>
  <si>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</si>
  <si>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</si>
  <si>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 xml:space="preserve">Ostatné sociálne náklady (účet 528)  </t>
  </si>
  <si>
    <t>T13_V3</t>
  </si>
  <si>
    <t>T13_V5</t>
  </si>
  <si>
    <t>T13_V4</t>
  </si>
  <si>
    <t>T13_V6</t>
  </si>
  <si>
    <t>Kontrola</t>
  </si>
  <si>
    <t>Poznámky</t>
  </si>
  <si>
    <t xml:space="preserve">  - poskytnuté jednorázovo</t>
  </si>
  <si>
    <r>
      <t>Zdroje na obstaranie a technické zhodnotenie majetku  z fondu reprodukcie</t>
    </r>
    <r>
      <rPr>
        <sz val="12"/>
        <rFont val="Times New Roman"/>
        <family val="1"/>
      </rPr>
      <t xml:space="preserve"> [R1+R2]</t>
    </r>
  </si>
  <si>
    <t>- nákup softvéru</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</si>
  <si>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</si>
  <si>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</si>
  <si>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</si>
  <si>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</si>
  <si>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</si>
  <si>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</si>
  <si>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</si>
  <si>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</si>
  <si>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</si>
  <si>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</si>
  <si>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</si>
  <si>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t>T13_SG(SH)</t>
  </si>
  <si>
    <t>V stĺpci G uvedie vysoká škola objem nákladov na mzdy krytých z iných zdrojov ako je štátny rozpočet.</t>
  </si>
  <si>
    <t xml:space="preserve">Výdavky na sociálne štipendiá (§ 96 zákona) za kalendárny rok </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</si>
  <si>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</si>
  <si>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</si>
  <si>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</si>
  <si>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T16_V2</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</si>
  <si>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</si>
  <si>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</si>
  <si>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</si>
  <si>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</si>
  <si>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finančné fondy</t>
  </si>
  <si>
    <t>stav bankových účtov</t>
  </si>
  <si>
    <t>štrukturálne fondy EÚ</t>
  </si>
  <si>
    <t>dotácie mimo dotačnej zmluvy a mimo dotácií zo štrukturálnych fondov EÚ</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</si>
  <si>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</si>
  <si>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</si>
  <si>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</si>
  <si>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</si>
  <si>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</si>
  <si>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</si>
  <si>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</si>
  <si>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</si>
  <si>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</si>
  <si>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</si>
  <si>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</si>
  <si>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</si>
  <si>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</si>
  <si>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</si>
  <si>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</si>
  <si>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</si>
  <si>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</si>
  <si>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</si>
  <si>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</si>
  <si>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</si>
  <si>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</si>
  <si>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</si>
  <si>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</si>
  <si>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</si>
  <si>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</si>
  <si>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</si>
  <si>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</si>
  <si>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</si>
  <si>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</si>
  <si>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strojov, prístrojov, zariadení a inventára  (účet 511 002)</t>
  </si>
  <si>
    <t>- opravy a udržiavanie dopravných prostriedkov  (účet 511 003)</t>
  </si>
  <si>
    <t>- opravy a udržiavanie prostriedkov IT  (účet 511 004)</t>
  </si>
  <si>
    <t>- údržba a opravy meracej techniky, telovýchovných  zariadení ...(účet 511 005)</t>
  </si>
  <si>
    <t>- ostatná údržba a opravy (účet 511 099)</t>
  </si>
  <si>
    <t>- prenájom zariadení (účet 518 002)</t>
  </si>
  <si>
    <t>- prenájom priestorov  (účet 518 001)</t>
  </si>
  <si>
    <t>- ďalšie vzdelávanie zamestnancov  (účet 518 005)</t>
  </si>
  <si>
    <t>- počítačové siete a prenosy údajov  (účet 518 007)</t>
  </si>
  <si>
    <t>- revízie zariadení (účet 518 010)</t>
  </si>
  <si>
    <t>- čistenie verejných priestranstiev (účet 518 011)</t>
  </si>
  <si>
    <t xml:space="preserve"> - zákonné odstupné, odchodné  (účet 527 003)</t>
  </si>
  <si>
    <t xml:space="preserve"> - náhrada príjmu pri PN (účet 527 004)</t>
  </si>
  <si>
    <t xml:space="preserve"> - ochranné pracovné pomôcky podľa Zákonníka práce (účet 527 005) </t>
  </si>
  <si>
    <t xml:space="preserve"> - ostatné zákonné sociálne náklady (účet 527 099)</t>
  </si>
  <si>
    <t xml:space="preserve"> - bankové poplatky (účet 549 002)</t>
  </si>
  <si>
    <t xml:space="preserve"> - úhrada výnosov z úrokov na dotačnom účte (účet 549 003)</t>
  </si>
  <si>
    <t>T11_R11</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</si>
  <si>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</si>
  <si>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</si>
  <si>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</si>
  <si>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</si>
  <si>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t>Výnosy z dlhodobého finančného majetku (účet 652)</t>
  </si>
  <si>
    <t>Prijaté príspevky od iných organizácií (účet 662)</t>
  </si>
  <si>
    <t>Prevádzkové dotácie (účet 691)</t>
  </si>
  <si>
    <t>T10_R5_SA (SB)</t>
  </si>
  <si>
    <t xml:space="preserve">   - Prvok 077 12 05</t>
  </si>
  <si>
    <t>- Podprogram 077 13</t>
  </si>
  <si>
    <t xml:space="preserve">   - Prvok 077 15 01</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</si>
  <si>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</si>
  <si>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</si>
  <si>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</si>
  <si>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</si>
  <si>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</si>
  <si>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</si>
  <si>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</si>
  <si>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</si>
  <si>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</si>
  <si>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</si>
  <si>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</si>
  <si>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</si>
  <si>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</si>
  <si>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</si>
  <si>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</si>
  <si>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</si>
  <si>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</si>
  <si>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</si>
  <si>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Sumárny riadok osobitne financovaných súčastí verejnej vysokej školy (špecifiká).</t>
  </si>
  <si>
    <t>T8_R5</t>
  </si>
  <si>
    <t>V stĺpci A uvedie vysoká škola nevyčerpanú dotáciu (+)/nedoplatok dotácie (-) na stravu študentov k 31. 12. príslušného kalendárneho roka.</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</si>
  <si>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</si>
  <si>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</si>
  <si>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</si>
  <si>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</si>
  <si>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</si>
  <si>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</si>
  <si>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</si>
  <si>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</si>
  <si>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</si>
  <si>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</si>
  <si>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</si>
  <si>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Tabuľka 8</t>
  </si>
  <si>
    <t>- zostatok nevyčerpanej dotácie (+)/ nedoplatok dotácie (-) z predchádzajúcich rokov [R6_SB=R8_SA]</t>
  </si>
  <si>
    <t>spolufinanco-
vanie zo ŠR</t>
  </si>
  <si>
    <t xml:space="preserve">Počet študentov  poberajúcich štipendium </t>
  </si>
  <si>
    <t>Počet študentov  poberajúcich štipendium</t>
  </si>
  <si>
    <t>T10_V2</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</si>
  <si>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</si>
  <si>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</si>
  <si>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r>
      <t xml:space="preserve">Stav fondu k 1.1. kalendárneho roku </t>
    </r>
    <r>
      <rPr>
        <sz val="12"/>
        <rFont val="Times New Roman"/>
        <family val="1"/>
        <charset val="238"/>
      </rPr>
      <t>[R1_SB = R12_SA ...]</t>
    </r>
  </si>
  <si>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</si>
  <si>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</si>
  <si>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</si>
  <si>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</si>
  <si>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</si>
  <si>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</si>
  <si>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</si>
  <si>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</si>
  <si>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</si>
  <si>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</si>
  <si>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</si>
  <si>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</si>
  <si>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</si>
  <si>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</si>
  <si>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</si>
  <si>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</si>
  <si>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</si>
  <si>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</si>
  <si>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</si>
  <si>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</si>
  <si>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</si>
  <si>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</si>
  <si>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</si>
  <si>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</si>
  <si>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</si>
  <si>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</si>
  <si>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</si>
  <si>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</si>
  <si>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</si>
  <si>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</si>
  <si>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</si>
  <si>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</si>
  <si>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</si>
  <si>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</si>
  <si>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</si>
  <si>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</si>
  <si>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</si>
  <si>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</si>
  <si>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</si>
  <si>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</si>
  <si>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Údaje v T5 sú rozšírené o tvorbu fondov</t>
  </si>
  <si>
    <t xml:space="preserve">    - dohody o brigádnickej práci študentov (účet 521 011)</t>
  </si>
  <si>
    <t>T9_V2</t>
  </si>
  <si>
    <t>4a</t>
  </si>
  <si>
    <t xml:space="preserve">Základ pre prídel do štipendijného fondu </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</si>
  <si>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</si>
  <si>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</si>
  <si>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</si>
  <si>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</si>
  <si>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</si>
  <si>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</si>
  <si>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</si>
  <si>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</si>
  <si>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</si>
  <si>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</si>
  <si>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</si>
  <si>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</si>
  <si>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</si>
  <si>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</si>
  <si>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</si>
  <si>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</si>
  <si>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</si>
  <si>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</si>
  <si>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</si>
  <si>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</si>
  <si>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</si>
  <si>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</si>
  <si>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</si>
  <si>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</si>
  <si>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</si>
  <si>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T18_V1 </t>
  </si>
  <si>
    <t xml:space="preserve">Počet študentov poberajúcich sociálne štipendium </t>
  </si>
  <si>
    <t>- vysokoškolské podniky</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</si>
  <si>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</si>
  <si>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</si>
  <si>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</si>
  <si>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</si>
  <si>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</si>
  <si>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</si>
  <si>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</si>
  <si>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</si>
  <si>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</si>
  <si>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</si>
  <si>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</si>
  <si>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</si>
  <si>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</si>
  <si>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</si>
  <si>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</si>
  <si>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</si>
  <si>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</si>
  <si>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</si>
  <si>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</si>
  <si>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</si>
  <si>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</si>
  <si>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</si>
  <si>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</si>
  <si>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</si>
  <si>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</si>
  <si>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</si>
  <si>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</si>
  <si>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</si>
  <si>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</si>
  <si>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</si>
  <si>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</si>
  <si>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Tabuľka 1</t>
  </si>
  <si>
    <t>T6_SA, SB, SC</t>
  </si>
  <si>
    <t>T16_R1</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</si>
  <si>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</si>
  <si>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</si>
  <si>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</si>
  <si>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</si>
  <si>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</si>
  <si>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</si>
  <si>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</si>
  <si>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</si>
  <si>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</si>
  <si>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</si>
  <si>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</si>
  <si>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</si>
  <si>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</si>
  <si>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</si>
  <si>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</si>
  <si>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</si>
  <si>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</si>
  <si>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</si>
  <si>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</si>
  <si>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</si>
  <si>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</si>
  <si>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</si>
  <si>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</si>
  <si>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</si>
  <si>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</si>
  <si>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</si>
  <si>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</si>
  <si>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</si>
  <si>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</si>
  <si>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</si>
  <si>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</si>
  <si>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</si>
  <si>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</si>
  <si>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</si>
  <si>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</si>
  <si>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</si>
  <si>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</si>
  <si>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</si>
  <si>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</si>
  <si>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</si>
  <si>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</si>
  <si>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</si>
  <si>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</si>
  <si>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</si>
  <si>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</si>
  <si>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</si>
  <si>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</si>
  <si>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</si>
  <si>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</si>
  <si>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</si>
  <si>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</si>
  <si>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</si>
  <si>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</si>
  <si>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</si>
  <si>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</si>
  <si>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</si>
  <si>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</si>
  <si>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</si>
  <si>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</si>
  <si>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</si>
  <si>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</si>
  <si>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</si>
  <si>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</si>
  <si>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</si>
  <si>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</si>
  <si>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</si>
  <si>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</si>
  <si>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</si>
  <si>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</si>
  <si>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</si>
  <si>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</si>
  <si>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r>
      <t xml:space="preserve">- ostatná tvorba (účet 413 113) </t>
    </r>
    <r>
      <rPr>
        <vertAlign val="superscript"/>
        <sz val="12"/>
        <rFont val="Times New Roman"/>
        <family val="1"/>
        <charset val="238"/>
      </rPr>
      <t xml:space="preserve">2) </t>
    </r>
  </si>
  <si>
    <t>1b</t>
  </si>
  <si>
    <t>3b</t>
  </si>
  <si>
    <t>4b</t>
  </si>
  <si>
    <t>15b</t>
  </si>
  <si>
    <t>15c</t>
  </si>
  <si>
    <t>15d</t>
  </si>
  <si>
    <t xml:space="preserve">Názov verejnej vysokej školy:   
Názov fakulty:  </t>
  </si>
  <si>
    <t xml:space="preserve">Názov verejnej vysokej školy:   
Názov fakulty: </t>
  </si>
  <si>
    <t xml:space="preserve">Názov verejnej vysokej školy:   
Názov fakulty:   </t>
  </si>
  <si>
    <t xml:space="preserve">Názov verejnej vysokej školy:  
Názov fakulty:  </t>
  </si>
  <si>
    <t xml:space="preserve">Názov verejnej vysokej školy: 
Názov fakulty:  </t>
  </si>
  <si>
    <t xml:space="preserve">Názov verejnej vysokej školy: </t>
  </si>
  <si>
    <t xml:space="preserve">Názov verejnej vysokej školy:  </t>
  </si>
  <si>
    <t xml:space="preserve">Názov verejnej vysokej školy: 
Názov fakulty: </t>
  </si>
  <si>
    <t>T10_R10</t>
  </si>
  <si>
    <t>bez zmien</t>
  </si>
  <si>
    <t>Názov verejnej vysokej školy:
Názov fakulty:</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</si>
  <si>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</si>
  <si>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</si>
  <si>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</si>
  <si>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</si>
  <si>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</si>
  <si>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</si>
  <si>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</si>
  <si>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</si>
  <si>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</si>
  <si>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</si>
  <si>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</si>
  <si>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</si>
  <si>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</si>
  <si>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</si>
  <si>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</si>
  <si>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</si>
  <si>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</si>
  <si>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</si>
  <si>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</si>
  <si>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</si>
  <si>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</si>
  <si>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</si>
  <si>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</si>
  <si>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</si>
  <si>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</si>
  <si>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</si>
  <si>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</si>
  <si>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</si>
  <si>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</si>
  <si>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</si>
  <si>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</si>
  <si>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</si>
  <si>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</si>
  <si>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</si>
  <si>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</si>
  <si>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</si>
  <si>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</si>
  <si>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</si>
  <si>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</si>
  <si>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</si>
  <si>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</si>
  <si>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</si>
  <si>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</si>
  <si>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</si>
  <si>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</si>
  <si>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</si>
  <si>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</si>
  <si>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</si>
  <si>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</si>
  <si>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</si>
  <si>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</si>
  <si>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</si>
  <si>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</si>
  <si>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</si>
  <si>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</si>
  <si>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</si>
  <si>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</si>
  <si>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</si>
  <si>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</si>
  <si>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</si>
  <si>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</si>
  <si>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</si>
  <si>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</si>
  <si>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</si>
  <si>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</si>
  <si>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</si>
  <si>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</si>
  <si>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</si>
  <si>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</si>
  <si>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</si>
  <si>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</si>
  <si>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</si>
  <si>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</si>
  <si>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</si>
  <si>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</si>
  <si>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</si>
  <si>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</si>
  <si>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</si>
  <si>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</si>
  <si>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</si>
  <si>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</si>
  <si>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</si>
  <si>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</si>
  <si>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</si>
  <si>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</si>
  <si>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</si>
  <si>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</si>
  <si>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</si>
  <si>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</si>
  <si>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</si>
  <si>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</si>
  <si>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</si>
  <si>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</si>
  <si>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</si>
  <si>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</si>
  <si>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</si>
  <si>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</si>
  <si>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</si>
  <si>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</si>
  <si>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</si>
  <si>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</si>
  <si>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</si>
  <si>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</si>
  <si>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</si>
  <si>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</si>
  <si>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</si>
  <si>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</si>
  <si>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</si>
  <si>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</si>
  <si>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</si>
  <si>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</si>
  <si>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</si>
  <si>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</si>
  <si>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</si>
  <si>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</si>
  <si>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</si>
  <si>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</si>
  <si>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</si>
  <si>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</si>
  <si>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</si>
  <si>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</si>
  <si>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</si>
  <si>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</si>
  <si>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</si>
  <si>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</si>
  <si>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</si>
  <si>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</si>
  <si>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</si>
  <si>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</si>
  <si>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</si>
  <si>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</si>
  <si>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T22_V1</t>
  </si>
  <si>
    <t>T23_V1</t>
  </si>
  <si>
    <t>Tabuľka 22</t>
  </si>
  <si>
    <t>Tabuľka 23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</si>
  <si>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</si>
  <si>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</si>
  <si>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</si>
  <si>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</si>
  <si>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</si>
  <si>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</si>
  <si>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</si>
  <si>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</si>
  <si>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</si>
  <si>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</si>
  <si>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</si>
  <si>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</si>
  <si>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</si>
  <si>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</si>
  <si>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</si>
  <si>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</si>
  <si>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</si>
  <si>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</si>
  <si>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</si>
  <si>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</si>
  <si>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</si>
  <si>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</si>
  <si>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</si>
  <si>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</si>
  <si>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</si>
  <si>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</si>
  <si>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</si>
  <si>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</si>
  <si>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</si>
  <si>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</si>
  <si>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</si>
  <si>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</si>
  <si>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</si>
  <si>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</si>
  <si>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</si>
  <si>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</si>
  <si>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</si>
  <si>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</si>
  <si>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</si>
  <si>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</si>
  <si>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</si>
  <si>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</si>
  <si>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</si>
  <si>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</si>
  <si>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</si>
  <si>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</si>
  <si>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</si>
  <si>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</si>
  <si>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</si>
  <si>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</si>
  <si>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</si>
  <si>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</si>
  <si>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</si>
  <si>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</si>
  <si>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</si>
  <si>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</si>
  <si>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</si>
  <si>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</si>
  <si>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</si>
  <si>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</si>
  <si>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</si>
  <si>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</si>
  <si>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</si>
  <si>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</si>
  <si>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</si>
  <si>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</si>
  <si>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</si>
  <si>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</si>
  <si>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</si>
  <si>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</si>
  <si>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</si>
  <si>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</si>
  <si>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</si>
  <si>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</si>
  <si>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</si>
  <si>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</si>
  <si>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</si>
  <si>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</si>
  <si>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</si>
  <si>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</si>
  <si>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</si>
  <si>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</si>
  <si>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</si>
  <si>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</si>
  <si>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</si>
  <si>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</si>
  <si>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</si>
  <si>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</si>
  <si>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</si>
  <si>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</si>
  <si>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</si>
  <si>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</si>
  <si>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</si>
  <si>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</si>
  <si>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</si>
  <si>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</si>
  <si>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</si>
  <si>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</si>
  <si>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</si>
  <si>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</si>
  <si>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</si>
  <si>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</si>
  <si>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</si>
  <si>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</si>
  <si>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</si>
  <si>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</si>
  <si>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</si>
  <si>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</si>
  <si>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</si>
  <si>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</si>
  <si>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</si>
  <si>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</si>
  <si>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</si>
  <si>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</si>
  <si>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</si>
  <si>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</si>
  <si>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</si>
  <si>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</si>
  <si>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</si>
  <si>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</si>
  <si>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</si>
  <si>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</si>
  <si>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</si>
  <si>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</si>
  <si>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</si>
  <si>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</si>
  <si>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</si>
  <si>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</si>
  <si>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</si>
  <si>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</si>
  <si>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</si>
  <si>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</si>
  <si>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</si>
  <si>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</si>
  <si>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</si>
  <si>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</si>
  <si>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</si>
  <si>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</si>
  <si>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</si>
  <si>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</si>
  <si>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</si>
  <si>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</si>
  <si>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</si>
  <si>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</si>
  <si>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</si>
  <si>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</si>
  <si>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</si>
  <si>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</si>
  <si>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</si>
  <si>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</si>
  <si>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</si>
  <si>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</si>
  <si>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</si>
  <si>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</si>
  <si>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</si>
  <si>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</si>
  <si>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Súvzťažnosti</t>
  </si>
  <si>
    <r>
      <t xml:space="preserve">2) všetky údaje o výnosoch a nákladoch  sa uvádzajú </t>
    </r>
    <r>
      <rPr>
        <sz val="11"/>
        <rFont val="Times New Roman"/>
        <family val="1"/>
        <charset val="238"/>
      </rPr>
      <t>v Eur</t>
    </r>
  </si>
  <si>
    <t>Zamestnanci platení z dotácie MŠVVaŠ SR</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</si>
  <si>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</si>
  <si>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</si>
  <si>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</si>
  <si>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</si>
  <si>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T13_R11_SE(SF)</t>
  </si>
  <si>
    <t xml:space="preserve">Nevyčerpaná dotácia (+) / nedoplatok dotácie (-) k 31. 12. predchádzajúceho roka  
[R4_SC = R6_SA]                         </t>
  </si>
  <si>
    <t>T1_R1:R15</t>
  </si>
  <si>
    <r>
      <t xml:space="preserve">Uvádza sa </t>
    </r>
    <r>
      <rPr>
        <b/>
        <sz val="12"/>
        <rFont val="Times New Roman"/>
        <family val="1"/>
        <charset val="238"/>
      </rPr>
      <t>skutočne poskytnutá</t>
    </r>
    <r>
      <rPr>
        <sz val="12"/>
        <rFont val="Times New Roman"/>
        <family val="1"/>
        <charset val="238"/>
      </rPr>
      <t xml:space="preserve"> dotácia na sociálne a motivačné štipendiá a </t>
    </r>
    <r>
      <rPr>
        <b/>
        <sz val="12"/>
        <rFont val="Times New Roman"/>
        <family val="1"/>
        <charset val="238"/>
      </rPr>
      <t>nie nárok</t>
    </r>
    <r>
      <rPr>
        <sz val="12"/>
        <rFont val="Times New Roman"/>
        <family val="1"/>
        <charset val="238"/>
      </rPr>
      <t xml:space="preserve"> vyplývajúci z potreby štipendií podľa zákona.</t>
    </r>
  </si>
  <si>
    <t>Všeobecná poznámka č. 1</t>
  </si>
  <si>
    <t>doktorandi a doktorandské štipendiá</t>
  </si>
  <si>
    <t>86a</t>
  </si>
  <si>
    <t>Projektovaná lôžková kapacita študentského domova k 31. 12. kalendárneho roka (v počte miest)</t>
  </si>
  <si>
    <t>T9_R6_SA_AB</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</si>
  <si>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</si>
  <si>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</si>
  <si>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</si>
  <si>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</si>
  <si>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</si>
  <si>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</si>
  <si>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</si>
  <si>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t>Poskytnuté príspevky z podielu zaplatenej dane</t>
  </si>
  <si>
    <t>Zost. cena predaného DNM a DHM</t>
  </si>
  <si>
    <t>T4_R4</t>
  </si>
  <si>
    <t>Vysoká škola uvedie v samostatnom riadku objem výnosov zo školného za štúdium v externej forme štúdia</t>
  </si>
  <si>
    <t xml:space="preserve">zabezpečenie mobilít v súlade s medzinárodnými zmluvami </t>
  </si>
  <si>
    <t>Peniaze na ceste (účet 261)</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</si>
  <si>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</si>
  <si>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</si>
  <si>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</si>
  <si>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</si>
  <si>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</si>
  <si>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</si>
  <si>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T11_R10</t>
  </si>
  <si>
    <t>T11_R10a</t>
  </si>
  <si>
    <t>T11_R13</t>
  </si>
  <si>
    <t>T2_R3</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</si>
  <si>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</si>
  <si>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</si>
  <si>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</si>
  <si>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</si>
  <si>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</si>
  <si>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</si>
  <si>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</si>
  <si>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</si>
  <si>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</si>
  <si>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</si>
  <si>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</si>
  <si>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</si>
  <si>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</si>
  <si>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</si>
  <si>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</si>
  <si>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</si>
  <si>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</si>
  <si>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</si>
  <si>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</si>
  <si>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</si>
  <si>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</si>
  <si>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</si>
  <si>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</si>
  <si>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</si>
  <si>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</si>
  <si>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</si>
  <si>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</si>
  <si>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príjmy z dotácie  na základe dotačnej zmluvy , len 077</t>
  </si>
  <si>
    <t>výnosy VVŠ</t>
  </si>
  <si>
    <t>výnosy VVŠ zo školného a poplatkov</t>
  </si>
  <si>
    <t>náklady VVŠ</t>
  </si>
  <si>
    <t>náklady na mzdy</t>
  </si>
  <si>
    <t xml:space="preserve">T10_R14 </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</si>
  <si>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</si>
  <si>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</si>
  <si>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</si>
  <si>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</si>
  <si>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</si>
  <si>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</si>
  <si>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</si>
  <si>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t>Fond na podporu štúdia študentov so špecifickými potrebami</t>
  </si>
  <si>
    <t>Účtová trieda 5 spolu r.01 až r.37</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</si>
  <si>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</si>
  <si>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</si>
  <si>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</si>
  <si>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</si>
  <si>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</si>
  <si>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</si>
  <si>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</si>
  <si>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</si>
  <si>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x</t>
  </si>
  <si>
    <t>Náklady spolu</t>
  </si>
  <si>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</si>
  <si>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</si>
  <si>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</si>
  <si>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</si>
  <si>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</si>
  <si>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</si>
  <si>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</si>
  <si>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</si>
  <si>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</si>
  <si>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</si>
  <si>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</si>
  <si>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</si>
  <si>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</si>
  <si>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</si>
  <si>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</si>
  <si>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</si>
  <si>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</si>
  <si>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</si>
  <si>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</si>
  <si>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</si>
  <si>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</si>
  <si>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t>(uviesť zoznam všetkých dotácií, každú na zvláštny riadok, napr. podprogram 026 05)</t>
  </si>
  <si>
    <t>Tabuľka č. 20 poskytuje informácie  o príjmoch a výdavkoch vysokej školy na motivačné štipendiá a o počte študentov, ktorí ich poberajú v zmysle § 96a  zákona.</t>
  </si>
  <si>
    <t>uvádzajú sa štipendiá vyplatené zo štátneho rozpočtu, kód v CRŠ: 1</t>
  </si>
  <si>
    <t>T8_R1</t>
  </si>
  <si>
    <t>T19_V2</t>
  </si>
  <si>
    <t>Kód</t>
  </si>
  <si>
    <t>Názov</t>
  </si>
  <si>
    <t>Platné od</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</si>
  <si>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</si>
  <si>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</si>
  <si>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</si>
  <si>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</si>
  <si>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</si>
  <si>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</si>
  <si>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</si>
  <si>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</si>
  <si>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</si>
  <si>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</si>
  <si>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</si>
  <si>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UD MSSR, po dizer. sk.</t>
  </si>
  <si>
    <t>základné z UD MSSR, pred dizer.sk.</t>
  </si>
  <si>
    <t>zvýšenie PhD. štipendia z UD MSSR</t>
  </si>
  <si>
    <t>Kódy z Centrálneho registra študentov</t>
  </si>
  <si>
    <t>Kódy z CRŠ</t>
  </si>
  <si>
    <t>DrŠ</t>
  </si>
  <si>
    <t>T4_R3</t>
  </si>
  <si>
    <t>T4_R5</t>
  </si>
  <si>
    <t>- iné analyticky sledované náklady (účet 511 006-008, 511 056)</t>
  </si>
  <si>
    <t xml:space="preserve"> - poistné náklady (havarijné, majetok, na študentov) (účet 549 004, 549 014, 549 015, 549 054)</t>
  </si>
  <si>
    <t>Priemerné platy</t>
  </si>
  <si>
    <t>I=H/D/12</t>
  </si>
  <si>
    <t>- vysokoškolskí učitelia s funkčným zaradením "profesor"                 *)</t>
  </si>
  <si>
    <t>*) medzi profesorov sa započítava aj funkčné zaradenie "hosťujúci profesor"</t>
  </si>
  <si>
    <t>Tabuľka 6a</t>
  </si>
  <si>
    <t>náklady na mzdy žien</t>
  </si>
  <si>
    <t xml:space="preserve">- náklady na tvorbu ostatných fondov (účty  556 510, 556 520) </t>
  </si>
  <si>
    <t>- ostatných fondov (účet  656 510, 656 520)</t>
  </si>
  <si>
    <t>T4_R2</t>
  </si>
  <si>
    <t xml:space="preserve">Vysoká škola uvedie v samostatnom riadku objem výnosov zo školného za prekročenie štandardnej dĺžky štúdia v dennej forme </t>
  </si>
  <si>
    <t xml:space="preserve">Vysoká škola uvedie v samostatnom riadku objem výnosov zo školného za súbežné štúdium v dennej forme </t>
  </si>
  <si>
    <t xml:space="preserve">Vysoká škola uvedie v samostatnom riadku objem výnosov za štúdium v cudzom jazyku </t>
  </si>
  <si>
    <t>- náklady na tvorbu fondu na podporu štúdia študentov so špecifickými potrebami 
  (účet 556 300)</t>
  </si>
  <si>
    <t>- fondu na podporu štúdia študentov so špecifickými potrebami 
  (účet 656 300)</t>
  </si>
  <si>
    <t>Tabuľka č. 6a poskytuje informácie o počte a štruktúre žien a objeme nákladov na mzdy verejnej vysokej školy (bez odvodov).</t>
  </si>
  <si>
    <t>Stav fondu k 1. 1. kalendárneho roku  v R1 sa  rovná stavu fondu k 31.12. predchádzajúceho roku v R12.</t>
  </si>
  <si>
    <t>T6a_V1</t>
  </si>
  <si>
    <t>Súvzťažnosť tvorby štipendijného fondu z výnosov zo školného v T13_R9_SF na T4_R15_SB.</t>
  </si>
  <si>
    <r>
      <t xml:space="preserve">V riadku 4 uvedie vysoká škola celkový objem príjmov </t>
    </r>
    <r>
      <rPr>
        <b/>
        <sz val="12"/>
        <color indexed="8"/>
        <rFont val="Times New Roman"/>
        <family val="1"/>
        <charset val="238"/>
      </rPr>
      <t xml:space="preserve">zo zahraničných zdrojov (zo zahraničných účtov) </t>
    </r>
    <r>
      <rPr>
        <sz val="12"/>
        <color indexed="8"/>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</si>
  <si>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</si>
  <si>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</si>
  <si>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</si>
  <si>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</si>
  <si>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</si>
  <si>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</si>
  <si>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</si>
  <si>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T11_R2_SA (SB) = T13_R2_SC (SD)</t>
  </si>
  <si>
    <t>Ak položke požadovanej v tabuľke zodpovedá podľa predpísanej analytickej evidencie na príslušnom syntetickom  účte  nejaký špecifikcký kód (napríklad kód ekonomickej klasifikácie), uvedie sa tento kód za názvom položky.</t>
  </si>
  <si>
    <t>V stĺpci SA, resp. SC sa uvedú výdavky z dotácie na sociálne štipendiá poskytnuté študentom v danom kalendárnom roku, uvedené v Centrálnom registri študentov pod kódom 1.</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</si>
  <si>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</si>
  <si>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</si>
  <si>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Tabuľka č.19 poskytuje informácie o objeme a štruktúre mot. štipendií  vyplácaných verejnou vysokou školou z vlastných zdrojov uvedených v Centrálnom registri študentov s kódom 9.</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</si>
  <si>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</si>
  <si>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Výpočet</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</si>
  <si>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</si>
  <si>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</si>
  <si>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</si>
  <si>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</si>
  <si>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</si>
  <si>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</si>
  <si>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L= G+H+I+J+K</t>
  </si>
  <si>
    <t>-za dosiahnutie vynikajúceho výsledku v oblasti štúdia [R6+R7]</t>
  </si>
  <si>
    <t>-za dosiahnutie vynikajúceho výsledku vo výskume a vývoji [R9+R10]</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</si>
  <si>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</si>
  <si>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T12_SE</t>
  </si>
  <si>
    <t xml:space="preserve">Údaje sa kontrolujú na poskytnutú dotáciu  na študentské domovy (vrátane zmluvných zariadení a dotácie na valorizáciu platov zamestnancov ŠJ) </t>
  </si>
  <si>
    <t>Zmeny stavu zásob vlastnej výroby (účtová skupina 611-614)</t>
  </si>
  <si>
    <t>Aktivácia (účet 621-624)</t>
  </si>
  <si>
    <t>Príspevky z podielu zaplatenej dane (účet 665)</t>
  </si>
  <si>
    <t>- ostatný materiál (účet 501 099, 501 030, 501 100, 501 599)</t>
  </si>
  <si>
    <t>- ostatné energie (502 099)</t>
  </si>
  <si>
    <t>- dopravné služby (účet 518 012, 518 512)</t>
  </si>
  <si>
    <t>- Náklady účtovnej skupiny 54  okrem nákladov účtu 549 (541 až 548)</t>
  </si>
  <si>
    <t>- ostatné náklady z účtovej skupiny 55 (účty 552, 553, 554, 557, 558, 559)</t>
  </si>
  <si>
    <t>- chemikálie a ostatný materiál pre zabezpečenie experimentálnej výučby  (účet 501 002, 501 052)</t>
  </si>
  <si>
    <t xml:space="preserve">    - Podpora štud. so špecifickými potrebami podľa §100  (549 018) </t>
  </si>
  <si>
    <t>81a</t>
  </si>
  <si>
    <t>- náklady na tvorbu fondu reprodukcie (účet 556 400) (z predaja a likvidácie majetku)</t>
  </si>
  <si>
    <t xml:space="preserve"> - štipendiá z vlastných zdrojov (549 007-010, 549 019, 549 020) </t>
  </si>
  <si>
    <t xml:space="preserve"> - ostatné iné náklady (účet 549 098, 549 099, 549 011, 549 013)</t>
  </si>
  <si>
    <t xml:space="preserve"> - iné analyticky sledované náklady (účet 549 005-006, 549 012)</t>
  </si>
  <si>
    <t>- tvorba fondu z výnosov z predaja (a likvidácie) majetku (účet 413 117)</t>
  </si>
  <si>
    <t>- iné analyticky sledované výnosy (účty 602 002-007, 602 011-019, 602 099, 602 199)</t>
  </si>
  <si>
    <t>- vložné na konferencie (649 018)</t>
  </si>
  <si>
    <t>Prijaté príspevky z verejných zbierok (667)</t>
  </si>
  <si>
    <t>T5_R90_(SA+SB)=T13_R5_SC
T5_R90_(SC+SD)=T13_R5_SD</t>
  </si>
  <si>
    <t>Náklady sú kontrolované na údaje z výkazníctva - tvorba fondu z likvidovaného / predaného majetku</t>
  </si>
  <si>
    <t>V T11_SB_R10 sa uvádzajú kapitálové dotácie prijaté (cash) zo zdroja 111. Ide o dotácie z programu 077 (T1_SB_R15), z iných kapitol štátneho rozpočtu (T2_SB_R1), z kapitoly MŠVVaŠ  (T18_SB_R9).
Objem kapitálovej dotácie z iných kapitol žiadame osobitne uviesť do poznámky.</t>
  </si>
  <si>
    <t xml:space="preserve">V riadku 2 uvedie vysoká škola celkový objem príjmov z dotácií z rozpočtu obcí a VÚC. V riadkoch R2a ... rozpíše podrobnejšie jednotlivé druhy týchto dotácií, každú na osobitný riadok. </t>
  </si>
  <si>
    <t>V týchto riadkoch uvedie verejná vysoká škola všetky osobitne financované súčasti (špecifiká), každú na osobitný riadok.</t>
  </si>
  <si>
    <r>
      <t xml:space="preserve">Uveďte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</si>
  <si>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</si>
  <si>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</si>
  <si>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t>T11_SB_R10 ≥ T1_SB_R15</t>
  </si>
  <si>
    <t>Údaje v T13_ R2_SC (SD) - tvorba fondu reprodukcie sa musia rovnať údajom v T11_R2_SA (SB). 
Údaje v T13_R8_SE (SF) majú súvzťažnosť s údajmi v T8_R5 (sociálne štipendiá), T20_R2 (motivačné štipendiá). Tvorba fondu z dotácie v T13_R8 má byť minimálne vo výške súčtu dotácie na sociálne štipendiá (T8_R5) a motivačné štipendiá (T20_R2). 
Údaje v T13_R13_SD(SF) majú byť totožné s údajmi v T16, účet štipendijného fondu (R10), účet fondu reprodukcie (R13).</t>
  </si>
  <si>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z APVV pre VVŠ ako spoluriešiteľa, resp.dotácie, ak hlavným riešiteľom je iná právnická osoba ako VVŠ.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</si>
  <si>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VVŠ ako hlavného riešiteľa (údaje patria do T18). Do tejto tabuľky sa uvádzajú  dotácie z APVV pre VVŠ ako spoluriešiteľa, resp.dotácie, ak hlavným riešiteľom je iná právnická osoba ako VVŠ. Nepatria sem prostriedky na zahraničné mobility na 05T 08 a 021 02 03.</t>
    </r>
  </si>
  <si>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t>
  </si>
  <si>
    <t>Údaje sa kontrolujú na štatistické údaje MŠVVaŠ SR zasielané CVTI SR.</t>
  </si>
  <si>
    <t>T13_V7</t>
  </si>
  <si>
    <t>T13_R12_SF ≥T8_R6_SC + T20_R4_(SC +SD)</t>
  </si>
  <si>
    <t>Stav štipendijného fondu k 31. 12. uvedený v R12_SF nemá byť nižší ako súčet zostatku nevyčerpanej dotácie na sociálne štipendiá v T8_R6_SC a na motivačné štipendiá v T20_R4_(SC +SD).</t>
  </si>
  <si>
    <t>T13_R11_SF=T8_R1_SC+T19_R1_SC+T20_R3_(SC+SD)</t>
  </si>
  <si>
    <t>Čerpanie štipendijného fondu je vo výške čerpania soc. štipendií , čerpania  motivač. štipendií a čerpania štipendií z vlastných zdrojov.</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</si>
  <si>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</si>
  <si>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</si>
  <si>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</si>
  <si>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t xml:space="preserve">1) v riadku 5 sa uvedie celkový fyzický počet študentov (pričom 1 študent sa počíta za 1 fyzickú osobu), ktorým bolo vyplatené motivačné štipendium v kalendárnom roku </t>
  </si>
  <si>
    <t>2) uvádzajú sa len motivačné štipendiá vyplatené podľa § 96a, ods.1, písm. a) (kód CRŠ 19)</t>
  </si>
  <si>
    <t>3) uvádzajú sa len motivačné štipendiá vyplatené podľa § 96a, ods.1, písm. b) (kódy v  CRŠ: 4, 5, 6, 7, 8)</t>
  </si>
  <si>
    <r>
      <t xml:space="preserve">mot. štipendiá podľa 
§ 96a, ods.1, písm. a)
</t>
    </r>
    <r>
      <rPr>
        <b/>
        <sz val="12"/>
        <rFont val="Times New Roman"/>
        <family val="1"/>
        <charset val="238"/>
      </rPr>
      <t>(kód v CRŠ: 19)</t>
    </r>
    <r>
      <rPr>
        <vertAlign val="superscript"/>
        <sz val="12"/>
        <rFont val="Times New Roman"/>
        <family val="1"/>
        <charset val="238"/>
      </rPr>
      <t>2)</t>
    </r>
  </si>
  <si>
    <r>
      <t xml:space="preserve">Údaje v R2 sú kontrolované na dotačnú zmluvu </t>
    </r>
    <r>
      <rPr>
        <sz val="12"/>
        <rFont val="Times New Roman"/>
        <family val="1"/>
        <charset val="238"/>
      </rPr>
      <t>a na rozpis účelových dotácií na podprograme 077 15 02. Údaje v R3 sú kontrolované na údaje v CRŠ.</t>
    </r>
  </si>
  <si>
    <t>T19_R1_SC + T20_R3(SC+SD) + T8_R1_SC  = T13_R11_SF</t>
  </si>
  <si>
    <t>- dary (účet 649 009) (646 001) (646 002)</t>
  </si>
  <si>
    <t>- zahraničné cestovné  (účet 512 002, 512 003,512 004, 512 052)</t>
  </si>
  <si>
    <t xml:space="preserve"> - odpisy ostatného DN a HM (účet 551 200, 551 221, 551 223, 551 400, 551 500, 551 900, 551 921, 551 923)</t>
  </si>
  <si>
    <t xml:space="preserve"> - odpisy DN a HM nadobudnutého z kapitálových dotácií z EÚ (zo štrukturálnych fondov) (účet 551 300, 551 321, 551 323 )</t>
  </si>
  <si>
    <t>T13_R2_SC (SD) = T11_R2_SA (SB) 
T13_R8_SF ≥ T8_R5_SC + T20_R2_(SC + SD)
T13_R13_SD = T16_R13_SB
T13_R13_SF = T16_R10_SB</t>
  </si>
  <si>
    <r>
      <t>T13_R1_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1. 1.)
T13_R12_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31. 12.)
T13_R1_SL = T13_R12_SK</t>
    </r>
  </si>
  <si>
    <r>
      <t>T13_R5_SC=T5_R90_(SA+S</t>
    </r>
    <r>
      <rPr>
        <b/>
        <sz val="12"/>
        <color theme="1"/>
        <rFont val="Times New Roman"/>
        <family val="1"/>
        <charset val="238"/>
      </rPr>
      <t>B</t>
    </r>
    <r>
      <rPr>
        <sz val="12"/>
        <color theme="1"/>
        <rFont val="Times New Roman"/>
        <family val="1"/>
        <charset val="238"/>
      </rPr>
      <t>)
T13_R5_SD=T5_R90_(SC+SD)</t>
    </r>
  </si>
  <si>
    <t>Náklady sú kontrolované na údaje z výkazníctva - tvorba fondu z predaja a likvidácie majetku</t>
  </si>
  <si>
    <t>K=A+C+E+G+I</t>
  </si>
  <si>
    <t>L=B+D+F+H+J</t>
  </si>
  <si>
    <t>Výnos z dotácie zo štátneho rozpočtu na študentské domovy (vrátane zmluvných zariadení a valorizácie miezd ŠJ)</t>
  </si>
  <si>
    <t xml:space="preserve"> - príspevok zamestnancom na stravovanie  (účet 527 002, 527 052)</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</si>
  <si>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</si>
  <si>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</si>
  <si>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</si>
  <si>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t>Prijaté príspevky od fyzických osôb 663</t>
  </si>
  <si>
    <t>C = A+B</t>
  </si>
  <si>
    <t>z  dotácií 
(ostatné kódy okrem kódu 13)</t>
  </si>
  <si>
    <t>- za súbežné štúdium v dennej forme  (§ 92 ods. 5, 648 026)</t>
  </si>
  <si>
    <t>- za prekročenie štandardnej dĺžky štúdia v dennej forme (§ 92 ods. 6) (648 001)</t>
  </si>
  <si>
    <t xml:space="preserve">- za prijímacie konanie (§ 92 ods. 12 zákona) (účet 648 003) </t>
  </si>
  <si>
    <t xml:space="preserve">- za rigorózne konanie (§ 92 ods. 13 zákona) (účet 648 004) </t>
  </si>
  <si>
    <t xml:space="preserve">- za vydanie diplomu za rigorózne konanie (§ 92 ods. 14 zákona)  (účet 648 005) </t>
  </si>
  <si>
    <t>- za vydanie dokladov o štúdiu a ich kópií (§ 92 ods. 15 zákona) (účet 648 006)</t>
  </si>
  <si>
    <t>- za vydanie dokladov o absolvovaní štúdia v štátnom jazyku a v jazyku požadovanom študentom a ich kópií  (§ 92 ods. 15 zákona) (účet 648 024)</t>
  </si>
  <si>
    <r>
      <t xml:space="preserve"> - za uznávanie rovnocennosti dokladov o štúdiu (§ 92 ods. 15 zákona) (účet 648 025) </t>
    </r>
    <r>
      <rPr>
        <vertAlign val="superscript"/>
        <sz val="12"/>
        <rFont val="Times New Roman"/>
        <family val="1"/>
        <charset val="238"/>
      </rPr>
      <t/>
    </r>
  </si>
  <si>
    <t>- poplatky za vydanie dokladov o absolvovaní štúdia (§92, ods. 15, účet 648 024)</t>
  </si>
  <si>
    <t>- poplatky za uznávanie rovnocennosti dokladov o štúdiu (§92, ods. 15, účet 648 025)</t>
  </si>
  <si>
    <t>- školné za prekročenie štandardnej dĺžky štúdia účet 648 001</t>
  </si>
  <si>
    <t>- školné od cudzincov (§ 92 ods. 9 zákona) účty  648 002, 648  023</t>
  </si>
  <si>
    <t>- poplatky za súbežné štúdium (§ 92, ods. 5) účet  648 026</t>
  </si>
  <si>
    <t>- poplatky za prijímacie konanie (§ 92, ods. 10)  účet 648 003</t>
  </si>
  <si>
    <t>- poplatky za rigorózne konanie (§ 92, ods. 11) účet 648 004</t>
  </si>
  <si>
    <t>- poplatky za rigorózne konanie - vydanie diplómu účet 648 005</t>
  </si>
  <si>
    <t>- poplatky za vydanie dokladov o štúdiu, účet  648 006,</t>
  </si>
  <si>
    <t>- ostatné služby (účet  518 035)</t>
  </si>
  <si>
    <t xml:space="preserve">T5_V3
</t>
  </si>
  <si>
    <t>kvartil q1 25%</t>
  </si>
  <si>
    <t>kvartil q3 75%</t>
  </si>
  <si>
    <t>medián *) = stredná hodnota</t>
  </si>
  <si>
    <r>
      <t>Výnosy zo školného</t>
    </r>
    <r>
      <rPr>
        <sz val="12"/>
        <color indexed="8"/>
        <rFont val="Times New Roman"/>
        <family val="1"/>
      </rPr>
      <t xml:space="preserve">  [SUM (R2:R5)]</t>
    </r>
  </si>
  <si>
    <t>- iné analyticky sledované náklady (účty 501 005-006, 501 013-018, 501 019, 501 077, 501 515)</t>
  </si>
  <si>
    <t xml:space="preserve">- iné analyticky sledované náklady (účty 518 003, 518 013, 518 015-018, 518 020-030, 518 031-034 , 518 040, 518 041, 518 529, 518 530, 518 599, 518 099, ) </t>
  </si>
  <si>
    <t>zdroj 1AA + 3AA spolu</t>
  </si>
  <si>
    <t>zdroj 1AC + 3AC spolu</t>
  </si>
  <si>
    <t>zdroj 1AA1; 3AA1</t>
  </si>
  <si>
    <t>zdroj 1AA2; 3AA2</t>
  </si>
  <si>
    <t>Iné nezaradené</t>
  </si>
  <si>
    <t>V tomto riadku uvádzajte všetky ďalšie nezaradené výdavky nezaradené v predchádzajúcich riadkoch.</t>
  </si>
  <si>
    <r>
      <t>Výdavky na obstaranie majetku kryté v priebehu roku 2018</t>
    </r>
    <r>
      <rPr>
        <sz val="12"/>
        <color indexed="10"/>
        <rFont val="Times New Roman"/>
        <family val="1"/>
        <charset val="238"/>
      </rPr>
      <t xml:space="preserve"> </t>
    </r>
    <r>
      <rPr>
        <sz val="12"/>
        <rFont val="Times New Roman"/>
        <family val="1"/>
        <charset val="238"/>
      </rPr>
      <t xml:space="preserve">z úveru. Pri čerpaní týchto prostriedkov uviesť v komentári aj rok získania úveru. </t>
    </r>
  </si>
  <si>
    <t>Uvedie sa objem na obstaranie a technické zhodnotenie dlhodobého majetku z iných zdrojov v danom roku vrátane zostatkov na týchto zdrojoch (patria sem aj prostriedky zo zdroja 11E1, 11E2 - Finančný mechanizmus EHP; 11E3, 11E4 - Nórsky finančný mechanizmus a 121 - Všeobecná pokladničná správa vrátane ich zostatkov z predchádzajúcich rokov)</t>
  </si>
  <si>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11E2, 11E3, 11E4 a 121.</t>
    </r>
  </si>
  <si>
    <t xml:space="preserve"> T7_R1_SC = T5_R77_(SC +SD),
</t>
  </si>
  <si>
    <t>Stav k 31. 12. 2018</t>
  </si>
  <si>
    <t>Náklady
hlavnej činnosti
2018</t>
  </si>
  <si>
    <r>
      <t>Výnosy z poplatkov spojených so štúdiom</t>
    </r>
    <r>
      <rPr>
        <sz val="12"/>
        <rFont val="Times New Roman"/>
        <family val="1"/>
      </rPr>
      <t xml:space="preserve"> [SUM (R8:R13)]</t>
    </r>
  </si>
  <si>
    <r>
      <t>- fondu reprodukcie (účet 656 400)</t>
    </r>
    <r>
      <rPr>
        <vertAlign val="superscript"/>
        <sz val="12"/>
        <rFont val="Times New Roman"/>
        <family val="1"/>
        <charset val="238"/>
      </rPr>
      <t xml:space="preserve"> 2)</t>
    </r>
  </si>
  <si>
    <t xml:space="preserve">1) V R50-54 sa uvedú výnosy účtované v súvislosti s použitím  príslušného fondu.  </t>
  </si>
  <si>
    <t>- iné nezaradené</t>
  </si>
  <si>
    <t>z iných zdrojov
 kód 13</t>
  </si>
  <si>
    <t xml:space="preserve">Kategória zamestnancov - žien
</t>
  </si>
  <si>
    <t>kvartil q2 50%
medián *)</t>
  </si>
  <si>
    <r>
      <t>Ostatné náklady (účtová skupina 54)</t>
    </r>
    <r>
      <rPr>
        <sz val="12"/>
        <color theme="1"/>
        <rFont val="Times New Roman"/>
        <family val="1"/>
      </rPr>
      <t xml:space="preserve"> [R75+ R76]</t>
    </r>
  </si>
  <si>
    <r>
      <t xml:space="preserve">Odpisy, predaný majetok a opravné položky (účtová skupina 55: 551 až 558) </t>
    </r>
    <r>
      <rPr>
        <sz val="12"/>
        <color theme="1"/>
        <rFont val="Times New Roman"/>
        <family val="1"/>
      </rPr>
      <t>[SUM(R85:R92)]</t>
    </r>
  </si>
  <si>
    <r>
      <t>Spotreba materiálu (účet 501)</t>
    </r>
    <r>
      <rPr>
        <sz val="12"/>
        <color theme="1"/>
        <rFont val="Times New Roman"/>
        <family val="1"/>
      </rPr>
      <t xml:space="preserve"> [SUM(R2:R13)]</t>
    </r>
  </si>
  <si>
    <r>
      <t>Spotreba energie (účet 502)</t>
    </r>
    <r>
      <rPr>
        <sz val="12"/>
        <color theme="1"/>
        <rFont val="Times New Roman"/>
        <family val="1"/>
      </rPr>
      <t xml:space="preserve"> [SUM(R15:R20)]</t>
    </r>
  </si>
  <si>
    <r>
      <t>Predaný tovar (účet 504)</t>
    </r>
    <r>
      <rPr>
        <sz val="12"/>
        <color theme="1"/>
        <rFont val="Times New Roman"/>
        <family val="1"/>
      </rPr>
      <t xml:space="preserve"> [SUM(R23:R26)]</t>
    </r>
  </si>
  <si>
    <r>
      <t>Opravy a udržiavanie (účet 511)</t>
    </r>
    <r>
      <rPr>
        <sz val="12"/>
        <color theme="1"/>
        <rFont val="Times New Roman"/>
        <family val="1"/>
      </rPr>
      <t xml:space="preserve"> [SUM(R28:R34)]</t>
    </r>
  </si>
  <si>
    <r>
      <t>Cestovné (účet 512)</t>
    </r>
    <r>
      <rPr>
        <sz val="12"/>
        <color theme="1"/>
        <rFont val="Times New Roman"/>
        <family val="1"/>
      </rPr>
      <t xml:space="preserve"> [SUM(R36:R37)]</t>
    </r>
  </si>
  <si>
    <r>
      <t>Ostatné služby (účet 518)</t>
    </r>
    <r>
      <rPr>
        <sz val="12"/>
        <color theme="1"/>
        <rFont val="Times New Roman"/>
        <family val="1"/>
      </rPr>
      <t xml:space="preserve"> [SUM(R40:R54)]   </t>
    </r>
  </si>
  <si>
    <r>
      <t>Mzdové náklady (účet 521)</t>
    </r>
    <r>
      <rPr>
        <sz val="12"/>
        <color theme="1"/>
        <rFont val="Times New Roman"/>
        <family val="1"/>
      </rPr>
      <t xml:space="preserve">  [SUM(R56:R57)]</t>
    </r>
  </si>
  <si>
    <t xml:space="preserve"> - MZDY (účty 521 001-008, 521 012, 521 013, 581 003)</t>
  </si>
  <si>
    <r>
      <t xml:space="preserve"> - OON </t>
    </r>
    <r>
      <rPr>
        <sz val="12"/>
        <color theme="1"/>
        <rFont val="Times New Roman"/>
        <family val="1"/>
      </rPr>
      <t>[SUM(R58:R60)]</t>
    </r>
  </si>
  <si>
    <r>
      <t xml:space="preserve">Zákonné sociálne náklady (účet 527) </t>
    </r>
    <r>
      <rPr>
        <sz val="12"/>
        <color theme="1"/>
        <rFont val="Times New Roman"/>
        <family val="1"/>
      </rPr>
      <t>[SUM(R64:R69)]</t>
    </r>
  </si>
  <si>
    <r>
      <t xml:space="preserve">Spolu </t>
    </r>
    <r>
      <rPr>
        <sz val="12"/>
        <color theme="1"/>
        <rFont val="Times New Roman"/>
        <family val="1"/>
      </rPr>
      <t>[R1+R14+R21+R22+R27+R35+R38+R39+R55+SUM (R61:R63) +SUM (R70:R74)+R84+R93+R94]</t>
    </r>
  </si>
  <si>
    <t>R11_R3</t>
  </si>
  <si>
    <t>Ak má verejná vysoká škola zriadené účty aj mimo Štátnu pokladnicu (napr. dobiehajúce účty na riešenie zahraničných výskumných projektov), uvedie súhrnný údaj o nich v tomto riadku. V komentári uvedie podrobnejšiu charakteristiku týchto účtov.</t>
  </si>
  <si>
    <t>- vložné na konferencie  (účet 518 004, 518 054)</t>
  </si>
  <si>
    <t>- za externú formu štúdia (§ 92 ods. 4) (648 020, 648 011)</t>
  </si>
  <si>
    <t xml:space="preserve"> - za cudzojazyčné štúdium dennou formou (§ 92 ods. 8 a 9) (648 002, 648 010, 648 023)</t>
  </si>
  <si>
    <t>- za cudzojazyčné štúdium dennou formou, 648 010</t>
  </si>
  <si>
    <t>- školné od externých študentov (§ 92 ods. 4  zákona)  účet 648 020,648011</t>
  </si>
  <si>
    <t>-komunikačná infraštruktúra (713 006)</t>
  </si>
  <si>
    <r>
      <t>Výnosy z poplatkov spojených so štúdiom (účet 648) [SUM(R2</t>
    </r>
    <r>
      <rPr>
        <b/>
        <sz val="12"/>
        <color rgb="FFFF0000"/>
        <rFont val="Times New Roman"/>
        <family val="1"/>
        <charset val="238"/>
      </rPr>
      <t>7</t>
    </r>
    <r>
      <rPr>
        <b/>
        <sz val="12"/>
        <rFont val="Times New Roman"/>
        <family val="1"/>
        <charset val="238"/>
      </rPr>
      <t>:R3</t>
    </r>
    <r>
      <rPr>
        <b/>
        <sz val="12"/>
        <color rgb="FFFF0000"/>
        <rFont val="Times New Roman"/>
        <family val="1"/>
        <charset val="238"/>
      </rPr>
      <t>2</t>
    </r>
    <r>
      <rPr>
        <b/>
        <sz val="12"/>
        <rFont val="Times New Roman"/>
        <family val="1"/>
        <charset val="238"/>
      </rPr>
      <t xml:space="preserve">)] </t>
    </r>
  </si>
  <si>
    <r>
      <t>Iné ostatné výnosy (účet 646, 649)</t>
    </r>
    <r>
      <rPr>
        <b/>
        <sz val="14"/>
        <rFont val="Times New Roman"/>
        <family val="1"/>
        <charset val="238"/>
      </rPr>
      <t xml:space="preserve"> </t>
    </r>
    <r>
      <rPr>
        <b/>
        <sz val="12"/>
        <rFont val="Times New Roman"/>
        <family val="1"/>
        <charset val="238"/>
      </rPr>
      <t>[SUM(R35:R44)]</t>
    </r>
  </si>
  <si>
    <t>- telekomunikačná technika  (713 003)</t>
  </si>
  <si>
    <t>- ostatné výnosy (účty 649 007, 649 012, 649 021, 649 098, 649 099)</t>
  </si>
  <si>
    <r>
      <t>Dotácia na kapitálové výdavky z prostriedkov EÚ (štrukturálnych fondov</t>
    </r>
    <r>
      <rPr>
        <b/>
        <sz val="12"/>
        <rFont val="Times New Roman"/>
        <family val="1"/>
        <charset val="238"/>
      </rPr>
      <t xml:space="preserve"> vrátane spolufinancovania)</t>
    </r>
  </si>
  <si>
    <t>*)</t>
  </si>
  <si>
    <t>T12_SA</t>
  </si>
  <si>
    <r>
      <t>Zmeny tabuliek výročnej správy o hospodárení za rok 2019</t>
    </r>
    <r>
      <rPr>
        <b/>
        <sz val="14"/>
        <color indexed="10"/>
        <rFont val="Times New Roman"/>
        <family val="1"/>
        <charset val="238"/>
      </rPr>
      <t xml:space="preserve"> </t>
    </r>
    <r>
      <rPr>
        <b/>
        <sz val="14"/>
        <rFont val="Times New Roman"/>
        <family val="1"/>
        <charset val="238"/>
      </rPr>
      <t>v porovnaní s rokom 2018</t>
    </r>
  </si>
  <si>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2019</t>
    </r>
    <r>
      <rPr>
        <b/>
        <sz val="14"/>
        <color rgb="FFFF0000"/>
        <rFont val="Times New Roman"/>
        <family val="1"/>
        <charset val="238"/>
      </rPr>
      <t xml:space="preserve">  </t>
    </r>
    <r>
      <rPr>
        <b/>
        <sz val="14"/>
        <rFont val="Times New Roman"/>
        <family val="1"/>
      </rPr>
      <t xml:space="preserve">na programe 077 </t>
    </r>
  </si>
  <si>
    <r>
      <t>Tabuľka č. 2: Príjmy verejnej vysokej školy v roku 2019</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</si>
  <si>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3: Výnosy verejnej vysokej školy v rokoch 2018 a 2019</t>
  </si>
  <si>
    <t>Rozdiel 2019-2018</t>
  </si>
  <si>
    <r>
      <t>Tabuľka č. 4: Výnosy verejnej vysokej školy zo školného a z poplatkov spojených so štúdiom  
v rokoch 2018</t>
    </r>
    <r>
      <rPr>
        <b/>
        <sz val="14"/>
        <color rgb="FFFF0000"/>
        <rFont val="Times New Roman"/>
        <family val="1"/>
        <charset val="238"/>
      </rPr>
      <t xml:space="preserve"> </t>
    </r>
    <r>
      <rPr>
        <b/>
        <sz val="14"/>
        <rFont val="Times New Roman"/>
        <family val="1"/>
        <charset val="238"/>
      </rPr>
      <t>a 2019</t>
    </r>
    <r>
      <rPr>
        <b/>
        <sz val="14"/>
        <color rgb="FFFF0000"/>
        <rFont val="Times New Roman"/>
        <family val="1"/>
        <charset val="238"/>
      </rPr>
      <t xml:space="preserve"> </t>
    </r>
  </si>
  <si>
    <t>Tabuľka č. 5: Náklady verejnej vysokej školy v rokoch 2018 a 2019</t>
  </si>
  <si>
    <t>Tabuľka č. 6: Zamestnanci a náklady na mzdy verejnej vysokej školy v roku 2019</t>
  </si>
  <si>
    <t>Tabuľka č. 6a: Zamestnanci a náklady na mzdy verejnej vysokej školy v roku 2019   -   len  ženy  a výpočet priemerného platu mužov</t>
  </si>
  <si>
    <t>Tabuľka č. 8: Údaje o systéme sociálnej podpory - časť  sociálne štipendiá  (§ 96 zákona) 
za roky 2018 a 2019</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</si>
  <si>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2018 a 2019</t>
    </r>
  </si>
  <si>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2018 a 2019 </t>
    </r>
  </si>
  <si>
    <t>Tabuľka č. 11: Zdroje verejnej vysokej školy na obstaranie a technické zhodnotenie dlhodobého  majetku v rokoch 2018 a 2019</t>
  </si>
  <si>
    <t>Tabuľka č. 12: Výdavky verejnej vysokej školy na obstaranie a technické zhodnotenie dlhodobého majetku v roku 2019</t>
  </si>
  <si>
    <t xml:space="preserve">Čerpanie bežnej dotácie v roku 2019 prostredníctvom fondu reprodukcie </t>
  </si>
  <si>
    <t>len z kapitálovej dotácie prijatej na podpoložku 322 001 (na základe dotačnej zmluvy a dodatkov v r. 2019)</t>
  </si>
  <si>
    <t>Nákup strojov, prístrojov, zariadení, techniky a náradia [SUM(R5:R10)]</t>
  </si>
  <si>
    <t>Výdavky na obstaranie a technické zhodnotenie dlhobého majetku spolu [R1+SUM(R3:R4)+SUM(R11:R16)]</t>
  </si>
  <si>
    <r>
      <t xml:space="preserve">Čerpanie kapitálovej dotácie v roku 2019
</t>
    </r>
    <r>
      <rPr>
        <b/>
        <sz val="11"/>
        <color theme="1"/>
        <rFont val="Times New Roman"/>
        <family val="1"/>
      </rPr>
      <t>z prostriedkov EÚ (štrukturálnych fondov)</t>
    </r>
  </si>
  <si>
    <t>Čerpanie z iných zdrojov (napr. z 131x, ...)</t>
  </si>
  <si>
    <t>Tabuľka č. 13: Stav a vývoj finančných fondov verejnej vysokej školy v rokoch 2018 a 2019</t>
  </si>
  <si>
    <t>Tabuľka č. 16: Štruktúra a stav finančných prostriedkov na bankových účtoch verejnej vysokej školy
   k 31. decembru 2019</t>
  </si>
  <si>
    <t>Stav účtu k 31.12.2019</t>
  </si>
  <si>
    <t>Tabuľka č. 17: Príjmy verejnej vysokej školy z prostriedkov EÚ a z prostriedkov na ich spolufinancovanie 
zo štátneho rozpočtu z kapitoly MŠVVaŠ SR a z iných kapitol štátneho rozpočtu v roku 2019</t>
  </si>
  <si>
    <t>zdroj 11S  + 13S spolu</t>
  </si>
  <si>
    <t>zdroj 11T  + 13T spolu</t>
  </si>
  <si>
    <r>
      <t>Tabuľka č. 18: Príjmy z dotácií verejnej vysokej škole zo štátneho rozpočtu z kapitoly MŠVVaŠ SR 
poskytnuté mimo programu 077 a mimo príjmov z prostriedkov EÚ (zo štrukturálnych fondov) v roku 2019</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</si>
  <si>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2018 a 2019 </t>
  </si>
  <si>
    <r>
      <t xml:space="preserve">Štipendiá z vlastných zdrojov vysokej školy (§ 97 zákona) spolu </t>
    </r>
    <r>
      <rPr>
        <sz val="12"/>
        <color theme="1"/>
        <rFont val="Times New Roman"/>
        <family val="1"/>
        <charset val="238"/>
      </rPr>
      <t xml:space="preserve">[R2+R5+R8+R11+R14+R17] </t>
    </r>
  </si>
  <si>
    <r>
      <t xml:space="preserve">- prospechové </t>
    </r>
    <r>
      <rPr>
        <sz val="12"/>
        <color theme="1"/>
        <rFont val="Times New Roman"/>
        <family val="1"/>
        <charset val="238"/>
      </rPr>
      <t xml:space="preserve">[R3+R4] </t>
    </r>
  </si>
  <si>
    <r>
      <t xml:space="preserve">  - poskytované mesačne </t>
    </r>
    <r>
      <rPr>
        <vertAlign val="superscript"/>
        <sz val="12"/>
        <color theme="1"/>
        <rFont val="Times New Roman"/>
        <family val="1"/>
        <charset val="238"/>
      </rPr>
      <t>1)</t>
    </r>
  </si>
  <si>
    <r>
      <t xml:space="preserve">- za umeleckú alebo športovú činnosť </t>
    </r>
    <r>
      <rPr>
        <sz val="12"/>
        <color theme="1"/>
        <rFont val="Times New Roman"/>
        <family val="1"/>
        <charset val="238"/>
      </rPr>
      <t xml:space="preserve">[R11+R12]  </t>
    </r>
    <r>
      <rPr>
        <b/>
        <sz val="12"/>
        <color theme="1"/>
        <rFont val="Times New Roman"/>
        <family val="1"/>
        <charset val="238"/>
      </rPr>
      <t xml:space="preserve">                                                     </t>
    </r>
  </si>
  <si>
    <r>
      <t xml:space="preserve">- na sociálnu podporu </t>
    </r>
    <r>
      <rPr>
        <sz val="12"/>
        <color theme="1"/>
        <rFont val="Times New Roman"/>
        <family val="1"/>
        <charset val="238"/>
      </rPr>
      <t>[R15+R16]</t>
    </r>
  </si>
  <si>
    <r>
      <t xml:space="preserve">Počet študentov poberajúcich  štipendiá z vlastných zdrojov </t>
    </r>
    <r>
      <rPr>
        <b/>
        <vertAlign val="superscript"/>
        <sz val="12"/>
        <color theme="1"/>
        <rFont val="Times New Roman"/>
        <family val="1"/>
        <charset val="238"/>
      </rPr>
      <t>2</t>
    </r>
    <r>
      <rPr>
        <b/>
        <sz val="12"/>
        <color theme="1"/>
        <rFont val="Times New Roman"/>
        <family val="1"/>
        <charset val="238"/>
      </rPr>
      <t xml:space="preserve">) </t>
    </r>
  </si>
  <si>
    <t xml:space="preserve">Tabuľka č. 20: Motivačné štipendiá  v rokoch 2018 a 2019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</si>
  <si>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2018 a 2019</t>
    </r>
    <r>
      <rPr>
        <b/>
        <sz val="14"/>
        <color rgb="FFFF0000"/>
        <rFont val="Times New Roman"/>
        <family val="1"/>
        <charset val="238"/>
      </rPr>
      <t xml:space="preserve"> </t>
    </r>
  </si>
  <si>
    <t>Stav k 31. 12. 2019</t>
  </si>
  <si>
    <t xml:space="preserve">Tabuľka č. 22: Výnosy verejnej vysokej školy v roku 2019 v oblasti sociálnej podpory študentov </t>
  </si>
  <si>
    <t>Zákonné poplatky-školné</t>
  </si>
  <si>
    <t xml:space="preserve">Tabuľka č .23:  Náklady verejnej vysokej školy  v roku 2019 v oblasti sociálnej podpory študentov </t>
  </si>
  <si>
    <t>Náklady
hlavnej činnosti
2019</t>
  </si>
  <si>
    <r>
      <t>Rozdiel 2019-2018</t>
    </r>
    <r>
      <rPr>
        <sz val="12"/>
        <color indexed="10"/>
        <rFont val="Times New Roman"/>
        <family val="1"/>
        <charset val="238"/>
      </rPr>
      <t xml:space="preserve"> </t>
    </r>
  </si>
  <si>
    <t>Výnosy
v hlavnej činnosti
2018</t>
  </si>
  <si>
    <r>
      <t>Výnosy
hlavnej činnosti
2019</t>
    </r>
    <r>
      <rPr>
        <sz val="12"/>
        <color indexed="10"/>
        <rFont val="Times New Roman"/>
        <family val="1"/>
        <charset val="238"/>
      </rPr>
      <t xml:space="preserve"> </t>
    </r>
  </si>
  <si>
    <t>Vysvetlivky k tabuľkám výročnej správy o hospodárení verejnej vysokej školy za rok 2019</t>
  </si>
  <si>
    <r>
      <t xml:space="preserve">Ak nie je uvedené inak, všetky údaje o výške finančných prostriedkov  z roku 2018 a 2019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</si>
  <si>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r>
      <t xml:space="preserve">Tabuľka č. 3 poskytuje informácie o objeme a štruktúre výnosov  verejnej vysokej školy v rokoch 2018 a 2019.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</si>
  <si>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t>Údaje vychádzajú z platného analytického členenia účtov na rok 2019.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</si>
  <si>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r>
      <t>Minimálna výška prídelu do štipendijného fondu v roku 2018 a 2019</t>
    </r>
    <r>
      <rPr>
        <b/>
        <sz val="12"/>
        <color rgb="FFFF0000"/>
        <rFont val="Times New Roman"/>
        <family val="1"/>
        <charset val="238"/>
      </rPr>
      <t xml:space="preserve"> </t>
    </r>
    <r>
      <rPr>
        <b/>
        <sz val="12"/>
        <rFont val="Times New Roman"/>
        <family val="1"/>
        <charset val="238"/>
      </rPr>
      <t>je 20 % príjmov zo školného.</t>
    </r>
  </si>
  <si>
    <r>
      <t>Tabuľka č. 5 poskytuje informácie o objeme a štruktúre nákladov verejnej vysokej školy v rokoch 2018</t>
    </r>
    <r>
      <rPr>
        <b/>
        <sz val="12"/>
        <color indexed="10"/>
        <rFont val="Times New Roman"/>
        <family val="1"/>
        <charset val="238"/>
      </rPr>
      <t xml:space="preserve"> </t>
    </r>
    <r>
      <rPr>
        <b/>
        <sz val="12"/>
        <rFont val="Times New Roman"/>
        <family val="1"/>
        <charset val="238"/>
      </rPr>
      <t xml:space="preserve">a  2019.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</si>
  <si>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t>Údaje vychádzajú z platného analytického členenia účtov  na rok 2019.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</si>
  <si>
    <r>
      <t>Príspevok na jedno jedlo zo štátneho rozpočtu bol po celý rok  2019</t>
    </r>
    <r>
      <rPr>
        <b/>
        <sz val="12"/>
        <color indexed="8"/>
        <rFont val="Times New Roman"/>
        <family val="1"/>
        <charset val="238"/>
      </rPr>
      <t xml:space="preserve"> vo výške  1,3 euro. </t>
    </r>
  </si>
  <si>
    <t>Uvedie sa objem prijatej kapitálovej dotácie z prostriedkov EÚ vrátane spolufinancovania (účet 346005 – 346008 strana DAL,  napr. zdroje 11S1, 11S2, 11T1, 11T2, (všetky zdroje EŠF na ktorých VVŠ účtuje, aj všetky analytické účty) okrem 11E1, 11E2, 11E3, 11E4 a 121 – viď riadok 13)</t>
  </si>
  <si>
    <r>
      <t>Uvedie sa zostatok kapitálovej dotácie na obstaranie a technické zhodnotenie dlhodobého majetku (nevyčerpané finančné  prostriedky k 31. 12. 2018</t>
    </r>
    <r>
      <rPr>
        <sz val="12"/>
        <color indexed="10"/>
        <rFont val="Times New Roman"/>
        <family val="1"/>
        <charset val="238"/>
      </rPr>
      <t xml:space="preserve"> </t>
    </r>
    <r>
      <rPr>
        <sz val="12"/>
        <color indexed="8"/>
        <rFont val="Times New Roman"/>
        <family val="1"/>
        <charset val="238"/>
      </rPr>
      <t>(stĺpec SA v R11), resp. k 31. 12. 2019 (stĺpec SB v R11) na zdrojoch 131x, 13S1, 13S2, 13T1,13T2.....(zostatky zo ŠR aj zo ŠF)</t>
    </r>
  </si>
  <si>
    <t>Tabuľka č. 12 poskytuje informácie o štruktúre a objeme výdavkov, ktoré verejná vysoká škola  použila na obstaranie a technické zhodnotenie dlhodobého majetku v roku 2019.</t>
  </si>
  <si>
    <t>Tabuľka č. 13 poskytuje informácie o stave a vývoji finančných fondov verejnej vysokej školy v rokoch 2018 a 2019.</t>
  </si>
  <si>
    <r>
      <t>Uvedú sa sumárne stavy ostatných  fondov, ktoré vysoká škola vytvorila za roky 2018</t>
    </r>
    <r>
      <rPr>
        <sz val="12"/>
        <color indexed="10"/>
        <rFont val="Times New Roman"/>
        <family val="1"/>
        <charset val="238"/>
      </rPr>
      <t xml:space="preserve"> </t>
    </r>
    <r>
      <rPr>
        <sz val="12"/>
        <rFont val="Times New Roman"/>
        <family val="1"/>
        <charset val="238"/>
      </rPr>
      <t>a 2019 v zmysle §16a ods. 1 zákona č. 131/2002 Z. z. o vysokých školách v znení neskorších predpisov.</t>
    </r>
  </si>
  <si>
    <r>
      <t>Tabuľka č. 17 obsahuje informácie o celkovom objeme príjmov z dotácií, poskytnutých verejnej vysokej škole v roku 2019</t>
    </r>
    <r>
      <rPr>
        <b/>
        <sz val="12"/>
        <color indexed="10"/>
        <rFont val="Times New Roman"/>
        <family val="1"/>
        <charset val="238"/>
      </rPr>
      <t xml:space="preserve">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</si>
  <si>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2019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2019. </t>
    </r>
  </si>
  <si>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2019.</t>
    </r>
  </si>
  <si>
    <r>
      <t>V stĺpcoch A, B, C uvedie vysoká škola priemerný evidenčný prepočítaný počet zamestnancov za rok 2019</t>
    </r>
    <r>
      <rPr>
        <sz val="12"/>
        <color indexed="10"/>
        <rFont val="Times New Roman"/>
        <family val="1"/>
        <charset val="238"/>
      </rPr>
      <t xml:space="preserve">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</si>
  <si>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2019</t>
    </r>
    <r>
      <rPr>
        <sz val="12"/>
        <color indexed="10"/>
        <rFont val="Times New Roman"/>
        <family val="1"/>
        <charset val="238"/>
      </rPr>
      <t xml:space="preserve"> </t>
    </r>
    <r>
      <rPr>
        <sz val="12"/>
        <rFont val="Times New Roman"/>
        <family val="1"/>
        <charset val="238"/>
      </rPr>
      <t>platených z dotácie MŠVVaŠ SR, t.j. z prostriedkov uvedených v stĺpci F.</t>
    </r>
  </si>
  <si>
    <r>
      <t>V stĺpci C uvedie vysoká škola priemerný evidenčný prepočítaný počet zamestnancov za rok 2019</t>
    </r>
    <r>
      <rPr>
        <sz val="12"/>
        <color indexed="10"/>
        <rFont val="Times New Roman"/>
        <family val="1"/>
        <charset val="238"/>
      </rPr>
      <t xml:space="preserve"> </t>
    </r>
    <r>
      <rPr>
        <sz val="12"/>
        <rFont val="Times New Roman"/>
        <family val="1"/>
        <charset val="238"/>
      </rPr>
      <t xml:space="preserve">platených z iných zdrojov, t. j.  z prostriedkov uvedených v stĺpci G. Príklad: Zamestnanci platení z podnikateľskej činnosti. </t>
    </r>
  </si>
  <si>
    <t>T12_R5:R10</t>
  </si>
  <si>
    <t>T12_R16</t>
  </si>
  <si>
    <t>Súvzťažnosti medzi tabuľkami výročnej správy o hospodárení verejnej vysokej školy za rok 2019</t>
  </si>
  <si>
    <r>
      <t xml:space="preserve">T1 = </t>
    </r>
    <r>
      <rPr>
        <b/>
        <sz val="12"/>
        <rFont val="Times New Roman"/>
        <family val="1"/>
        <charset val="238"/>
      </rPr>
      <t>dotačná zmluva na 2019</t>
    </r>
  </si>
  <si>
    <t>Bežná a kapitálová dotácia je kontrolovaná na Zmluvu o poskytnutí  dotácií  zo štátneho rozpočtu prostredníctvom kapitoly MŠVVaŠ (ďalej len "dotačná zmluva") a jej dodatkov na rok 2019 na  programe  077.</t>
  </si>
  <si>
    <r>
      <t xml:space="preserve">Výnosy sú kontrolované na údaje z výkazníctva - výkaz ziskov a strát, časť </t>
    </r>
    <r>
      <rPr>
        <b/>
        <sz val="12"/>
        <color theme="1"/>
        <rFont val="Times New Roman"/>
        <family val="1"/>
        <charset val="238"/>
      </rPr>
      <t>výnosy</t>
    </r>
    <r>
      <rPr>
        <sz val="12"/>
        <color theme="1"/>
        <rFont val="Times New Roman"/>
        <family val="1"/>
        <charset val="238"/>
      </rPr>
      <t xml:space="preserve">. 
Údaje v T3 z roku 2019  a údaje z roku 2018 sa uvádzajú v eurách s presnosťou na dve desatinné miestá ( </t>
    </r>
    <r>
      <rPr>
        <i/>
        <sz val="12"/>
        <color theme="1"/>
        <rFont val="Times New Roman"/>
        <family val="1"/>
        <charset val="238"/>
      </rPr>
      <t>pričom zobrazenie tabuliek je nastavené na Eur)</t>
    </r>
    <r>
      <rPr>
        <sz val="12"/>
        <color theme="1"/>
        <rFont val="Times New Roman"/>
        <family val="1"/>
        <charset val="238"/>
      </rPr>
      <t>. 
Výnosy zo školného, resp. z poplatkov  spojených so štúdiom za hlavnú činnosť v T3_R20, R26 sa taktiež kontrolujú na T4_R1_SB a T4_R7_SB.</t>
    </r>
  </si>
  <si>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2018 a údaje z roku 2019 sa uvádzajú v eurách s presnosťou na dve desatinné miestá </t>
    </r>
    <r>
      <rPr>
        <i/>
        <sz val="12"/>
        <rFont val="Times New Roman"/>
        <family val="1"/>
        <charset val="238"/>
      </rPr>
      <t>(pričom zobrazenie tabuliek je nastavené na Eur).</t>
    </r>
    <r>
      <rPr>
        <sz val="12"/>
        <rFont val="Times New Roman"/>
        <family val="1"/>
        <charset val="238"/>
      </rPr>
      <t xml:space="preserve">
Za oblasť </t>
    </r>
    <r>
      <rPr>
        <b/>
        <sz val="12"/>
        <rFont val="Times New Roman"/>
        <family val="1"/>
        <charset val="238"/>
      </rPr>
      <t>miezd</t>
    </r>
    <r>
      <rPr>
        <sz val="12"/>
        <rFont val="Times New Roman"/>
        <family val="1"/>
        <charset val="238"/>
      </rPr>
      <t xml:space="preserve"> sú údaje za rok 2018 - účet 521 (R55) v T5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T5_R77_SC+SD sa kontrolujú na údaje z T7_R1_SC. 
Štipendiá z vlastných zdrojov z T5_R81_SC sa kontrolujú na údaje v T19_R1_SC. </t>
    </r>
  </si>
  <si>
    <r>
      <t>T6_R1..R6, R7, R9, R13, R14, R16, R17 = Škol 2-04 za 2019</t>
    </r>
    <r>
      <rPr>
        <sz val="12"/>
        <color indexed="10"/>
        <rFont val="Times New Roman"/>
        <family val="1"/>
        <charset val="238"/>
      </rPr>
      <t xml:space="preserve">, </t>
    </r>
    <r>
      <rPr>
        <sz val="12"/>
        <rFont val="Times New Roman"/>
        <family val="1"/>
        <charset val="238"/>
      </rPr>
      <t xml:space="preserve">
T6_R15a.. = dotačná zmluva na 2019, špecifiká</t>
    </r>
  </si>
  <si>
    <r>
      <t>Údaje v riadkoch R1:R6, R7, R9, R13, R14, R16, R17  sú kontrolované s údajmi v štatistickom výkaze Škol (MŠ SR) 2-04 za rok 2019</t>
    </r>
    <r>
      <rPr>
        <sz val="12"/>
        <color indexed="10"/>
        <rFont val="Times New Roman"/>
        <family val="1"/>
        <charset val="238"/>
      </rPr>
      <t>.</t>
    </r>
    <r>
      <rPr>
        <sz val="12"/>
        <rFont val="Times New Roman"/>
        <family val="1"/>
        <charset val="238"/>
      </rPr>
      <t xml:space="preserve"> 
Údaje v riadkoch 15a ... (špecifiká) sú kontrolované na rozpis dotácie v roku 2019.</t>
    </r>
    <r>
      <rPr>
        <b/>
        <sz val="12"/>
        <color indexed="12"/>
        <rFont val="Times New Roman"/>
        <family val="1"/>
        <charset val="238"/>
      </rPr>
      <t xml:space="preserve"> </t>
    </r>
    <r>
      <rPr>
        <u/>
        <sz val="12"/>
        <rFont val="Times New Roman"/>
        <family val="1"/>
        <charset val="238"/>
      </rPr>
      <t>Rozdiel medzi údajom v T6_R18_SH a údajmi v T5_R56_SC+SD (Mzdy) je potrebné vyčísliť a s komentárom uviesť v poznámke pod tabuľkou T6.</t>
    </r>
  </si>
  <si>
    <t>Údaje v R1_SC za rok 2019 sú kontrolované na T5_R77_SC + SD</t>
  </si>
  <si>
    <t>T8_R5_SA (SC) = dotačná zmluva na rok 2018 (2019), prvok 077 15 01 - účelové prostriedky na sociálne štipendiá</t>
  </si>
  <si>
    <t>Údaje  sú kontrolované na  dotačné zmluvy a na účelovú dotáciu na rok 2018, 2019. Za rok 2018 na T1_R12_SA.
Údaje v T8_R1_SC by sa mali rovnať údajom z CRŠ kód 1.</t>
  </si>
  <si>
    <t>T8_R5_SC= T1_R12_SA
T8_R4_SC = zostatok k 31.12.2018
T8_R6_SA = T8_R4_SC 
T8_R1_SA (SC)  ≤ T13_R11_SE (SF)</t>
  </si>
  <si>
    <t>Údaj v T8_R4_SA predstavuje zostatok nevyčerpanej dotácie z predchádzajúceho roka, t. j. k 31. 12. 2018.  
Údaj v T8_R6_SA (SC) predstavuje zostatok nevyčerpanej dotácie k 31. 12. príslušného roka (2018, resp. 2019) a ich hodnoty sa vypočítajú z ostatných uvedených údajov. Zostatok nevyčerpanej dotácie k 31. 12. 2018 je totožný  s údajmi vykazovanými v tabuľke T8 výročnej správy za rok 2018.</t>
  </si>
  <si>
    <t>T9_R1 = štatistické výkazy MŠVVaŠ SR 2018 (2019)</t>
  </si>
  <si>
    <r>
      <t xml:space="preserve">Údaje o </t>
    </r>
    <r>
      <rPr>
        <b/>
        <sz val="12"/>
        <rFont val="Times New Roman"/>
        <family val="1"/>
        <charset val="238"/>
      </rPr>
      <t>projektovanej lôžkovej kapacite</t>
    </r>
    <r>
      <rPr>
        <sz val="12"/>
        <rFont val="Times New Roman"/>
        <family val="1"/>
        <charset val="238"/>
      </rPr>
      <t xml:space="preserve"> v T9_R1 sa kontrolujú na štatistické výkazy MŠVVaŠ SR  (posielané na CVTI SR) 2018, 2019.</t>
    </r>
  </si>
  <si>
    <t xml:space="preserve">T9_R6_SA (SB) = dotačná zmluva 2018 (2019) - účelové prostriedky na študentské domovy (vrátane dotácie na valorizáciu miezd ŠJ) </t>
  </si>
  <si>
    <t>T10_R7_SA (SB) = dotačná zmluva 2018 (2019)_účelová dotácia na študentské jedálne</t>
  </si>
  <si>
    <t>Údaje v R7_SA (SB) sú kontrolované na  dotačné zmluvy a na účelovú dotáciu na rok 2018, 2019.</t>
  </si>
  <si>
    <t>T10_R13 = štatistické výkazy MŠVVaŠ SR 2018 (2019)</t>
  </si>
  <si>
    <r>
      <t xml:space="preserve">Údaje v T11_R2 - tvorba fondu reprodukcie za roky 2018 a 2019 sa musia rovnať údajom v T13_R2_SC (SD). 
</t>
    </r>
    <r>
      <rPr>
        <strike/>
        <sz val="12"/>
        <rFont val="Times New Roman"/>
        <family val="1"/>
        <charset val="238"/>
      </rPr>
      <t/>
    </r>
  </si>
  <si>
    <t>T12_R17_SG = výkazníctvo 2019, kategória 700, všetky zdroje</t>
  </si>
  <si>
    <r>
      <t xml:space="preserve">Údaje v R17,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</si>
  <si>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r>
      <t>Stavy fondov k 1.1. a k 31.12.2019</t>
    </r>
    <r>
      <rPr>
        <sz val="12"/>
        <color indexed="10"/>
        <rFont val="Times New Roman"/>
        <family val="1"/>
        <charset val="238"/>
      </rPr>
      <t xml:space="preserve">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</si>
  <si>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t>Tvorba fondu reprodukcie z odpisov v roku 2019 sa rovná odpisom ostatného DN a HM za rok 2018 (T5_R86_SC+SD)</t>
  </si>
  <si>
    <t xml:space="preserve">Údaje v T17 sú kontrolované na hodnoty z výkazníctva, finančné prostriedky z EÚ (vrátane spolufinancovania zo štátneho rozpočtu), zabezpečované prostredníctvom MŠVVaŠ SR v roku 2019. </t>
  </si>
  <si>
    <t>Údaje v T18_R1 sú kontrolované na  rozpis bežnej a kapitálovej dotácie na programe 06K v roku 2019 poskytnuté vysokým školám mimo "dotačnej zmluvy" prostredníctvom  APVV resp. sekcie vedy a techniky.
Údaje v T18_R7 a R8 sú kontrolované na rozpis bežnej dotácie na podrograme 05T 08 a prvku 021 02 03 v roku 2018, poskytnuté vysokým školám mimo "dotačnej zmluvy" prostredníctvom sekcie medzinárodnej spolupráce.</t>
  </si>
  <si>
    <t xml:space="preserve">T21_R1_SF  = výkazníctvo 2018 súvaha, časť pasíva, riadok 103, predchádzajúce účtovné obdobie
T21_R1_SL = výkazníctvo 2019, súvaha, časť pasíva, riadok 103, bežné účtovné obdobie </t>
  </si>
  <si>
    <t xml:space="preserve">Celková hodnota účtu 384 za rok 2018 a 2019, uvedená v T21_SF a SL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(2018), resp. SI (2018). 
Údaje za rok 2018 musia byť totožné s údajmi, ktoré VVŠ predložili k výsledkom hospodárenia VVŠ za rok 2018. </t>
  </si>
  <si>
    <r>
      <t>V stĺpci S</t>
    </r>
    <r>
      <rPr>
        <sz val="12"/>
        <color indexed="8"/>
        <rFont val="Times New Roman"/>
        <family val="1"/>
        <charset val="238"/>
      </rPr>
      <t>G</t>
    </r>
    <r>
      <rPr>
        <sz val="12"/>
        <rFont val="Times New Roman"/>
        <family val="1"/>
        <charset val="238"/>
      </rPr>
      <t xml:space="preserve"> sa zvyšok prijatej kapitálovej dotácie, používanej na kompenzáciu odpisov za rok 2017  rovná súčtu zvyšku prijatej kapitálovej dotácie na kompenzáciu odpisov z roku 2018 (stĺpec SA) a výšky kapitálovej dotácie (2019) z </t>
    </r>
    <r>
      <rPr>
        <sz val="12"/>
        <color indexed="8"/>
        <rFont val="Times New Roman"/>
        <family val="1"/>
        <charset val="238"/>
      </rPr>
      <t xml:space="preserve">T11_R10_SB, zníženému o odpisy, vykazované v T5_R85_SC. </t>
    </r>
  </si>
  <si>
    <r>
      <t>V stĺpci SH</t>
    </r>
    <r>
      <rPr>
        <sz val="12"/>
        <color indexed="10"/>
        <rFont val="Times New Roman"/>
        <family val="1"/>
        <charset val="238"/>
      </rPr>
      <t xml:space="preserve"> </t>
    </r>
    <r>
      <rPr>
        <sz val="12"/>
        <rFont val="Times New Roman"/>
        <family val="1"/>
        <charset val="238"/>
      </rPr>
      <t>sa zvyšok prijatej kapitálovej dotácie, používanej na kompenzáciu odpisov za rok 2019  rovná súčtu zvyšku prijatej kapitálovej dotácie na kompenzáciu odpisov z roku 2018</t>
    </r>
    <r>
      <rPr>
        <sz val="12"/>
        <color indexed="10"/>
        <rFont val="Times New Roman"/>
        <family val="1"/>
        <charset val="238"/>
      </rPr>
      <t xml:space="preserve"> </t>
    </r>
    <r>
      <rPr>
        <sz val="12"/>
        <rFont val="Times New Roman"/>
        <family val="1"/>
        <charset val="238"/>
      </rPr>
      <t xml:space="preserve">(stĺpec SB) a výšky kapitálovej dotácie (2019) z </t>
    </r>
    <r>
      <rPr>
        <sz val="12"/>
        <color indexed="8"/>
        <rFont val="Times New Roman"/>
        <family val="1"/>
        <charset val="238"/>
      </rPr>
      <t xml:space="preserve">T11_R10a_SB, zníženému o odpisy, vykazované v T5_R86a_SC. </t>
    </r>
  </si>
  <si>
    <t>Obsah tabuľkovej prílohy výročnej správy o hospodárení verejnej vysokej školy za rok 2019</t>
  </si>
  <si>
    <t>Vysvetlivky k tabuľkám výročnej správy o hospodárení verejných vysokých škôl za rok 2019</t>
  </si>
  <si>
    <t>Súvzťažnosti tabuliek výročnej správy o hospodárení verejných vysokých škôl za rok 2019</t>
  </si>
  <si>
    <r>
      <t>Príjmy verejnej vysokej školy v roku 2019</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</si>
  <si>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r>
      <t>Príjmy z dotácií verejnej vysokej škole zo štátneho rozpočtu z kapitoly MŠVVaŠ SR  poskytnuté na základe Zmluvy o poskytnutí dotácie zo štátneho rozpočtu
prostredníctvom rozpočtu Ministerstva školstva, vedy, výskumu a športu Slovenskej republiky na rok 2019</t>
    </r>
    <r>
      <rPr>
        <sz val="12"/>
        <color rgb="FF00B050"/>
        <rFont val="Times New Roman"/>
        <family val="1"/>
        <charset val="238"/>
      </rPr>
      <t xml:space="preserve"> </t>
    </r>
    <r>
      <rPr>
        <sz val="12"/>
        <rFont val="Times New Roman"/>
        <family val="1"/>
        <charset val="238"/>
      </rPr>
      <t xml:space="preserve"> na programe 077 </t>
    </r>
  </si>
  <si>
    <t>Výnosy verejnej vysokej školy v rokoch 2018 a 2019</t>
  </si>
  <si>
    <r>
      <t>Výnosy verejnej vysokej školy zo školného a z poplatkov spojených so štúdiom v rokoch 2018</t>
    </r>
    <r>
      <rPr>
        <sz val="12"/>
        <color indexed="10"/>
        <rFont val="Times New Roman"/>
        <family val="1"/>
        <charset val="238"/>
      </rPr>
      <t xml:space="preserve"> </t>
    </r>
    <r>
      <rPr>
        <sz val="12"/>
        <rFont val="Times New Roman"/>
        <family val="1"/>
        <charset val="238"/>
      </rPr>
      <t>a 2019</t>
    </r>
  </si>
  <si>
    <t>Náklady verejnej vysokej školy v rokoch 2018 a 2019</t>
  </si>
  <si>
    <t>Zamestnanci a náklady na mzdy verejnej vysokej školy v roku 2019</t>
  </si>
  <si>
    <r>
      <t>Zamestnanci a náklady na mzdy verejnej vysokej školy v roku 2019</t>
    </r>
    <r>
      <rPr>
        <sz val="12"/>
        <color theme="1"/>
        <rFont val="Times New Roman"/>
        <family val="1"/>
        <charset val="238"/>
      </rPr>
      <t xml:space="preserve"> - len ženy</t>
    </r>
  </si>
  <si>
    <t>Údaje o systéme sociálnej podpory  - časť  sociálne štipendiá  (§ 96 zákona) za roky 2018 a 2019</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</si>
  <si>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2018 a 2019</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</si>
  <si>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2018 a 2019</t>
    </r>
  </si>
  <si>
    <t>Zdroje verejnej vysokej školy na obstaranie a technické zhodnotenie dlhodobého  majetku v rokoch 2018 a 2019</t>
  </si>
  <si>
    <t>Výdavky verejnej vysokej školy na obstaranie a technické zhodnotenie dlhodobého majetku v roku 2019</t>
  </si>
  <si>
    <t>Stav a vývoj finančných fondov verejnej vysokej školy v rokoch 2018 a 2019</t>
  </si>
  <si>
    <r>
      <t>Štruktúra a stav finančných prostriedkov na bankových účtoch verejnej vysokej školy k 31. decembru 2019</t>
    </r>
    <r>
      <rPr>
        <sz val="12"/>
        <color rgb="FF00B050"/>
        <rFont val="Times New Roman"/>
        <family val="1"/>
        <charset val="238"/>
      </rPr>
      <t xml:space="preserve"> </t>
    </r>
  </si>
  <si>
    <t>Príjmy verejnej vysokej školy z prostriedkov EÚ a z prostriedkov na ich spolufinancovanie zo štátneho rozpočtu z kapitoly MŠVVaŠ SR a z iných kapitol štátneho rozpočtu v roku 2019</t>
  </si>
  <si>
    <r>
      <t>Príjmy z dotácií verejnej vysokej škole zo štátneho rozpočtu z kapitoly MŠVVaŠ SR poskytnuté mimo programu 077 a mimo príjmov z prostriedkov EÚ (zo štrukturálnych fondov) v roku 2019</t>
    </r>
    <r>
      <rPr>
        <sz val="12"/>
        <color rgb="FF00B050"/>
        <rFont val="Times New Roman"/>
        <family val="1"/>
        <charset val="238"/>
      </rPr>
      <t xml:space="preserve"> </t>
    </r>
  </si>
  <si>
    <t>Štipendiá z vlastných zdrojov podľa § 97 zákona v rokoch 2018 a 2019</t>
  </si>
  <si>
    <t xml:space="preserve">Motivačné štipendiá  v rokoch 2018 a 2019 (v zmysle § 96a  zákona ) </t>
  </si>
  <si>
    <t>Štruktúra účtu 384 - výnosy budúcich období v rokoch 2018 a 2019</t>
  </si>
  <si>
    <t>Výnosy verejnej vysokej školy v roku 2019 v oblasti sociálnej podpory študentov</t>
  </si>
  <si>
    <r>
      <t>Náklady verejnej vysokej školy  v roku 2019</t>
    </r>
    <r>
      <rPr>
        <sz val="12"/>
        <color indexed="10"/>
        <rFont val="Times New Roman"/>
        <family val="1"/>
        <charset val="238"/>
      </rPr>
      <t xml:space="preserve"> </t>
    </r>
    <r>
      <rPr>
        <sz val="12"/>
        <rFont val="Times New Roman"/>
        <family val="1"/>
        <charset val="238"/>
      </rPr>
      <t>v oblasti sociálnej podpory študentov</t>
    </r>
  </si>
  <si>
    <t>v r.2019 sa nepoužíval</t>
  </si>
  <si>
    <r>
      <t xml:space="preserve">bezpečnostný príplatok </t>
    </r>
    <r>
      <rPr>
        <strike/>
        <sz val="12"/>
        <color theme="1"/>
        <rFont val="Times New Roman"/>
        <family val="1"/>
        <charset val="238"/>
      </rPr>
      <t>z UD MSSR</t>
    </r>
  </si>
  <si>
    <t>zvýšenie PhD. štipendia z Neúčel D MSVVaS SR</t>
  </si>
  <si>
    <t>základné z Neúčel D MSVVaS SR</t>
  </si>
  <si>
    <t>???</t>
  </si>
  <si>
    <r>
      <t xml:space="preserve">Priemerné platy </t>
    </r>
    <r>
      <rPr>
        <b/>
        <i/>
        <sz val="11"/>
        <color theme="1"/>
        <rFont val="Times New Roman"/>
        <family val="1"/>
        <charset val="238"/>
      </rPr>
      <t>mužov</t>
    </r>
  </si>
  <si>
    <r>
      <t xml:space="preserve">Priemerný evidenčný prepočítaný počet </t>
    </r>
    <r>
      <rPr>
        <b/>
        <sz val="12"/>
        <rFont val="Times New Roman"/>
        <family val="1"/>
        <charset val="238"/>
      </rPr>
      <t>žien</t>
    </r>
    <r>
      <rPr>
        <b/>
        <sz val="12"/>
        <rFont val="Times New Roman"/>
        <family val="1"/>
      </rPr>
      <t xml:space="preserve"> za rok 2019</t>
    </r>
  </si>
  <si>
    <t>Priemerný evidenčný prepočítaný počet zamestnancov za rok 2019</t>
  </si>
  <si>
    <r>
      <t xml:space="preserve">Dotácia na kapitálové výdavky zo štátneho rozpočtu </t>
    </r>
    <r>
      <rPr>
        <b/>
        <sz val="12"/>
        <color rgb="FFFF0000"/>
        <rFont val="Times New Roman"/>
        <family val="1"/>
        <charset val="238"/>
      </rPr>
      <t xml:space="preserve"> (111, 131H, 131I *)</t>
    </r>
  </si>
  <si>
    <t>zdroj 131H, 131I  len za ŠD</t>
  </si>
  <si>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</si>
  <si>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r>
      <t>T5_R56_SC+SD &gt;=&lt; T6_R18_SH
T5_R77_(SC+SD) = T7_R1_SE
T5_R81_S</t>
    </r>
    <r>
      <rPr>
        <sz val="12"/>
        <color rgb="FFFF0000"/>
        <rFont val="Times New Roman"/>
        <family val="1"/>
        <charset val="238"/>
      </rPr>
      <t>D</t>
    </r>
    <r>
      <rPr>
        <sz val="12"/>
        <color theme="1"/>
        <rFont val="Times New Roman"/>
        <family val="1"/>
        <charset val="238"/>
      </rPr>
      <t xml:space="preserve"> = T19_R1_SC</t>
    </r>
  </si>
  <si>
    <t>zmena vzťahu : T5_R81_SD = T19_R1_SC</t>
  </si>
  <si>
    <r>
      <t>T11_SB_R10a = T17_SC+SD_R1</t>
    </r>
    <r>
      <rPr>
        <sz val="12"/>
        <color rgb="FFFF0000"/>
        <rFont val="Times New Roman"/>
        <family val="1"/>
        <charset val="238"/>
      </rPr>
      <t>6</t>
    </r>
  </si>
  <si>
    <t>zmena vzťahu: T11_SB_R10a = T17_SC+SD_R16</t>
  </si>
  <si>
    <t xml:space="preserve">Čerpanie 
z ostatných zdrojov prostredníctvom fondu reprodukcie </t>
  </si>
  <si>
    <r>
      <t xml:space="preserve">Výnosy z použitia fondov (účet 656) [SUM(R51:R55)]  </t>
    </r>
    <r>
      <rPr>
        <b/>
        <vertAlign val="superscript"/>
        <sz val="12"/>
        <color theme="1"/>
        <rFont val="Times New Roman"/>
        <family val="1"/>
        <charset val="238"/>
      </rPr>
      <t xml:space="preserve"> 1)</t>
    </r>
  </si>
  <si>
    <t>Výnosy zo školného (účet 648) [SUM(R21:R25)]</t>
  </si>
  <si>
    <r>
      <t xml:space="preserve">Spolu </t>
    </r>
    <r>
      <rPr>
        <sz val="11"/>
        <color theme="1"/>
        <rFont val="Times New Roman"/>
        <family val="1"/>
        <charset val="238"/>
      </rPr>
      <t>[R1+R6+SUM(R11:R16)+R19+R20+R26+R33+R34+SUM(R45:R50)+SUM(R56:R62)]</t>
    </r>
  </si>
  <si>
    <r>
      <t xml:space="preserve">Uvedie sa objem prijatej kapitálovej dotácie z rozpočtu kapitoly MŠVVaŠ SR a z iných rozpočtových kapitol v roku 2019 zo zdroja 111, 131H a </t>
    </r>
    <r>
      <rPr>
        <sz val="12"/>
        <color rgb="FFFF0000"/>
        <rFont val="Times New Roman"/>
        <family val="1"/>
        <charset val="238"/>
      </rPr>
      <t>131I</t>
    </r>
    <r>
      <rPr>
        <sz val="12"/>
        <color theme="1"/>
        <rFont val="Times New Roman"/>
        <family val="1"/>
        <charset val="238"/>
      </rPr>
      <t xml:space="preserve"> (kapitálová dotácia, ktorá bola verejnej vysokej škole poukázaná na účet (cash) v sledovanom období,  účet 346002 - strana DAL)</t>
    </r>
  </si>
  <si>
    <t>vložený zdroj 131I</t>
  </si>
  <si>
    <t xml:space="preserve">Pri vypĺňaní tabuľky je potrebné dodržiavať "Manuál k vedeniu účtovníctva od 1. januára 2019 pre verejné vysoké školy používajúce finančný informačný systém SOFIA (verzia2) " </t>
  </si>
  <si>
    <t>zmenený názov usmernenia v súvzťažnostiach</t>
  </si>
  <si>
    <r>
      <t>výnosy verejnej vysokej školy v roku 2019</t>
    </r>
    <r>
      <rPr>
        <sz val="12"/>
        <color rgb="FFFF0000"/>
        <rFont val="Times New Roman"/>
        <family val="1"/>
        <charset val="238"/>
      </rPr>
      <t xml:space="preserve"> </t>
    </r>
    <r>
      <rPr>
        <sz val="12"/>
        <rFont val="Times New Roman"/>
        <family val="1"/>
        <charset val="238"/>
      </rPr>
      <t>v oblasti sociálnej podpory študentov</t>
    </r>
  </si>
  <si>
    <r>
      <t>náklady verejnej vysokej školy  v roku 2019</t>
    </r>
    <r>
      <rPr>
        <sz val="12"/>
        <color rgb="FFFF0000"/>
        <rFont val="Times New Roman"/>
        <family val="1"/>
        <charset val="238"/>
      </rPr>
      <t xml:space="preserve"> </t>
    </r>
    <r>
      <rPr>
        <sz val="12"/>
        <rFont val="Times New Roman"/>
        <family val="1"/>
        <charset val="238"/>
      </rPr>
      <t>v oblasti sociálnej podpory študentov</t>
    </r>
  </si>
  <si>
    <t xml:space="preserve">príjmy verejnej vysokej školy  v roku 2019 majúce charakter dotácie </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</si>
  <si>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</si>
  <si>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Uvedie sa rozsah ubytovania študentov v osobomesiacoch. Napríklad, študent, ktorý býval v študentskom domove 10 mesiacov, prispeje do počtu osobomesiacov údajom 10.</t>
  </si>
  <si>
    <t>T13_SG(SH) uvádzajte tvorbu fondu podľa §16a bod d) zákona 131/2002 Z. z., t.j. fondu na podporu štúdia študentov so špecifickými potrebami</t>
  </si>
  <si>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</si>
  <si>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r>
      <t xml:space="preserve">Pre účely výpočtu počtu zamestnancov bola použitá metóda </t>
    </r>
    <r>
      <rPr>
        <sz val="11"/>
        <color indexed="8"/>
        <rFont val="Times New Roman"/>
        <family val="1"/>
        <charset val="238"/>
      </rPr>
      <t xml:space="preserve">- </t>
    </r>
    <r>
      <rPr>
        <b/>
        <sz val="11"/>
        <color indexed="8"/>
        <rFont val="Times New Roman"/>
        <family val="1"/>
        <charset val="238"/>
      </rPr>
      <t>Priemerný evidenčný počet zamestnancov - prepočítaný počet</t>
    </r>
    <r>
      <rPr>
        <sz val="11"/>
        <color indexed="8"/>
        <rFont val="Times New Roman"/>
        <family val="1"/>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</si>
  <si>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t xml:space="preserve">    - bežné účty pre študentské domovy</t>
  </si>
  <si>
    <t xml:space="preserve">    - bežné účty pre študentské jedálne</t>
  </si>
  <si>
    <t xml:space="preserve">    - bežné účety na riešenie úloh vedy a
      výskumu  zo SR, resp.zahraničia </t>
  </si>
  <si>
    <t>účty rezervného fondu</t>
  </si>
  <si>
    <t>účty fondu reprodukcie</t>
  </si>
  <si>
    <t>účty štipendijného fondu</t>
  </si>
  <si>
    <t>účty fondov na podporu štúdia študentov so špecifickými potrebami</t>
  </si>
  <si>
    <t>účty ostatných fondov</t>
  </si>
  <si>
    <t>dotačný účet VVŠ</t>
  </si>
  <si>
    <t>devízové účty</t>
  </si>
  <si>
    <t>účty sociálneho fondu</t>
  </si>
  <si>
    <t>účty podnikateľskej činnosti</t>
  </si>
  <si>
    <t xml:space="preserve">   účty termínovaných vkladov</t>
  </si>
  <si>
    <t>bežné účty - zábezpeka</t>
  </si>
  <si>
    <t xml:space="preserve">   účty mimo Štátnej pokladnice spolu</t>
  </si>
  <si>
    <t>ostatné bankové účty v Štátnej pokladnici 
mimo účtov uvedených v R2:R16</t>
  </si>
  <si>
    <t>- bežné účty okrem účtov uvedených v 
  R4:R6</t>
  </si>
  <si>
    <t>Účty v Štátnej pokladnici spolu [SUM(R2:R16)]</t>
  </si>
  <si>
    <t>Stav bankových účtov v ŠP spolu [R1+R18+R19]</t>
  </si>
  <si>
    <r>
      <t>T16_</t>
    </r>
    <r>
      <rPr>
        <sz val="12"/>
        <color rgb="FFFF0000"/>
        <rFont val="Times New Roman"/>
        <family val="1"/>
        <charset val="238"/>
      </rPr>
      <t>R20</t>
    </r>
    <r>
      <rPr>
        <sz val="12"/>
        <rFont val="Times New Roman"/>
        <family val="1"/>
        <charset val="238"/>
      </rPr>
      <t>_SB = výkazníctvo, súvaha, časť Aktíva, riadok 053,</t>
    </r>
  </si>
  <si>
    <t xml:space="preserve">Verejná vysoká škola tu uvedie stavy na jednotlivých účtoch. </t>
  </si>
  <si>
    <r>
      <t>T16_</t>
    </r>
    <r>
      <rPr>
        <sz val="12"/>
        <color rgb="FFFF0000"/>
        <rFont val="Times New Roman"/>
        <family val="1"/>
        <charset val="238"/>
      </rPr>
      <t>R3</t>
    </r>
  </si>
  <si>
    <r>
      <t xml:space="preserve">Verejná vysoká škola tu uvedie stavy na bežných účtoch neuvedených v riadkoch </t>
    </r>
    <r>
      <rPr>
        <sz val="12"/>
        <color rgb="FFFF0000"/>
        <rFont val="Times New Roman"/>
        <family val="1"/>
        <charset val="238"/>
      </rPr>
      <t>R4:R6</t>
    </r>
    <r>
      <rPr>
        <sz val="12"/>
        <rFont val="Times New Roman"/>
        <family val="1"/>
        <charset val="238"/>
      </rPr>
      <t>.</t>
    </r>
  </si>
  <si>
    <r>
      <t xml:space="preserve">Tabuľka č. 16 poskytuje informácie o objeme a štruktúre finančných prostriedkov na bankových účtoch verejnej vysokej školy  k 31. 12. 2019 v členení podľa jednotlivých skupín účtov. Celkový objem finančných prostriedkov za všetky účty v Štátnej pokladnici musí byť v súlade s údajmi, ktoré vykazuje Štátna pokladnica za každého klienta ŠP osobitne. </t>
    </r>
    <r>
      <rPr>
        <b/>
        <sz val="12"/>
        <color rgb="FFFF0000"/>
        <rFont val="Times New Roman"/>
        <family val="1"/>
        <charset val="238"/>
      </rPr>
      <t xml:space="preserve">V stĺpci C vysoká škola uvedie čísla všetkých účtov v tvare IBAN. </t>
    </r>
  </si>
  <si>
    <r>
      <t>T16_</t>
    </r>
    <r>
      <rPr>
        <sz val="12"/>
        <color rgb="FFFF0000"/>
        <rFont val="Times New Roman"/>
        <family val="1"/>
        <charset val="238"/>
      </rPr>
      <t>R2:R16</t>
    </r>
  </si>
  <si>
    <r>
      <t>T16_</t>
    </r>
    <r>
      <rPr>
        <sz val="12"/>
        <color rgb="FFFF0000"/>
        <rFont val="Times New Roman"/>
        <family val="1"/>
        <charset val="238"/>
      </rPr>
      <t>R16</t>
    </r>
  </si>
  <si>
    <t>Verejná vysoká škola tu uvedie stavy na účtoch, na ktoré uchádzači  počas procesu verejného obstarávania vkladajú finančnú zábezpeku.</t>
  </si>
  <si>
    <r>
      <t xml:space="preserve">T16_ </t>
    </r>
    <r>
      <rPr>
        <sz val="12"/>
        <color rgb="FFFF0000"/>
        <rFont val="Times New Roman"/>
        <family val="1"/>
        <charset val="238"/>
      </rPr>
      <t>R17</t>
    </r>
  </si>
  <si>
    <t>V tomto riadku uvedie verejná vysoká škola všetky ostatné stavy na bankových účtov v Štátnej pokladnici, ktoré neboli zaradené ani do jednej skupiny účtov.</t>
  </si>
  <si>
    <r>
      <t>T16_</t>
    </r>
    <r>
      <rPr>
        <sz val="12"/>
        <color rgb="FFFF0000"/>
        <rFont val="Times New Roman"/>
        <family val="1"/>
        <charset val="238"/>
      </rPr>
      <t>R18</t>
    </r>
  </si>
  <si>
    <r>
      <t>T16_</t>
    </r>
    <r>
      <rPr>
        <sz val="12"/>
        <color rgb="FFFF0000"/>
        <rFont val="Times New Roman"/>
        <family val="1"/>
        <charset val="238"/>
      </rPr>
      <t>R19</t>
    </r>
  </si>
  <si>
    <t>celá prerobená</t>
  </si>
  <si>
    <r>
      <t xml:space="preserve">Čísla účtov v </t>
    </r>
    <r>
      <rPr>
        <b/>
        <sz val="12"/>
        <color rgb="FF0000FF"/>
        <rFont val="Times New Roman"/>
        <family val="1"/>
        <charset val="238"/>
      </rPr>
      <t>tvare IBAN</t>
    </r>
  </si>
  <si>
    <t>T16_R2</t>
  </si>
  <si>
    <t>vložený riadok</t>
  </si>
  <si>
    <t>v hlavičkách, vo vysvetlivkách a v súvzťažnostiach boli zmenené (aktualizované) roky , všetky zmeny vo vysvetlivkách a súvzťažnostiach sú vyznačené farebne
vo vysvetlivkách pridaný riadok 79 - T16_R2</t>
  </si>
  <si>
    <t>zdroj 1AB + 3AB spolu</t>
  </si>
  <si>
    <t>zdroj 11S1; 13S1</t>
  </si>
  <si>
    <t>zdroj 11S2; 13S2</t>
  </si>
  <si>
    <t>zdroj 11T1; 13T1</t>
  </si>
  <si>
    <t>zdroj 11T2; 13T2</t>
  </si>
  <si>
    <t>zdroj 1AC1; 3AC1</t>
  </si>
  <si>
    <t>zdroj 1AC2; 3AC2</t>
  </si>
  <si>
    <t>zdroj 1AB1; 3AB1</t>
  </si>
  <si>
    <t>zdroj 1AB2; 3AB2</t>
  </si>
  <si>
    <t>zdroj 1AM + 3AM spolu</t>
  </si>
  <si>
    <t>zdroj 1AM1; 3AM1</t>
  </si>
  <si>
    <t>zdroj 1AM2; 3AM2</t>
  </si>
  <si>
    <t>zdroj 1AJ + 3AJ spolu</t>
  </si>
  <si>
    <t>zdroj 1AJ1; 3AJ1</t>
  </si>
  <si>
    <t>zdroj 1AJ2; 3AJ2</t>
  </si>
  <si>
    <t xml:space="preserve">Dotačný účet VVŠ, na ktorý MŠVVaŠ SR poskytuje dotáciu. </t>
  </si>
  <si>
    <r>
      <t>Ak má VVŠ finančné prostriedky zaúčtované na účte 261 - peniaze na ceste, uvedie ich v tomto riadku: z dôvodu kontroly stavu na bankových účtoch k 31. 12. 2019</t>
    </r>
    <r>
      <rPr>
        <sz val="12"/>
        <color rgb="FFFF0000"/>
        <rFont val="Times New Roman"/>
        <family val="1"/>
        <charset val="238"/>
      </rPr>
      <t xml:space="preserve"> </t>
    </r>
    <r>
      <rPr>
        <sz val="12"/>
        <rFont val="Times New Roman"/>
        <family val="1"/>
        <charset val="238"/>
      </rPr>
      <t xml:space="preserve">na údaje zo súvahy. </t>
    </r>
  </si>
  <si>
    <r>
      <t>Tabuľka č.19 poskytuje informácie o objeme a štruktúre štipendií  vyplácaných verejnou vysokou školou z vlastných zdrojov podľa § 97 zákona. Neobsahuje</t>
    </r>
    <r>
      <rPr>
        <b/>
        <sz val="12"/>
        <rFont val="Times New Roman"/>
        <family val="1"/>
        <charset val="238"/>
      </rPr>
      <t xml:space="preserve"> údaje o "normálnych" štipendiách vyplatených doktorandom (t.j. podľa §54, ods.18 zákona)</t>
    </r>
  </si>
  <si>
    <r>
      <t>T4_R1_SA(SB) = T3_R20_SA(SC),
T4_R</t>
    </r>
    <r>
      <rPr>
        <sz val="12"/>
        <color rgb="FFFF0000"/>
        <rFont val="Times New Roman"/>
        <family val="1"/>
        <charset val="238"/>
      </rPr>
      <t>6</t>
    </r>
    <r>
      <rPr>
        <sz val="12"/>
        <color theme="1"/>
        <rFont val="Times New Roman"/>
        <family val="1"/>
        <charset val="238"/>
      </rPr>
      <t>_SA(SB) = T3_R26_SA(SC) 
T4_R1</t>
    </r>
    <r>
      <rPr>
        <sz val="12"/>
        <color rgb="FFFF0000"/>
        <rFont val="Times New Roman"/>
        <family val="1"/>
        <charset val="238"/>
      </rPr>
      <t>4</t>
    </r>
    <r>
      <rPr>
        <sz val="12"/>
        <color theme="1"/>
        <rFont val="Times New Roman"/>
        <family val="1"/>
        <charset val="238"/>
      </rPr>
      <t xml:space="preserve">_SA(SB) = T13_R9_SE(SF)
</t>
    </r>
    <r>
      <rPr>
        <strike/>
        <sz val="12"/>
        <color rgb="FFFF0000"/>
        <rFont val="Times New Roman"/>
        <family val="1"/>
        <charset val="238"/>
      </rPr>
      <t>T4_R14_SA = T22_R58_SA</t>
    </r>
    <r>
      <rPr>
        <sz val="12"/>
        <color theme="1"/>
        <rFont val="Times New Roman"/>
        <family val="1"/>
        <charset val="238"/>
      </rPr>
      <t xml:space="preserve">
T4_R15_SB = T22_R57_SB</t>
    </r>
  </si>
  <si>
    <r>
      <t>Údaje v T4 sú kontrolované na údaje z T3, a to na výnosy z hlavnej činnosti - školné (T3_R20), poplatky spojené so štúdiom (T3_R26). 
Údaj  v R1</t>
    </r>
    <r>
      <rPr>
        <sz val="12"/>
        <color rgb="FFFF0000"/>
        <rFont val="Times New Roman"/>
        <family val="1"/>
        <charset val="238"/>
      </rPr>
      <t>4</t>
    </r>
    <r>
      <rPr>
        <sz val="12"/>
        <color theme="1"/>
        <rFont val="Times New Roman"/>
        <family val="1"/>
        <charset val="238"/>
      </rPr>
      <t xml:space="preserve"> - návrh na prídel do štipendijného fondu musí byť minimálne vo výške vykazovanom na riadku R14 - základ pre prídel do štipendijného fondu.</t>
    </r>
  </si>
  <si>
    <t>upravená súvzťažnosť</t>
  </si>
  <si>
    <r>
      <t>T3_R20_SA (SC) = T4_R1_SA (SB),
T3_R26_SA (SC) = T4_R</t>
    </r>
    <r>
      <rPr>
        <sz val="12"/>
        <color rgb="FFFF0000"/>
        <rFont val="Times New Roman"/>
        <family val="1"/>
        <charset val="238"/>
      </rPr>
      <t>6</t>
    </r>
    <r>
      <rPr>
        <sz val="12"/>
        <color theme="1"/>
        <rFont val="Times New Roman"/>
        <family val="1"/>
        <charset val="238"/>
      </rPr>
      <t>_SA (SB)</t>
    </r>
  </si>
  <si>
    <r>
      <t>T13_R9_SF = T4_R1</t>
    </r>
    <r>
      <rPr>
        <sz val="12"/>
        <color rgb="FFFF0000"/>
        <rFont val="Times New Roman"/>
        <family val="1"/>
        <charset val="238"/>
      </rPr>
      <t>4</t>
    </r>
    <r>
      <rPr>
        <sz val="12"/>
        <color theme="1"/>
        <rFont val="Times New Roman"/>
        <family val="1"/>
        <charset val="238"/>
      </rPr>
      <t>_SB</t>
    </r>
  </si>
  <si>
    <r>
      <t>T4_R1</t>
    </r>
    <r>
      <rPr>
        <b/>
        <sz val="12"/>
        <color rgb="FFFF0000"/>
        <rFont val="Times New Roman"/>
        <family val="1"/>
        <charset val="238"/>
      </rPr>
      <t>3</t>
    </r>
  </si>
  <si>
    <r>
      <t>T4_R1</t>
    </r>
    <r>
      <rPr>
        <b/>
        <sz val="12"/>
        <color rgb="FFFF0000"/>
        <rFont val="Times New Roman"/>
        <family val="1"/>
        <charset val="238"/>
      </rPr>
      <t>4</t>
    </r>
  </si>
  <si>
    <r>
      <t>Návrh na prídel do štipendijného fondu na základe rozhodnutia VVŠ, ktorý sa musí rovnať minimálne objemu z riadku R1</t>
    </r>
    <r>
      <rPr>
        <b/>
        <sz val="12"/>
        <color rgb="FFFF0000"/>
        <rFont val="Times New Roman"/>
        <family val="1"/>
        <charset val="238"/>
      </rPr>
      <t>3</t>
    </r>
    <r>
      <rPr>
        <b/>
        <sz val="12"/>
        <rFont val="Times New Roman"/>
        <family val="1"/>
        <charset val="238"/>
      </rPr>
      <t>.</t>
    </r>
  </si>
  <si>
    <r>
      <t>T23_R24_SA_(SB)≥T19_R1_SA_(SC)
T23_R30_SA_(SB)=T4_R1</t>
    </r>
    <r>
      <rPr>
        <sz val="12"/>
        <color rgb="FFFF0000"/>
        <rFont val="Times New Roman"/>
        <family val="1"/>
        <charset val="238"/>
      </rPr>
      <t>4</t>
    </r>
    <r>
      <rPr>
        <sz val="12"/>
        <color theme="1"/>
        <rFont val="Times New Roman"/>
        <family val="1"/>
        <charset val="238"/>
      </rPr>
      <t>_SA_(SB)</t>
    </r>
  </si>
  <si>
    <r>
      <t>T22_R57_SA (SB) = T4_R1</t>
    </r>
    <r>
      <rPr>
        <sz val="12"/>
        <color rgb="FFFF0000"/>
        <rFont val="Times New Roman"/>
        <family val="1"/>
        <charset val="238"/>
      </rPr>
      <t>4</t>
    </r>
    <r>
      <rPr>
        <sz val="12"/>
        <rFont val="Times New Roman"/>
        <family val="1"/>
        <charset val="238"/>
      </rPr>
      <t xml:space="preserve">_SB
</t>
    </r>
    <r>
      <rPr>
        <sz val="11"/>
        <rFont val="Times New Roman"/>
        <family val="1"/>
        <charset val="238"/>
      </rPr>
      <t>T22R_R64_SA_(SB)= T19_R1_SA_(SC)</t>
    </r>
  </si>
  <si>
    <t>odstránený R6 (cudzinci podľa prechodných ustanovení) a upravené s tým súvisiace súvzťažnosti v T3, T13, T22, T23</t>
  </si>
  <si>
    <t>V prípade, že časť dotácie škola posúva na zmluvné zariadenia, uveďe objem posunutej dotácie do poznámky pod tabuľkou.</t>
  </si>
  <si>
    <r>
      <t>T17_</t>
    </r>
    <r>
      <rPr>
        <sz val="12"/>
        <color rgb="FFFF0000"/>
        <rFont val="Times New Roman"/>
        <family val="1"/>
        <charset val="238"/>
      </rPr>
      <t>R15</t>
    </r>
  </si>
  <si>
    <r>
      <t>Dotácie z iných kapitol spolu [</t>
    </r>
    <r>
      <rPr>
        <sz val="12"/>
        <color theme="1"/>
        <rFont val="Times New Roman"/>
        <family val="1"/>
        <charset val="238"/>
      </rPr>
      <t>R15+R18+R21+....] *)</t>
    </r>
  </si>
  <si>
    <r>
      <t xml:space="preserve">Dotácie z kapitoly MŠVVaŠ SR spolu </t>
    </r>
    <r>
      <rPr>
        <sz val="12"/>
        <color theme="1"/>
        <rFont val="Times New Roman"/>
        <family val="1"/>
        <charset val="238"/>
      </rPr>
      <t xml:space="preserve">[R1+R4+R7+R10] </t>
    </r>
  </si>
  <si>
    <t>za riadok 23 uveďte ďalšie zdroje, ktoré boli poskytnuté z EÚ a z iných kapitol</t>
  </si>
  <si>
    <r>
      <t>Dotácie z prostriedkov EÚ spolu</t>
    </r>
    <r>
      <rPr>
        <sz val="12"/>
        <color indexed="8"/>
        <rFont val="Times New Roman"/>
        <family val="1"/>
      </rPr>
      <t xml:space="preserve"> [R13+R14]</t>
    </r>
  </si>
  <si>
    <r>
      <rPr>
        <sz val="12"/>
        <rFont val="Times New Roman"/>
        <family val="1"/>
        <charset val="238"/>
      </rPr>
      <t>Globálna hodnota na bankových účtoch z R20 sa kontroluje na Súvahu, časť Aktíva, r. 053.</t>
    </r>
    <r>
      <rPr>
        <sz val="12"/>
        <color rgb="FFFF0000"/>
        <rFont val="Times New Roman"/>
        <family val="1"/>
        <charset val="238"/>
      </rPr>
      <t xml:space="preserve">
</t>
    </r>
  </si>
  <si>
    <r>
      <t xml:space="preserve">Tabuľka č. 1 poskytuje informácie o celkovom objeme a programovej štruktúre príjmov na základe Zmluvy o poskytnutí  dotácií  zo štátneho rozpočtu prostredníctvom kapitoly MŠVVaŠ  na  programe  077 na zdroji 111, 131H a </t>
    </r>
    <r>
      <rPr>
        <b/>
        <sz val="12"/>
        <color rgb="FFFF0000"/>
        <rFont val="Times New Roman"/>
        <family val="1"/>
        <charset val="238"/>
      </rPr>
      <t>131I</t>
    </r>
    <r>
      <rPr>
        <b/>
        <sz val="12"/>
        <color theme="1"/>
        <rFont val="Times New Roman"/>
        <family val="1"/>
        <charset val="238"/>
      </rPr>
      <t xml:space="preserve"> (pri KV).  Dotácie programov 021, 05T, 06K, resp. programov zo štrukturálnych fondov EÚ </t>
    </r>
    <r>
      <rPr>
        <b/>
        <u/>
        <sz val="12"/>
        <color theme="1"/>
        <rFont val="Times New Roman"/>
        <family val="1"/>
        <charset val="238"/>
      </rPr>
      <t>nie sú</t>
    </r>
    <r>
      <rPr>
        <b/>
        <sz val="12"/>
        <color theme="1"/>
        <rFont val="Times New Roman"/>
        <family val="1"/>
        <charset val="238"/>
      </rPr>
      <t xml:space="preserve"> súčasťou tejto zmluvy. </t>
    </r>
  </si>
  <si>
    <r>
      <t xml:space="preserve">   V stĺpci A uvádzajte pre KV: zdroj 111+131H+</t>
    </r>
    <r>
      <rPr>
        <sz val="12"/>
        <color rgb="FFFF0000"/>
        <rFont val="Times New Roman"/>
        <family val="1"/>
        <charset val="238"/>
      </rPr>
      <t xml:space="preserve"> 131I</t>
    </r>
    <r>
      <rPr>
        <sz val="12"/>
        <color theme="1"/>
        <rFont val="Times New Roman"/>
        <family val="1"/>
      </rPr>
      <t xml:space="preserve"> (príjem na 322 001)</t>
    </r>
  </si>
  <si>
    <r>
      <t xml:space="preserve">Ak VVŠ obdržala finančné prostriedky aj z inej kapitoly štátneho rozpočtu, uvádzajú sa osobitne. Tieto dotácie sa evidujú na zdrojoch podľa platnej rozpočtovej klasifikácie na rok 2019 a nie sú súčasťou dotácií, vykazovaných v T2_R1.  Pri dotáciách z MŠVVaŠ SR nevymenované, ale používané zdroje uveďte </t>
    </r>
    <r>
      <rPr>
        <sz val="12"/>
        <color rgb="FFFF0000"/>
        <rFont val="Times New Roman"/>
        <family val="1"/>
        <charset val="238"/>
      </rPr>
      <t>do riadkov R23a ....</t>
    </r>
    <r>
      <rPr>
        <sz val="12"/>
        <color theme="1"/>
        <rFont val="Times New Roman"/>
        <family val="1"/>
        <charset val="238"/>
      </rPr>
      <t>.</t>
    </r>
  </si>
  <si>
    <t>23a</t>
  </si>
  <si>
    <t>23b</t>
  </si>
  <si>
    <r>
      <t>Čerpanie kapitálovej dotácie v roku 2019</t>
    </r>
    <r>
      <rPr>
        <b/>
        <sz val="11"/>
        <color theme="1"/>
        <rFont val="Times New Roman"/>
        <family val="1"/>
      </rPr>
      <t xml:space="preserve">
zo štátneho rozpočtu (111 a 131H, 131I) *)</t>
    </r>
  </si>
  <si>
    <t>Náklady na štipendiá doktorandov v dennej forme štúdia spolu</t>
  </si>
  <si>
    <t xml:space="preserve">Tabuľka č. 7: Náklady verejnej vysokej školy na štipendiá doktorandov v dennej forme štúdia v roku 2019 </t>
  </si>
  <si>
    <t>Náklady verejnej vysokej školy na štipendiá  doktorandov v dennej forme štúdia v roku 2019</t>
  </si>
  <si>
    <t>Tabuľka č. 7 poskytuje informácie o  počte osobomesiacov doktorandov v dennej forme štúdia, o nákladoch vysokej školy na štipendiá doktorandov.</t>
  </si>
  <si>
    <t>T20_R2 = dotačná zmluva 2018 (2019)_účelová dotácia na motivačné štipendiá</t>
  </si>
  <si>
    <t>používa sa napr. na výpočet valorizácie</t>
  </si>
  <si>
    <t>Počet osobomesiacov doktorandov v dennej forme štúdia spolu</t>
  </si>
  <si>
    <t>Priemerný mesačný náklad na doktoranda v dennej forme štúdia</t>
  </si>
  <si>
    <t>MZ SR projekt  07B0104 Rezident</t>
  </si>
  <si>
    <t>MZ SR projekt  07B0307 (3 projekty)</t>
  </si>
  <si>
    <t>1c</t>
  </si>
  <si>
    <t>APVV pre spoluriešiteľov</t>
  </si>
  <si>
    <t>MK SR fond na podporu umenia pre UK</t>
  </si>
  <si>
    <t>1d</t>
  </si>
  <si>
    <t>1e</t>
  </si>
  <si>
    <t>Združenie SANET</t>
  </si>
  <si>
    <t>1f</t>
  </si>
  <si>
    <t>MH dohoda o refundácii.fin.prostr prezentácia Brusel 10/2019</t>
  </si>
  <si>
    <t>3c</t>
  </si>
  <si>
    <t>3d</t>
  </si>
  <si>
    <t>Višehradský fond</t>
  </si>
  <si>
    <t>od úradu práce</t>
  </si>
  <si>
    <t>príspevok od Slov.botanickej spoločnosti na botanikiádu</t>
  </si>
  <si>
    <t>Nadácia MH SR pre TIP</t>
  </si>
  <si>
    <t>Univ.Medisch centrum Groningen</t>
  </si>
  <si>
    <t>Socrates</t>
  </si>
  <si>
    <t>4c</t>
  </si>
  <si>
    <t>Erasmus</t>
  </si>
  <si>
    <t>4d</t>
  </si>
  <si>
    <t>4e</t>
  </si>
  <si>
    <t>The European space Agency (ESA), Paris France Gallay</t>
  </si>
  <si>
    <t xml:space="preserve">7.RP Martin Luther univ. Halle projekt Erasmus+acr.SciVis </t>
  </si>
  <si>
    <t>4f</t>
  </si>
  <si>
    <t>NATO Emerging Security Challenges Division, SPS Programme Brussels, Belgium</t>
  </si>
  <si>
    <t>4g</t>
  </si>
  <si>
    <t>4h</t>
  </si>
  <si>
    <t>H02020 projekt UrbanHist</t>
  </si>
  <si>
    <t>Karpatendeutsches Kulturwerk Slowakei Druckkostenzuschuss prof.Meier</t>
  </si>
  <si>
    <t>4i</t>
  </si>
  <si>
    <t>4j</t>
  </si>
  <si>
    <t>European X-Ray XFEL</t>
  </si>
  <si>
    <t>68a</t>
  </si>
  <si>
    <t xml:space="preserve"> - príspevok na rekreácie (účet 527006)</t>
  </si>
  <si>
    <r>
      <t>tvorba fondu z dotácie je povolená za rok 2019 (</t>
    </r>
    <r>
      <rPr>
        <b/>
        <sz val="11"/>
        <color rgb="FFFF0000"/>
        <rFont val="Times New Roman"/>
        <family val="1"/>
        <charset val="238"/>
      </rPr>
      <t>R8_SH</t>
    </r>
    <r>
      <rPr>
        <sz val="11"/>
        <color rgb="FFFF0000"/>
        <rFont val="Times New Roman"/>
        <family val="1"/>
        <charset val="238"/>
      </rPr>
      <t>)</t>
    </r>
  </si>
  <si>
    <t>zdroj 1AA3</t>
  </si>
  <si>
    <t>Botanická záhrada</t>
  </si>
  <si>
    <t>NHS National services Scotland (SCIROCCO) Rajničová</t>
  </si>
  <si>
    <t xml:space="preserve">SK65 8180 0000 0070 0024 1949 dotacný účet LF
SK79 8180 0000 0070 0013 7519 zostatkový účet LF
SK74 8180 0000 0070 0024 1690 dotacný účet PF
SK95 8180 0000 0070 0024 1797 dotačný účet FVS
SK16 8180 0000 0070 0063 3256 dotačný účet FF
SK38 8180 0000 0070 0063 3248 zostatkový účet FF
SK48 8180 0000 0070 0024 1770 dotačný účet Rektorát
SK35 8180 0000 0070 0013 7535 zostatkový  účet Rektorát
SK10 8180 0000 0070 0013 7500 zostatkový účet Práv.F
SK13 8180 0000 0070 0013 7543 zostatkový účet FVS
SK70 8180 0000 0070 0024 1762 dotačný účet Práv.F,
SK57 8180 0000 0070 0013 7527 zostatkový účet PF
</t>
  </si>
  <si>
    <t>SK36 8180 0000 0070 0043 6471  BU Cardpay HČ ŠJ</t>
  </si>
  <si>
    <t>SK91 8100 0000 0700 0007 8424 Devízový -USD LF</t>
  </si>
  <si>
    <t>SK98 8180 0000 0070 0007 8395 SF LF KE, 
SK21 8180 0000 0070 0007 8520 SF PF KE, 
SK94 8180 0000 0070 0007 8467 SF PrávF KE,
SK08 8180 0000 0070 0008 6029 SF FVS KE,
SK86 8180 0000 0070 0007 4343 SF UPJŠ KE
SK91 8180 0000 0070 0063 6264 SF FF</t>
  </si>
  <si>
    <t>SK15 8180 0000 0070 0046 7307 Zábezpeka,R</t>
  </si>
  <si>
    <t>SK16 8180 0000 0070 0007 8416 PČ LF, 
SK68 8180 0000 0070 0007 8547 PČ PF, 
SK50 8180 0000 0070 0007 8483 PČ Práv.F, 
SK39 8180 0000 0070 0008 6053 PČ FVS, 
SK11 8180 0000 0070 0007 4335 PČ R UPJŠ
SK62 8180 0000 0070 0063 3301 PČ FF</t>
  </si>
  <si>
    <t>SK38 8180 0000 0070 0044 0315 7RP SAILS,
SK14 8180 0000 0070 0053 5904 Erasmus + acr.SciVis
SK44 8180 0000 0070 0054 0893 Commenius SciCamp
SK68 8180 0000 0070 0054 7833 BU H2020-ALT, PF
SK43 8180 0000 0070 0055 9535 DeCaSuB
SK77 8180 0000 0070 0063 4195 Transfec
SK17 8180 0000 0070 0063 4208 Biomarkery
SK92 8180 0000 0070 0063 4216 DepDemGen</t>
  </si>
  <si>
    <t>SK41 8180 0000 0070 0057 0435 NP IT Akademia
SK23 8180 0000 0070 0007 8387 Dary a granty LF 
SK43 8180 0000 0070 0007 8512Dary a granty PF
SK19 8180 0000 0070 0007 8459 Dary a granty PrávF
SK36 8180 0000 0070 0008 6010 Dary a granty FVS
SK54 8180 0000 0070 0009 9751 Dary a granty Rektorát
SK19 8180 0000 0070 0063 3299 Dary a granty FF
SK89 8180 0000 0070 0007 4386 Socrates, R
SK79 8180 0000 0070 0035 8776 BÚ-MVP CCV, PF
SK07 8180 0000 0070 0036 8026 ESF MoVeS,FVS
SK95 8180 0000 0070 0046 7710 BU Technikom
SK05 8180 0000 0070 0049 7848 AŠF EU MŠ SR Platon
SK60 8180 0000 0070 0055 8938 BU SAAIC Erasmus+
SK43 8180 0000 0070 0059 3776 RKKZ UPJŠ KE
SK73 8180 0000 0070 0007 8360 BUN LF
SK28 8180 0000 0070 0007 8491 BUN PF KE
SK69 8180 0000 0070 0007 8432 BUN Práv.F KE
SK58 8180 0000 0070 0008 6002 BUN FVS KE
SK64 8180 0000 0070 0007 4351BUN R UPJŠ
SK47 8180 0000 0070 0063 3280 ZBU FF
SK59 8180 0000 0070 0062 0551 Iné dotácie zo ŠR</t>
  </si>
  <si>
    <t>Poznámka : R_8 stlpec C EK 713004 kapitály obstarané zo zdroja 111 Ministerstvo zdravotníctva - nadväznosť na príjem 322001 tabuľka 2</t>
  </si>
  <si>
    <t>- výnosy  účtu 648 (648 007-8, 648 009,648018, 648 016, 648 019, 648 022, 648 099)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</si>
</sst>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S_k_-;\-* #,##0.00\ _S_k_-;_-* &quot;-&quot;??\ _S_k_-;_-@_-"/>
    <numFmt numFmtId="165" formatCode="#,##0_ ;[Red]\-#,##0\ "/>
    <numFmt numFmtId="166" formatCode="#,##0.00_ ;[Red]\-#,##0.00\ "/>
    <numFmt numFmtId="167" formatCode="_-* #,##0\ _S_k_-;\-* #,##0\ _S_k_-;_-* &quot;-&quot;??\ _S_k_-;_-@_-"/>
    <numFmt numFmtId="168" formatCode="#,##0.000"/>
    <numFmt numFmtId="169" formatCode="0.000"/>
  </numFmts>
  <fonts count="133" x14ac:knownFonts="1">
    <font>
      <sz val="10"/>
      <name val="Arial"/>
      <charset val="238"/>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vertAlign val="superscript"/>
      <sz val="12"/>
      <color indexed="8"/>
      <name val="Times New Roman"/>
      <family val="1"/>
      <charset val="238"/>
    </font>
    <font>
      <strike/>
      <sz val="12"/>
      <name val="Times New Roman"/>
      <family val="1"/>
      <charset val="238"/>
    </font>
    <font>
      <strike/>
      <sz val="12"/>
      <name val="Times New Roman"/>
      <family val="1"/>
    </font>
    <font>
      <sz val="11"/>
      <name val="Times New Roman"/>
      <family val="1"/>
    </font>
    <font>
      <b/>
      <sz val="10"/>
      <name val="Arial"/>
      <family val="2"/>
      <charset val="238"/>
    </font>
    <font>
      <sz val="14"/>
      <name val="Times New Roman"/>
      <family val="1"/>
    </font>
    <font>
      <sz val="12"/>
      <color indexed="8"/>
      <name val="Times New Roman"/>
      <family val="1"/>
    </font>
    <font>
      <b/>
      <vertAlign val="superscript"/>
      <sz val="12"/>
      <name val="Times New Roman"/>
      <family val="1"/>
    </font>
    <font>
      <b/>
      <u/>
      <sz val="14"/>
      <name val="Times New Roman"/>
      <family val="1"/>
      <charset val="238"/>
    </font>
    <font>
      <b/>
      <sz val="11"/>
      <name val="Times New Roman"/>
      <family val="1"/>
    </font>
    <font>
      <b/>
      <sz val="10"/>
      <color indexed="8"/>
      <name val="Times New Roman"/>
      <family val="1"/>
      <charset val="238"/>
    </font>
    <font>
      <b/>
      <sz val="14"/>
      <color indexed="10"/>
      <name val="Times New Roman"/>
      <family val="1"/>
      <charset val="238"/>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b/>
      <sz val="12"/>
      <color rgb="FFFF0000"/>
      <name val="Arial"/>
      <family val="2"/>
      <charset val="238"/>
    </font>
    <font>
      <sz val="10"/>
      <color rgb="FFFF0000"/>
      <name val="Times New Roman"/>
      <family val="1"/>
    </font>
    <font>
      <b/>
      <sz val="14"/>
      <color rgb="FFFF0000"/>
      <name val="Times New Roman"/>
      <family val="1"/>
      <charset val="238"/>
    </font>
    <font>
      <sz val="14"/>
      <color rgb="FFFF0000"/>
      <name val="Times New Roman"/>
      <family val="1"/>
      <charset val="238"/>
    </font>
    <font>
      <sz val="12"/>
      <color rgb="FF00B050"/>
      <name val="Times New Roman"/>
      <family val="1"/>
      <charset val="238"/>
    </font>
    <font>
      <u/>
      <sz val="12"/>
      <color theme="1"/>
      <name val="Times New Roman"/>
      <family val="1"/>
      <charset val="238"/>
    </font>
    <font>
      <vertAlign val="superscript"/>
      <sz val="11"/>
      <name val="Times New Roman"/>
      <family val="1"/>
      <charset val="238"/>
    </font>
    <font>
      <sz val="10"/>
      <color rgb="FF0000FF"/>
      <name val="Arial"/>
      <family val="2"/>
      <charset val="238"/>
    </font>
    <font>
      <b/>
      <sz val="12"/>
      <color rgb="FF00B0F0"/>
      <name val="Times New Roman"/>
      <family val="1"/>
      <charset val="238"/>
    </font>
    <font>
      <sz val="12"/>
      <color rgb="FF0000FF"/>
      <name val="Times New Roman"/>
      <family val="1"/>
    </font>
    <font>
      <sz val="12"/>
      <color rgb="FF0000FF"/>
      <name val="Times New Roman"/>
      <family val="1"/>
      <charset val="238"/>
    </font>
    <font>
      <sz val="11"/>
      <color rgb="FF0000FF"/>
      <name val="Arial"/>
      <family val="2"/>
      <charset val="238"/>
    </font>
    <font>
      <b/>
      <sz val="14"/>
      <color theme="1"/>
      <name val="Times New Roman"/>
      <family val="1"/>
      <charset val="238"/>
    </font>
    <font>
      <i/>
      <sz val="12"/>
      <color theme="1"/>
      <name val="Times New Roman"/>
      <family val="1"/>
      <charset val="238"/>
    </font>
    <font>
      <sz val="11"/>
      <color theme="1"/>
      <name val="Times New Roman"/>
      <family val="1"/>
      <charset val="238"/>
    </font>
    <font>
      <b/>
      <sz val="12"/>
      <color rgb="FF0000FF"/>
      <name val="Times New Roman"/>
      <family val="1"/>
      <charset val="238"/>
    </font>
    <font>
      <i/>
      <sz val="12"/>
      <color theme="1"/>
      <name val="Times New Roman"/>
      <family val="1"/>
    </font>
    <font>
      <sz val="8"/>
      <color indexed="81"/>
      <name val="Tahoma"/>
      <family val="2"/>
      <charset val="238"/>
    </font>
    <font>
      <b/>
      <sz val="8"/>
      <color indexed="81"/>
      <name val="Tahoma"/>
      <family val="2"/>
      <charset val="238"/>
    </font>
    <font>
      <sz val="11"/>
      <color rgb="FFFF0000"/>
      <name val="Times New Roman"/>
      <family val="1"/>
    </font>
    <font>
      <sz val="11"/>
      <color rgb="FF0000FF"/>
      <name val="Times New Roman"/>
      <family val="1"/>
    </font>
    <font>
      <vertAlign val="superscript"/>
      <sz val="12"/>
      <color theme="1"/>
      <name val="Times New Roman"/>
      <family val="1"/>
      <charset val="238"/>
    </font>
    <font>
      <b/>
      <vertAlign val="superscript"/>
      <sz val="12"/>
      <color theme="1"/>
      <name val="Times New Roman"/>
      <family val="1"/>
      <charset val="238"/>
    </font>
    <font>
      <b/>
      <u/>
      <sz val="12"/>
      <color theme="1"/>
      <name val="Times New Roman"/>
      <family val="1"/>
      <charset val="238"/>
    </font>
    <font>
      <strike/>
      <sz val="12"/>
      <color theme="1"/>
      <name val="Times New Roman"/>
      <family val="1"/>
      <charset val="238"/>
    </font>
    <font>
      <i/>
      <sz val="11"/>
      <color theme="1"/>
      <name val="Times New Roman"/>
      <family val="1"/>
      <charset val="238"/>
    </font>
    <font>
      <b/>
      <i/>
      <sz val="11"/>
      <color theme="1"/>
      <name val="Times New Roman"/>
      <family val="1"/>
      <charset val="238"/>
    </font>
    <font>
      <strike/>
      <sz val="12"/>
      <color rgb="FFFF0000"/>
      <name val="Times New Roman"/>
      <family val="1"/>
      <charset val="238"/>
    </font>
    <font>
      <b/>
      <sz val="11"/>
      <color theme="1"/>
      <name val="Times New Roman"/>
      <family val="1"/>
      <charset val="238"/>
    </font>
    <font>
      <sz val="11"/>
      <color rgb="FF000000"/>
      <name val="Times New Roman"/>
      <family val="1"/>
      <charset val="238"/>
    </font>
    <font>
      <sz val="11"/>
      <color indexed="8"/>
      <name val="Times New Roman"/>
      <family val="1"/>
      <charset val="238"/>
    </font>
    <font>
      <b/>
      <sz val="11"/>
      <color indexed="8"/>
      <name val="Times New Roman"/>
      <family val="1"/>
      <charset val="238"/>
    </font>
    <font>
      <i/>
      <sz val="12"/>
      <color rgb="FFFF0000"/>
      <name val="Times New Roman"/>
      <family val="1"/>
      <charset val="238"/>
    </font>
    <font>
      <sz val="8"/>
      <color rgb="FFFF0000"/>
      <name val="Arial"/>
      <family val="2"/>
      <charset val="238"/>
    </font>
    <font>
      <b/>
      <sz val="9"/>
      <color indexed="81"/>
      <name val="Segoe UI"/>
      <family val="2"/>
      <charset val="238"/>
    </font>
    <font>
      <sz val="9"/>
      <color indexed="81"/>
      <name val="Segoe UI"/>
      <family val="2"/>
      <charset val="238"/>
    </font>
    <font>
      <sz val="11"/>
      <color rgb="FFFF0000"/>
      <name val="Times New Roman"/>
      <family val="1"/>
      <charset val="238"/>
    </font>
    <font>
      <b/>
      <sz val="11"/>
      <color rgb="FFFF0000"/>
      <name val="Times New Roman"/>
      <family val="1"/>
      <charset val="238"/>
    </font>
    <font>
      <sz val="8"/>
      <name val="Arial"/>
      <family val="2"/>
    </font>
    <font>
      <sz val="10"/>
      <color indexed="8"/>
      <name val="Times New Roman"/>
      <family val="1"/>
      <charset val="238"/>
    </font>
    <font>
      <sz val="8"/>
      <name val="Times New Roman"/>
      <family val="1"/>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rgb="FF66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indexed="49"/>
        <bgColor indexed="64"/>
      </patternFill>
    </fill>
    <fill>
      <patternFill patternType="solid">
        <fgColor indexed="42"/>
        <bgColor indexed="9"/>
      </patternFill>
    </fill>
  </fills>
  <borders count="87">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diagonal/>
    </border>
  </borders>
  <cellStyleXfs count="92">
    <xf numFmtId="0" fontId="0" fillId="0" borderId="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43" fillId="20" borderId="1" applyNumberFormat="0" applyAlignment="0" applyProtection="0"/>
    <xf numFmtId="164" fontId="1" fillId="0" borderId="0" applyFont="0" applyFill="0" applyBorder="0" applyAlignment="0" applyProtection="0"/>
    <xf numFmtId="164" fontId="19" fillId="0" borderId="0" applyFont="0" applyFill="0" applyBorder="0" applyAlignment="0" applyProtection="0"/>
    <xf numFmtId="0" fontId="45" fillId="0" borderId="0" applyNumberFormat="0" applyFill="0" applyBorder="0" applyAlignment="0" applyProtection="0"/>
    <xf numFmtId="0" fontId="46" fillId="4" borderId="0" applyNumberFormat="0" applyBorder="0" applyAlignment="0" applyProtection="0"/>
    <xf numFmtId="0" fontId="47" fillId="0" borderId="2" applyNumberFormat="0" applyFill="0" applyAlignment="0" applyProtection="0"/>
    <xf numFmtId="0" fontId="48" fillId="0" borderId="3" applyNumberFormat="0" applyFill="0" applyAlignment="0" applyProtection="0"/>
    <xf numFmtId="0" fontId="49" fillId="0" borderId="4" applyNumberFormat="0" applyFill="0" applyAlignment="0" applyProtection="0"/>
    <xf numFmtId="0" fontId="49" fillId="0" borderId="0" applyNumberFormat="0" applyFill="0" applyBorder="0" applyAlignment="0" applyProtection="0"/>
    <xf numFmtId="0" fontId="5" fillId="0" borderId="0" applyNumberFormat="0" applyFill="0" applyBorder="0" applyAlignment="0" applyProtection="0">
      <alignment vertical="top"/>
      <protection locked="0"/>
    </xf>
    <xf numFmtId="0" fontId="50" fillId="21" borderId="5" applyNumberFormat="0" applyAlignment="0" applyProtection="0"/>
    <xf numFmtId="0" fontId="51" fillId="7" borderId="1" applyNumberFormat="0" applyAlignment="0" applyProtection="0"/>
    <xf numFmtId="0" fontId="52" fillId="0" borderId="6" applyNumberFormat="0" applyFill="0" applyAlignment="0" applyProtection="0"/>
    <xf numFmtId="0" fontId="53" fillId="22" borderId="0" applyNumberFormat="0" applyBorder="0" applyAlignment="0" applyProtection="0"/>
    <xf numFmtId="0" fontId="19" fillId="0" borderId="0"/>
    <xf numFmtId="0" fontId="80" fillId="0" borderId="0"/>
    <xf numFmtId="0" fontId="19" fillId="0" borderId="0"/>
    <xf numFmtId="0" fontId="19" fillId="0" borderId="0"/>
    <xf numFmtId="0" fontId="63" fillId="0" borderId="0"/>
    <xf numFmtId="0" fontId="23" fillId="0" borderId="0"/>
    <xf numFmtId="0" fontId="54" fillId="0" borderId="0"/>
    <xf numFmtId="0" fontId="44" fillId="23" borderId="7" applyNumberFormat="0" applyFont="0" applyAlignment="0" applyProtection="0"/>
    <xf numFmtId="0" fontId="55" fillId="20" borderId="8" applyNumberFormat="0" applyAlignment="0" applyProtection="0"/>
    <xf numFmtId="4" fontId="14" fillId="22" borderId="9" applyNumberFormat="0" applyProtection="0">
      <alignment vertical="center"/>
    </xf>
    <xf numFmtId="4" fontId="15" fillId="24" borderId="9" applyNumberFormat="0" applyProtection="0">
      <alignment vertical="center"/>
    </xf>
    <xf numFmtId="4" fontId="14" fillId="24" borderId="9" applyNumberFormat="0" applyProtection="0">
      <alignment horizontal="left" vertical="center" indent="1"/>
    </xf>
    <xf numFmtId="0" fontId="14" fillId="24" borderId="9" applyNumberFormat="0" applyProtection="0">
      <alignment horizontal="left" vertical="top" indent="1"/>
    </xf>
    <xf numFmtId="4" fontId="16" fillId="3" borderId="9" applyNumberFormat="0" applyProtection="0">
      <alignment horizontal="right" vertical="center"/>
    </xf>
    <xf numFmtId="4" fontId="16" fillId="9" borderId="9" applyNumberFormat="0" applyProtection="0">
      <alignment horizontal="right" vertical="center"/>
    </xf>
    <xf numFmtId="4" fontId="16" fillId="17" borderId="9" applyNumberFormat="0" applyProtection="0">
      <alignment horizontal="right" vertical="center"/>
    </xf>
    <xf numFmtId="4" fontId="16" fillId="11" borderId="9" applyNumberFormat="0" applyProtection="0">
      <alignment horizontal="right" vertical="center"/>
    </xf>
    <xf numFmtId="4" fontId="16" fillId="15" borderId="9" applyNumberFormat="0" applyProtection="0">
      <alignment horizontal="right" vertical="center"/>
    </xf>
    <xf numFmtId="4" fontId="16" fillId="19" borderId="9" applyNumberFormat="0" applyProtection="0">
      <alignment horizontal="right" vertical="center"/>
    </xf>
    <xf numFmtId="4" fontId="16" fillId="18" borderId="9" applyNumberFormat="0" applyProtection="0">
      <alignment horizontal="right" vertical="center"/>
    </xf>
    <xf numFmtId="4" fontId="16" fillId="25" borderId="9" applyNumberFormat="0" applyProtection="0">
      <alignment horizontal="right" vertical="center"/>
    </xf>
    <xf numFmtId="4" fontId="16" fillId="10" borderId="9" applyNumberFormat="0" applyProtection="0">
      <alignment horizontal="right" vertical="center"/>
    </xf>
    <xf numFmtId="4" fontId="14" fillId="26" borderId="10" applyNumberFormat="0" applyProtection="0">
      <alignment horizontal="left" vertical="center" indent="1"/>
    </xf>
    <xf numFmtId="4" fontId="16" fillId="27" borderId="0" applyNumberFormat="0" applyProtection="0">
      <alignment horizontal="left" vertical="center" indent="1"/>
    </xf>
    <xf numFmtId="4" fontId="17" fillId="28" borderId="0" applyNumberFormat="0" applyProtection="0">
      <alignment horizontal="left" vertical="center" indent="1"/>
    </xf>
    <xf numFmtId="4" fontId="16" fillId="29" borderId="9" applyNumberFormat="0" applyProtection="0">
      <alignment horizontal="right" vertical="center"/>
    </xf>
    <xf numFmtId="4" fontId="18" fillId="27" borderId="0" applyNumberFormat="0" applyProtection="0">
      <alignment horizontal="left" vertical="center" indent="1"/>
    </xf>
    <xf numFmtId="4" fontId="18" fillId="30" borderId="0" applyNumberFormat="0" applyProtection="0">
      <alignment horizontal="left" vertical="center" indent="1"/>
    </xf>
    <xf numFmtId="0" fontId="19" fillId="28" borderId="9" applyNumberFormat="0" applyProtection="0">
      <alignment horizontal="left" vertical="center" indent="1"/>
    </xf>
    <xf numFmtId="0" fontId="19" fillId="28" borderId="9" applyNumberFormat="0" applyProtection="0">
      <alignment horizontal="left" vertical="top" indent="1"/>
    </xf>
    <xf numFmtId="0" fontId="19" fillId="30" borderId="9" applyNumberFormat="0" applyProtection="0">
      <alignment horizontal="left" vertical="center" indent="1"/>
    </xf>
    <xf numFmtId="0" fontId="19" fillId="30" borderId="9" applyNumberFormat="0" applyProtection="0">
      <alignment horizontal="left" vertical="top" indent="1"/>
    </xf>
    <xf numFmtId="0" fontId="19" fillId="31" borderId="9" applyNumberFormat="0" applyProtection="0">
      <alignment horizontal="left" vertical="center" indent="1"/>
    </xf>
    <xf numFmtId="0" fontId="19" fillId="31" borderId="9" applyNumberFormat="0" applyProtection="0">
      <alignment horizontal="left" vertical="top" indent="1"/>
    </xf>
    <xf numFmtId="0" fontId="19" fillId="32" borderId="9" applyNumberFormat="0" applyProtection="0">
      <alignment horizontal="left" vertical="center" indent="1"/>
    </xf>
    <xf numFmtId="0" fontId="19" fillId="32" borderId="9" applyNumberFormat="0" applyProtection="0">
      <alignment horizontal="left" vertical="top" indent="1"/>
    </xf>
    <xf numFmtId="4" fontId="14" fillId="30" borderId="0" applyNumberFormat="0" applyProtection="0">
      <alignment horizontal="left" vertical="center" indent="1"/>
    </xf>
    <xf numFmtId="4" fontId="16" fillId="33" borderId="9" applyNumberFormat="0" applyProtection="0">
      <alignment vertical="center"/>
    </xf>
    <xf numFmtId="4" fontId="20" fillId="33" borderId="9" applyNumberFormat="0" applyProtection="0">
      <alignment vertical="center"/>
    </xf>
    <xf numFmtId="4" fontId="16" fillId="33" borderId="9" applyNumberFormat="0" applyProtection="0">
      <alignment horizontal="left" vertical="center" indent="1"/>
    </xf>
    <xf numFmtId="0" fontId="16" fillId="33" borderId="9" applyNumberFormat="0" applyProtection="0">
      <alignment horizontal="left" vertical="top" indent="1"/>
    </xf>
    <xf numFmtId="4" fontId="16" fillId="27" borderId="9" applyNumberFormat="0" applyProtection="0">
      <alignment horizontal="right" vertical="center"/>
    </xf>
    <xf numFmtId="4" fontId="20" fillId="27" borderId="9" applyNumberFormat="0" applyProtection="0">
      <alignment horizontal="right" vertical="center"/>
    </xf>
    <xf numFmtId="4" fontId="16" fillId="29" borderId="9" applyNumberFormat="0" applyProtection="0">
      <alignment horizontal="left" vertical="center" indent="1"/>
    </xf>
    <xf numFmtId="0" fontId="16" fillId="30" borderId="9" applyNumberFormat="0" applyProtection="0">
      <alignment horizontal="left" vertical="top" indent="1"/>
    </xf>
    <xf numFmtId="4" fontId="21" fillId="34" borderId="0" applyNumberFormat="0" applyProtection="0">
      <alignment horizontal="left" vertical="center" indent="1"/>
    </xf>
    <xf numFmtId="4" fontId="22" fillId="27" borderId="9" applyNumberFormat="0" applyProtection="0">
      <alignment horizontal="right" vertical="center"/>
    </xf>
    <xf numFmtId="0" fontId="56" fillId="0" borderId="0" applyNumberFormat="0" applyFill="0" applyBorder="0" applyAlignment="0" applyProtection="0"/>
    <xf numFmtId="0" fontId="57" fillId="0" borderId="11" applyNumberFormat="0" applyFill="0" applyAlignment="0" applyProtection="0"/>
    <xf numFmtId="0" fontId="58" fillId="0" borderId="0" applyNumberFormat="0" applyFill="0" applyBorder="0" applyAlignment="0" applyProtection="0"/>
    <xf numFmtId="0" fontId="1" fillId="0" borderId="0"/>
    <xf numFmtId="4" fontId="130" fillId="53" borderId="85" applyNumberFormat="0" applyProtection="0">
      <alignment horizontal="left" vertical="center" indent="1"/>
    </xf>
  </cellStyleXfs>
  <cellXfs count="966">
    <xf numFmtId="0" fontId="0" fillId="0" borderId="0" xfId="0"/>
    <xf numFmtId="0" fontId="3" fillId="0" borderId="0" xfId="0" applyFont="1"/>
    <xf numFmtId="0" fontId="3" fillId="0" borderId="0" xfId="0" applyFont="1" applyBorder="1"/>
    <xf numFmtId="0" fontId="3" fillId="0" borderId="0" xfId="0" applyFont="1" applyAlignment="1">
      <alignment horizontal="center" vertical="center"/>
    </xf>
    <xf numFmtId="0" fontId="3" fillId="0" borderId="12" xfId="0" applyFont="1" applyBorder="1" applyAlignment="1">
      <alignment horizontal="center" vertical="center"/>
    </xf>
    <xf numFmtId="0" fontId="2" fillId="0" borderId="0" xfId="0" applyFont="1" applyBorder="1" applyAlignment="1">
      <alignment horizontal="center" vertical="center"/>
    </xf>
    <xf numFmtId="49" fontId="3" fillId="0" borderId="0" xfId="0" applyNumberFormat="1" applyFont="1"/>
    <xf numFmtId="0" fontId="4" fillId="0" borderId="0" xfId="0" applyFont="1" applyAlignment="1">
      <alignment horizontal="center" vertical="center" wrapText="1"/>
    </xf>
    <xf numFmtId="49" fontId="3" fillId="0" borderId="0" xfId="0" applyNumberFormat="1" applyFont="1" applyBorder="1"/>
    <xf numFmtId="49" fontId="3" fillId="0" borderId="0" xfId="0" applyNumberFormat="1" applyFont="1" applyAlignment="1">
      <alignment horizontal="left" vertical="center"/>
    </xf>
    <xf numFmtId="0" fontId="2" fillId="0" borderId="0" xfId="0" applyFont="1"/>
    <xf numFmtId="0" fontId="8"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vertical="center" wrapText="1"/>
    </xf>
    <xf numFmtId="0" fontId="2" fillId="0" borderId="13"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49" fontId="3" fillId="0" borderId="0" xfId="0" applyNumberFormat="1"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left" vertical="center" wrapText="1"/>
    </xf>
    <xf numFmtId="49" fontId="3" fillId="0" borderId="13" xfId="0" applyNumberFormat="1" applyFont="1" applyBorder="1" applyAlignment="1">
      <alignment horizontal="left" vertical="center" wrapText="1" indent="1"/>
    </xf>
    <xf numFmtId="49" fontId="2" fillId="0" borderId="13" xfId="0" applyNumberFormat="1" applyFont="1" applyBorder="1" applyAlignment="1">
      <alignment vertical="top" wrapText="1"/>
    </xf>
    <xf numFmtId="0" fontId="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4" xfId="0" applyFont="1" applyBorder="1" applyAlignment="1">
      <alignment horizontal="center" vertical="center" wrapText="1"/>
    </xf>
    <xf numFmtId="0" fontId="8" fillId="0" borderId="0" xfId="0" applyFont="1" applyAlignment="1">
      <alignment horizontal="left" vertical="center" wrapText="1"/>
    </xf>
    <xf numFmtId="0" fontId="3" fillId="0" borderId="13" xfId="0"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3" fillId="0" borderId="0" xfId="0" applyFont="1" applyFill="1"/>
    <xf numFmtId="49" fontId="2" fillId="0" borderId="13" xfId="0" applyNumberFormat="1" applyFont="1" applyBorder="1" applyAlignment="1">
      <alignment horizontal="left" vertical="center" wrapText="1" indent="1"/>
    </xf>
    <xf numFmtId="49" fontId="3" fillId="0" borderId="13" xfId="0" applyNumberFormat="1" applyFont="1" applyFill="1" applyBorder="1" applyAlignment="1">
      <alignment horizontal="left" vertical="center" wrapText="1" indent="1"/>
    </xf>
    <xf numFmtId="49" fontId="2" fillId="0" borderId="17" xfId="0" applyNumberFormat="1" applyFont="1" applyBorder="1" applyAlignment="1">
      <alignment horizontal="left" vertical="center" wrapText="1" indent="1"/>
    </xf>
    <xf numFmtId="49" fontId="3" fillId="0" borderId="0" xfId="0" applyNumberFormat="1" applyFont="1" applyBorder="1" applyAlignment="1">
      <alignment horizontal="left" vertical="center" wrapText="1" indent="1"/>
    </xf>
    <xf numFmtId="49" fontId="3" fillId="0" borderId="0" xfId="0" applyNumberFormat="1" applyFont="1" applyAlignment="1">
      <alignment horizontal="left" vertical="center" wrapText="1" indent="1"/>
    </xf>
    <xf numFmtId="3" fontId="2" fillId="24" borderId="13" xfId="0" applyNumberFormat="1" applyFont="1" applyFill="1" applyBorder="1" applyAlignment="1">
      <alignment horizontal="right" vertical="center" wrapText="1" indent="1"/>
    </xf>
    <xf numFmtId="3" fontId="2" fillId="24"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indent="1"/>
    </xf>
    <xf numFmtId="3" fontId="2" fillId="24" borderId="17" xfId="0" applyNumberFormat="1" applyFont="1" applyFill="1" applyBorder="1" applyAlignment="1" applyProtection="1">
      <alignment horizontal="right" vertical="center" wrapText="1" indent="1"/>
    </xf>
    <xf numFmtId="3" fontId="2" fillId="24" borderId="18" xfId="0" applyNumberFormat="1" applyFont="1" applyFill="1" applyBorder="1" applyAlignment="1">
      <alignment horizontal="right" vertical="center" wrapText="1" indent="1"/>
    </xf>
    <xf numFmtId="0" fontId="2" fillId="0" borderId="13" xfId="0" applyFont="1" applyBorder="1" applyAlignment="1">
      <alignment horizontal="left" vertical="top" wrapText="1" indent="1"/>
    </xf>
    <xf numFmtId="0" fontId="3" fillId="0" borderId="13" xfId="0" applyFont="1" applyBorder="1" applyAlignment="1">
      <alignment horizontal="left" vertical="top" wrapText="1" indent="1"/>
    </xf>
    <xf numFmtId="0" fontId="2" fillId="0" borderId="17" xfId="0" applyFont="1" applyBorder="1" applyAlignment="1">
      <alignment horizontal="left" wrapText="1" indent="1"/>
    </xf>
    <xf numFmtId="0" fontId="3" fillId="0" borderId="0" xfId="0" applyFont="1" applyAlignment="1">
      <alignment horizontal="left" indent="1"/>
    </xf>
    <xf numFmtId="3" fontId="3" fillId="35" borderId="14" xfId="0" applyNumberFormat="1" applyFont="1" applyFill="1" applyBorder="1" applyAlignment="1">
      <alignment horizontal="right" vertical="center" wrapText="1" indent="1"/>
    </xf>
    <xf numFmtId="49" fontId="2" fillId="0" borderId="13" xfId="0" applyNumberFormat="1" applyFont="1" applyBorder="1" applyAlignment="1">
      <alignment horizontal="left" vertical="top" wrapText="1" indent="1"/>
    </xf>
    <xf numFmtId="49" fontId="3" fillId="0" borderId="13" xfId="0" applyNumberFormat="1" applyFont="1" applyBorder="1" applyAlignment="1">
      <alignment horizontal="left" vertical="top" wrapText="1" indent="1"/>
    </xf>
    <xf numFmtId="3" fontId="7" fillId="24" borderId="13" xfId="0" applyNumberFormat="1" applyFont="1" applyFill="1" applyBorder="1" applyAlignment="1">
      <alignment horizontal="right" vertical="center" wrapText="1" indent="1"/>
    </xf>
    <xf numFmtId="3" fontId="7" fillId="24" borderId="17" xfId="0" applyNumberFormat="1" applyFont="1" applyFill="1" applyBorder="1" applyAlignment="1">
      <alignment horizontal="right" vertical="center" wrapText="1" indent="1"/>
    </xf>
    <xf numFmtId="49" fontId="2" fillId="0" borderId="13" xfId="0" applyNumberFormat="1" applyFont="1" applyFill="1" applyBorder="1" applyAlignment="1">
      <alignment horizontal="left" vertical="center" wrapText="1" indent="1"/>
    </xf>
    <xf numFmtId="49" fontId="2" fillId="0" borderId="17" xfId="0" applyNumberFormat="1" applyFont="1" applyFill="1" applyBorder="1" applyAlignment="1">
      <alignment horizontal="left" vertical="center" wrapText="1" indent="1"/>
    </xf>
    <xf numFmtId="3" fontId="3" fillId="0" borderId="13" xfId="0" applyNumberFormat="1" applyFont="1" applyFill="1" applyBorder="1" applyAlignment="1">
      <alignment horizontal="right" vertical="center" wrapText="1" indent="1"/>
    </xf>
    <xf numFmtId="0" fontId="7" fillId="24" borderId="14" xfId="0" applyFont="1" applyFill="1" applyBorder="1" applyAlignment="1">
      <alignment horizontal="right" vertical="center" wrapText="1" indent="1"/>
    </xf>
    <xf numFmtId="0" fontId="7" fillId="0" borderId="13"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0" xfId="0" applyFont="1" applyAlignment="1">
      <alignment horizontal="left" vertical="center" wrapText="1" indent="1"/>
    </xf>
    <xf numFmtId="49" fontId="3" fillId="0" borderId="0" xfId="0" applyNumberFormat="1" applyFont="1" applyAlignment="1">
      <alignment vertical="center" wrapText="1"/>
    </xf>
    <xf numFmtId="3" fontId="7" fillId="0" borderId="0" xfId="45" applyNumberFormat="1" applyFont="1" applyBorder="1" applyAlignment="1">
      <alignment vertical="center" wrapText="1"/>
    </xf>
    <xf numFmtId="3" fontId="7" fillId="0" borderId="0" xfId="45" applyNumberFormat="1" applyFont="1" applyBorder="1" applyAlignment="1">
      <alignment horizontal="center" vertical="center" wrapText="1"/>
    </xf>
    <xf numFmtId="3" fontId="8" fillId="0" borderId="0" xfId="45" applyNumberFormat="1"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8" fillId="24" borderId="18" xfId="0" applyFont="1" applyFill="1" applyBorder="1" applyAlignment="1">
      <alignment horizontal="right" vertical="center" wrapText="1" indent="1"/>
    </xf>
    <xf numFmtId="3" fontId="7" fillId="35" borderId="13" xfId="0" applyNumberFormat="1" applyFont="1" applyFill="1" applyBorder="1" applyAlignment="1">
      <alignment horizontal="right" vertical="center" wrapText="1" indent="1"/>
    </xf>
    <xf numFmtId="3" fontId="7" fillId="0" borderId="14" xfId="0" applyNumberFormat="1" applyFont="1" applyFill="1" applyBorder="1" applyAlignment="1">
      <alignment horizontal="center" vertical="center" wrapText="1"/>
    </xf>
    <xf numFmtId="49" fontId="7" fillId="0" borderId="13" xfId="0" applyNumberFormat="1" applyFont="1" applyFill="1" applyBorder="1" applyAlignment="1">
      <alignment horizontal="left" vertical="center" wrapText="1" indent="1"/>
    </xf>
    <xf numFmtId="0" fontId="7" fillId="0" borderId="17" xfId="0" applyFont="1" applyBorder="1" applyAlignment="1">
      <alignment horizontal="left" vertical="center" wrapText="1" indent="1"/>
    </xf>
    <xf numFmtId="3" fontId="3" fillId="0" borderId="13" xfId="0" applyNumberFormat="1" applyFont="1" applyBorder="1" applyAlignment="1">
      <alignment horizontal="center" vertical="center" wrapText="1"/>
    </xf>
    <xf numFmtId="3" fontId="7" fillId="35"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xf>
    <xf numFmtId="3" fontId="3" fillId="0" borderId="14"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49" fontId="2" fillId="0" borderId="13" xfId="0" applyNumberFormat="1" applyFont="1" applyBorder="1" applyAlignment="1">
      <alignment horizontal="left"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0" fillId="0" borderId="0" xfId="0" applyBorder="1"/>
    <xf numFmtId="0" fontId="7" fillId="0" borderId="13" xfId="0" applyFont="1" applyBorder="1" applyAlignment="1">
      <alignment horizontal="left" vertical="center" wrapText="1"/>
    </xf>
    <xf numFmtId="0" fontId="7" fillId="0" borderId="13" xfId="0" applyFont="1" applyFill="1" applyBorder="1" applyAlignment="1">
      <alignment horizontal="left" vertical="center" wrapText="1" indent="1"/>
    </xf>
    <xf numFmtId="0" fontId="8" fillId="0" borderId="0" xfId="0" applyFont="1"/>
    <xf numFmtId="1" fontId="3" fillId="0" borderId="13" xfId="0" applyNumberFormat="1" applyFont="1" applyFill="1" applyBorder="1" applyAlignment="1">
      <alignment horizontal="center" vertical="center" wrapText="1"/>
    </xf>
    <xf numFmtId="49" fontId="7" fillId="0" borderId="17" xfId="0" applyNumberFormat="1" applyFont="1" applyFill="1" applyBorder="1" applyAlignment="1">
      <alignment horizontal="left" vertical="center" wrapText="1" indent="1"/>
    </xf>
    <xf numFmtId="49" fontId="7" fillId="0" borderId="13" xfId="0" applyNumberFormat="1" applyFont="1" applyBorder="1" applyAlignment="1">
      <alignment vertical="center" wrapText="1"/>
    </xf>
    <xf numFmtId="0" fontId="7"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13" xfId="45" applyFont="1" applyBorder="1" applyAlignment="1">
      <alignment horizontal="center" vertical="center" wrapText="1"/>
    </xf>
    <xf numFmtId="3" fontId="8" fillId="0" borderId="13" xfId="45" applyNumberFormat="1" applyFont="1" applyBorder="1" applyAlignment="1">
      <alignment horizontal="center" vertical="center" wrapText="1"/>
    </xf>
    <xf numFmtId="0" fontId="7" fillId="0" borderId="14" xfId="45" applyFont="1" applyBorder="1" applyAlignment="1">
      <alignment horizontal="center" vertical="center" wrapText="1"/>
    </xf>
    <xf numFmtId="3" fontId="8" fillId="0" borderId="15" xfId="45" applyNumberFormat="1" applyFont="1" applyBorder="1" applyAlignment="1">
      <alignment vertical="center" wrapText="1"/>
    </xf>
    <xf numFmtId="3" fontId="8" fillId="0" borderId="14" xfId="45" applyNumberFormat="1" applyFont="1" applyBorder="1" applyAlignment="1">
      <alignment horizontal="center" vertical="center" wrapText="1"/>
    </xf>
    <xf numFmtId="3" fontId="8" fillId="0" borderId="16" xfId="45" applyNumberFormat="1"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13" xfId="0" applyFont="1" applyBorder="1" applyAlignment="1">
      <alignment horizontal="left" vertical="center" wrapText="1" indent="1"/>
    </xf>
    <xf numFmtId="0" fontId="8" fillId="0" borderId="13" xfId="0" applyFont="1" applyBorder="1" applyAlignment="1">
      <alignment horizontal="center" vertical="center" wrapText="1"/>
    </xf>
    <xf numFmtId="0" fontId="7" fillId="0" borderId="15" xfId="0" applyFont="1" applyBorder="1" applyAlignment="1">
      <alignment horizontal="left" vertical="center" wrapText="1" indent="1"/>
    </xf>
    <xf numFmtId="0" fontId="7" fillId="0" borderId="19" xfId="0" applyFont="1" applyBorder="1" applyAlignment="1">
      <alignment horizontal="left" vertical="center" wrapText="1" indent="1"/>
    </xf>
    <xf numFmtId="49" fontId="8" fillId="0" borderId="13" xfId="0" applyNumberFormat="1" applyFont="1" applyBorder="1" applyAlignment="1">
      <alignment horizontal="left" vertical="center" wrapText="1" indent="1"/>
    </xf>
    <xf numFmtId="0" fontId="8" fillId="0" borderId="0" xfId="0" applyFont="1" applyFill="1" applyAlignment="1">
      <alignment vertical="center" wrapText="1"/>
    </xf>
    <xf numFmtId="0" fontId="8" fillId="0" borderId="0" xfId="0" applyFont="1" applyFill="1" applyAlignment="1">
      <alignment horizontal="left" vertical="center" wrapText="1" indent="1"/>
    </xf>
    <xf numFmtId="0" fontId="8" fillId="0" borderId="0" xfId="0" applyFont="1" applyFill="1" applyAlignment="1">
      <alignment horizontal="left" vertical="center" wrapText="1" indent="3"/>
    </xf>
    <xf numFmtId="0" fontId="8" fillId="0" borderId="0" xfId="0" applyFont="1" applyFill="1" applyAlignment="1">
      <alignment horizontal="left" vertical="center" wrapText="1" indent="2"/>
    </xf>
    <xf numFmtId="0" fontId="2" fillId="0" borderId="20" xfId="0" applyFont="1" applyBorder="1" applyAlignment="1">
      <alignment horizontal="center" vertical="center" wrapText="1"/>
    </xf>
    <xf numFmtId="0" fontId="33" fillId="0" borderId="0" xfId="0" applyFont="1" applyBorder="1"/>
    <xf numFmtId="0" fontId="3" fillId="0" borderId="0" xfId="0" applyFont="1" applyFill="1" applyAlignment="1">
      <alignment vertical="center" wrapText="1"/>
    </xf>
    <xf numFmtId="0" fontId="0" fillId="0" borderId="0" xfId="0" applyFill="1"/>
    <xf numFmtId="0" fontId="30" fillId="0" borderId="0" xfId="0" applyFont="1" applyFill="1" applyAlignment="1">
      <alignment vertical="center" wrapText="1"/>
    </xf>
    <xf numFmtId="0" fontId="2" fillId="0" borderId="22" xfId="0" applyFont="1" applyBorder="1" applyAlignment="1">
      <alignment vertical="center" wrapText="1"/>
    </xf>
    <xf numFmtId="0" fontId="8" fillId="35" borderId="14" xfId="0" applyFont="1" applyFill="1" applyBorder="1" applyAlignment="1">
      <alignment horizontal="left" vertical="center" wrapText="1" indent="1"/>
    </xf>
    <xf numFmtId="0" fontId="36" fillId="0" borderId="0" xfId="0" applyFont="1"/>
    <xf numFmtId="0" fontId="7" fillId="0" borderId="23" xfId="0" applyFont="1" applyFill="1" applyBorder="1" applyAlignment="1">
      <alignment horizontal="center" vertical="center" wrapText="1"/>
    </xf>
    <xf numFmtId="0" fontId="7" fillId="0" borderId="0" xfId="0" applyFont="1" applyFill="1" applyAlignment="1">
      <alignment vertical="center" wrapText="1"/>
    </xf>
    <xf numFmtId="49" fontId="9" fillId="0" borderId="0" xfId="0" applyNumberFormat="1" applyFont="1" applyAlignment="1">
      <alignment horizontal="left" vertical="center" wrapText="1" indent="1"/>
    </xf>
    <xf numFmtId="49" fontId="8" fillId="0" borderId="13" xfId="0" applyNumberFormat="1" applyFont="1" applyFill="1" applyBorder="1" applyAlignment="1">
      <alignment horizontal="left" vertical="center" wrapText="1" indent="1"/>
    </xf>
    <xf numFmtId="0" fontId="0" fillId="0" borderId="0" xfId="0" applyAlignment="1">
      <alignment wrapText="1"/>
    </xf>
    <xf numFmtId="1" fontId="7" fillId="24" borderId="13" xfId="0" applyNumberFormat="1" applyFont="1" applyFill="1" applyBorder="1" applyAlignment="1">
      <alignment horizontal="right" vertical="center" wrapText="1" indent="1"/>
    </xf>
    <xf numFmtId="0" fontId="8" fillId="0" borderId="15" xfId="0" applyFont="1" applyFill="1" applyBorder="1" applyAlignment="1">
      <alignment horizontal="center" vertical="center" wrapText="1"/>
    </xf>
    <xf numFmtId="3" fontId="2" fillId="0" borderId="14" xfId="0" applyNumberFormat="1" applyFont="1" applyFill="1" applyBorder="1" applyAlignment="1">
      <alignment horizontal="right" vertical="center" wrapText="1" indent="1"/>
    </xf>
    <xf numFmtId="49" fontId="3" fillId="0" borderId="0" xfId="0" applyNumberFormat="1" applyFont="1" applyAlignment="1">
      <alignment horizontal="left" wrapText="1"/>
    </xf>
    <xf numFmtId="0" fontId="3" fillId="0" borderId="0" xfId="0" applyFont="1" applyAlignment="1">
      <alignment horizontal="justify"/>
    </xf>
    <xf numFmtId="0" fontId="3" fillId="0" borderId="16" xfId="0" applyFont="1" applyFill="1" applyBorder="1" applyAlignment="1">
      <alignment horizontal="center" vertical="center"/>
    </xf>
    <xf numFmtId="0" fontId="2" fillId="0" borderId="17" xfId="0" applyFont="1" applyFill="1" applyBorder="1" applyAlignment="1">
      <alignment horizontal="left" wrapText="1" indent="1"/>
    </xf>
    <xf numFmtId="49" fontId="3" fillId="0" borderId="0" xfId="0" applyNumberFormat="1" applyFont="1" applyAlignment="1">
      <alignment horizontal="left" wrapText="1" indent="1"/>
    </xf>
    <xf numFmtId="0" fontId="3" fillId="0" borderId="0" xfId="0" applyFont="1" applyAlignment="1">
      <alignment vertical="center"/>
    </xf>
    <xf numFmtId="0" fontId="0" fillId="0" borderId="0" xfId="0" applyAlignment="1">
      <alignment vertical="center"/>
    </xf>
    <xf numFmtId="0" fontId="25" fillId="0" borderId="0" xfId="0" applyFont="1" applyBorder="1" applyAlignment="1">
      <alignment vertical="center"/>
    </xf>
    <xf numFmtId="0" fontId="2" fillId="0" borderId="15" xfId="0" applyFont="1" applyFill="1" applyBorder="1" applyAlignment="1">
      <alignment horizontal="center" vertical="center" wrapText="1"/>
    </xf>
    <xf numFmtId="0" fontId="25" fillId="35" borderId="14" xfId="0" applyFont="1" applyFill="1" applyBorder="1" applyAlignment="1">
      <alignment horizontal="left" vertical="center" wrapText="1" indent="1"/>
    </xf>
    <xf numFmtId="0" fontId="8" fillId="35" borderId="26" xfId="0" applyFont="1" applyFill="1" applyBorder="1" applyAlignment="1">
      <alignment horizontal="left" vertical="center" wrapText="1" indent="1"/>
    </xf>
    <xf numFmtId="0" fontId="8" fillId="0" borderId="13" xfId="0" applyFont="1" applyBorder="1" applyAlignment="1">
      <alignment horizontal="left" vertical="top" wrapText="1" indent="1"/>
    </xf>
    <xf numFmtId="3" fontId="7" fillId="24" borderId="14" xfId="0" applyNumberFormat="1" applyFont="1" applyFill="1" applyBorder="1" applyAlignment="1">
      <alignment horizontal="right" vertical="center" wrapText="1" indent="1"/>
    </xf>
    <xf numFmtId="3" fontId="3" fillId="0" borderId="14" xfId="0" applyNumberFormat="1" applyFont="1" applyFill="1" applyBorder="1" applyAlignment="1">
      <alignment horizontal="right" vertical="center" wrapText="1" indent="1"/>
    </xf>
    <xf numFmtId="3" fontId="8" fillId="35" borderId="13" xfId="0" applyNumberFormat="1" applyFont="1" applyFill="1" applyBorder="1" applyAlignment="1">
      <alignment horizontal="right" vertical="center" wrapText="1" indent="1"/>
    </xf>
    <xf numFmtId="3" fontId="7" fillId="24" borderId="18" xfId="0" applyNumberFormat="1" applyFont="1" applyFill="1" applyBorder="1" applyAlignment="1">
      <alignment horizontal="right" vertical="center" wrapText="1" indent="1"/>
    </xf>
    <xf numFmtId="3" fontId="3" fillId="35" borderId="19" xfId="0" applyNumberFormat="1" applyFont="1" applyFill="1" applyBorder="1" applyAlignment="1">
      <alignment horizontal="right" vertical="center" wrapText="1" indent="1"/>
    </xf>
    <xf numFmtId="3" fontId="7" fillId="24" borderId="19" xfId="0" applyNumberFormat="1" applyFont="1" applyFill="1" applyBorder="1" applyAlignment="1">
      <alignment horizontal="right" vertical="center" wrapText="1" indent="1"/>
    </xf>
    <xf numFmtId="3" fontId="2" fillId="24" borderId="17" xfId="0" applyNumberFormat="1" applyFont="1" applyFill="1" applyBorder="1" applyAlignment="1">
      <alignment horizontal="right" vertical="center" wrapText="1" indent="1"/>
    </xf>
    <xf numFmtId="1" fontId="3" fillId="35" borderId="13" xfId="0" applyNumberFormat="1" applyFont="1" applyFill="1" applyBorder="1" applyAlignment="1">
      <alignment horizontal="right" vertical="center" wrapText="1" indent="1"/>
    </xf>
    <xf numFmtId="3" fontId="8" fillId="24" borderId="13" xfId="0" applyNumberFormat="1" applyFont="1" applyFill="1" applyBorder="1" applyAlignment="1">
      <alignment horizontal="right" vertical="center" wrapText="1" indent="1"/>
    </xf>
    <xf numFmtId="3" fontId="8" fillId="24" borderId="14" xfId="0" applyNumberFormat="1" applyFont="1" applyFill="1" applyBorder="1" applyAlignment="1">
      <alignment horizontal="right" vertical="center" wrapText="1" indent="1"/>
    </xf>
    <xf numFmtId="3" fontId="8" fillId="35" borderId="14" xfId="0" applyNumberFormat="1" applyFont="1" applyFill="1" applyBorder="1" applyAlignment="1">
      <alignment horizontal="right" vertical="center" wrapText="1" indent="1"/>
    </xf>
    <xf numFmtId="167" fontId="3" fillId="35" borderId="13" xfId="27" applyNumberFormat="1" applyFont="1" applyFill="1" applyBorder="1" applyAlignment="1">
      <alignment horizontal="right" vertical="center" wrapText="1" indent="1"/>
    </xf>
    <xf numFmtId="167" fontId="3" fillId="37" borderId="13" xfId="27" applyNumberFormat="1" applyFont="1" applyFill="1" applyBorder="1" applyAlignment="1">
      <alignment horizontal="right" vertical="center" wrapText="1" indent="1"/>
    </xf>
    <xf numFmtId="3" fontId="7" fillId="37" borderId="13" xfId="0" applyNumberFormat="1" applyFont="1" applyFill="1" applyBorder="1" applyAlignment="1">
      <alignment horizontal="right" vertical="center" wrapText="1" indent="1"/>
    </xf>
    <xf numFmtId="3" fontId="7" fillId="35" borderId="20" xfId="0" applyNumberFormat="1" applyFont="1" applyFill="1" applyBorder="1" applyAlignment="1">
      <alignment horizontal="right" vertical="center" wrapText="1" indent="1"/>
    </xf>
    <xf numFmtId="3" fontId="8" fillId="0" borderId="13" xfId="0" applyNumberFormat="1" applyFont="1" applyBorder="1" applyAlignment="1">
      <alignment horizontal="center" vertical="center" wrapText="1"/>
    </xf>
    <xf numFmtId="3" fontId="8" fillId="0" borderId="14" xfId="0" applyNumberFormat="1" applyFont="1" applyBorder="1" applyAlignment="1">
      <alignment horizontal="center" vertical="center" wrapText="1"/>
    </xf>
    <xf numFmtId="3" fontId="7" fillId="24" borderId="27" xfId="0" applyNumberFormat="1" applyFont="1" applyFill="1" applyBorder="1" applyAlignment="1">
      <alignment horizontal="right" vertical="center" wrapText="1" indent="1"/>
    </xf>
    <xf numFmtId="3" fontId="7" fillId="35" borderId="27" xfId="0" applyNumberFormat="1" applyFont="1" applyFill="1" applyBorder="1" applyAlignment="1">
      <alignment horizontal="right" vertical="center" wrapText="1" indent="1"/>
    </xf>
    <xf numFmtId="3" fontId="7" fillId="24" borderId="20" xfId="0" applyNumberFormat="1" applyFont="1" applyFill="1" applyBorder="1" applyAlignment="1">
      <alignment horizontal="right" vertical="center" wrapText="1" indent="1"/>
    </xf>
    <xf numFmtId="3" fontId="7" fillId="24" borderId="28" xfId="0" applyNumberFormat="1" applyFont="1" applyFill="1" applyBorder="1" applyAlignment="1">
      <alignment horizontal="right" vertical="center" wrapText="1" indent="1"/>
    </xf>
    <xf numFmtId="3" fontId="8" fillId="0" borderId="17" xfId="0" applyNumberFormat="1" applyFont="1" applyBorder="1" applyAlignment="1">
      <alignment horizontal="center" vertical="center" wrapText="1"/>
    </xf>
    <xf numFmtId="3" fontId="8" fillId="0" borderId="18" xfId="0" applyNumberFormat="1" applyFont="1" applyBorder="1" applyAlignment="1">
      <alignment horizontal="center" vertical="center" wrapText="1"/>
    </xf>
    <xf numFmtId="3" fontId="2" fillId="35" borderId="13" xfId="0" applyNumberFormat="1" applyFont="1" applyFill="1" applyBorder="1" applyAlignment="1">
      <alignment horizontal="right" vertical="center" wrapText="1" indent="1"/>
    </xf>
    <xf numFmtId="3" fontId="2" fillId="35" borderId="14" xfId="0" applyNumberFormat="1" applyFont="1" applyFill="1" applyBorder="1" applyAlignment="1">
      <alignment horizontal="right" vertical="center" wrapText="1" indent="1"/>
    </xf>
    <xf numFmtId="3" fontId="8" fillId="35" borderId="19"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 fontId="3" fillId="35" borderId="14" xfId="0" applyNumberFormat="1" applyFont="1" applyFill="1" applyBorder="1" applyAlignment="1">
      <alignment horizontal="right" vertical="center" wrapText="1" indent="1"/>
    </xf>
    <xf numFmtId="1" fontId="3" fillId="35" borderId="19" xfId="0" applyNumberFormat="1" applyFont="1" applyFill="1" applyBorder="1" applyAlignment="1">
      <alignment horizontal="right" vertical="center" wrapText="1" indent="1"/>
    </xf>
    <xf numFmtId="1" fontId="3" fillId="35" borderId="26" xfId="0" applyNumberFormat="1" applyFont="1" applyFill="1" applyBorder="1" applyAlignment="1">
      <alignment horizontal="right" vertical="center" wrapText="1" indent="1"/>
    </xf>
    <xf numFmtId="1" fontId="7" fillId="0" borderId="17" xfId="0" applyNumberFormat="1" applyFont="1" applyFill="1" applyBorder="1" applyAlignment="1">
      <alignment horizontal="right" vertical="center" wrapText="1" indent="1"/>
    </xf>
    <xf numFmtId="1" fontId="3" fillId="35" borderId="17" xfId="0" applyNumberFormat="1" applyFont="1" applyFill="1" applyBorder="1" applyAlignment="1">
      <alignment horizontal="right" vertical="center" wrapText="1" indent="1"/>
    </xf>
    <xf numFmtId="1" fontId="3" fillId="35" borderId="18" xfId="0" applyNumberFormat="1" applyFont="1" applyFill="1" applyBorder="1" applyAlignment="1">
      <alignment horizontal="right" vertical="center" wrapText="1" indent="1"/>
    </xf>
    <xf numFmtId="3" fontId="7" fillId="24" borderId="13" xfId="0" applyNumberFormat="1" applyFont="1" applyFill="1" applyBorder="1" applyAlignment="1">
      <alignment horizontal="right" vertical="center" indent="1"/>
    </xf>
    <xf numFmtId="3" fontId="7" fillId="24" borderId="14" xfId="0" applyNumberFormat="1" applyFont="1" applyFill="1" applyBorder="1" applyAlignment="1">
      <alignment horizontal="right" vertical="center" indent="1"/>
    </xf>
    <xf numFmtId="0" fontId="80" fillId="0" borderId="0" xfId="41"/>
    <xf numFmtId="0" fontId="10" fillId="0" borderId="13" xfId="0" applyFont="1" applyFill="1" applyBorder="1" applyAlignment="1">
      <alignment horizontal="left" vertical="center" wrapText="1" indent="1"/>
    </xf>
    <xf numFmtId="0" fontId="8" fillId="32" borderId="15" xfId="0" applyFont="1" applyFill="1" applyBorder="1" applyAlignment="1">
      <alignment vertical="center" wrapText="1"/>
    </xf>
    <xf numFmtId="0" fontId="4" fillId="0" borderId="0" xfId="0" applyFont="1" applyBorder="1" applyAlignment="1">
      <alignment horizontal="center" vertical="center" wrapText="1"/>
    </xf>
    <xf numFmtId="0" fontId="7" fillId="0" borderId="0" xfId="0" applyFont="1" applyBorder="1" applyAlignment="1">
      <alignment horizontal="left" vertical="center" wrapText="1"/>
    </xf>
    <xf numFmtId="3" fontId="7" fillId="24" borderId="17" xfId="0" applyNumberFormat="1" applyFont="1" applyFill="1" applyBorder="1" applyAlignment="1">
      <alignment horizontal="right" vertical="center" indent="1"/>
    </xf>
    <xf numFmtId="3" fontId="7" fillId="24" borderId="18" xfId="0" applyNumberFormat="1" applyFont="1" applyFill="1" applyBorder="1" applyAlignment="1">
      <alignment horizontal="right" vertical="center" indent="1"/>
    </xf>
    <xf numFmtId="0" fontId="8" fillId="0" borderId="0" xfId="44" applyFont="1" applyAlignment="1">
      <alignment vertical="center" wrapText="1"/>
    </xf>
    <xf numFmtId="0" fontId="7" fillId="0" borderId="0" xfId="44" applyFont="1" applyAlignment="1">
      <alignment horizontal="center" vertical="center" wrapText="1"/>
    </xf>
    <xf numFmtId="0" fontId="0" fillId="0" borderId="0" xfId="0" applyNumberFormat="1" applyAlignment="1">
      <alignment vertical="center" wrapText="1"/>
    </xf>
    <xf numFmtId="166" fontId="62" fillId="37" borderId="13" xfId="76" quotePrefix="1" applyNumberFormat="1" applyFont="1" applyFill="1" applyBorder="1" applyAlignment="1" applyProtection="1">
      <alignment horizontal="left" vertical="center" wrapText="1" indent="1"/>
      <protection locked="0"/>
    </xf>
    <xf numFmtId="166" fontId="61" fillId="37" borderId="13" xfId="84" quotePrefix="1" applyNumberFormat="1" applyFont="1" applyFill="1" applyBorder="1" applyAlignment="1" applyProtection="1">
      <alignment horizontal="left" vertical="center" wrapText="1" indent="1"/>
      <protection locked="0"/>
    </xf>
    <xf numFmtId="166" fontId="61" fillId="37" borderId="13" xfId="83" quotePrefix="1" applyNumberFormat="1" applyFont="1" applyFill="1" applyBorder="1" applyProtection="1">
      <alignment horizontal="left" vertical="center" indent="1"/>
      <protection locked="0"/>
    </xf>
    <xf numFmtId="0" fontId="8" fillId="0" borderId="13" xfId="0" applyFont="1" applyBorder="1"/>
    <xf numFmtId="166" fontId="62" fillId="37" borderId="13" xfId="51" quotePrefix="1" applyNumberFormat="1" applyFont="1" applyFill="1" applyBorder="1">
      <alignment horizontal="left" vertical="center" indent="1"/>
    </xf>
    <xf numFmtId="166" fontId="62" fillId="37" borderId="13" xfId="51" applyNumberFormat="1" applyFont="1" applyFill="1" applyBorder="1">
      <alignment horizontal="left" vertical="center" indent="1"/>
    </xf>
    <xf numFmtId="166" fontId="61" fillId="37" borderId="13" xfId="83" applyNumberFormat="1" applyFont="1" applyFill="1" applyBorder="1" applyAlignment="1" applyProtection="1">
      <alignment vertical="center"/>
      <protection locked="0"/>
    </xf>
    <xf numFmtId="166" fontId="62" fillId="37" borderId="13" xfId="83" quotePrefix="1" applyNumberFormat="1" applyFont="1" applyFill="1" applyBorder="1" applyProtection="1">
      <alignment horizontal="left" vertical="center" indent="1"/>
      <protection locked="0"/>
    </xf>
    <xf numFmtId="166" fontId="61" fillId="37" borderId="13" xfId="84" applyNumberFormat="1" applyFont="1" applyFill="1" applyBorder="1" applyAlignment="1" applyProtection="1">
      <alignment horizontal="left" vertical="center" wrapText="1" indent="1"/>
      <protection locked="0"/>
    </xf>
    <xf numFmtId="3" fontId="8" fillId="35" borderId="13" xfId="44" applyNumberFormat="1" applyFont="1" applyFill="1" applyBorder="1" applyAlignment="1">
      <alignment horizontal="right" vertical="center" wrapText="1" indent="1"/>
    </xf>
    <xf numFmtId="49" fontId="8" fillId="0" borderId="20" xfId="42" applyNumberFormat="1" applyFont="1" applyBorder="1" applyAlignment="1">
      <alignment horizontal="center"/>
    </xf>
    <xf numFmtId="49" fontId="8" fillId="0" borderId="35" xfId="42" applyNumberFormat="1" applyFont="1" applyBorder="1" applyAlignment="1">
      <alignment horizontal="center"/>
    </xf>
    <xf numFmtId="3" fontId="2" fillId="24" borderId="31" xfId="0" applyNumberFormat="1" applyFont="1" applyFill="1" applyBorder="1" applyAlignment="1">
      <alignment horizontal="right" vertical="center" wrapText="1" indent="1"/>
    </xf>
    <xf numFmtId="49" fontId="8" fillId="0" borderId="37" xfId="42" applyNumberFormat="1" applyFont="1" applyBorder="1" applyAlignment="1">
      <alignment horizontal="center"/>
    </xf>
    <xf numFmtId="0" fontId="8" fillId="0" borderId="29" xfId="42" applyFont="1" applyBorder="1"/>
    <xf numFmtId="0" fontId="8" fillId="0" borderId="13" xfId="42" applyFont="1" applyBorder="1"/>
    <xf numFmtId="0" fontId="8" fillId="0" borderId="19" xfId="42" applyFont="1" applyBorder="1"/>
    <xf numFmtId="0" fontId="7" fillId="0" borderId="42" xfId="0" applyFont="1" applyFill="1" applyBorder="1" applyAlignment="1">
      <alignment horizontal="center" vertical="center" wrapText="1"/>
    </xf>
    <xf numFmtId="0" fontId="7" fillId="35" borderId="43" xfId="0" applyFont="1" applyFill="1" applyBorder="1" applyAlignment="1">
      <alignment horizontal="left" vertical="center" wrapText="1" indent="1"/>
    </xf>
    <xf numFmtId="0" fontId="8" fillId="0" borderId="43" xfId="0" applyFont="1" applyFill="1" applyBorder="1" applyAlignment="1">
      <alignment horizontal="left" vertical="center" wrapText="1" indent="1"/>
    </xf>
    <xf numFmtId="0" fontId="8" fillId="36" borderId="44" xfId="0" applyFont="1" applyFill="1" applyBorder="1" applyAlignment="1">
      <alignment horizontal="left" vertical="center" wrapText="1" indent="1"/>
    </xf>
    <xf numFmtId="0" fontId="8" fillId="0" borderId="45" xfId="0" applyFont="1" applyFill="1" applyBorder="1" applyAlignment="1">
      <alignment horizontal="left" vertical="center" wrapText="1" indent="1"/>
    </xf>
    <xf numFmtId="0" fontId="8" fillId="37" borderId="43" xfId="0" applyFont="1" applyFill="1" applyBorder="1" applyAlignment="1">
      <alignment horizontal="left" vertical="center" wrapText="1" indent="1"/>
    </xf>
    <xf numFmtId="0" fontId="8" fillId="0" borderId="44" xfId="0" applyFont="1" applyFill="1" applyBorder="1" applyAlignment="1">
      <alignment horizontal="left" vertical="center" wrapText="1" indent="1"/>
    </xf>
    <xf numFmtId="3" fontId="8" fillId="35" borderId="19" xfId="44" applyNumberFormat="1" applyFont="1" applyFill="1" applyBorder="1" applyAlignment="1">
      <alignment horizontal="right" vertical="center" wrapText="1" indent="1"/>
    </xf>
    <xf numFmtId="3" fontId="2" fillId="24" borderId="37" xfId="0" applyNumberFormat="1" applyFont="1" applyFill="1" applyBorder="1" applyAlignment="1">
      <alignment horizontal="right" vertical="center" wrapText="1" indent="1"/>
    </xf>
    <xf numFmtId="3" fontId="8" fillId="35" borderId="37" xfId="44" applyNumberFormat="1" applyFont="1" applyFill="1" applyBorder="1" applyAlignment="1">
      <alignment horizontal="right" vertical="center" wrapText="1" indent="1"/>
    </xf>
    <xf numFmtId="3" fontId="8" fillId="35" borderId="20" xfId="44" applyNumberFormat="1" applyFont="1" applyFill="1" applyBorder="1" applyAlignment="1">
      <alignment horizontal="right" vertical="center" wrapText="1" indent="1"/>
    </xf>
    <xf numFmtId="3" fontId="8" fillId="35" borderId="35" xfId="44" applyNumberFormat="1" applyFont="1" applyFill="1" applyBorder="1" applyAlignment="1">
      <alignment horizontal="right" vertical="center" wrapText="1" indent="1"/>
    </xf>
    <xf numFmtId="3" fontId="2" fillId="24" borderId="20" xfId="0" applyNumberFormat="1" applyFont="1" applyFill="1" applyBorder="1" applyAlignment="1">
      <alignment horizontal="right" vertical="center" wrapText="1" indent="1"/>
    </xf>
    <xf numFmtId="3" fontId="2" fillId="24" borderId="45" xfId="0" applyNumberFormat="1" applyFont="1" applyFill="1" applyBorder="1" applyAlignment="1">
      <alignment horizontal="right" vertical="center" wrapText="1" indent="1"/>
    </xf>
    <xf numFmtId="0" fontId="25" fillId="0" borderId="29" xfId="42" applyFont="1" applyBorder="1"/>
    <xf numFmtId="49" fontId="25" fillId="0" borderId="37" xfId="42" applyNumberFormat="1" applyFont="1" applyBorder="1" applyAlignment="1">
      <alignment horizontal="center"/>
    </xf>
    <xf numFmtId="0" fontId="25" fillId="0" borderId="13" xfId="42" applyFont="1" applyBorder="1"/>
    <xf numFmtId="49" fontId="25" fillId="0" borderId="20" xfId="42" applyNumberFormat="1" applyFont="1" applyBorder="1" applyAlignment="1">
      <alignment horizontal="center"/>
    </xf>
    <xf numFmtId="0" fontId="25" fillId="0" borderId="13" xfId="42" applyFont="1" applyBorder="1" applyAlignment="1">
      <alignment vertical="center"/>
    </xf>
    <xf numFmtId="49" fontId="59" fillId="32" borderId="20" xfId="42" applyNumberFormat="1" applyFont="1" applyFill="1" applyBorder="1" applyAlignment="1">
      <alignment horizontal="center"/>
    </xf>
    <xf numFmtId="49" fontId="59" fillId="0" borderId="20" xfId="42" applyNumberFormat="1" applyFont="1" applyBorder="1" applyAlignment="1">
      <alignment horizontal="center"/>
    </xf>
    <xf numFmtId="0" fontId="25" fillId="0" borderId="22" xfId="42" applyFont="1" applyBorder="1" applyAlignment="1">
      <alignment horizontal="left" indent="1"/>
    </xf>
    <xf numFmtId="0" fontId="25" fillId="0" borderId="15" xfId="42" applyFont="1" applyBorder="1" applyAlignment="1">
      <alignment horizontal="left" indent="1"/>
    </xf>
    <xf numFmtId="0" fontId="25" fillId="0" borderId="15" xfId="42" applyFont="1" applyFill="1" applyBorder="1" applyAlignment="1">
      <alignment horizontal="left" indent="1"/>
    </xf>
    <xf numFmtId="0" fontId="8" fillId="0" borderId="0" xfId="0" applyFont="1" applyBorder="1"/>
    <xf numFmtId="0" fontId="13" fillId="0" borderId="35" xfId="0" applyFont="1" applyBorder="1" applyAlignment="1">
      <alignment horizontal="center"/>
    </xf>
    <xf numFmtId="0" fontId="39" fillId="0" borderId="48" xfId="35" applyFont="1" applyBorder="1" applyAlignment="1" applyProtection="1">
      <alignment horizontal="center"/>
    </xf>
    <xf numFmtId="0" fontId="8" fillId="0" borderId="50" xfId="0" applyFont="1" applyBorder="1"/>
    <xf numFmtId="166" fontId="3" fillId="0" borderId="0" xfId="0" applyNumberFormat="1" applyFont="1" applyBorder="1"/>
    <xf numFmtId="166" fontId="3" fillId="0" borderId="0" xfId="0" applyNumberFormat="1" applyFont="1" applyBorder="1" applyAlignment="1">
      <alignment wrapText="1"/>
    </xf>
    <xf numFmtId="0" fontId="30" fillId="0" borderId="0" xfId="0" applyFont="1" applyBorder="1" applyAlignment="1">
      <alignment horizontal="left"/>
    </xf>
    <xf numFmtId="0" fontId="30" fillId="0" borderId="0" xfId="0" applyFont="1" applyBorder="1" applyAlignment="1">
      <alignment horizontal="left" vertical="center"/>
    </xf>
    <xf numFmtId="0" fontId="82" fillId="0" borderId="0" xfId="0" applyFont="1" applyFill="1" applyAlignment="1">
      <alignment vertical="center" wrapText="1"/>
    </xf>
    <xf numFmtId="0" fontId="19" fillId="0" borderId="0" xfId="0" applyFont="1" applyAlignment="1"/>
    <xf numFmtId="0" fontId="84" fillId="0" borderId="0" xfId="0" applyFont="1"/>
    <xf numFmtId="0" fontId="83" fillId="0" borderId="43" xfId="0" applyFont="1" applyFill="1" applyBorder="1" applyAlignment="1">
      <alignment horizontal="left" vertical="center" wrapText="1" indent="1"/>
    </xf>
    <xf numFmtId="0" fontId="68" fillId="0" borderId="0" xfId="0" applyFont="1" applyFill="1" applyAlignment="1">
      <alignment horizontal="left" vertical="center" indent="1"/>
    </xf>
    <xf numFmtId="3" fontId="8" fillId="0" borderId="0" xfId="45" applyNumberFormat="1" applyFont="1" applyBorder="1" applyAlignment="1">
      <alignment horizontal="center" vertical="center" wrapText="1"/>
    </xf>
    <xf numFmtId="4" fontId="3" fillId="35" borderId="17" xfId="0" applyNumberFormat="1" applyFont="1" applyFill="1" applyBorder="1" applyAlignment="1">
      <alignment horizontal="right" vertical="center" wrapText="1" indent="1"/>
    </xf>
    <xf numFmtId="4" fontId="7" fillId="24" borderId="17" xfId="45" applyNumberFormat="1" applyFont="1" applyFill="1" applyBorder="1" applyAlignment="1">
      <alignment horizontal="right" vertical="center" wrapText="1" indent="1"/>
    </xf>
    <xf numFmtId="4" fontId="7" fillId="24" borderId="18" xfId="45" applyNumberFormat="1" applyFont="1" applyFill="1" applyBorder="1" applyAlignment="1">
      <alignment horizontal="right" vertical="center" wrapText="1" indent="1"/>
    </xf>
    <xf numFmtId="0" fontId="69" fillId="0" borderId="14" xfId="0" applyFont="1" applyFill="1" applyBorder="1" applyAlignment="1">
      <alignment horizontal="center" vertical="center" wrapText="1"/>
    </xf>
    <xf numFmtId="49" fontId="7" fillId="0" borderId="13" xfId="43" applyNumberFormat="1" applyFont="1" applyBorder="1" applyAlignment="1">
      <alignment horizontal="left" vertical="center" wrapText="1" indent="1"/>
    </xf>
    <xf numFmtId="3" fontId="7" fillId="24" borderId="13" xfId="43" applyNumberFormat="1" applyFont="1" applyFill="1" applyBorder="1" applyAlignment="1">
      <alignment horizontal="right" vertical="center" wrapText="1" indent="1"/>
    </xf>
    <xf numFmtId="3" fontId="3" fillId="35" borderId="13" xfId="43" applyNumberFormat="1" applyFont="1" applyFill="1" applyBorder="1" applyAlignment="1">
      <alignment horizontal="right" vertical="center" wrapText="1" indent="1"/>
    </xf>
    <xf numFmtId="3" fontId="3" fillId="35" borderId="19" xfId="43" applyNumberFormat="1" applyFont="1" applyFill="1" applyBorder="1" applyAlignment="1">
      <alignment horizontal="right" vertical="center" wrapText="1" indent="1"/>
    </xf>
    <xf numFmtId="0" fontId="3" fillId="0" borderId="19" xfId="43" applyFont="1" applyBorder="1" applyAlignment="1">
      <alignment horizontal="left" vertical="top" wrapText="1" indent="1"/>
    </xf>
    <xf numFmtId="0" fontId="10" fillId="0" borderId="0" xfId="0" applyFont="1" applyAlignment="1">
      <alignment horizontal="center" vertical="center"/>
    </xf>
    <xf numFmtId="0" fontId="10" fillId="0" borderId="0" xfId="0" applyFont="1" applyAlignment="1">
      <alignment horizontal="left" indent="1"/>
    </xf>
    <xf numFmtId="0" fontId="10" fillId="0" borderId="0" xfId="0" applyFont="1"/>
    <xf numFmtId="0" fontId="25" fillId="0" borderId="43" xfId="0" applyFont="1" applyFill="1" applyBorder="1" applyAlignment="1">
      <alignment horizontal="left" vertical="center" wrapText="1" indent="1"/>
    </xf>
    <xf numFmtId="0" fontId="82" fillId="0" borderId="0" xfId="0" applyFont="1" applyAlignment="1">
      <alignment wrapText="1"/>
    </xf>
    <xf numFmtId="0" fontId="39" fillId="0" borderId="20" xfId="35" applyFont="1" applyBorder="1" applyAlignment="1" applyProtection="1">
      <alignment horizontal="center"/>
    </xf>
    <xf numFmtId="0" fontId="39" fillId="0" borderId="37" xfId="35" applyFont="1" applyBorder="1" applyAlignment="1" applyProtection="1">
      <alignment horizontal="center"/>
    </xf>
    <xf numFmtId="0" fontId="8" fillId="0" borderId="52" xfId="0" applyFont="1" applyBorder="1"/>
    <xf numFmtId="3" fontId="2" fillId="24" borderId="50" xfId="0" applyNumberFormat="1" applyFont="1" applyFill="1" applyBorder="1" applyAlignment="1">
      <alignment horizontal="right" vertical="center" wrapText="1" indent="1"/>
    </xf>
    <xf numFmtId="0" fontId="83" fillId="37" borderId="43" xfId="0" applyFont="1" applyFill="1" applyBorder="1" applyAlignment="1">
      <alignment horizontal="left" vertical="center" wrapText="1" indent="1"/>
    </xf>
    <xf numFmtId="49" fontId="83" fillId="37" borderId="43" xfId="0" applyNumberFormat="1" applyFont="1" applyFill="1" applyBorder="1" applyAlignment="1">
      <alignment horizontal="left" vertical="center" wrapText="1" indent="1"/>
    </xf>
    <xf numFmtId="0" fontId="3" fillId="0" borderId="0" xfId="0" applyFont="1" applyFill="1" applyBorder="1"/>
    <xf numFmtId="0" fontId="2" fillId="0" borderId="0" xfId="0" applyFont="1" applyFill="1" applyBorder="1" applyAlignment="1">
      <alignment horizontal="center" vertical="center"/>
    </xf>
    <xf numFmtId="49" fontId="2" fillId="0" borderId="13" xfId="0" applyNumberFormat="1" applyFont="1" applyFill="1" applyBorder="1" applyAlignment="1">
      <alignment horizontal="left" vertical="center" wrapText="1"/>
    </xf>
    <xf numFmtId="0" fontId="3" fillId="0" borderId="0" xfId="0" applyFont="1" applyFill="1" applyBorder="1" applyAlignment="1">
      <alignment vertical="center"/>
    </xf>
    <xf numFmtId="0" fontId="3" fillId="0" borderId="16" xfId="0" applyFont="1" applyFill="1" applyBorder="1" applyAlignment="1">
      <alignment horizontal="center" vertical="center" wrapText="1"/>
    </xf>
    <xf numFmtId="49" fontId="3" fillId="0" borderId="0" xfId="0" applyNumberFormat="1" applyFont="1" applyFill="1" applyBorder="1" applyAlignment="1">
      <alignment horizontal="left" indent="1"/>
    </xf>
    <xf numFmtId="0" fontId="25" fillId="0" borderId="0" xfId="0" applyFont="1" applyFill="1" applyBorder="1" applyAlignment="1">
      <alignment vertical="center"/>
    </xf>
    <xf numFmtId="0" fontId="32" fillId="0" borderId="0" xfId="40" applyFont="1" applyAlignment="1">
      <alignment horizontal="center" vertical="center" wrapText="1"/>
    </xf>
    <xf numFmtId="0" fontId="3" fillId="0" borderId="0" xfId="40" applyFont="1"/>
    <xf numFmtId="0" fontId="3" fillId="0" borderId="0" xfId="40" applyFont="1" applyAlignment="1">
      <alignment horizontal="center"/>
    </xf>
    <xf numFmtId="0" fontId="2" fillId="0" borderId="15" xfId="40" applyFont="1" applyBorder="1" applyAlignment="1">
      <alignment horizontal="center" vertical="center" wrapText="1"/>
    </xf>
    <xf numFmtId="49" fontId="2" fillId="0" borderId="13" xfId="40" applyNumberFormat="1" applyFont="1" applyBorder="1" applyAlignment="1">
      <alignment horizontal="center" vertical="center" wrapText="1"/>
    </xf>
    <xf numFmtId="0" fontId="2" fillId="0" borderId="13" xfId="40" applyFont="1" applyBorder="1" applyAlignment="1">
      <alignment horizontal="center" vertical="center" wrapText="1"/>
    </xf>
    <xf numFmtId="0" fontId="2" fillId="0" borderId="14" xfId="40" applyFont="1" applyBorder="1" applyAlignment="1">
      <alignment horizontal="center" vertical="center" wrapText="1"/>
    </xf>
    <xf numFmtId="0" fontId="3" fillId="0" borderId="15" xfId="40" applyFont="1" applyBorder="1" applyAlignment="1">
      <alignment horizontal="center" wrapText="1"/>
    </xf>
    <xf numFmtId="49" fontId="2" fillId="0" borderId="13" xfId="40" applyNumberFormat="1" applyFont="1" applyBorder="1" applyAlignment="1">
      <alignment vertical="top" wrapText="1"/>
    </xf>
    <xf numFmtId="3" fontId="3" fillId="0" borderId="13" xfId="40" applyNumberFormat="1" applyFont="1" applyFill="1" applyBorder="1" applyAlignment="1">
      <alignment horizontal="center" wrapText="1"/>
    </xf>
    <xf numFmtId="0" fontId="3" fillId="0" borderId="15" xfId="40" applyFont="1" applyBorder="1" applyAlignment="1">
      <alignment horizontal="center" vertical="center" wrapText="1"/>
    </xf>
    <xf numFmtId="49" fontId="2" fillId="0" borderId="13" xfId="40" applyNumberFormat="1" applyFont="1" applyBorder="1" applyAlignment="1">
      <alignment horizontal="left" vertical="center" wrapText="1" indent="1"/>
    </xf>
    <xf numFmtId="3" fontId="7" fillId="24" borderId="13" xfId="40" applyNumberFormat="1" applyFont="1" applyFill="1" applyBorder="1" applyAlignment="1">
      <alignment horizontal="right" vertical="center" wrapText="1" indent="1"/>
    </xf>
    <xf numFmtId="3" fontId="3" fillId="35" borderId="13" xfId="40" applyNumberFormat="1" applyFont="1" applyFill="1" applyBorder="1" applyAlignment="1">
      <alignment horizontal="right" vertical="center" wrapText="1" indent="1"/>
    </xf>
    <xf numFmtId="3" fontId="3" fillId="24" borderId="13" xfId="40" applyNumberFormat="1" applyFont="1" applyFill="1" applyBorder="1" applyAlignment="1">
      <alignment horizontal="right" vertical="center" wrapText="1" indent="1"/>
    </xf>
    <xf numFmtId="49" fontId="3" fillId="0" borderId="13" xfId="40" applyNumberFormat="1" applyFont="1" applyBorder="1" applyAlignment="1">
      <alignment horizontal="left" vertical="center" wrapText="1" indent="1"/>
    </xf>
    <xf numFmtId="3" fontId="7" fillId="35" borderId="13" xfId="40" applyNumberFormat="1" applyFont="1" applyFill="1" applyBorder="1" applyAlignment="1">
      <alignment horizontal="right" vertical="center" wrapText="1" indent="1"/>
    </xf>
    <xf numFmtId="3" fontId="3" fillId="0" borderId="13" xfId="40" applyNumberFormat="1" applyFont="1" applyFill="1" applyBorder="1" applyAlignment="1">
      <alignment horizontal="right" vertical="center" wrapText="1" indent="1"/>
    </xf>
    <xf numFmtId="0" fontId="3" fillId="0" borderId="0" xfId="40" applyFont="1" applyFill="1" applyAlignment="1">
      <alignment horizontal="center"/>
    </xf>
    <xf numFmtId="0" fontId="3" fillId="0" borderId="0" xfId="40" applyFont="1" applyFill="1"/>
    <xf numFmtId="49" fontId="8" fillId="36" borderId="13" xfId="40" applyNumberFormat="1" applyFont="1" applyFill="1" applyBorder="1" applyAlignment="1">
      <alignment horizontal="left" vertical="center" wrapText="1" indent="1"/>
    </xf>
    <xf numFmtId="49" fontId="2" fillId="0" borderId="17" xfId="40" applyNumberFormat="1" applyFont="1" applyBorder="1" applyAlignment="1">
      <alignment horizontal="left" vertical="center" wrapText="1" indent="1"/>
    </xf>
    <xf numFmtId="0" fontId="3" fillId="0" borderId="0" xfId="40" applyFont="1" applyFill="1" applyBorder="1" applyAlignment="1">
      <alignment horizontal="center" vertical="center" wrapText="1"/>
    </xf>
    <xf numFmtId="49" fontId="2" fillId="0" borderId="0" xfId="40" applyNumberFormat="1" applyFont="1" applyFill="1" applyBorder="1" applyAlignment="1">
      <alignment horizontal="left" vertical="top" wrapText="1" indent="1"/>
    </xf>
    <xf numFmtId="3" fontId="7" fillId="0" borderId="0" xfId="40" applyNumberFormat="1" applyFont="1" applyFill="1" applyBorder="1" applyAlignment="1">
      <alignment horizontal="right" vertical="center" wrapText="1" indent="1"/>
    </xf>
    <xf numFmtId="0" fontId="8" fillId="0" borderId="0" xfId="40" applyFont="1" applyAlignment="1">
      <alignment horizontal="center"/>
    </xf>
    <xf numFmtId="0" fontId="8" fillId="0" borderId="0" xfId="40" applyFont="1"/>
    <xf numFmtId="49" fontId="8" fillId="0" borderId="0" xfId="40" applyNumberFormat="1" applyFont="1"/>
    <xf numFmtId="49" fontId="3" fillId="0" borderId="0" xfId="40" applyNumberFormat="1" applyFont="1"/>
    <xf numFmtId="0" fontId="3" fillId="0" borderId="20" xfId="0" applyFont="1" applyFill="1" applyBorder="1" applyAlignment="1">
      <alignment horizontal="center" vertical="center" wrapText="1"/>
    </xf>
    <xf numFmtId="0" fontId="85" fillId="0" borderId="0" xfId="0" applyFont="1"/>
    <xf numFmtId="0" fontId="8" fillId="0" borderId="21" xfId="35" applyFont="1" applyBorder="1" applyAlignment="1" applyProtection="1">
      <alignment horizontal="left" vertical="center" indent="1"/>
    </xf>
    <xf numFmtId="0" fontId="81" fillId="35" borderId="43" xfId="0" applyFont="1" applyFill="1" applyBorder="1" applyAlignment="1">
      <alignment horizontal="left" vertical="center" wrapText="1" indent="1"/>
    </xf>
    <xf numFmtId="0" fontId="84" fillId="0" borderId="0" xfId="0" applyFont="1" applyBorder="1" applyAlignment="1">
      <alignment horizontal="left" vertical="center"/>
    </xf>
    <xf numFmtId="3" fontId="3" fillId="0" borderId="14" xfId="0" applyNumberFormat="1" applyFont="1" applyFill="1" applyBorder="1" applyAlignment="1">
      <alignment horizontal="center" vertical="center" wrapText="1"/>
    </xf>
    <xf numFmtId="0" fontId="3" fillId="0" borderId="15" xfId="43" applyFont="1" applyBorder="1" applyAlignment="1">
      <alignment horizontal="center" vertical="center" wrapText="1"/>
    </xf>
    <xf numFmtId="3" fontId="7" fillId="24" borderId="14" xfId="43" applyNumberFormat="1" applyFont="1" applyFill="1" applyBorder="1" applyAlignment="1">
      <alignment horizontal="right" vertical="center" wrapText="1" indent="1"/>
    </xf>
    <xf numFmtId="0" fontId="3" fillId="0" borderId="16" xfId="43" applyFont="1" applyBorder="1" applyAlignment="1">
      <alignment horizontal="center" vertical="center" wrapText="1"/>
    </xf>
    <xf numFmtId="3" fontId="2" fillId="24" borderId="17" xfId="43" applyNumberFormat="1" applyFont="1" applyFill="1" applyBorder="1" applyAlignment="1">
      <alignment horizontal="right" vertical="center" wrapText="1" indent="1"/>
    </xf>
    <xf numFmtId="3" fontId="3" fillId="0" borderId="38" xfId="40" applyNumberFormat="1" applyFont="1" applyFill="1" applyBorder="1" applyAlignment="1">
      <alignment horizontal="center" wrapText="1"/>
    </xf>
    <xf numFmtId="3" fontId="7" fillId="24" borderId="38" xfId="40" applyNumberFormat="1" applyFont="1" applyFill="1" applyBorder="1" applyAlignment="1">
      <alignment horizontal="right" vertical="center" wrapText="1" indent="1"/>
    </xf>
    <xf numFmtId="3" fontId="3" fillId="35" borderId="38" xfId="40" applyNumberFormat="1" applyFont="1" applyFill="1" applyBorder="1" applyAlignment="1">
      <alignment horizontal="right" vertical="center" wrapText="1" indent="1"/>
    </xf>
    <xf numFmtId="3" fontId="3" fillId="24" borderId="38" xfId="40" applyNumberFormat="1" applyFont="1" applyFill="1" applyBorder="1" applyAlignment="1">
      <alignment horizontal="right" vertical="center" wrapText="1" indent="1"/>
    </xf>
    <xf numFmtId="3" fontId="7" fillId="35" borderId="38" xfId="40" applyNumberFormat="1" applyFont="1" applyFill="1" applyBorder="1" applyAlignment="1">
      <alignment horizontal="right" vertical="center" wrapText="1" indent="1"/>
    </xf>
    <xf numFmtId="3" fontId="3" fillId="0" borderId="38" xfId="40" applyNumberFormat="1" applyFont="1" applyFill="1" applyBorder="1" applyAlignment="1">
      <alignment horizontal="right" vertical="center" wrapText="1" indent="1"/>
    </xf>
    <xf numFmtId="3" fontId="8" fillId="35" borderId="38" xfId="40" applyNumberFormat="1" applyFont="1" applyFill="1" applyBorder="1" applyAlignment="1">
      <alignment horizontal="right" vertical="center" wrapText="1" indent="1"/>
    </xf>
    <xf numFmtId="49" fontId="8" fillId="0" borderId="13" xfId="40" applyNumberFormat="1" applyFont="1" applyBorder="1" applyAlignment="1">
      <alignment horizontal="left" vertical="center" wrapText="1" indent="1"/>
    </xf>
    <xf numFmtId="49" fontId="3" fillId="0" borderId="13" xfId="40" applyNumberFormat="1" applyFont="1" applyFill="1" applyBorder="1" applyAlignment="1">
      <alignment horizontal="left" vertical="center" wrapText="1" indent="1"/>
    </xf>
    <xf numFmtId="0" fontId="83" fillId="0" borderId="16" xfId="41" applyFont="1" applyBorder="1" applyAlignment="1">
      <alignment horizontal="center" vertical="center"/>
    </xf>
    <xf numFmtId="0" fontId="3" fillId="0" borderId="15" xfId="0" applyFont="1" applyBorder="1" applyAlignment="1">
      <alignment horizontal="center" vertical="top"/>
    </xf>
    <xf numFmtId="0" fontId="3" fillId="0" borderId="0" xfId="0" applyFont="1" applyAlignment="1">
      <alignment horizontal="left" vertical="center"/>
    </xf>
    <xf numFmtId="0" fontId="8" fillId="0" borderId="20" xfId="0" applyFont="1" applyBorder="1" applyAlignment="1">
      <alignment horizontal="left" vertical="center" wrapText="1" indent="1"/>
    </xf>
    <xf numFmtId="0" fontId="8" fillId="0" borderId="35" xfId="0" applyFont="1" applyBorder="1" applyAlignment="1">
      <alignment horizontal="left" vertical="center" wrapText="1" indent="1"/>
    </xf>
    <xf numFmtId="0" fontId="83" fillId="0" borderId="20" xfId="0" applyFont="1" applyBorder="1" applyAlignment="1">
      <alignment horizontal="left" vertical="center" wrapText="1" indent="1"/>
    </xf>
    <xf numFmtId="49" fontId="59" fillId="32" borderId="53" xfId="42" applyNumberFormat="1" applyFont="1" applyFill="1" applyBorder="1" applyAlignment="1">
      <alignment horizontal="center" vertical="center"/>
    </xf>
    <xf numFmtId="0" fontId="8" fillId="0" borderId="15" xfId="42" applyFont="1" applyBorder="1" applyAlignment="1">
      <alignment horizontal="left" indent="1"/>
    </xf>
    <xf numFmtId="0" fontId="8" fillId="0" borderId="22" xfId="42" applyFont="1" applyBorder="1" applyAlignment="1">
      <alignment horizontal="left" indent="1"/>
    </xf>
    <xf numFmtId="0" fontId="8" fillId="0" borderId="15" xfId="42" applyFont="1" applyFill="1" applyBorder="1" applyAlignment="1">
      <alignment horizontal="left" indent="1"/>
    </xf>
    <xf numFmtId="0" fontId="8" fillId="0" borderId="21" xfId="42" applyFont="1" applyFill="1" applyBorder="1" applyAlignment="1">
      <alignment horizontal="left" indent="1"/>
    </xf>
    <xf numFmtId="0" fontId="3" fillId="0" borderId="15" xfId="40" applyFont="1" applyFill="1" applyBorder="1" applyAlignment="1">
      <alignment horizontal="center" vertical="center" wrapText="1"/>
    </xf>
    <xf numFmtId="0" fontId="3" fillId="0" borderId="16" xfId="40" applyFont="1" applyFill="1" applyBorder="1" applyAlignment="1">
      <alignment horizontal="center" vertical="center" wrapText="1"/>
    </xf>
    <xf numFmtId="0" fontId="81" fillId="0" borderId="13" xfId="45" applyFont="1" applyBorder="1" applyAlignment="1">
      <alignment horizontal="center" vertical="center" wrapText="1"/>
    </xf>
    <xf numFmtId="0" fontId="83" fillId="0" borderId="19" xfId="42" applyFont="1" applyBorder="1"/>
    <xf numFmtId="49" fontId="86" fillId="0" borderId="17" xfId="43" applyNumberFormat="1" applyFont="1" applyBorder="1" applyAlignment="1">
      <alignment horizontal="left" vertical="center" wrapText="1" indent="1"/>
    </xf>
    <xf numFmtId="0" fontId="3" fillId="0" borderId="0" xfId="40" applyFont="1" applyAlignment="1">
      <alignment vertical="center" wrapText="1"/>
    </xf>
    <xf numFmtId="0" fontId="3" fillId="0" borderId="0" xfId="40" applyFont="1" applyBorder="1" applyAlignment="1">
      <alignment horizontal="center" vertical="center" wrapText="1"/>
    </xf>
    <xf numFmtId="0" fontId="7" fillId="0" borderId="0" xfId="40" applyFont="1" applyBorder="1" applyAlignment="1">
      <alignment horizontal="left" vertical="center" wrapText="1" indent="1"/>
    </xf>
    <xf numFmtId="49" fontId="35" fillId="0" borderId="0" xfId="40" applyNumberFormat="1" applyFont="1"/>
    <xf numFmtId="3" fontId="3" fillId="35" borderId="13" xfId="43" applyNumberFormat="1" applyFont="1" applyFill="1" applyBorder="1" applyAlignment="1">
      <alignment horizontal="center" vertical="center" wrapText="1"/>
    </xf>
    <xf numFmtId="165" fontId="75" fillId="39" borderId="13" xfId="0" applyNumberFormat="1" applyFont="1" applyFill="1" applyBorder="1" applyAlignment="1">
      <alignment vertical="center" wrapText="1"/>
    </xf>
    <xf numFmtId="165" fontId="75" fillId="40" borderId="13" xfId="0" applyNumberFormat="1" applyFont="1" applyFill="1" applyBorder="1" applyAlignment="1">
      <alignment vertical="center" wrapText="1"/>
    </xf>
    <xf numFmtId="165" fontId="75" fillId="24" borderId="13" xfId="0" applyNumberFormat="1" applyFont="1" applyFill="1" applyBorder="1" applyAlignment="1">
      <alignment vertical="center" wrapText="1"/>
    </xf>
    <xf numFmtId="165" fontId="75" fillId="40" borderId="14" xfId="0" applyNumberFormat="1" applyFont="1" applyFill="1" applyBorder="1" applyAlignment="1">
      <alignment vertical="center" wrapText="1"/>
    </xf>
    <xf numFmtId="165" fontId="69" fillId="39" borderId="13" xfId="0" applyNumberFormat="1" applyFont="1" applyFill="1" applyBorder="1" applyAlignment="1">
      <alignment vertical="center" wrapText="1"/>
    </xf>
    <xf numFmtId="165" fontId="69" fillId="35" borderId="13" xfId="0" applyNumberFormat="1" applyFont="1" applyFill="1" applyBorder="1" applyAlignment="1">
      <alignment vertical="center" wrapText="1"/>
    </xf>
    <xf numFmtId="165" fontId="75" fillId="0" borderId="13" xfId="0" applyNumberFormat="1" applyFont="1" applyFill="1" applyBorder="1" applyAlignment="1">
      <alignment horizontal="center" vertical="center" wrapText="1"/>
    </xf>
    <xf numFmtId="165" fontId="89" fillId="0" borderId="13" xfId="0" applyNumberFormat="1" applyFont="1" applyFill="1" applyBorder="1" applyAlignment="1">
      <alignment horizontal="center" vertical="center" wrapText="1"/>
    </xf>
    <xf numFmtId="165" fontId="90" fillId="39" borderId="13" xfId="0" applyNumberFormat="1" applyFont="1" applyFill="1" applyBorder="1" applyAlignment="1">
      <alignment vertical="center" wrapText="1"/>
    </xf>
    <xf numFmtId="165" fontId="75" fillId="41" borderId="13" xfId="0" applyNumberFormat="1" applyFont="1" applyFill="1" applyBorder="1" applyAlignment="1">
      <alignment horizontal="center" vertical="center" wrapText="1"/>
    </xf>
    <xf numFmtId="165" fontId="89" fillId="41" borderId="13" xfId="0" applyNumberFormat="1" applyFont="1" applyFill="1" applyBorder="1" applyAlignment="1">
      <alignment horizontal="center" vertical="center" wrapText="1"/>
    </xf>
    <xf numFmtId="165" fontId="69" fillId="39" borderId="17" xfId="0" applyNumberFormat="1" applyFont="1" applyFill="1" applyBorder="1" applyAlignment="1">
      <alignment vertical="center"/>
    </xf>
    <xf numFmtId="165" fontId="69" fillId="35" borderId="17" xfId="0" applyNumberFormat="1" applyFont="1" applyFill="1" applyBorder="1" applyAlignment="1">
      <alignment vertical="center"/>
    </xf>
    <xf numFmtId="165" fontId="75" fillId="40" borderId="17" xfId="0" applyNumberFormat="1" applyFont="1" applyFill="1" applyBorder="1" applyAlignment="1">
      <alignment vertical="center" wrapText="1"/>
    </xf>
    <xf numFmtId="165" fontId="75" fillId="40" borderId="18" xfId="0" applyNumberFormat="1" applyFont="1" applyFill="1" applyBorder="1" applyAlignment="1">
      <alignment vertical="center" wrapText="1"/>
    </xf>
    <xf numFmtId="49" fontId="87" fillId="0" borderId="13" xfId="0" applyNumberFormat="1" applyFont="1" applyFill="1" applyBorder="1" applyAlignment="1">
      <alignment horizontal="left" vertical="top" wrapText="1" indent="1"/>
    </xf>
    <xf numFmtId="0" fontId="10" fillId="0" borderId="15" xfId="0" applyFont="1" applyBorder="1" applyAlignment="1">
      <alignment horizontal="center" vertical="center"/>
    </xf>
    <xf numFmtId="49" fontId="86" fillId="0" borderId="13" xfId="0" applyNumberFormat="1" applyFont="1" applyFill="1" applyBorder="1" applyAlignment="1">
      <alignment horizontal="left" vertical="top" wrapText="1" indent="1"/>
    </xf>
    <xf numFmtId="49" fontId="87" fillId="0" borderId="13" xfId="0" applyNumberFormat="1" applyFont="1" applyFill="1" applyBorder="1" applyAlignment="1">
      <alignment horizontal="left" wrapText="1" indent="1"/>
    </xf>
    <xf numFmtId="49" fontId="86" fillId="0" borderId="13" xfId="0" applyNumberFormat="1" applyFont="1" applyFill="1" applyBorder="1" applyAlignment="1">
      <alignment horizontal="left" vertical="top" wrapText="1"/>
    </xf>
    <xf numFmtId="49" fontId="87" fillId="0" borderId="13" xfId="0" applyNumberFormat="1" applyFont="1" applyFill="1" applyBorder="1" applyAlignment="1">
      <alignment horizontal="left" vertical="center" wrapText="1" indent="1"/>
    </xf>
    <xf numFmtId="49" fontId="87" fillId="0" borderId="13" xfId="0" applyNumberFormat="1" applyFont="1" applyFill="1" applyBorder="1" applyAlignment="1">
      <alignment horizontal="left" vertical="center" wrapText="1"/>
    </xf>
    <xf numFmtId="49" fontId="87" fillId="36" borderId="13" xfId="0" applyNumberFormat="1" applyFont="1" applyFill="1" applyBorder="1" applyAlignment="1">
      <alignment horizontal="left" vertical="top" wrapText="1" indent="1"/>
    </xf>
    <xf numFmtId="49" fontId="83" fillId="0" borderId="13" xfId="0" applyNumberFormat="1" applyFont="1" applyFill="1" applyBorder="1" applyAlignment="1">
      <alignment horizontal="left" vertical="center" wrapText="1" indent="1"/>
    </xf>
    <xf numFmtId="0" fontId="83" fillId="0" borderId="13" xfId="0" applyFont="1" applyFill="1" applyBorder="1" applyAlignment="1">
      <alignment vertical="center" wrapText="1"/>
    </xf>
    <xf numFmtId="0" fontId="83" fillId="0" borderId="15" xfId="0" applyFont="1" applyFill="1" applyBorder="1" applyAlignment="1">
      <alignment horizontal="right" vertical="center" wrapText="1" indent="1"/>
    </xf>
    <xf numFmtId="0" fontId="83" fillId="0" borderId="16" xfId="0" applyFont="1" applyFill="1" applyBorder="1" applyAlignment="1">
      <alignment horizontal="right" vertical="center" wrapText="1" indent="1"/>
    </xf>
    <xf numFmtId="0" fontId="83" fillId="0" borderId="22" xfId="0" applyFont="1" applyFill="1" applyBorder="1" applyAlignment="1">
      <alignment horizontal="right" vertical="center" wrapText="1" indent="1"/>
    </xf>
    <xf numFmtId="0" fontId="81" fillId="0" borderId="30" xfId="0" applyFont="1" applyBorder="1" applyAlignment="1">
      <alignment horizontal="center" vertical="center"/>
    </xf>
    <xf numFmtId="0" fontId="81" fillId="0" borderId="31" xfId="0" applyFont="1" applyBorder="1" applyAlignment="1">
      <alignment horizontal="center" vertical="center"/>
    </xf>
    <xf numFmtId="0" fontId="81" fillId="0" borderId="36" xfId="0" applyFont="1" applyBorder="1" applyAlignment="1">
      <alignment horizontal="center" vertical="center"/>
    </xf>
    <xf numFmtId="14" fontId="83" fillId="0" borderId="34" xfId="0" applyNumberFormat="1" applyFont="1" applyFill="1" applyBorder="1" applyAlignment="1">
      <alignment horizontal="center" vertical="center" wrapText="1"/>
    </xf>
    <xf numFmtId="14" fontId="83" fillId="0" borderId="14" xfId="0" applyNumberFormat="1" applyFont="1" applyFill="1" applyBorder="1" applyAlignment="1">
      <alignment horizontal="center" vertical="center" wrapText="1"/>
    </xf>
    <xf numFmtId="14" fontId="83" fillId="0" borderId="18"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8" xfId="0" applyFont="1" applyBorder="1" applyAlignment="1">
      <alignment horizontal="center" vertical="center" wrapText="1"/>
    </xf>
    <xf numFmtId="3" fontId="7" fillId="37" borderId="20" xfId="0" applyNumberFormat="1" applyFont="1" applyFill="1" applyBorder="1" applyAlignment="1">
      <alignment horizontal="right" vertical="center" wrapText="1" indent="1"/>
    </xf>
    <xf numFmtId="49" fontId="86" fillId="0" borderId="13" xfId="0" applyNumberFormat="1" applyFont="1" applyFill="1" applyBorder="1" applyAlignment="1">
      <alignment horizontal="left" vertical="center" wrapText="1" indent="1"/>
    </xf>
    <xf numFmtId="0" fontId="19" fillId="0" borderId="0" xfId="0" applyFont="1"/>
    <xf numFmtId="49" fontId="82" fillId="0" borderId="0" xfId="0" applyNumberFormat="1" applyFont="1" applyAlignment="1">
      <alignment horizontal="left" vertical="center"/>
    </xf>
    <xf numFmtId="0" fontId="83" fillId="43" borderId="13" xfId="0" applyFont="1" applyFill="1" applyBorder="1" applyAlignment="1">
      <alignment vertical="center" wrapText="1"/>
    </xf>
    <xf numFmtId="0" fontId="83" fillId="44" borderId="13" xfId="0" applyFont="1" applyFill="1" applyBorder="1" applyAlignment="1">
      <alignment vertical="center" wrapText="1"/>
    </xf>
    <xf numFmtId="0" fontId="83" fillId="45" borderId="29" xfId="0" applyFont="1" applyFill="1" applyBorder="1" applyAlignment="1">
      <alignment vertical="center" wrapText="1"/>
    </xf>
    <xf numFmtId="0" fontId="7" fillId="0" borderId="43" xfId="0" applyFont="1" applyFill="1" applyBorder="1" applyAlignment="1">
      <alignment horizontal="left" vertical="center" wrapText="1" indent="1"/>
    </xf>
    <xf numFmtId="3" fontId="3" fillId="35" borderId="13" xfId="0" applyNumberFormat="1" applyFont="1" applyFill="1" applyBorder="1" applyAlignment="1">
      <alignment horizontal="center" vertical="center" wrapText="1"/>
    </xf>
    <xf numFmtId="0" fontId="82" fillId="0" borderId="0" xfId="0" applyFont="1"/>
    <xf numFmtId="3" fontId="67" fillId="0" borderId="0" xfId="0" applyNumberFormat="1" applyFont="1"/>
    <xf numFmtId="3" fontId="2" fillId="24" borderId="53" xfId="0" applyNumberFormat="1" applyFont="1" applyFill="1" applyBorder="1" applyAlignment="1">
      <alignment horizontal="right" vertical="center" wrapText="1" indent="1"/>
    </xf>
    <xf numFmtId="3" fontId="2" fillId="24" borderId="65" xfId="0" applyNumberFormat="1" applyFont="1" applyFill="1" applyBorder="1" applyAlignment="1">
      <alignment horizontal="right" vertical="center" wrapText="1" indent="1"/>
    </xf>
    <xf numFmtId="49" fontId="59" fillId="32" borderId="28" xfId="42" applyNumberFormat="1" applyFont="1" applyFill="1" applyBorder="1" applyAlignment="1">
      <alignment horizontal="center"/>
    </xf>
    <xf numFmtId="3" fontId="2" fillId="24" borderId="55" xfId="0" applyNumberFormat="1" applyFont="1" applyFill="1" applyBorder="1" applyAlignment="1">
      <alignment horizontal="right" vertical="center" wrapText="1" indent="1"/>
    </xf>
    <xf numFmtId="3" fontId="2" fillId="24" borderId="43" xfId="0" applyNumberFormat="1" applyFont="1" applyFill="1" applyBorder="1" applyAlignment="1">
      <alignment horizontal="right" vertical="center" wrapText="1" indent="1"/>
    </xf>
    <xf numFmtId="3" fontId="2" fillId="24" borderId="44" xfId="0" applyNumberFormat="1" applyFont="1" applyFill="1" applyBorder="1" applyAlignment="1">
      <alignment horizontal="right" vertical="center" wrapText="1" indent="1"/>
    </xf>
    <xf numFmtId="3" fontId="2" fillId="24" borderId="64" xfId="0" applyNumberFormat="1" applyFont="1" applyFill="1" applyBorder="1" applyAlignment="1">
      <alignment horizontal="right" vertical="center" wrapText="1" indent="1"/>
    </xf>
    <xf numFmtId="49" fontId="8" fillId="0" borderId="0" xfId="0" applyNumberFormat="1" applyFont="1" applyAlignment="1">
      <alignment horizontal="left" vertical="center"/>
    </xf>
    <xf numFmtId="0" fontId="2" fillId="0" borderId="15" xfId="0" applyFont="1" applyBorder="1" applyAlignment="1">
      <alignment horizontal="center" vertical="center" wrapText="1"/>
    </xf>
    <xf numFmtId="49" fontId="2" fillId="0" borderId="13" xfId="0" applyNumberFormat="1" applyFont="1" applyBorder="1" applyAlignment="1">
      <alignment horizontal="left" vertical="center" wrapText="1" inden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0" applyFont="1" applyAlignment="1"/>
    <xf numFmtId="0" fontId="3" fillId="0" borderId="0" xfId="0" applyFont="1" applyAlignment="1">
      <alignment vertical="top" wrapText="1"/>
    </xf>
    <xf numFmtId="0" fontId="83" fillId="0" borderId="15" xfId="35" applyFont="1" applyBorder="1" applyAlignment="1" applyProtection="1">
      <alignment horizontal="left" vertical="center" indent="1"/>
    </xf>
    <xf numFmtId="0" fontId="83" fillId="0" borderId="52" xfId="0" applyFont="1" applyBorder="1"/>
    <xf numFmtId="0" fontId="8" fillId="0" borderId="15" xfId="35" applyFont="1" applyBorder="1" applyAlignment="1" applyProtection="1">
      <alignment horizontal="left" vertical="center" indent="1"/>
    </xf>
    <xf numFmtId="0" fontId="81" fillId="0" borderId="43" xfId="0" applyFont="1" applyFill="1" applyBorder="1" applyAlignment="1">
      <alignment horizontal="left" vertical="center" wrapText="1" inden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3" xfId="0" applyNumberFormat="1" applyFont="1" applyFill="1" applyBorder="1" applyAlignment="1">
      <alignment vertical="center" wrapText="1"/>
    </xf>
    <xf numFmtId="49" fontId="88" fillId="0" borderId="13"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8" fillId="0" borderId="13" xfId="0" applyNumberFormat="1" applyFont="1" applyFill="1" applyBorder="1" applyAlignment="1">
      <alignment vertical="center" wrapText="1"/>
    </xf>
    <xf numFmtId="49" fontId="7" fillId="0" borderId="17" xfId="0" applyNumberFormat="1" applyFont="1" applyFill="1" applyBorder="1" applyAlignment="1">
      <alignment vertical="center" wrapText="1"/>
    </xf>
    <xf numFmtId="0" fontId="3" fillId="0" borderId="72" xfId="0" applyFont="1" applyFill="1" applyBorder="1" applyAlignment="1">
      <alignment horizontal="center" vertical="center" wrapText="1"/>
    </xf>
    <xf numFmtId="0" fontId="7" fillId="0" borderId="72" xfId="0" applyFont="1" applyFill="1" applyBorder="1" applyAlignment="1">
      <alignment horizontal="left" vertical="center" wrapText="1" indent="1"/>
    </xf>
    <xf numFmtId="0" fontId="7" fillId="0" borderId="72" xfId="0" applyFont="1" applyFill="1" applyBorder="1" applyAlignment="1">
      <alignment horizontal="center" vertical="center" wrapText="1"/>
    </xf>
    <xf numFmtId="0" fontId="3" fillId="0" borderId="72" xfId="0" applyFont="1" applyFill="1" applyBorder="1" applyAlignment="1">
      <alignment horizontal="right" vertical="center" wrapText="1" indent="1"/>
    </xf>
    <xf numFmtId="49" fontId="98" fillId="0" borderId="52" xfId="40" applyNumberFormat="1" applyFont="1" applyBorder="1"/>
    <xf numFmtId="0" fontId="25" fillId="0" borderId="27" xfId="40" applyFont="1" applyBorder="1"/>
    <xf numFmtId="14" fontId="84" fillId="0" borderId="0" xfId="40" applyNumberFormat="1" applyFont="1" applyAlignment="1">
      <alignment vertical="center" wrapText="1"/>
    </xf>
    <xf numFmtId="0" fontId="84" fillId="0" borderId="0" xfId="40" applyFont="1" applyAlignment="1">
      <alignment vertical="center" wrapText="1"/>
    </xf>
    <xf numFmtId="0" fontId="25" fillId="0" borderId="20" xfId="40" applyFont="1" applyBorder="1" applyAlignment="1">
      <alignment vertical="center"/>
    </xf>
    <xf numFmtId="0" fontId="25" fillId="0" borderId="52" xfId="40" applyFont="1" applyBorder="1" applyAlignment="1">
      <alignment vertical="center"/>
    </xf>
    <xf numFmtId="0" fontId="7" fillId="0" borderId="60" xfId="0" applyFont="1" applyFill="1" applyBorder="1" applyAlignment="1">
      <alignment horizontal="center" vertical="center" wrapText="1"/>
    </xf>
    <xf numFmtId="0" fontId="8" fillId="0" borderId="20" xfId="0" applyFont="1" applyFill="1" applyBorder="1" applyAlignment="1">
      <alignment horizontal="left" vertical="center" wrapText="1" indent="1"/>
    </xf>
    <xf numFmtId="0" fontId="83" fillId="0" borderId="20" xfId="0" applyFont="1" applyFill="1" applyBorder="1" applyAlignment="1">
      <alignment horizontal="left" vertical="center" wrapText="1" indent="1"/>
    </xf>
    <xf numFmtId="0" fontId="82" fillId="0" borderId="20" xfId="0" applyFont="1" applyFill="1" applyBorder="1" applyAlignment="1">
      <alignment horizontal="left" vertical="center" wrapText="1" indent="1"/>
    </xf>
    <xf numFmtId="0" fontId="8" fillId="0" borderId="43" xfId="0" applyNumberFormat="1" applyFont="1" applyFill="1" applyBorder="1" applyAlignment="1">
      <alignment horizontal="left" vertical="center" wrapText="1" indent="1"/>
    </xf>
    <xf numFmtId="3" fontId="7" fillId="24" borderId="62" xfId="0" applyNumberFormat="1" applyFont="1" applyFill="1" applyBorder="1" applyAlignment="1">
      <alignment horizontal="right" vertical="center" wrapText="1" indent="1"/>
    </xf>
    <xf numFmtId="3" fontId="7" fillId="24" borderId="77" xfId="0" applyNumberFormat="1" applyFont="1" applyFill="1" applyBorder="1" applyAlignment="1">
      <alignment horizontal="right" vertical="center" wrapText="1" indent="1"/>
    </xf>
    <xf numFmtId="0" fontId="2" fillId="0" borderId="57" xfId="0" applyFont="1" applyBorder="1" applyAlignment="1">
      <alignment horizontal="center" vertical="center" wrapText="1"/>
    </xf>
    <xf numFmtId="0" fontId="2" fillId="0" borderId="12" xfId="0" applyFont="1" applyBorder="1" applyAlignment="1">
      <alignment horizontal="center" vertical="center" wrapText="1"/>
    </xf>
    <xf numFmtId="4" fontId="3" fillId="0" borderId="0" xfId="0" applyNumberFormat="1" applyFont="1" applyFill="1" applyAlignment="1">
      <alignment horizontal="right" vertical="center" indent="1"/>
    </xf>
    <xf numFmtId="49" fontId="84" fillId="0" borderId="0" xfId="0" applyNumberFormat="1" applyFont="1" applyBorder="1" applyAlignment="1">
      <alignment horizontal="left" vertical="center" wrapText="1" indent="1"/>
    </xf>
    <xf numFmtId="0" fontId="100" fillId="0" borderId="0" xfId="0" applyFont="1" applyFill="1" applyAlignment="1">
      <alignment horizontal="left" vertical="center" wrapText="1" indent="3"/>
    </xf>
    <xf numFmtId="0" fontId="1" fillId="0" borderId="0" xfId="0" applyFont="1"/>
    <xf numFmtId="0" fontId="71" fillId="0" borderId="0" xfId="0" applyFont="1"/>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01" fillId="0" borderId="0" xfId="0" applyFont="1"/>
    <xf numFmtId="0" fontId="84" fillId="0" borderId="0" xfId="0" applyFont="1" applyFill="1"/>
    <xf numFmtId="49" fontId="87" fillId="0" borderId="13" xfId="0" applyNumberFormat="1" applyFont="1" applyFill="1" applyBorder="1" applyAlignment="1" applyProtection="1">
      <alignment horizontal="left" vertical="top" wrapText="1" indent="1"/>
      <protection locked="0"/>
    </xf>
    <xf numFmtId="3" fontId="25" fillId="0" borderId="0" xfId="45" applyNumberFormat="1" applyFont="1" applyBorder="1" applyAlignment="1">
      <alignment vertical="center"/>
    </xf>
    <xf numFmtId="0" fontId="67" fillId="0" borderId="52" xfId="0" applyFont="1" applyBorder="1"/>
    <xf numFmtId="0" fontId="13" fillId="0" borderId="46" xfId="0" applyFont="1" applyFill="1" applyBorder="1" applyAlignment="1">
      <alignment vertical="center"/>
    </xf>
    <xf numFmtId="0" fontId="8" fillId="0" borderId="46" xfId="0" applyFont="1" applyFill="1" applyBorder="1" applyAlignment="1">
      <alignment vertical="center"/>
    </xf>
    <xf numFmtId="0" fontId="8" fillId="0" borderId="46" xfId="0" applyFont="1" applyBorder="1"/>
    <xf numFmtId="0" fontId="8" fillId="0" borderId="47" xfId="0" applyFont="1" applyBorder="1"/>
    <xf numFmtId="0" fontId="8" fillId="0" borderId="49" xfId="0" applyFont="1" applyBorder="1"/>
    <xf numFmtId="0" fontId="8" fillId="0" borderId="32" xfId="0" applyFont="1" applyBorder="1"/>
    <xf numFmtId="0" fontId="8" fillId="0" borderId="27" xfId="0" applyFont="1" applyBorder="1"/>
    <xf numFmtId="0" fontId="67" fillId="0" borderId="27" xfId="0" applyFont="1" applyBorder="1"/>
    <xf numFmtId="0" fontId="102" fillId="0" borderId="0" xfId="0" applyFont="1" applyAlignment="1">
      <alignment horizontal="center"/>
    </xf>
    <xf numFmtId="0" fontId="8" fillId="0" borderId="0" xfId="0" applyFont="1" applyAlignment="1">
      <alignment horizontal="center"/>
    </xf>
    <xf numFmtId="0" fontId="74" fillId="0" borderId="46" xfId="0" applyFont="1" applyFill="1" applyBorder="1" applyAlignment="1">
      <alignment vertical="center"/>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4" fontId="7" fillId="24" borderId="17" xfId="0" applyNumberFormat="1" applyFont="1" applyFill="1" applyBorder="1" applyAlignment="1">
      <alignment horizontal="right" vertical="center" wrapText="1" indent="1"/>
    </xf>
    <xf numFmtId="0" fontId="8" fillId="0" borderId="0" xfId="0" applyFont="1" applyFill="1" applyAlignment="1">
      <alignment vertical="center" wrapText="1"/>
    </xf>
    <xf numFmtId="0" fontId="92" fillId="0" borderId="0" xfId="0" applyFont="1" applyAlignment="1">
      <alignment horizontal="left"/>
    </xf>
    <xf numFmtId="0" fontId="0" fillId="0" borderId="0" xfId="0" applyAlignment="1">
      <alignment horizontal="left"/>
    </xf>
    <xf numFmtId="0" fontId="85" fillId="0" borderId="0" xfId="0" applyFont="1" applyAlignment="1">
      <alignment horizontal="left"/>
    </xf>
    <xf numFmtId="0" fontId="0" fillId="0" borderId="0" xfId="0" applyFill="1" applyAlignment="1">
      <alignment horizontal="left"/>
    </xf>
    <xf numFmtId="0" fontId="19" fillId="0" borderId="0" xfId="0" applyFont="1" applyAlignment="1">
      <alignment horizontal="left" vertical="center"/>
    </xf>
    <xf numFmtId="0" fontId="99" fillId="0" borderId="0" xfId="0" applyFont="1" applyAlignment="1">
      <alignment horizontal="left"/>
    </xf>
    <xf numFmtId="0" fontId="30" fillId="0" borderId="0" xfId="0" applyFont="1" applyFill="1" applyAlignment="1">
      <alignment vertical="center"/>
    </xf>
    <xf numFmtId="0" fontId="103" fillId="0" borderId="0" xfId="0" applyFont="1" applyAlignment="1">
      <alignment horizontal="left" wrapText="1"/>
    </xf>
    <xf numFmtId="0" fontId="7" fillId="0" borderId="13" xfId="40" applyFont="1" applyBorder="1" applyAlignment="1">
      <alignment horizontal="center" vertical="center" wrapText="1"/>
    </xf>
    <xf numFmtId="0" fontId="7" fillId="0" borderId="13" xfId="40" applyFont="1" applyBorder="1" applyAlignment="1">
      <alignment horizontal="left" vertical="center" wrapText="1" indent="1"/>
    </xf>
    <xf numFmtId="0" fontId="7" fillId="0" borderId="14" xfId="40" applyFont="1" applyBorder="1" applyAlignment="1">
      <alignment horizontal="center" vertical="center" wrapText="1"/>
    </xf>
    <xf numFmtId="3" fontId="7" fillId="24" borderId="14" xfId="40" applyNumberFormat="1" applyFont="1" applyFill="1" applyBorder="1" applyAlignment="1">
      <alignment horizontal="right" vertical="center" wrapText="1" indent="1"/>
    </xf>
    <xf numFmtId="3" fontId="3" fillId="35" borderId="14" xfId="40" applyNumberFormat="1" applyFont="1" applyFill="1" applyBorder="1" applyAlignment="1">
      <alignment horizontal="right" vertical="center" wrapText="1" indent="1"/>
    </xf>
    <xf numFmtId="0" fontId="3" fillId="0" borderId="16" xfId="40" applyFont="1" applyBorder="1" applyAlignment="1">
      <alignment horizontal="center" vertical="center" wrapText="1"/>
    </xf>
    <xf numFmtId="0" fontId="7" fillId="0" borderId="17" xfId="40" applyFont="1" applyBorder="1" applyAlignment="1">
      <alignment horizontal="left" vertical="center" wrapText="1" indent="1"/>
    </xf>
    <xf numFmtId="3" fontId="3" fillId="35" borderId="17" xfId="40" applyNumberFormat="1" applyFont="1" applyFill="1" applyBorder="1" applyAlignment="1">
      <alignment horizontal="right" vertical="center" wrapText="1" indent="1"/>
    </xf>
    <xf numFmtId="3" fontId="3" fillId="35" borderId="18" xfId="40" applyNumberFormat="1" applyFont="1" applyFill="1" applyBorder="1" applyAlignment="1">
      <alignment horizontal="right" vertical="center" wrapText="1" indent="1"/>
    </xf>
    <xf numFmtId="3" fontId="3" fillId="0" borderId="0" xfId="0" applyNumberFormat="1" applyFont="1" applyAlignment="1">
      <alignment vertical="center"/>
    </xf>
    <xf numFmtId="0" fontId="102" fillId="0" borderId="14" xfId="35" applyFont="1" applyBorder="1" applyAlignment="1" applyProtection="1">
      <alignment horizontal="left" vertical="center" indent="1"/>
    </xf>
    <xf numFmtId="0" fontId="85" fillId="0" borderId="0" xfId="0" applyFont="1" applyAlignment="1">
      <alignment vertical="center"/>
    </xf>
    <xf numFmtId="0" fontId="106" fillId="0" borderId="13" xfId="0" applyFont="1" applyFill="1" applyBorder="1" applyAlignment="1">
      <alignment horizontal="center" vertical="center" wrapText="1"/>
    </xf>
    <xf numFmtId="0" fontId="106" fillId="0" borderId="14" xfId="0" applyFont="1" applyFill="1" applyBorder="1" applyAlignment="1">
      <alignment horizontal="center" vertical="center" wrapText="1"/>
    </xf>
    <xf numFmtId="0" fontId="81" fillId="0" borderId="13" xfId="41" applyFont="1" applyBorder="1" applyAlignment="1">
      <alignment horizontal="center" vertical="center"/>
    </xf>
    <xf numFmtId="0" fontId="81" fillId="0" borderId="13" xfId="41" applyFont="1" applyBorder="1" applyAlignment="1">
      <alignment vertical="center"/>
    </xf>
    <xf numFmtId="0" fontId="81" fillId="0" borderId="23" xfId="41" applyFont="1" applyBorder="1" applyAlignment="1">
      <alignment horizontal="center" vertical="center" wrapText="1"/>
    </xf>
    <xf numFmtId="0" fontId="81" fillId="0" borderId="25" xfId="41" applyFont="1" applyBorder="1" applyAlignment="1">
      <alignment horizontal="center" vertical="center"/>
    </xf>
    <xf numFmtId="0" fontId="81" fillId="0" borderId="25" xfId="41" applyFont="1" applyBorder="1" applyAlignment="1">
      <alignment horizontal="center" vertical="center" wrapText="1"/>
    </xf>
    <xf numFmtId="0" fontId="81" fillId="0" borderId="24" xfId="41" applyFont="1" applyBorder="1" applyAlignment="1">
      <alignment horizontal="center" vertical="center" wrapText="1"/>
    </xf>
    <xf numFmtId="0" fontId="81" fillId="0" borderId="15" xfId="41" applyFont="1" applyBorder="1" applyAlignment="1">
      <alignment vertical="center"/>
    </xf>
    <xf numFmtId="0" fontId="81" fillId="0" borderId="14" xfId="41" applyFont="1" applyBorder="1" applyAlignment="1">
      <alignment horizontal="center" vertical="center"/>
    </xf>
    <xf numFmtId="0" fontId="81" fillId="0" borderId="17" xfId="41" applyFont="1" applyBorder="1" applyAlignment="1">
      <alignment horizontal="left" vertical="center" indent="1"/>
    </xf>
    <xf numFmtId="0" fontId="83" fillId="0" borderId="22" xfId="41" applyFont="1" applyBorder="1" applyAlignment="1">
      <alignment horizontal="center" vertical="center"/>
    </xf>
    <xf numFmtId="0" fontId="81" fillId="0" borderId="29" xfId="41" applyFont="1" applyBorder="1" applyAlignment="1">
      <alignment horizontal="left" vertical="center" indent="1"/>
    </xf>
    <xf numFmtId="0" fontId="83" fillId="0" borderId="78" xfId="41" applyFont="1" applyBorder="1" applyAlignment="1">
      <alignment horizontal="center" vertical="center"/>
    </xf>
    <xf numFmtId="0" fontId="81" fillId="0" borderId="79" xfId="41" applyFont="1" applyBorder="1" applyAlignment="1">
      <alignment horizontal="left" vertical="center" indent="1"/>
    </xf>
    <xf numFmtId="3" fontId="7" fillId="35" borderId="79" xfId="0" applyNumberFormat="1" applyFont="1" applyFill="1" applyBorder="1" applyAlignment="1">
      <alignment horizontal="right" vertical="center" wrapText="1" indent="1"/>
    </xf>
    <xf numFmtId="165" fontId="7" fillId="24" borderId="80" xfId="0" applyNumberFormat="1" applyFont="1" applyFill="1" applyBorder="1" applyAlignment="1">
      <alignment horizontal="right" vertical="center" wrapText="1" indent="1"/>
    </xf>
    <xf numFmtId="0" fontId="80" fillId="0" borderId="0" xfId="41" applyBorder="1" applyAlignment="1">
      <alignment horizontal="center" vertical="center" wrapText="1"/>
    </xf>
    <xf numFmtId="166" fontId="7" fillId="24" borderId="73" xfId="0" applyNumberFormat="1" applyFont="1" applyFill="1" applyBorder="1" applyAlignment="1">
      <alignment horizontal="right" vertical="center" wrapText="1" indent="1"/>
    </xf>
    <xf numFmtId="3" fontId="7" fillId="35" borderId="82" xfId="0" applyNumberFormat="1" applyFont="1" applyFill="1" applyBorder="1" applyAlignment="1">
      <alignment horizontal="right" vertical="center" wrapText="1" indent="1"/>
    </xf>
    <xf numFmtId="165" fontId="7" fillId="24" borderId="81" xfId="0" applyNumberFormat="1" applyFont="1" applyFill="1" applyBorder="1" applyAlignment="1">
      <alignment horizontal="right" vertical="center" wrapText="1" indent="1"/>
    </xf>
    <xf numFmtId="166" fontId="7" fillId="24" borderId="51" xfId="0" applyNumberFormat="1" applyFont="1" applyFill="1" applyBorder="1" applyAlignment="1">
      <alignment horizontal="right" vertical="center" wrapText="1" indent="1"/>
    </xf>
    <xf numFmtId="0" fontId="80" fillId="0" borderId="0" xfId="41" applyFill="1"/>
    <xf numFmtId="0" fontId="80" fillId="0" borderId="0" xfId="41" applyAlignment="1">
      <alignment horizontal="center" vertical="center"/>
    </xf>
    <xf numFmtId="0" fontId="3" fillId="0" borderId="13" xfId="0" applyFont="1" applyBorder="1" applyAlignment="1">
      <alignment vertical="center" wrapText="1"/>
    </xf>
    <xf numFmtId="0" fontId="3" fillId="0" borderId="23" xfId="0" applyFont="1" applyBorder="1" applyAlignment="1">
      <alignment vertical="center" wrapText="1"/>
    </xf>
    <xf numFmtId="0" fontId="3" fillId="0" borderId="25"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47" borderId="0" xfId="0" applyFont="1" applyFill="1" applyAlignment="1">
      <alignment vertical="center" wrapText="1"/>
    </xf>
    <xf numFmtId="0" fontId="8" fillId="32" borderId="83" xfId="0" applyFont="1" applyFill="1" applyBorder="1" applyAlignment="1">
      <alignment vertical="center" wrapText="1"/>
    </xf>
    <xf numFmtId="0" fontId="83" fillId="0" borderId="17" xfId="0" applyFont="1" applyFill="1" applyBorder="1" applyAlignment="1">
      <alignment horizontal="left" vertical="center" wrapText="1" indent="1"/>
    </xf>
    <xf numFmtId="0" fontId="3" fillId="0" borderId="0" xfId="40" applyFont="1" applyBorder="1" applyAlignment="1">
      <alignment vertical="center" wrapText="1"/>
    </xf>
    <xf numFmtId="0" fontId="101" fillId="0" borderId="0" xfId="40" applyFont="1" applyBorder="1" applyAlignment="1">
      <alignment vertical="center"/>
    </xf>
    <xf numFmtId="0" fontId="3" fillId="0" borderId="21" xfId="43" applyFont="1" applyBorder="1" applyAlignment="1">
      <alignment horizontal="center" vertical="center" wrapText="1"/>
    </xf>
    <xf numFmtId="0" fontId="2" fillId="0" borderId="13" xfId="0" applyFont="1" applyFill="1" applyBorder="1" applyAlignment="1">
      <alignment horizontal="center" vertical="center" wrapText="1"/>
    </xf>
    <xf numFmtId="0" fontId="8" fillId="0" borderId="29" xfId="0" applyFont="1" applyFill="1" applyBorder="1" applyAlignment="1">
      <alignment horizontal="left" vertical="center" wrapText="1" inden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0" xfId="0" applyFont="1" applyFill="1" applyBorder="1" applyAlignment="1">
      <alignment horizontal="left" vertical="center" wrapText="1" indent="1"/>
    </xf>
    <xf numFmtId="49" fontId="7" fillId="0" borderId="13" xfId="0" applyNumberFormat="1" applyFont="1" applyFill="1" applyBorder="1" applyAlignment="1">
      <alignment horizontal="left" vertical="center" indent="1"/>
    </xf>
    <xf numFmtId="49" fontId="7" fillId="37" borderId="13" xfId="0" applyNumberFormat="1" applyFont="1" applyFill="1" applyBorder="1" applyAlignment="1">
      <alignment horizontal="left" vertical="center" indent="1"/>
    </xf>
    <xf numFmtId="49" fontId="8" fillId="0" borderId="19" xfId="0" applyNumberFormat="1" applyFont="1" applyFill="1" applyBorder="1" applyAlignment="1">
      <alignment horizontal="left" vertical="center" wrapText="1" indent="1"/>
    </xf>
    <xf numFmtId="1" fontId="7" fillId="24" borderId="14" xfId="0" applyNumberFormat="1" applyFont="1" applyFill="1" applyBorder="1" applyAlignment="1">
      <alignment horizontal="right" vertical="center" wrapText="1" indent="1"/>
    </xf>
    <xf numFmtId="0" fontId="87" fillId="47" borderId="0" xfId="0" applyFont="1" applyFill="1" applyAlignment="1">
      <alignment vertical="center" wrapText="1"/>
    </xf>
    <xf numFmtId="0" fontId="86" fillId="0" borderId="0" xfId="0" applyFont="1" applyBorder="1" applyAlignment="1">
      <alignment vertical="center" wrapText="1"/>
    </xf>
    <xf numFmtId="0" fontId="87" fillId="0" borderId="13" xfId="0" applyFont="1" applyBorder="1" applyAlignment="1">
      <alignment vertical="center" wrapText="1"/>
    </xf>
    <xf numFmtId="0" fontId="87" fillId="0" borderId="0" xfId="0" applyFont="1" applyAlignment="1">
      <alignment vertical="center" wrapText="1"/>
    </xf>
    <xf numFmtId="0" fontId="86" fillId="0" borderId="0" xfId="0" applyFont="1" applyAlignment="1">
      <alignment horizontal="center" vertical="center"/>
    </xf>
    <xf numFmtId="0" fontId="86" fillId="0" borderId="0" xfId="0" applyFont="1" applyAlignment="1">
      <alignment vertical="center" wrapText="1"/>
    </xf>
    <xf numFmtId="49" fontId="86" fillId="0" borderId="17" xfId="0" applyNumberFormat="1" applyFont="1" applyFill="1" applyBorder="1" applyAlignment="1">
      <alignment horizontal="left" vertical="top" wrapText="1" indent="1"/>
    </xf>
    <xf numFmtId="49" fontId="87" fillId="0" borderId="0" xfId="0" applyNumberFormat="1" applyFont="1" applyAlignment="1">
      <alignment horizontal="left" wrapText="1"/>
    </xf>
    <xf numFmtId="49" fontId="108" fillId="0" borderId="13" xfId="0" applyNumberFormat="1" applyFont="1" applyFill="1" applyBorder="1" applyAlignment="1">
      <alignment horizontal="left" vertical="top" wrapText="1" indent="1"/>
    </xf>
    <xf numFmtId="3" fontId="86" fillId="24" borderId="13" xfId="0" applyNumberFormat="1" applyFont="1" applyFill="1" applyBorder="1" applyAlignment="1">
      <alignment horizontal="right" vertical="center" wrapText="1" indent="1"/>
    </xf>
    <xf numFmtId="49" fontId="84" fillId="0" borderId="13" xfId="0" applyNumberFormat="1" applyFont="1" applyFill="1" applyBorder="1" applyAlignment="1">
      <alignment horizontal="left" vertical="center" wrapText="1" indent="1"/>
    </xf>
    <xf numFmtId="3" fontId="7" fillId="0" borderId="22" xfId="44" applyNumberFormat="1" applyFont="1" applyFill="1" applyBorder="1" applyAlignment="1">
      <alignment horizontal="center" vertical="center" wrapText="1"/>
    </xf>
    <xf numFmtId="0" fontId="7" fillId="0" borderId="29" xfId="44" applyNumberFormat="1" applyFont="1" applyFill="1" applyBorder="1" applyAlignment="1">
      <alignment horizontal="center" vertical="center" wrapText="1"/>
    </xf>
    <xf numFmtId="0" fontId="7" fillId="37" borderId="29" xfId="44" applyFont="1" applyFill="1" applyBorder="1" applyAlignment="1">
      <alignment horizontal="center" vertical="center" wrapText="1"/>
    </xf>
    <xf numFmtId="0" fontId="7" fillId="37" borderId="34" xfId="44" applyFont="1" applyFill="1" applyBorder="1" applyAlignment="1">
      <alignment horizontal="center" vertical="center" wrapText="1"/>
    </xf>
    <xf numFmtId="3" fontId="7" fillId="0" borderId="30" xfId="44" applyNumberFormat="1" applyFont="1" applyFill="1" applyBorder="1" applyAlignment="1">
      <alignment horizontal="center" vertical="center" wrapText="1"/>
    </xf>
    <xf numFmtId="0" fontId="7" fillId="0" borderId="30" xfId="44" applyNumberFormat="1" applyFont="1" applyFill="1" applyBorder="1" applyAlignment="1">
      <alignment horizontal="center" vertical="center" wrapText="1"/>
    </xf>
    <xf numFmtId="0" fontId="7" fillId="0" borderId="84" xfId="44" applyNumberFormat="1" applyFont="1" applyFill="1" applyBorder="1" applyAlignment="1">
      <alignment horizontal="center" vertical="center" wrapText="1"/>
    </xf>
    <xf numFmtId="0" fontId="7" fillId="37" borderId="31" xfId="44" applyFont="1" applyFill="1" applyBorder="1" applyAlignment="1">
      <alignment horizontal="center" vertical="center" wrapText="1"/>
    </xf>
    <xf numFmtId="0" fontId="7" fillId="37" borderId="53" xfId="44" applyFont="1" applyFill="1" applyBorder="1" applyAlignment="1">
      <alignment horizontal="center" vertical="center" wrapText="1"/>
    </xf>
    <xf numFmtId="0" fontId="7" fillId="37" borderId="64" xfId="44" applyFont="1" applyFill="1" applyBorder="1" applyAlignment="1">
      <alignment horizontal="center" vertical="center" wrapText="1"/>
    </xf>
    <xf numFmtId="3" fontId="7" fillId="0" borderId="29" xfId="44" applyNumberFormat="1" applyFont="1" applyFill="1" applyBorder="1" applyAlignment="1">
      <alignment horizontal="center" vertical="center" wrapText="1"/>
    </xf>
    <xf numFmtId="0" fontId="91" fillId="0" borderId="0" xfId="0" applyFont="1" applyFill="1" applyAlignment="1">
      <alignment horizontal="center" vertical="center" wrapText="1"/>
    </xf>
    <xf numFmtId="0" fontId="82" fillId="0" borderId="24" xfId="0" applyFont="1" applyBorder="1" applyAlignment="1">
      <alignment horizontal="left" vertical="center" wrapText="1" indent="1"/>
    </xf>
    <xf numFmtId="0" fontId="84" fillId="0" borderId="0" xfId="0" applyFont="1" applyBorder="1"/>
    <xf numFmtId="0" fontId="82" fillId="0" borderId="0" xfId="0" applyFont="1" applyBorder="1"/>
    <xf numFmtId="14" fontId="0" fillId="0" borderId="0" xfId="0" applyNumberFormat="1"/>
    <xf numFmtId="0" fontId="83" fillId="42" borderId="15" xfId="0" applyFont="1" applyFill="1" applyBorder="1" applyAlignment="1">
      <alignment horizontal="right" vertical="center" wrapText="1" indent="1"/>
    </xf>
    <xf numFmtId="0" fontId="82" fillId="48" borderId="13" xfId="0" applyFont="1" applyFill="1" applyBorder="1" applyAlignment="1">
      <alignment vertical="center" wrapText="1"/>
    </xf>
    <xf numFmtId="3" fontId="3" fillId="0" borderId="0" xfId="0" applyNumberFormat="1" applyFont="1" applyFill="1" applyBorder="1"/>
    <xf numFmtId="4" fontId="8" fillId="0" borderId="0" xfId="45" applyNumberFormat="1" applyFont="1" applyBorder="1" applyAlignment="1">
      <alignment vertical="center" wrapText="1"/>
    </xf>
    <xf numFmtId="0" fontId="111" fillId="0" borderId="0" xfId="0" applyFont="1"/>
    <xf numFmtId="0" fontId="69" fillId="0" borderId="0" xfId="0" applyFont="1"/>
    <xf numFmtId="0" fontId="75" fillId="0" borderId="0" xfId="0" applyFont="1"/>
    <xf numFmtId="0" fontId="112" fillId="0" borderId="0" xfId="0" applyFont="1" applyAlignment="1">
      <alignment wrapText="1"/>
    </xf>
    <xf numFmtId="0" fontId="111" fillId="0" borderId="0" xfId="0" applyFont="1" applyFill="1"/>
    <xf numFmtId="0" fontId="112" fillId="0" borderId="0" xfId="0" applyFont="1"/>
    <xf numFmtId="0" fontId="111" fillId="0" borderId="0" xfId="0" applyFont="1" applyAlignment="1">
      <alignment vertical="center"/>
    </xf>
    <xf numFmtId="0" fontId="36" fillId="0" borderId="0" xfId="0" applyFont="1" applyFill="1"/>
    <xf numFmtId="0" fontId="2" fillId="0" borderId="13" xfId="0" applyFont="1" applyFill="1" applyBorder="1" applyAlignment="1">
      <alignment horizontal="center" vertical="center" wrapText="1"/>
    </xf>
    <xf numFmtId="0" fontId="107" fillId="0" borderId="0" xfId="0" applyFont="1" applyBorder="1" applyAlignment="1">
      <alignment horizontal="right"/>
    </xf>
    <xf numFmtId="49" fontId="101" fillId="0" borderId="0" xfId="0" applyNumberFormat="1" applyFont="1" applyBorder="1"/>
    <xf numFmtId="0" fontId="84" fillId="0" borderId="0" xfId="0" applyFont="1" applyBorder="1" applyAlignment="1">
      <alignment horizontal="right" vertical="center" wrapText="1"/>
    </xf>
    <xf numFmtId="49" fontId="84" fillId="0" borderId="0" xfId="0" applyNumberFormat="1" applyFont="1" applyBorder="1" applyAlignment="1">
      <alignment vertical="center"/>
    </xf>
    <xf numFmtId="0" fontId="81" fillId="0" borderId="13" xfId="0" applyFont="1" applyBorder="1" applyAlignment="1">
      <alignment horizontal="left" vertical="center" wrapText="1" indent="1"/>
    </xf>
    <xf numFmtId="49" fontId="83" fillId="0" borderId="13" xfId="0" applyNumberFormat="1" applyFont="1" applyBorder="1" applyAlignment="1">
      <alignment horizontal="left" vertical="center" wrapText="1" indent="1"/>
    </xf>
    <xf numFmtId="49" fontId="81" fillId="0" borderId="13" xfId="0" applyNumberFormat="1" applyFont="1" applyBorder="1" applyAlignment="1">
      <alignment horizontal="left" vertical="center" wrapText="1" indent="1"/>
    </xf>
    <xf numFmtId="0" fontId="81" fillId="0" borderId="27" xfId="0" applyFont="1" applyBorder="1" applyAlignment="1">
      <alignment horizontal="left" vertical="center" wrapText="1" indent="1"/>
    </xf>
    <xf numFmtId="0" fontId="81" fillId="0" borderId="76" xfId="0" applyFont="1" applyBorder="1" applyAlignment="1">
      <alignment horizontal="left" vertical="center" wrapText="1" indent="1"/>
    </xf>
    <xf numFmtId="0" fontId="87" fillId="0" borderId="0" xfId="0" applyFont="1" applyBorder="1" applyAlignment="1">
      <alignment horizontal="right"/>
    </xf>
    <xf numFmtId="49" fontId="87" fillId="0" borderId="0" xfId="0" applyNumberFormat="1" applyFont="1" applyBorder="1"/>
    <xf numFmtId="49" fontId="81" fillId="0" borderId="13" xfId="43" applyNumberFormat="1" applyFont="1" applyBorder="1" applyAlignment="1">
      <alignment horizontal="left" vertical="center" wrapText="1" indent="1"/>
    </xf>
    <xf numFmtId="49" fontId="83" fillId="0" borderId="13" xfId="43" applyNumberFormat="1" applyFont="1" applyBorder="1" applyAlignment="1">
      <alignment horizontal="left" vertical="center" wrapText="1" indent="1"/>
    </xf>
    <xf numFmtId="49" fontId="83" fillId="0" borderId="19" xfId="0" applyNumberFormat="1" applyFont="1" applyBorder="1" applyAlignment="1">
      <alignment horizontal="left" vertical="center" wrapText="1" indent="1"/>
    </xf>
    <xf numFmtId="49" fontId="81" fillId="0" borderId="19" xfId="0" applyNumberFormat="1" applyFont="1" applyBorder="1" applyAlignment="1">
      <alignment horizontal="left" vertical="center" wrapText="1" indent="1"/>
    </xf>
    <xf numFmtId="0" fontId="81" fillId="0" borderId="17" xfId="0" applyFont="1" applyFill="1" applyBorder="1" applyAlignment="1">
      <alignment horizontal="left" vertical="center" wrapText="1" indent="1"/>
    </xf>
    <xf numFmtId="0" fontId="106" fillId="0" borderId="13" xfId="42" applyFont="1" applyBorder="1"/>
    <xf numFmtId="0" fontId="87" fillId="0" borderId="13" xfId="0" applyFont="1" applyBorder="1" applyAlignment="1">
      <alignment horizontal="center" vertical="center" wrapText="1"/>
    </xf>
    <xf numFmtId="0" fontId="8" fillId="37" borderId="15" xfId="35" applyFont="1" applyFill="1" applyBorder="1" applyAlignment="1" applyProtection="1">
      <alignment horizontal="left" vertical="center" indent="1"/>
    </xf>
    <xf numFmtId="0" fontId="8" fillId="37" borderId="20" xfId="0" applyFont="1" applyFill="1" applyBorder="1" applyAlignment="1">
      <alignment horizontal="left" vertical="center" wrapText="1" indent="1"/>
    </xf>
    <xf numFmtId="0" fontId="116" fillId="43" borderId="13" xfId="0" applyFont="1" applyFill="1" applyBorder="1" applyAlignment="1">
      <alignment vertical="center" wrapText="1"/>
    </xf>
    <xf numFmtId="0" fontId="3" fillId="0" borderId="62" xfId="0" applyFont="1" applyBorder="1" applyAlignment="1">
      <alignment horizontal="center" vertical="center" wrapText="1"/>
    </xf>
    <xf numFmtId="0" fontId="3" fillId="0" borderId="62" xfId="0" applyFont="1" applyBorder="1" applyAlignment="1">
      <alignment vertical="center" wrapText="1"/>
    </xf>
    <xf numFmtId="0" fontId="3" fillId="0" borderId="38" xfId="0" applyFont="1" applyBorder="1" applyAlignment="1">
      <alignment vertical="center" wrapText="1"/>
    </xf>
    <xf numFmtId="0" fontId="3" fillId="0" borderId="38" xfId="0" applyFont="1" applyBorder="1" applyAlignment="1">
      <alignment horizontal="center" vertical="center" wrapText="1"/>
    </xf>
    <xf numFmtId="0" fontId="81" fillId="0" borderId="63" xfId="0" applyFont="1" applyBorder="1" applyAlignment="1">
      <alignment horizontal="left" vertical="center"/>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105" fillId="48" borderId="57" xfId="0" applyFont="1" applyFill="1" applyBorder="1" applyAlignment="1">
      <alignment horizontal="center" vertical="center" wrapText="1"/>
    </xf>
    <xf numFmtId="3" fontId="105" fillId="48" borderId="43" xfId="0" applyNumberFormat="1" applyFont="1" applyFill="1" applyBorder="1" applyAlignment="1">
      <alignment horizontal="right" vertical="center" wrapText="1" indent="1"/>
    </xf>
    <xf numFmtId="3" fontId="105" fillId="48" borderId="56" xfId="0" applyNumberFormat="1" applyFont="1" applyFill="1" applyBorder="1" applyAlignment="1">
      <alignment horizontal="right" vertical="center" wrapText="1" indent="1"/>
    </xf>
    <xf numFmtId="0" fontId="105" fillId="48" borderId="42" xfId="0" applyFont="1" applyFill="1" applyBorder="1" applyAlignment="1">
      <alignment horizontal="center" vertical="center" wrapText="1"/>
    </xf>
    <xf numFmtId="0" fontId="87" fillId="0" borderId="62" xfId="0" applyFont="1" applyBorder="1" applyAlignment="1">
      <alignment horizontal="center" vertical="center" wrapText="1"/>
    </xf>
    <xf numFmtId="0" fontId="87" fillId="0" borderId="62" xfId="0" applyFont="1" applyBorder="1" applyAlignment="1">
      <alignment vertical="center" wrapText="1"/>
    </xf>
    <xf numFmtId="0" fontId="87" fillId="0" borderId="38" xfId="0" applyFont="1" applyBorder="1" applyAlignment="1">
      <alignment vertical="center" wrapText="1"/>
    </xf>
    <xf numFmtId="0" fontId="87" fillId="0" borderId="38" xfId="0" applyFont="1" applyBorder="1" applyAlignment="1">
      <alignment horizontal="center" vertical="center" wrapText="1"/>
    </xf>
    <xf numFmtId="0" fontId="8" fillId="0" borderId="29" xfId="40" applyFont="1" applyBorder="1" applyAlignment="1">
      <alignment horizontal="center" vertical="center" wrapText="1"/>
    </xf>
    <xf numFmtId="0" fontId="8" fillId="0" borderId="34" xfId="40" applyFont="1" applyBorder="1" applyAlignment="1">
      <alignment horizontal="center" vertical="center" wrapText="1"/>
    </xf>
    <xf numFmtId="0" fontId="82" fillId="0" borderId="14" xfId="35" applyFont="1" applyBorder="1" applyAlignment="1" applyProtection="1">
      <alignment horizontal="left" vertical="center" indent="1"/>
    </xf>
    <xf numFmtId="0" fontId="82" fillId="0" borderId="34" xfId="0" applyFont="1" applyFill="1" applyBorder="1" applyAlignment="1">
      <alignment horizontal="left" vertical="center" wrapText="1" indent="1"/>
    </xf>
    <xf numFmtId="0" fontId="82" fillId="0" borderId="18" xfId="0" applyFont="1" applyFill="1" applyBorder="1" applyAlignment="1">
      <alignment horizontal="left" vertical="center" wrapText="1" indent="1"/>
    </xf>
    <xf numFmtId="49" fontId="81" fillId="0" borderId="13" xfId="0" applyNumberFormat="1" applyFont="1" applyFill="1" applyBorder="1" applyAlignment="1">
      <alignment horizontal="left" vertical="center" wrapText="1" indent="1"/>
    </xf>
    <xf numFmtId="49" fontId="120" fillId="0" borderId="17" xfId="0" applyNumberFormat="1" applyFont="1" applyFill="1" applyBorder="1" applyAlignment="1">
      <alignment horizontal="left" vertical="center" wrapText="1" indent="1"/>
    </xf>
    <xf numFmtId="0" fontId="87" fillId="0" borderId="15" xfId="0" applyFont="1" applyFill="1" applyBorder="1" applyAlignment="1">
      <alignment vertical="center"/>
    </xf>
    <xf numFmtId="0" fontId="91" fillId="0" borderId="0" xfId="0" applyFont="1" applyFill="1" applyAlignment="1">
      <alignment horizontal="left" vertical="center" wrapText="1"/>
    </xf>
    <xf numFmtId="0" fontId="121" fillId="0" borderId="0" xfId="0" applyFont="1" applyAlignment="1">
      <alignment vertical="center"/>
    </xf>
    <xf numFmtId="0" fontId="25" fillId="0" borderId="0" xfId="0" applyFont="1" applyAlignment="1">
      <alignment vertical="center" wrapText="1"/>
    </xf>
    <xf numFmtId="49" fontId="25" fillId="0" borderId="0" xfId="0" applyNumberFormat="1" applyFont="1" applyAlignment="1">
      <alignment horizontal="left" vertical="center" wrapText="1" indent="1"/>
    </xf>
    <xf numFmtId="0" fontId="8" fillId="0" borderId="21" xfId="0" applyFont="1" applyBorder="1" applyAlignment="1">
      <alignment horizontal="center" vertical="center" wrapText="1"/>
    </xf>
    <xf numFmtId="49" fontId="8" fillId="50" borderId="13" xfId="0" applyNumberFormat="1" applyFont="1" applyFill="1" applyBorder="1" applyAlignment="1">
      <alignment horizontal="left" vertical="center" wrapText="1" indent="1"/>
    </xf>
    <xf numFmtId="49" fontId="8" fillId="38" borderId="13" xfId="0" applyNumberFormat="1" applyFont="1" applyFill="1" applyBorder="1" applyAlignment="1">
      <alignment horizontal="left" vertical="center" wrapText="1" indent="1"/>
    </xf>
    <xf numFmtId="0" fontId="82" fillId="37" borderId="43" xfId="0" applyFont="1" applyFill="1" applyBorder="1" applyAlignment="1">
      <alignment horizontal="left" vertical="center" wrapText="1" indent="1"/>
    </xf>
    <xf numFmtId="0" fontId="7" fillId="0" borderId="19" xfId="43" applyFont="1" applyBorder="1" applyAlignment="1">
      <alignment horizontal="left" vertical="top" wrapText="1" indent="1"/>
    </xf>
    <xf numFmtId="3" fontId="3" fillId="35" borderId="26" xfId="43" applyNumberFormat="1" applyFont="1" applyFill="1" applyBorder="1" applyAlignment="1">
      <alignment horizontal="right" vertical="center" wrapText="1" indent="1"/>
    </xf>
    <xf numFmtId="3" fontId="7" fillId="51" borderId="13" xfId="43" applyNumberFormat="1" applyFont="1" applyFill="1" applyBorder="1" applyAlignment="1">
      <alignment horizontal="right" vertical="center" wrapText="1" indent="1"/>
    </xf>
    <xf numFmtId="3" fontId="7" fillId="51" borderId="14" xfId="43" applyNumberFormat="1" applyFont="1" applyFill="1" applyBorder="1" applyAlignment="1">
      <alignment horizontal="center" vertical="center" wrapText="1"/>
    </xf>
    <xf numFmtId="3" fontId="7" fillId="51" borderId="13" xfId="43" applyNumberFormat="1" applyFont="1" applyFill="1" applyBorder="1" applyAlignment="1">
      <alignment horizontal="center" vertical="center" wrapText="1"/>
    </xf>
    <xf numFmtId="3" fontId="7" fillId="51" borderId="14" xfId="43" applyNumberFormat="1" applyFont="1" applyFill="1" applyBorder="1" applyAlignment="1">
      <alignment horizontal="right" vertical="center" wrapText="1" indent="1"/>
    </xf>
    <xf numFmtId="0" fontId="124" fillId="0" borderId="0" xfId="0" applyFont="1" applyAlignment="1">
      <alignment vertical="center" wrapText="1"/>
    </xf>
    <xf numFmtId="0" fontId="85" fillId="0" borderId="0" xfId="0" applyFont="1" applyAlignment="1">
      <alignment horizontal="left" wrapText="1"/>
    </xf>
    <xf numFmtId="0" fontId="85" fillId="0" borderId="0" xfId="0" applyFont="1" applyFill="1" applyAlignment="1">
      <alignment horizontal="left" wrapText="1"/>
    </xf>
    <xf numFmtId="0" fontId="85" fillId="0" borderId="0" xfId="0" applyFont="1" applyFill="1" applyAlignment="1">
      <alignment horizontal="left" vertical="center" wrapText="1"/>
    </xf>
    <xf numFmtId="0" fontId="0" fillId="0" borderId="0" xfId="0" applyAlignment="1">
      <alignment horizontal="left" wrapText="1"/>
    </xf>
    <xf numFmtId="0" fontId="36" fillId="0" borderId="0" xfId="0" applyFont="1" applyAlignment="1">
      <alignment horizontal="left" wrapText="1"/>
    </xf>
    <xf numFmtId="0" fontId="125" fillId="0" borderId="0" xfId="0" applyFont="1" applyFill="1" applyAlignment="1">
      <alignment horizontal="left"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4" xfId="0" applyFont="1" applyBorder="1" applyAlignment="1">
      <alignment horizontal="center" vertical="center" wrapText="1"/>
    </xf>
    <xf numFmtId="3" fontId="3" fillId="35" borderId="19" xfId="43" applyNumberFormat="1" applyFont="1" applyFill="1" applyBorder="1" applyAlignment="1">
      <alignment horizontal="center" vertical="center" wrapText="1"/>
    </xf>
    <xf numFmtId="0" fontId="3" fillId="0" borderId="0" xfId="40" applyFont="1" applyFill="1" applyBorder="1" applyAlignment="1">
      <alignment vertical="center" wrapText="1"/>
    </xf>
    <xf numFmtId="0" fontId="101" fillId="0" borderId="0" xfId="40" applyFont="1" applyFill="1" applyBorder="1" applyAlignment="1">
      <alignment vertical="center"/>
    </xf>
    <xf numFmtId="0" fontId="3" fillId="0" borderId="13" xfId="43" applyFont="1" applyBorder="1" applyAlignment="1">
      <alignment horizontal="left" vertical="top" wrapText="1" indent="1"/>
    </xf>
    <xf numFmtId="0" fontId="82" fillId="0" borderId="43" xfId="0" applyNumberFormat="1" applyFont="1" applyFill="1" applyBorder="1" applyAlignment="1">
      <alignment horizontal="left" vertical="center" wrapText="1" indent="1"/>
    </xf>
    <xf numFmtId="0" fontId="102" fillId="0" borderId="0" xfId="0" applyFont="1"/>
    <xf numFmtId="0" fontId="91" fillId="0" borderId="0" xfId="0" applyFont="1" applyFill="1" applyAlignment="1">
      <alignment horizontal="left" vertical="center"/>
    </xf>
    <xf numFmtId="0" fontId="83" fillId="47" borderId="15" xfId="0" applyFont="1" applyFill="1" applyBorder="1" applyAlignment="1">
      <alignment horizontal="right" vertical="center" wrapText="1" indent="1"/>
    </xf>
    <xf numFmtId="0" fontId="82" fillId="0" borderId="0" xfId="0" applyFont="1" applyAlignment="1">
      <alignment horizontal="center" vertical="center" wrapText="1"/>
    </xf>
    <xf numFmtId="0" fontId="3" fillId="0" borderId="13" xfId="0" applyFont="1" applyFill="1" applyBorder="1" applyAlignment="1">
      <alignment horizontal="left" vertical="top" wrapText="1" indent="1"/>
    </xf>
    <xf numFmtId="0" fontId="3" fillId="0" borderId="21" xfId="0" applyFont="1" applyBorder="1" applyAlignment="1">
      <alignment horizontal="center" vertical="center"/>
    </xf>
    <xf numFmtId="0" fontId="3" fillId="0" borderId="19" xfId="0" applyFont="1" applyBorder="1" applyAlignment="1">
      <alignment horizontal="left" vertical="top" wrapText="1" indent="1"/>
    </xf>
    <xf numFmtId="3" fontId="7" fillId="24" borderId="26" xfId="0" applyNumberFormat="1" applyFont="1" applyFill="1" applyBorder="1" applyAlignment="1">
      <alignment horizontal="right" vertical="center" wrapText="1" indent="1"/>
    </xf>
    <xf numFmtId="0" fontId="3" fillId="0" borderId="0" xfId="0" applyFont="1" applyBorder="1" applyAlignment="1">
      <alignment horizontal="left" indent="1"/>
    </xf>
    <xf numFmtId="0" fontId="84" fillId="0" borderId="15" xfId="0" applyFont="1" applyBorder="1" applyAlignment="1">
      <alignment horizontal="center" vertical="center"/>
    </xf>
    <xf numFmtId="49" fontId="84" fillId="0" borderId="13" xfId="0" applyNumberFormat="1" applyFont="1" applyFill="1" applyBorder="1" applyAlignment="1">
      <alignment horizontal="left" vertical="top" wrapText="1" indent="1"/>
    </xf>
    <xf numFmtId="0" fontId="128" fillId="52" borderId="0" xfId="0" applyFont="1" applyFill="1" applyBorder="1" applyAlignment="1">
      <alignment vertical="center"/>
    </xf>
    <xf numFmtId="168" fontId="3" fillId="35" borderId="13" xfId="27" applyNumberFormat="1" applyFont="1" applyFill="1" applyBorder="1" applyAlignment="1">
      <alignment horizontal="right" vertical="center" wrapText="1" indent="1"/>
    </xf>
    <xf numFmtId="168" fontId="3" fillId="37" borderId="13" xfId="27" applyNumberFormat="1" applyFont="1" applyFill="1" applyBorder="1" applyAlignment="1">
      <alignment horizontal="right" vertical="center" wrapText="1" indent="1"/>
    </xf>
    <xf numFmtId="169" fontId="3" fillId="0" borderId="24" xfId="0" applyNumberFormat="1" applyFont="1" applyBorder="1" applyAlignment="1">
      <alignment vertical="center" wrapText="1"/>
    </xf>
    <xf numFmtId="169" fontId="3" fillId="0" borderId="14" xfId="0" applyNumberFormat="1" applyFont="1" applyBorder="1" applyAlignment="1">
      <alignment vertical="center" wrapText="1"/>
    </xf>
    <xf numFmtId="168" fontId="87" fillId="0" borderId="23" xfId="0" applyNumberFormat="1" applyFont="1" applyBorder="1" applyAlignment="1">
      <alignment vertical="center" wrapText="1"/>
    </xf>
    <xf numFmtId="168" fontId="87" fillId="0" borderId="25" xfId="0" applyNumberFormat="1" applyFont="1" applyBorder="1" applyAlignment="1">
      <alignment vertical="center" wrapText="1"/>
    </xf>
    <xf numFmtId="168" fontId="87" fillId="0" borderId="24" xfId="0" applyNumberFormat="1" applyFont="1" applyBorder="1" applyAlignment="1">
      <alignment vertical="center" wrapText="1"/>
    </xf>
    <xf numFmtId="168" fontId="87" fillId="0" borderId="15" xfId="0" applyNumberFormat="1" applyFont="1" applyBorder="1" applyAlignment="1">
      <alignment vertical="center" wrapText="1"/>
    </xf>
    <xf numFmtId="168" fontId="87" fillId="0" borderId="13" xfId="0" applyNumberFormat="1" applyFont="1" applyBorder="1" applyAlignment="1">
      <alignment vertical="center" wrapText="1"/>
    </xf>
    <xf numFmtId="168" fontId="87" fillId="0" borderId="14" xfId="0" applyNumberFormat="1" applyFont="1" applyBorder="1" applyAlignment="1">
      <alignment vertical="center" wrapText="1"/>
    </xf>
    <xf numFmtId="168" fontId="87" fillId="0" borderId="16" xfId="0" applyNumberFormat="1" applyFont="1" applyBorder="1" applyAlignment="1">
      <alignment vertical="center" wrapText="1"/>
    </xf>
    <xf numFmtId="168" fontId="87" fillId="0" borderId="17" xfId="0" applyNumberFormat="1" applyFont="1" applyBorder="1" applyAlignment="1">
      <alignment vertical="center" wrapText="1"/>
    </xf>
    <xf numFmtId="168" fontId="87" fillId="0" borderId="18" xfId="0" applyNumberFormat="1" applyFont="1" applyBorder="1" applyAlignment="1">
      <alignment vertical="center" wrapText="1"/>
    </xf>
    <xf numFmtId="4" fontId="7" fillId="24" borderId="17" xfId="40" applyNumberFormat="1" applyFont="1" applyFill="1" applyBorder="1" applyAlignment="1">
      <alignment horizontal="right" vertical="center" wrapText="1" indent="1"/>
    </xf>
    <xf numFmtId="4" fontId="7" fillId="24" borderId="39" xfId="40" applyNumberFormat="1" applyFont="1" applyFill="1" applyBorder="1" applyAlignment="1">
      <alignment horizontal="right" vertical="center" wrapText="1" indent="1"/>
    </xf>
    <xf numFmtId="2" fontId="75" fillId="35" borderId="13" xfId="0" applyNumberFormat="1" applyFont="1" applyFill="1" applyBorder="1" applyAlignment="1">
      <alignment vertical="center" wrapText="1"/>
    </xf>
    <xf numFmtId="4" fontId="7" fillId="24" borderId="13" xfId="0" applyNumberFormat="1" applyFont="1" applyFill="1" applyBorder="1" applyAlignment="1">
      <alignment horizontal="right" vertical="center" wrapText="1" indent="1"/>
    </xf>
    <xf numFmtId="4" fontId="3" fillId="35" borderId="13" xfId="0" applyNumberFormat="1" applyFont="1" applyFill="1" applyBorder="1" applyAlignment="1">
      <alignment vertical="center" wrapText="1"/>
    </xf>
    <xf numFmtId="4" fontId="3" fillId="35" borderId="13" xfId="0" applyNumberFormat="1" applyFont="1" applyFill="1" applyBorder="1" applyAlignment="1">
      <alignment vertical="center"/>
    </xf>
    <xf numFmtId="4" fontId="7" fillId="24" borderId="13" xfId="0" applyNumberFormat="1" applyFont="1" applyFill="1" applyBorder="1" applyAlignment="1">
      <alignment vertical="center" wrapText="1"/>
    </xf>
    <xf numFmtId="4" fontId="3" fillId="35" borderId="13" xfId="0" applyNumberFormat="1" applyFont="1" applyFill="1" applyBorder="1" applyAlignment="1">
      <alignment horizontal="center" vertical="center" wrapText="1"/>
    </xf>
    <xf numFmtId="4" fontId="3" fillId="0" borderId="19" xfId="0" applyNumberFormat="1" applyFont="1" applyFill="1" applyBorder="1" applyAlignment="1">
      <alignment vertical="center" wrapText="1"/>
    </xf>
    <xf numFmtId="4" fontId="3" fillId="35" borderId="19" xfId="0" applyNumberFormat="1" applyFont="1" applyFill="1" applyBorder="1" applyAlignment="1">
      <alignment vertical="center" wrapText="1"/>
    </xf>
    <xf numFmtId="4" fontId="59" fillId="24" borderId="13" xfId="0" applyNumberFormat="1" applyFont="1" applyFill="1" applyBorder="1" applyAlignment="1">
      <alignment horizontal="right" vertical="center" wrapText="1" indent="1"/>
    </xf>
    <xf numFmtId="4" fontId="3" fillId="35" borderId="38" xfId="0" applyNumberFormat="1" applyFont="1" applyFill="1" applyBorder="1" applyAlignment="1">
      <alignment horizontal="right" vertical="center" wrapText="1" indent="1"/>
    </xf>
    <xf numFmtId="4" fontId="7" fillId="24" borderId="38" xfId="0" applyNumberFormat="1" applyFont="1" applyFill="1" applyBorder="1" applyAlignment="1">
      <alignment horizontal="right" vertical="center" wrapText="1" indent="1"/>
    </xf>
    <xf numFmtId="4" fontId="2" fillId="35" borderId="39" xfId="0" applyNumberFormat="1" applyFont="1" applyFill="1" applyBorder="1" applyAlignment="1">
      <alignment horizontal="right" vertical="center" wrapText="1" indent="1"/>
    </xf>
    <xf numFmtId="4" fontId="3" fillId="35" borderId="13" xfId="0" applyNumberFormat="1" applyFont="1" applyFill="1" applyBorder="1" applyAlignment="1">
      <alignment horizontal="right" vertical="center" wrapText="1" indent="1"/>
    </xf>
    <xf numFmtId="4" fontId="2" fillId="0" borderId="13" xfId="0" applyNumberFormat="1" applyFont="1" applyFill="1" applyBorder="1" applyAlignment="1">
      <alignment horizontal="center" vertical="center" wrapText="1"/>
    </xf>
    <xf numFmtId="4" fontId="7" fillId="35" borderId="13" xfId="0" applyNumberFormat="1" applyFont="1" applyFill="1" applyBorder="1" applyAlignment="1">
      <alignment horizontal="right" vertical="center" wrapText="1" indent="1"/>
    </xf>
    <xf numFmtId="4" fontId="3" fillId="35" borderId="13" xfId="0" applyNumberFormat="1" applyFont="1" applyFill="1" applyBorder="1" applyAlignment="1">
      <alignment horizontal="right" vertical="center" wrapText="1"/>
    </xf>
    <xf numFmtId="0" fontId="0" fillId="37" borderId="0" xfId="0" applyFill="1" applyBorder="1"/>
    <xf numFmtId="0" fontId="130" fillId="53" borderId="85" xfId="91" quotePrefix="1" applyNumberFormat="1" applyAlignment="1" applyProtection="1">
      <alignment horizontal="left" vertical="center" wrapText="1" indent="1"/>
    </xf>
    <xf numFmtId="49" fontId="3" fillId="42" borderId="13" xfId="0" applyNumberFormat="1" applyFont="1" applyFill="1" applyBorder="1" applyAlignment="1">
      <alignment horizontal="center" vertical="center" wrapText="1"/>
    </xf>
    <xf numFmtId="49" fontId="131" fillId="54" borderId="86" xfId="0" applyNumberFormat="1" applyFont="1" applyFill="1" applyBorder="1" applyAlignment="1">
      <alignment horizontal="left" vertical="center" wrapText="1"/>
    </xf>
    <xf numFmtId="0" fontId="30" fillId="37" borderId="0" xfId="0" applyFont="1" applyFill="1" applyBorder="1" applyAlignment="1">
      <alignment horizontal="left" vertical="center"/>
    </xf>
    <xf numFmtId="4" fontId="8" fillId="35" borderId="14" xfId="0" applyNumberFormat="1" applyFont="1" applyFill="1" applyBorder="1" applyAlignment="1">
      <alignment horizontal="right" vertical="center" wrapText="1" indent="1"/>
    </xf>
    <xf numFmtId="4" fontId="2" fillId="35" borderId="14" xfId="0" applyNumberFormat="1" applyFont="1" applyFill="1" applyBorder="1" applyAlignment="1">
      <alignment horizontal="right" vertical="center" wrapText="1" indent="1"/>
    </xf>
    <xf numFmtId="3" fontId="25" fillId="0" borderId="0" xfId="45" applyNumberFormat="1" applyFont="1" applyFill="1" applyBorder="1" applyAlignment="1">
      <alignment vertical="center"/>
    </xf>
    <xf numFmtId="0" fontId="91" fillId="0" borderId="0" xfId="0" applyFont="1" applyAlignment="1">
      <alignment vertical="center" wrapText="1"/>
    </xf>
    <xf numFmtId="4" fontId="8" fillId="35" borderId="20" xfId="44" applyNumberFormat="1" applyFont="1" applyFill="1" applyBorder="1" applyAlignment="1">
      <alignment horizontal="right" vertical="center" wrapText="1" indent="1"/>
    </xf>
    <xf numFmtId="4" fontId="7" fillId="24" borderId="14" xfId="0" applyNumberFormat="1" applyFont="1" applyFill="1" applyBorder="1" applyAlignment="1">
      <alignment horizontal="right" vertical="center" wrapText="1" indent="1"/>
    </xf>
    <xf numFmtId="4" fontId="87" fillId="35" borderId="13" xfId="0" applyNumberFormat="1" applyFont="1" applyFill="1" applyBorder="1" applyAlignment="1">
      <alignment horizontal="right" vertical="center" wrapText="1" indent="1"/>
    </xf>
    <xf numFmtId="4" fontId="86" fillId="24" borderId="73" xfId="0" applyNumberFormat="1" applyFont="1" applyFill="1" applyBorder="1" applyAlignment="1">
      <alignment horizontal="right" vertical="center" wrapText="1" indent="1"/>
    </xf>
    <xf numFmtId="4" fontId="7" fillId="24" borderId="73" xfId="0" applyNumberFormat="1" applyFont="1" applyFill="1" applyBorder="1" applyAlignment="1">
      <alignment horizontal="right" vertical="center" wrapText="1" indent="1"/>
    </xf>
    <xf numFmtId="4" fontId="7" fillId="24" borderId="51" xfId="0" applyNumberFormat="1" applyFont="1" applyFill="1" applyBorder="1" applyAlignment="1">
      <alignment horizontal="right" vertical="center" wrapText="1" indent="1"/>
    </xf>
    <xf numFmtId="4" fontId="80" fillId="0" borderId="0" xfId="41" applyNumberFormat="1" applyAlignment="1"/>
    <xf numFmtId="4" fontId="59" fillId="24" borderId="17" xfId="0" applyNumberFormat="1" applyFont="1" applyFill="1" applyBorder="1" applyAlignment="1">
      <alignment horizontal="right" vertical="center" wrapText="1" indent="1"/>
    </xf>
    <xf numFmtId="4" fontId="3" fillId="35" borderId="19" xfId="0" applyNumberFormat="1" applyFont="1" applyFill="1" applyBorder="1" applyAlignment="1">
      <alignment horizontal="right" vertical="center" wrapText="1" indent="1"/>
    </xf>
    <xf numFmtId="4" fontId="69" fillId="0" borderId="0" xfId="0" applyNumberFormat="1" applyFont="1"/>
    <xf numFmtId="3" fontId="69" fillId="0" borderId="0" xfId="0" applyNumberFormat="1" applyFont="1"/>
    <xf numFmtId="4" fontId="69" fillId="0" borderId="0" xfId="0" applyNumberFormat="1" applyFont="1" applyAlignment="1">
      <alignment vertical="center"/>
    </xf>
    <xf numFmtId="0" fontId="32" fillId="0" borderId="0" xfId="0" applyFont="1" applyAlignment="1">
      <alignment vertical="center" wrapText="1"/>
    </xf>
    <xf numFmtId="4" fontId="0" fillId="0" borderId="0" xfId="0" applyNumberFormat="1" applyBorder="1"/>
    <xf numFmtId="0" fontId="1" fillId="0" borderId="0" xfId="0" applyFont="1" applyBorder="1" applyAlignment="1">
      <alignment wrapText="1"/>
    </xf>
    <xf numFmtId="3" fontId="3" fillId="0" borderId="0" xfId="40" applyNumberFormat="1" applyFont="1" applyAlignment="1">
      <alignment horizontal="center"/>
    </xf>
    <xf numFmtId="3" fontId="3" fillId="0" borderId="0" xfId="40" applyNumberFormat="1" applyFont="1"/>
    <xf numFmtId="0" fontId="111" fillId="0" borderId="0" xfId="0" applyFont="1" applyFill="1" applyAlignment="1">
      <alignment vertical="center"/>
    </xf>
    <xf numFmtId="0" fontId="2" fillId="0" borderId="0" xfId="0" applyFont="1" applyFill="1"/>
    <xf numFmtId="0" fontId="84" fillId="0" borderId="0" xfId="0" applyFont="1" applyFill="1" applyAlignment="1">
      <alignment horizontal="center"/>
    </xf>
    <xf numFmtId="0" fontId="101" fillId="0" borderId="0" xfId="0" applyFont="1" applyFill="1"/>
    <xf numFmtId="4" fontId="3" fillId="0" borderId="0" xfId="0" applyNumberFormat="1" applyFont="1" applyFill="1"/>
    <xf numFmtId="0" fontId="71" fillId="0" borderId="0" xfId="0" applyFont="1" applyFill="1"/>
    <xf numFmtId="0" fontId="84" fillId="0" borderId="0" xfId="0" applyFont="1" applyFill="1" applyAlignment="1">
      <alignment vertical="center"/>
    </xf>
    <xf numFmtId="0" fontId="3" fillId="0" borderId="0" xfId="0" applyFont="1" applyFill="1" applyAlignment="1">
      <alignment horizontal="justify"/>
    </xf>
    <xf numFmtId="0" fontId="82" fillId="0" borderId="0" xfId="0" applyFont="1" applyFill="1" applyBorder="1" applyAlignment="1">
      <alignment horizontal="left" vertical="center"/>
    </xf>
    <xf numFmtId="0" fontId="30" fillId="0" borderId="0" xfId="0" applyFont="1" applyFill="1" applyBorder="1" applyAlignment="1">
      <alignment horizontal="left"/>
    </xf>
    <xf numFmtId="0" fontId="30" fillId="0" borderId="0" xfId="0" applyFont="1" applyFill="1" applyBorder="1" applyAlignment="1">
      <alignment horizontal="left" vertical="center"/>
    </xf>
    <xf numFmtId="0" fontId="91" fillId="0" borderId="0" xfId="0" applyFont="1" applyFill="1" applyAlignment="1">
      <alignment vertical="center" wrapText="1"/>
    </xf>
    <xf numFmtId="0" fontId="8" fillId="0" borderId="52" xfId="0" applyFont="1" applyBorder="1" applyAlignment="1">
      <alignment wrapText="1"/>
    </xf>
    <xf numFmtId="0" fontId="8" fillId="0" borderId="27" xfId="0" applyFont="1" applyBorder="1" applyAlignment="1">
      <alignment wrapText="1"/>
    </xf>
    <xf numFmtId="0" fontId="8" fillId="0" borderId="0" xfId="0" applyFont="1" applyBorder="1" applyAlignment="1">
      <alignment horizontal="left" wrapText="1"/>
    </xf>
    <xf numFmtId="0" fontId="8" fillId="0" borderId="49" xfId="0" applyFont="1" applyBorder="1" applyAlignment="1">
      <alignment horizontal="left" wrapText="1"/>
    </xf>
    <xf numFmtId="0" fontId="8" fillId="0" borderId="52" xfId="0" applyFont="1" applyBorder="1" applyAlignment="1">
      <alignment horizontal="left" wrapText="1"/>
    </xf>
    <xf numFmtId="0" fontId="8" fillId="0" borderId="27" xfId="0" applyFont="1" applyBorder="1" applyAlignment="1">
      <alignment horizontal="left" wrapText="1"/>
    </xf>
    <xf numFmtId="0" fontId="8" fillId="0" borderId="23" xfId="35" applyFont="1" applyBorder="1" applyAlignment="1" applyProtection="1">
      <alignment horizontal="left" vertical="center" indent="1"/>
    </xf>
    <xf numFmtId="0" fontId="8" fillId="0" borderId="60" xfId="35" applyFont="1" applyBorder="1" applyAlignment="1" applyProtection="1">
      <alignment horizontal="left" vertical="center" indent="1"/>
    </xf>
    <xf numFmtId="0" fontId="12" fillId="46" borderId="66" xfId="0" applyFont="1" applyFill="1" applyBorder="1" applyAlignment="1">
      <alignment horizontal="center" vertical="center" wrapText="1"/>
    </xf>
    <xf numFmtId="0" fontId="74" fillId="46" borderId="67" xfId="0" applyFont="1" applyFill="1" applyBorder="1" applyAlignment="1">
      <alignment horizontal="center" vertical="center" wrapText="1"/>
    </xf>
    <xf numFmtId="0" fontId="74" fillId="46" borderId="68" xfId="0" applyFont="1" applyFill="1" applyBorder="1" applyAlignment="1">
      <alignment horizontal="center" vertical="center" wrapText="1"/>
    </xf>
    <xf numFmtId="0" fontId="12" fillId="0" borderId="66"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63"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4" fillId="0" borderId="30" xfId="0" applyFont="1" applyBorder="1" applyAlignment="1">
      <alignment horizontal="center" vertical="center" wrapText="1"/>
    </xf>
    <xf numFmtId="0" fontId="70" fillId="0" borderId="31" xfId="0" applyFont="1" applyBorder="1"/>
    <xf numFmtId="0" fontId="70" fillId="0" borderId="36" xfId="0" applyFont="1" applyBorder="1"/>
    <xf numFmtId="0" fontId="7" fillId="0" borderId="75" xfId="0" applyFont="1" applyBorder="1" applyAlignment="1">
      <alignment horizontal="left" vertical="center" wrapText="1" indent="1"/>
    </xf>
    <xf numFmtId="0" fontId="7" fillId="0" borderId="50" xfId="0" applyFont="1" applyBorder="1" applyAlignment="1">
      <alignment horizontal="left" vertical="center" wrapText="1" indent="1"/>
    </xf>
    <xf numFmtId="0" fontId="7" fillId="0" borderId="54" xfId="0" applyFont="1" applyBorder="1" applyAlignment="1">
      <alignment horizontal="left" vertical="center" wrapText="1" inden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6" xfId="0" applyFont="1" applyBorder="1" applyAlignment="1">
      <alignment horizontal="center" vertical="center" wrapText="1"/>
    </xf>
    <xf numFmtId="0" fontId="7" fillId="0" borderId="22" xfId="0" applyFont="1" applyBorder="1" applyAlignment="1">
      <alignment horizontal="left" vertical="center" wrapText="1" indent="1"/>
    </xf>
    <xf numFmtId="0" fontId="7" fillId="0" borderId="29" xfId="0" applyFont="1" applyBorder="1" applyAlignment="1">
      <alignment horizontal="left" vertical="center" wrapText="1" indent="1"/>
    </xf>
    <xf numFmtId="0" fontId="7" fillId="0" borderId="34" xfId="0" applyFont="1" applyBorder="1" applyAlignment="1">
      <alignment horizontal="left" vertical="center" wrapText="1" indent="1"/>
    </xf>
    <xf numFmtId="49" fontId="3" fillId="0" borderId="35" xfId="0" applyNumberFormat="1" applyFont="1" applyBorder="1" applyAlignment="1">
      <alignment horizontal="left" wrapText="1"/>
    </xf>
    <xf numFmtId="49" fontId="3" fillId="0" borderId="4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37" xfId="0" applyNumberFormat="1" applyFont="1" applyBorder="1" applyAlignment="1">
      <alignment horizontal="left" wrapText="1"/>
    </xf>
    <xf numFmtId="49" fontId="3" fillId="0" borderId="50" xfId="0" applyNumberFormat="1" applyFont="1" applyBorder="1" applyAlignment="1">
      <alignment horizontal="left" wrapText="1"/>
    </xf>
    <xf numFmtId="49" fontId="3" fillId="0" borderId="32" xfId="0" applyNumberFormat="1" applyFont="1" applyBorder="1" applyAlignment="1">
      <alignment horizontal="left" wrapTex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6" xfId="0" applyFont="1" applyBorder="1" applyAlignment="1">
      <alignment horizontal="center" vertical="center"/>
    </xf>
    <xf numFmtId="0" fontId="2" fillId="0" borderId="15"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132" fillId="0" borderId="0" xfId="0" applyFont="1" applyAlignment="1">
      <alignment horizontal="left" wrapText="1"/>
    </xf>
    <xf numFmtId="0" fontId="84" fillId="0" borderId="0" xfId="0" applyFont="1" applyFill="1" applyAlignment="1">
      <alignment horizontal="center" wrapText="1"/>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7" fillId="0" borderId="61" xfId="0" applyFont="1" applyBorder="1" applyAlignment="1">
      <alignment horizontal="left" vertical="center" wrapText="1" indent="1"/>
    </xf>
    <xf numFmtId="0" fontId="7" fillId="0" borderId="72" xfId="0" applyFont="1" applyBorder="1" applyAlignment="1">
      <alignment horizontal="left" vertical="center" wrapText="1" indent="1"/>
    </xf>
    <xf numFmtId="0" fontId="7" fillId="0" borderId="41" xfId="0" applyFont="1" applyBorder="1" applyAlignment="1">
      <alignment horizontal="left" vertical="center" wrapText="1" indent="1"/>
    </xf>
    <xf numFmtId="0" fontId="4" fillId="0" borderId="13" xfId="0" applyFont="1" applyBorder="1" applyAlignment="1">
      <alignment horizontal="center" vertical="center"/>
    </xf>
    <xf numFmtId="49" fontId="3" fillId="0" borderId="20" xfId="0" applyNumberFormat="1" applyFont="1" applyBorder="1" applyAlignment="1">
      <alignment horizontal="left"/>
    </xf>
    <xf numFmtId="49" fontId="3" fillId="0" borderId="52" xfId="0" applyNumberFormat="1" applyFont="1" applyBorder="1" applyAlignment="1">
      <alignment horizontal="left"/>
    </xf>
    <xf numFmtId="0" fontId="2" fillId="0" borderId="29" xfId="0" applyFont="1" applyBorder="1" applyAlignment="1">
      <alignment horizontal="center" vertical="center" wrapText="1"/>
    </xf>
    <xf numFmtId="0" fontId="2" fillId="36" borderId="29" xfId="0" applyFont="1" applyFill="1" applyBorder="1" applyAlignment="1">
      <alignment horizontal="center" vertical="center" wrapText="1"/>
    </xf>
    <xf numFmtId="0" fontId="2" fillId="36" borderId="13"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75" xfId="0" applyFont="1" applyBorder="1" applyAlignment="1">
      <alignment horizontal="center" vertical="center" wrapText="1"/>
    </xf>
    <xf numFmtId="0" fontId="121" fillId="0" borderId="0" xfId="0" applyFont="1" applyAlignment="1">
      <alignment horizontal="left" vertical="center" wrapText="1"/>
    </xf>
    <xf numFmtId="0" fontId="2" fillId="0" borderId="13" xfId="0" applyFont="1" applyBorder="1" applyAlignment="1">
      <alignment horizontal="center" vertical="center" wrapText="1"/>
    </xf>
    <xf numFmtId="49" fontId="8" fillId="0" borderId="20" xfId="0" applyNumberFormat="1" applyFont="1" applyBorder="1" applyAlignment="1">
      <alignment horizontal="left"/>
    </xf>
    <xf numFmtId="49" fontId="8" fillId="0" borderId="52" xfId="0" applyNumberFormat="1" applyFont="1" applyBorder="1" applyAlignment="1">
      <alignment horizontal="left"/>
    </xf>
    <xf numFmtId="49" fontId="8" fillId="0" borderId="27" xfId="0" applyNumberFormat="1" applyFont="1" applyBorder="1" applyAlignment="1">
      <alignment horizontal="left"/>
    </xf>
    <xf numFmtId="49" fontId="2" fillId="0" borderId="13" xfId="0" applyNumberFormat="1" applyFont="1" applyBorder="1" applyAlignment="1">
      <alignment horizontal="center" vertical="center" wrapText="1"/>
    </xf>
    <xf numFmtId="0" fontId="2" fillId="0" borderId="22"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0" fontId="87" fillId="0" borderId="23" xfId="0" applyFont="1" applyBorder="1" applyAlignment="1">
      <alignment horizontal="center" vertical="center" wrapText="1"/>
    </xf>
    <xf numFmtId="0" fontId="87" fillId="0" borderId="15" xfId="0" applyFont="1" applyBorder="1" applyAlignment="1">
      <alignment horizontal="center" vertical="center" wrapText="1"/>
    </xf>
    <xf numFmtId="0" fontId="87" fillId="0" borderId="16" xfId="0" applyFont="1" applyBorder="1" applyAlignment="1">
      <alignment horizontal="center" vertical="center" wrapText="1"/>
    </xf>
    <xf numFmtId="0" fontId="87" fillId="0" borderId="25" xfId="0" applyFont="1" applyBorder="1" applyAlignment="1">
      <alignment horizontal="center" vertical="center" wrapText="1"/>
    </xf>
    <xf numFmtId="0" fontId="87" fillId="0" borderId="13" xfId="0" applyFont="1" applyBorder="1" applyAlignment="1">
      <alignment horizontal="center" vertical="center" wrapText="1"/>
    </xf>
    <xf numFmtId="0" fontId="87" fillId="0" borderId="17"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1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0" xfId="0" applyFont="1" applyBorder="1" applyAlignment="1">
      <alignment horizontal="center" vertical="center" wrapText="1"/>
    </xf>
    <xf numFmtId="49" fontId="3" fillId="0" borderId="27" xfId="0" applyNumberFormat="1" applyFont="1" applyBorder="1" applyAlignment="1">
      <alignment horizontal="left"/>
    </xf>
    <xf numFmtId="0" fontId="117" fillId="48" borderId="57" xfId="40" applyFont="1" applyFill="1" applyBorder="1" applyAlignment="1">
      <alignment horizontal="center" vertical="center" wrapText="1"/>
    </xf>
    <xf numFmtId="0" fontId="117" fillId="48" borderId="45" xfId="40" applyFont="1" applyFill="1" applyBorder="1" applyAlignment="1">
      <alignment horizontal="center" vertical="center" wrapText="1"/>
    </xf>
    <xf numFmtId="0" fontId="104" fillId="0" borderId="12" xfId="0" applyFont="1" applyBorder="1" applyAlignment="1">
      <alignment horizontal="center" vertical="center" wrapText="1"/>
    </xf>
    <xf numFmtId="0" fontId="104" fillId="0" borderId="0" xfId="0" applyFont="1" applyBorder="1" applyAlignment="1">
      <alignment horizontal="center" vertical="center" wrapText="1"/>
    </xf>
    <xf numFmtId="49" fontId="86" fillId="0" borderId="29" xfId="0" applyNumberFormat="1" applyFont="1" applyBorder="1" applyAlignment="1">
      <alignment horizontal="center" vertical="center" wrapText="1"/>
    </xf>
    <xf numFmtId="49" fontId="86" fillId="0" borderId="13" xfId="0" applyNumberFormat="1" applyFont="1" applyBorder="1" applyAlignment="1">
      <alignment horizontal="center" vertical="center" wrapText="1"/>
    </xf>
    <xf numFmtId="0" fontId="81" fillId="0" borderId="12" xfId="40" applyFont="1" applyBorder="1" applyAlignment="1">
      <alignment horizontal="center" vertical="center" wrapText="1"/>
    </xf>
    <xf numFmtId="0" fontId="81" fillId="0" borderId="75" xfId="40" applyFont="1" applyBorder="1" applyAlignment="1">
      <alignment horizontal="center" vertical="center" wrapText="1"/>
    </xf>
    <xf numFmtId="0" fontId="7" fillId="0" borderId="63" xfId="41" applyFont="1" applyBorder="1" applyAlignment="1">
      <alignment horizontal="center" vertical="center"/>
    </xf>
    <xf numFmtId="0" fontId="7" fillId="0" borderId="58" xfId="41" applyFont="1" applyBorder="1" applyAlignment="1">
      <alignment horizontal="center" vertical="center"/>
    </xf>
    <xf numFmtId="0" fontId="7" fillId="0" borderId="59" xfId="41" applyFont="1" applyBorder="1" applyAlignment="1">
      <alignment horizontal="center" vertical="center"/>
    </xf>
    <xf numFmtId="0" fontId="81" fillId="0" borderId="66" xfId="41" applyFont="1" applyBorder="1" applyAlignment="1">
      <alignment horizontal="left" vertical="center" wrapText="1" indent="1"/>
    </xf>
    <xf numFmtId="0" fontId="81" fillId="0" borderId="67" xfId="41" applyFont="1" applyBorder="1" applyAlignment="1">
      <alignment horizontal="left" vertical="center" wrapText="1" indent="1"/>
    </xf>
    <xf numFmtId="0" fontId="81" fillId="0" borderId="68" xfId="41" applyFont="1" applyBorder="1" applyAlignment="1">
      <alignment horizontal="left" vertical="center" wrapText="1" indent="1"/>
    </xf>
    <xf numFmtId="0" fontId="105" fillId="0" borderId="0" xfId="41" applyFont="1" applyBorder="1" applyAlignment="1">
      <alignment horizontal="left" wrapText="1"/>
    </xf>
    <xf numFmtId="0" fontId="25" fillId="0" borderId="35" xfId="0" applyFont="1" applyBorder="1" applyAlignment="1">
      <alignment horizontal="left" vertical="center"/>
    </xf>
    <xf numFmtId="0" fontId="25" fillId="0" borderId="46" xfId="0" applyFont="1" applyBorder="1" applyAlignment="1">
      <alignment horizontal="left" vertical="center"/>
    </xf>
    <xf numFmtId="0" fontId="25" fillId="0" borderId="47" xfId="0" applyFont="1" applyBorder="1" applyAlignment="1">
      <alignment horizontal="left" vertical="center"/>
    </xf>
    <xf numFmtId="0" fontId="25" fillId="0" borderId="37" xfId="0" applyFont="1" applyBorder="1" applyAlignment="1">
      <alignment horizontal="left" vertical="center"/>
    </xf>
    <xf numFmtId="0" fontId="25" fillId="0" borderId="50" xfId="0" applyFont="1" applyBorder="1" applyAlignment="1">
      <alignment horizontal="left" vertical="center"/>
    </xf>
    <xf numFmtId="0" fontId="25" fillId="0" borderId="32" xfId="0" applyFont="1" applyBorder="1" applyAlignment="1">
      <alignment horizontal="left" vertical="center"/>
    </xf>
    <xf numFmtId="0" fontId="12" fillId="0" borderId="69"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7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8" xfId="0"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7" fillId="0" borderId="40" xfId="0" applyFont="1" applyBorder="1" applyAlignment="1">
      <alignment horizontal="left" vertical="center" wrapText="1" indent="1"/>
    </xf>
    <xf numFmtId="0" fontId="7" fillId="0" borderId="72" xfId="0" applyFont="1" applyBorder="1" applyAlignment="1">
      <alignment horizontal="center" vertical="center" wrapText="1"/>
    </xf>
    <xf numFmtId="0" fontId="7" fillId="0" borderId="41" xfId="0" applyFont="1" applyBorder="1" applyAlignment="1">
      <alignment horizontal="center" vertical="center" wrapText="1"/>
    </xf>
    <xf numFmtId="0" fontId="25" fillId="0" borderId="37" xfId="0" applyFont="1" applyBorder="1" applyAlignment="1">
      <alignment horizontal="left" vertical="center" wrapText="1"/>
    </xf>
    <xf numFmtId="0" fontId="25" fillId="0" borderId="50" xfId="0" applyFont="1" applyBorder="1" applyAlignment="1">
      <alignment horizontal="left" vertical="center" wrapText="1"/>
    </xf>
    <xf numFmtId="0" fontId="25" fillId="0" borderId="32" xfId="0" applyFont="1" applyBorder="1" applyAlignment="1">
      <alignment horizontal="left"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62" xfId="0" applyFont="1" applyBorder="1" applyAlignment="1">
      <alignment horizontal="left" vertical="center" wrapText="1" indent="1"/>
    </xf>
    <xf numFmtId="0" fontId="7" fillId="0" borderId="52" xfId="0" applyFont="1" applyBorder="1" applyAlignment="1">
      <alignment horizontal="left" vertical="center" wrapText="1" indent="1"/>
    </xf>
    <xf numFmtId="0" fontId="7" fillId="0" borderId="38" xfId="0" applyFont="1" applyBorder="1" applyAlignment="1">
      <alignment horizontal="left" vertical="center" wrapText="1" indent="1"/>
    </xf>
    <xf numFmtId="0" fontId="25" fillId="0" borderId="37" xfId="40" applyFont="1" applyBorder="1" applyAlignment="1">
      <alignment horizontal="left" vertical="center"/>
    </xf>
    <xf numFmtId="0" fontId="25" fillId="0" borderId="50" xfId="40" applyFont="1" applyBorder="1" applyAlignment="1">
      <alignment horizontal="left" vertical="center"/>
    </xf>
    <xf numFmtId="0" fontId="25" fillId="0" borderId="32" xfId="40" applyFont="1" applyBorder="1" applyAlignment="1">
      <alignment horizontal="left" vertical="center"/>
    </xf>
    <xf numFmtId="0" fontId="4" fillId="0" borderId="69" xfId="40" applyFont="1" applyBorder="1" applyAlignment="1">
      <alignment horizontal="center" vertical="center" wrapText="1"/>
    </xf>
    <xf numFmtId="0" fontId="4" fillId="0" borderId="70" xfId="40" applyFont="1" applyBorder="1" applyAlignment="1">
      <alignment horizontal="center" vertical="center"/>
    </xf>
    <xf numFmtId="0" fontId="4" fillId="0" borderId="71" xfId="40" applyFont="1" applyBorder="1" applyAlignment="1">
      <alignment horizontal="center" vertical="center"/>
    </xf>
    <xf numFmtId="0" fontId="7" fillId="0" borderId="23" xfId="40" applyFont="1" applyBorder="1" applyAlignment="1">
      <alignment horizontal="left" vertical="center" wrapText="1" indent="1"/>
    </xf>
    <xf numFmtId="0" fontId="7" fillId="0" borderId="25" xfId="40" applyFont="1" applyBorder="1" applyAlignment="1">
      <alignment horizontal="left" vertical="center" wrapText="1" indent="1"/>
    </xf>
    <xf numFmtId="0" fontId="7" fillId="0" borderId="24" xfId="40" applyFont="1" applyBorder="1" applyAlignment="1">
      <alignment horizontal="left" vertical="center" wrapText="1" indent="1"/>
    </xf>
    <xf numFmtId="0" fontId="25" fillId="0" borderId="35" xfId="40" applyFont="1" applyBorder="1" applyAlignment="1">
      <alignment horizontal="left" vertical="center"/>
    </xf>
    <xf numFmtId="0" fontId="25" fillId="0" borderId="46" xfId="40" applyFont="1" applyBorder="1" applyAlignment="1">
      <alignment horizontal="left" vertical="center"/>
    </xf>
    <xf numFmtId="0" fontId="25" fillId="0" borderId="47" xfId="40" applyFont="1" applyBorder="1" applyAlignment="1">
      <alignment horizontal="left" vertical="center"/>
    </xf>
    <xf numFmtId="0" fontId="25" fillId="36" borderId="48" xfId="40" applyFont="1" applyFill="1" applyBorder="1" applyAlignment="1">
      <alignment horizontal="left" vertical="center"/>
    </xf>
    <xf numFmtId="0" fontId="25" fillId="36" borderId="0" xfId="40" applyFont="1" applyFill="1" applyBorder="1" applyAlignment="1">
      <alignment horizontal="left" vertical="center"/>
    </xf>
    <xf numFmtId="0" fontId="25" fillId="36" borderId="49" xfId="40" applyFont="1" applyFill="1" applyBorder="1" applyAlignment="1">
      <alignment horizontal="left" vertical="center"/>
    </xf>
    <xf numFmtId="0" fontId="25" fillId="0" borderId="48" xfId="40" applyFont="1" applyBorder="1" applyAlignment="1">
      <alignment horizontal="left" vertical="center"/>
    </xf>
    <xf numFmtId="0" fontId="25" fillId="0" borderId="0" xfId="40" applyFont="1" applyBorder="1" applyAlignment="1">
      <alignment horizontal="left" vertical="center"/>
    </xf>
    <xf numFmtId="0" fontId="25" fillId="0" borderId="49" xfId="40" applyFont="1" applyBorder="1" applyAlignment="1">
      <alignment horizontal="left"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6" xfId="0"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8" xfId="0" applyFont="1" applyFill="1" applyBorder="1" applyAlignment="1">
      <alignment horizontal="center" vertical="center" wrapText="1"/>
    </xf>
    <xf numFmtId="49" fontId="3" fillId="0" borderId="0" xfId="0" applyNumberFormat="1" applyFont="1" applyBorder="1" applyAlignment="1">
      <alignment horizontal="left"/>
    </xf>
    <xf numFmtId="49" fontId="86" fillId="36" borderId="34" xfId="0" applyNumberFormat="1" applyFont="1" applyFill="1" applyBorder="1" applyAlignment="1">
      <alignment horizontal="center" vertical="center" wrapText="1"/>
    </xf>
    <xf numFmtId="49" fontId="86" fillId="36" borderId="14" xfId="0" applyNumberFormat="1" applyFont="1" applyFill="1" applyBorder="1" applyAlignment="1">
      <alignment horizontal="center" vertical="center" wrapText="1"/>
    </xf>
    <xf numFmtId="0" fontId="4" fillId="0" borderId="6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49" fontId="86" fillId="36" borderId="29" xfId="0" applyNumberFormat="1" applyFont="1" applyFill="1" applyBorder="1" applyAlignment="1">
      <alignment horizontal="center" vertical="center" wrapText="1"/>
    </xf>
    <xf numFmtId="49" fontId="86" fillId="36" borderId="13" xfId="0" applyNumberFormat="1" applyFont="1" applyFill="1" applyBorder="1" applyAlignment="1">
      <alignment horizontal="center" vertical="center" wrapText="1"/>
    </xf>
    <xf numFmtId="49" fontId="86" fillId="49" borderId="29" xfId="0" applyNumberFormat="1" applyFont="1" applyFill="1" applyBorder="1" applyAlignment="1">
      <alignment horizontal="center" vertical="center" wrapText="1"/>
    </xf>
    <xf numFmtId="49" fontId="86" fillId="49" borderId="13"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5" fillId="0" borderId="0" xfId="0" applyFont="1" applyFill="1" applyBorder="1" applyAlignment="1">
      <alignment horizontal="left" wrapText="1"/>
    </xf>
    <xf numFmtId="0" fontId="4" fillId="0" borderId="63"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7" fillId="0" borderId="61" xfId="0" applyFont="1" applyFill="1" applyBorder="1" applyAlignment="1">
      <alignment horizontal="left" vertical="center" wrapText="1" indent="1"/>
    </xf>
    <xf numFmtId="0" fontId="7" fillId="0" borderId="72" xfId="0" applyFont="1" applyFill="1" applyBorder="1" applyAlignment="1">
      <alignment horizontal="left" vertical="center" wrapText="1" indent="1"/>
    </xf>
    <xf numFmtId="0" fontId="7" fillId="0" borderId="67" xfId="0" applyFont="1" applyFill="1" applyBorder="1" applyAlignment="1">
      <alignment horizontal="left" vertical="center" wrapText="1" indent="1"/>
    </xf>
    <xf numFmtId="0" fontId="7" fillId="0" borderId="41" xfId="0" applyFont="1" applyFill="1" applyBorder="1" applyAlignment="1">
      <alignment horizontal="left" vertical="center" wrapText="1" indent="1"/>
    </xf>
    <xf numFmtId="0" fontId="75" fillId="0" borderId="15"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0" fontId="86" fillId="0" borderId="1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4" fillId="0" borderId="30" xfId="43" applyFont="1" applyBorder="1" applyAlignment="1">
      <alignment horizontal="center" vertical="center" wrapText="1"/>
    </xf>
    <xf numFmtId="0" fontId="4" fillId="0" borderId="31" xfId="43" applyFont="1" applyBorder="1" applyAlignment="1">
      <alignment horizontal="center" vertical="center" wrapText="1"/>
    </xf>
    <xf numFmtId="0" fontId="4" fillId="0" borderId="36" xfId="43" applyFont="1" applyBorder="1" applyAlignment="1">
      <alignment horizontal="center" vertical="center" wrapText="1"/>
    </xf>
    <xf numFmtId="0" fontId="7" fillId="0" borderId="29" xfId="0" applyFont="1" applyBorder="1" applyAlignment="1">
      <alignment horizontal="center" vertical="center" wrapText="1"/>
    </xf>
    <xf numFmtId="0" fontId="7" fillId="0" borderId="34"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93" fillId="0" borderId="46" xfId="0" applyFont="1" applyBorder="1" applyAlignment="1">
      <alignment horizontal="left" vertical="center" wrapText="1"/>
    </xf>
    <xf numFmtId="0" fontId="30" fillId="0" borderId="35" xfId="0" applyFont="1" applyBorder="1" applyAlignment="1">
      <alignment horizontal="left" vertical="center"/>
    </xf>
    <xf numFmtId="0" fontId="30" fillId="0" borderId="46" xfId="0" applyFont="1" applyBorder="1" applyAlignment="1">
      <alignment horizontal="left" vertical="center"/>
    </xf>
    <xf numFmtId="0" fontId="30" fillId="0" borderId="47" xfId="0" applyFont="1" applyBorder="1" applyAlignment="1">
      <alignment horizontal="left" vertical="center"/>
    </xf>
    <xf numFmtId="0" fontId="30" fillId="0" borderId="37" xfId="0" applyFont="1" applyBorder="1" applyAlignment="1">
      <alignment horizontal="left" vertical="center"/>
    </xf>
    <xf numFmtId="0" fontId="30" fillId="0" borderId="50" xfId="0" applyFont="1" applyBorder="1" applyAlignment="1">
      <alignment horizontal="left" vertical="center"/>
    </xf>
    <xf numFmtId="0" fontId="30" fillId="0" borderId="32" xfId="0" applyFont="1" applyBorder="1" applyAlignment="1">
      <alignment horizontal="left" vertical="center"/>
    </xf>
    <xf numFmtId="0" fontId="4" fillId="0" borderId="3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70" xfId="40" applyFont="1" applyBorder="1" applyAlignment="1">
      <alignment horizontal="center" vertical="center" wrapText="1"/>
    </xf>
    <xf numFmtId="0" fontId="4" fillId="0" borderId="74" xfId="40" applyFont="1" applyBorder="1" applyAlignment="1">
      <alignment horizontal="center" vertical="center" wrapText="1"/>
    </xf>
    <xf numFmtId="0" fontId="4" fillId="0" borderId="71" xfId="40" applyFont="1" applyBorder="1" applyAlignment="1">
      <alignment horizontal="center" vertical="center" wrapText="1"/>
    </xf>
    <xf numFmtId="0" fontId="7" fillId="0" borderId="30" xfId="40" applyFont="1" applyBorder="1" applyAlignment="1">
      <alignment horizontal="left" vertical="center" wrapText="1" indent="1"/>
    </xf>
    <xf numFmtId="0" fontId="7" fillId="0" borderId="31" xfId="40" applyFont="1" applyBorder="1" applyAlignment="1">
      <alignment horizontal="left" vertical="center" wrapText="1" indent="1"/>
    </xf>
    <xf numFmtId="0" fontId="7" fillId="0" borderId="53" xfId="40" applyFont="1" applyBorder="1" applyAlignment="1">
      <alignment horizontal="left" vertical="center" wrapText="1" indent="1"/>
    </xf>
    <xf numFmtId="0" fontId="7" fillId="0" borderId="36" xfId="40" applyFont="1" applyBorder="1" applyAlignment="1">
      <alignment horizontal="left" vertical="center" wrapText="1" indent="1"/>
    </xf>
    <xf numFmtId="0" fontId="7" fillId="0" borderId="29" xfId="40" applyFont="1" applyBorder="1" applyAlignment="1">
      <alignment horizontal="center" vertical="center" wrapText="1"/>
    </xf>
    <xf numFmtId="0" fontId="25" fillId="0" borderId="13" xfId="40" applyFont="1" applyBorder="1" applyAlignment="1">
      <alignment horizontal="left" vertical="center" wrapText="1"/>
    </xf>
    <xf numFmtId="49" fontId="2" fillId="0" borderId="37" xfId="40" applyNumberFormat="1" applyFont="1" applyBorder="1" applyAlignment="1">
      <alignment horizontal="center" vertical="center" wrapText="1"/>
    </xf>
    <xf numFmtId="49" fontId="2" fillId="0" borderId="13" xfId="40" applyNumberFormat="1" applyFont="1" applyBorder="1" applyAlignment="1">
      <alignment horizontal="center" vertical="center" wrapText="1"/>
    </xf>
    <xf numFmtId="3" fontId="7" fillId="0" borderId="22" xfId="45" applyNumberFormat="1" applyFont="1" applyBorder="1" applyAlignment="1">
      <alignment horizontal="center" vertical="center" wrapText="1"/>
    </xf>
    <xf numFmtId="3" fontId="7" fillId="0" borderId="15" xfId="45"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wrapText="1"/>
    </xf>
    <xf numFmtId="3" fontId="12" fillId="0" borderId="63" xfId="45" applyNumberFormat="1" applyFont="1" applyBorder="1" applyAlignment="1">
      <alignment horizontal="center" vertical="center" wrapText="1"/>
    </xf>
    <xf numFmtId="3" fontId="12" fillId="0" borderId="58" xfId="45" applyNumberFormat="1" applyFont="1" applyBorder="1" applyAlignment="1">
      <alignment horizontal="center" vertical="center" wrapText="1"/>
    </xf>
    <xf numFmtId="3" fontId="12" fillId="0" borderId="59" xfId="45" applyNumberFormat="1" applyFont="1" applyBorder="1" applyAlignment="1">
      <alignment horizontal="center" vertical="center" wrapText="1"/>
    </xf>
    <xf numFmtId="0" fontId="59" fillId="32" borderId="15" xfId="42" applyFont="1" applyFill="1" applyBorder="1" applyAlignment="1"/>
    <xf numFmtId="0" fontId="59" fillId="32" borderId="13" xfId="42" applyFont="1" applyFill="1" applyBorder="1" applyAlignment="1"/>
    <xf numFmtId="0" fontId="59" fillId="0" borderId="15" xfId="42" applyFont="1" applyBorder="1" applyAlignment="1"/>
    <xf numFmtId="0" fontId="59" fillId="0" borderId="13" xfId="42" applyFont="1" applyBorder="1" applyAlignment="1"/>
    <xf numFmtId="0" fontId="59" fillId="32" borderId="16" xfId="42" applyFont="1" applyFill="1" applyBorder="1" applyAlignment="1"/>
    <xf numFmtId="0" fontId="59" fillId="32" borderId="17" xfId="42" applyFont="1" applyFill="1" applyBorder="1" applyAlignment="1"/>
    <xf numFmtId="3" fontId="12" fillId="0" borderId="63" xfId="44" applyNumberFormat="1" applyFont="1" applyBorder="1" applyAlignment="1">
      <alignment horizontal="center" vertical="center" wrapText="1"/>
    </xf>
    <xf numFmtId="3" fontId="12" fillId="0" borderId="58" xfId="44" applyNumberFormat="1" applyFont="1" applyBorder="1" applyAlignment="1">
      <alignment horizontal="center" vertical="center" wrapText="1"/>
    </xf>
    <xf numFmtId="3" fontId="12" fillId="0" borderId="59" xfId="44" applyNumberFormat="1" applyFont="1" applyBorder="1" applyAlignment="1">
      <alignment horizontal="center" vertical="center" wrapText="1"/>
    </xf>
    <xf numFmtId="3" fontId="7" fillId="0" borderId="63" xfId="44" applyNumberFormat="1" applyFont="1" applyBorder="1" applyAlignment="1">
      <alignment horizontal="left" vertical="center" wrapText="1" indent="1"/>
    </xf>
    <xf numFmtId="3" fontId="7" fillId="0" borderId="58" xfId="44" applyNumberFormat="1" applyFont="1" applyBorder="1" applyAlignment="1">
      <alignment horizontal="left" vertical="center" wrapText="1" indent="1"/>
    </xf>
    <xf numFmtId="3" fontId="7" fillId="0" borderId="59" xfId="44" applyNumberFormat="1" applyFont="1" applyBorder="1" applyAlignment="1">
      <alignment horizontal="left" vertical="center" wrapText="1" indent="1"/>
    </xf>
    <xf numFmtId="0" fontId="7" fillId="0" borderId="63" xfId="0" applyFont="1" applyBorder="1" applyAlignment="1">
      <alignment horizontal="left" vertical="center" wrapText="1"/>
    </xf>
    <xf numFmtId="0" fontId="7" fillId="0" borderId="58" xfId="0" applyFont="1" applyBorder="1" applyAlignment="1">
      <alignment horizontal="left" vertical="center" wrapText="1"/>
    </xf>
    <xf numFmtId="0" fontId="7" fillId="0" borderId="59" xfId="0" applyFont="1" applyBorder="1" applyAlignment="1">
      <alignment horizontal="left" vertical="center" wrapText="1"/>
    </xf>
    <xf numFmtId="0" fontId="12" fillId="0" borderId="66" xfId="0" applyNumberFormat="1" applyFont="1" applyBorder="1" applyAlignment="1">
      <alignment horizontal="center" vertical="center" wrapText="1"/>
    </xf>
    <xf numFmtId="0" fontId="12" fillId="0" borderId="67" xfId="0" applyNumberFormat="1" applyFont="1" applyBorder="1" applyAlignment="1">
      <alignment horizontal="center" vertical="center" wrapText="1"/>
    </xf>
    <xf numFmtId="0" fontId="12" fillId="0" borderId="68" xfId="0" applyNumberFormat="1" applyFont="1" applyBorder="1" applyAlignment="1">
      <alignment horizontal="center" vertical="center" wrapText="1"/>
    </xf>
    <xf numFmtId="0" fontId="59" fillId="32" borderId="30" xfId="42" applyFont="1" applyFill="1" applyBorder="1" applyAlignment="1">
      <alignment horizontal="left" vertical="center" indent="1"/>
    </xf>
    <xf numFmtId="0" fontId="59" fillId="32" borderId="31" xfId="42" applyFont="1" applyFill="1" applyBorder="1" applyAlignment="1">
      <alignment horizontal="left" vertical="center" indent="1"/>
    </xf>
    <xf numFmtId="0" fontId="8" fillId="0" borderId="50" xfId="0" applyFont="1" applyBorder="1" applyAlignment="1">
      <alignment horizontal="left"/>
    </xf>
    <xf numFmtId="0" fontId="4" fillId="0" borderId="6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40" xfId="0" applyFont="1" applyBorder="1" applyAlignment="1">
      <alignment horizontal="center" vertical="center" wrapText="1"/>
    </xf>
    <xf numFmtId="0" fontId="3" fillId="0" borderId="0" xfId="0" applyFont="1" applyFill="1" applyAlignment="1">
      <alignment horizontal="center" vertical="center"/>
    </xf>
    <xf numFmtId="166" fontId="3" fillId="0" borderId="0" xfId="0" applyNumberFormat="1" applyFont="1" applyFill="1" applyAlignment="1">
      <alignment horizontal="right" vertical="center" indent="1"/>
    </xf>
    <xf numFmtId="166" fontId="3" fillId="0" borderId="0" xfId="0" applyNumberFormat="1" applyFont="1" applyFill="1"/>
    <xf numFmtId="0" fontId="69" fillId="0" borderId="0" xfId="0" applyFont="1" applyFill="1"/>
  </cellXfs>
  <cellStyles count="9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a" xfId="27" builtinId="3"/>
    <cellStyle name="čiarky 2" xfId="28"/>
    <cellStyle name="Explanatory Text" xfId="29"/>
    <cellStyle name="Good" xfId="30"/>
    <cellStyle name="Heading 1" xfId="31"/>
    <cellStyle name="Heading 2" xfId="32"/>
    <cellStyle name="Heading 3" xfId="33"/>
    <cellStyle name="Heading 4" xfId="34"/>
    <cellStyle name="Hypertextové prepojenie" xfId="35" builtinId="8"/>
    <cellStyle name="Check Cell" xfId="36"/>
    <cellStyle name="Input" xfId="37"/>
    <cellStyle name="Linked Cell" xfId="38"/>
    <cellStyle name="Neutral" xfId="39"/>
    <cellStyle name="Normálna" xfId="0" builtinId="0"/>
    <cellStyle name="Normálna 2" xfId="40"/>
    <cellStyle name="Normálna 3" xfId="90"/>
    <cellStyle name="normálne 2" xfId="41"/>
    <cellStyle name="normálne 3" xfId="42"/>
    <cellStyle name="normálne 4" xfId="43"/>
    <cellStyle name="normálne_Databazy_VVŠ_2007_ severská" xfId="44"/>
    <cellStyle name="normálne_sprava_VVŠ_2004_tabuľky_vláda" xfId="45"/>
    <cellStyle name="normální_List1" xfId="46"/>
    <cellStyle name="Note" xfId="47"/>
    <cellStyle name="Output" xfId="48"/>
    <cellStyle name="SAPBEXaggData" xfId="49"/>
    <cellStyle name="SAPBEXaggDataEmph" xfId="50"/>
    <cellStyle name="SAPBEXaggItem" xfId="51"/>
    <cellStyle name="SAPBEXaggItemX" xfId="52"/>
    <cellStyle name="SAPBEXexcBad7" xfId="53"/>
    <cellStyle name="SAPBEXexcBad8" xfId="54"/>
    <cellStyle name="SAPBEXexcBad9" xfId="55"/>
    <cellStyle name="SAPBEXexcCritical4" xfId="56"/>
    <cellStyle name="SAPBEXexcCritical5" xfId="57"/>
    <cellStyle name="SAPBEXexcCritical6" xfId="58"/>
    <cellStyle name="SAPBEXexcGood1" xfId="59"/>
    <cellStyle name="SAPBEXexcGood2" xfId="60"/>
    <cellStyle name="SAPBEXexcGood3" xfId="61"/>
    <cellStyle name="SAPBEXfilterDrill" xfId="62"/>
    <cellStyle name="SAPBEXfilterItem" xfId="63"/>
    <cellStyle name="SAPBEXfilterText" xfId="64"/>
    <cellStyle name="SAPBEXformats" xfId="65"/>
    <cellStyle name="SAPBEXheaderItem" xfId="66"/>
    <cellStyle name="SAPBEXheaderText" xfId="67"/>
    <cellStyle name="SAPBEXHLevel0" xfId="68"/>
    <cellStyle name="SAPBEXHLevel0X" xfId="69"/>
    <cellStyle name="SAPBEXHLevel1" xfId="70"/>
    <cellStyle name="SAPBEXHLevel1X" xfId="71"/>
    <cellStyle name="SAPBEXHLevel2" xfId="72"/>
    <cellStyle name="SAPBEXHLevel2X" xfId="73"/>
    <cellStyle name="SAPBEXHLevel3" xfId="74"/>
    <cellStyle name="SAPBEXHLevel3X" xfId="75"/>
    <cellStyle name="SAPBEXchaText" xfId="76"/>
    <cellStyle name="SAPBEXresData" xfId="77"/>
    <cellStyle name="SAPBEXresDataEmph" xfId="78"/>
    <cellStyle name="SAPBEXresItem" xfId="79"/>
    <cellStyle name="SAPBEXresItemX" xfId="80"/>
    <cellStyle name="SAPBEXstdData" xfId="81"/>
    <cellStyle name="SAPBEXstdDataEmph" xfId="82"/>
    <cellStyle name="SAPBEXstdItem" xfId="83"/>
    <cellStyle name="SAPBEXstdItem 2" xfId="91"/>
    <cellStyle name="SAPBEXstdItemX" xfId="84"/>
    <cellStyle name="SAPBEXtitle" xfId="85"/>
    <cellStyle name="SAPBEXundefined" xfId="86"/>
    <cellStyle name="Title" xfId="87"/>
    <cellStyle name="Total" xfId="88"/>
    <cellStyle name="Warning Text" xfId="89"/>
  </cellStyles>
  <dxfs count="0"/>
  <tableStyles count="0" defaultTableStyle="TableStyleMedium9" defaultPivotStyle="PivotStyleLight16"/>
  <colors>
    <mruColors>
      <color rgb="FF0000FF"/>
      <color rgb="FFCCFFCC"/>
      <color rgb="FFCCFF99"/>
      <color rgb="FF99FFCC"/>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a.horvathova\AppData\Local\Microsoft\Windows\INetCache\Content.Outlook\L8FHZ2NI\tab_ANKA_21042020%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zmeny"/>
      <sheetName val="Vysvetlivky"/>
      <sheetName val="Súvzťažnosti"/>
      <sheetName val="Kódy z CRŠ"/>
      <sheetName val="T1-Dotácie podľa DZ"/>
      <sheetName val="T2-Ostatné dot mimo MŠ SR"/>
      <sheetName val="T3-Výnosy"/>
      <sheetName val="T4-Výnosy zo školného"/>
      <sheetName val="T5 - Analýza nákladov"/>
      <sheetName val="T6-Zamestnanci_a_mzdy"/>
      <sheetName val="T6a-Zamestnanci_a_mzdy (ženy)"/>
      <sheetName val="T7_Doktorandi "/>
      <sheetName val="T8-Soc_štipendiá"/>
      <sheetName val="T9_ŠD "/>
      <sheetName val="T10-ŠJ "/>
      <sheetName val="T11-Zdroje KV"/>
      <sheetName val="T12-KV"/>
      <sheetName val="T13-Fondy"/>
      <sheetName val="T16 - Štruktúra hotovosti"/>
      <sheetName val="T17-Dotácie zo ŠF EU-nová"/>
      <sheetName val="T18-Ostatné dotácie z kap MŠ SR"/>
      <sheetName val="T19-Štip_ z vlastných "/>
      <sheetName val="T20_motivačné štipendiá_nová"/>
      <sheetName val="T21-štruktúra_384"/>
      <sheetName val="T22_Výnosy_soc_oblasť"/>
      <sheetName val="T23_Náklady_soc_oblasť"/>
      <sheetName val="T24__Aktíva"/>
    </sheetNames>
    <sheetDataSet>
      <sheetData sheetId="0"/>
      <sheetData sheetId="1"/>
      <sheetData sheetId="2"/>
      <sheetData sheetId="3"/>
      <sheetData sheetId="4"/>
      <sheetData sheetId="5"/>
      <sheetData sheetId="6"/>
      <sheetData sheetId="7"/>
      <sheetData sheetId="8">
        <row r="18">
          <cell r="C18">
            <v>48953.37</v>
          </cell>
          <cell r="D18">
            <v>43654</v>
          </cell>
        </row>
      </sheetData>
      <sheetData sheetId="9">
        <row r="97">
          <cell r="C97">
            <v>48953.37</v>
          </cell>
          <cell r="E97">
            <v>43654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row r="6">
          <cell r="C6">
            <v>41957.840000000004</v>
          </cell>
        </row>
      </sheetData>
      <sheetData sheetId="23"/>
      <sheetData sheetId="24"/>
      <sheetData sheetId="25"/>
      <sheetData sheetId="26"/>
      <sheetData sheetId="27"/>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portal.minedu.sk/sites/sfar/Zdielane%20dokumenty/Zd_SFaR/Zd_OFV&#352;/beata.gondarova/AppData/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tabColor indexed="35"/>
  </sheetPr>
  <dimension ref="A1:R28"/>
  <sheetViews>
    <sheetView zoomScale="90" zoomScaleNormal="90" workbookViewId="0">
      <pane xSplit="1" ySplit="1" topLeftCell="B2" activePane="bottomRight" state="frozen"/>
      <selection pane="topRight" activeCell="B1" sqref="B1"/>
      <selection pane="bottomLeft" activeCell="A3" sqref="A3"/>
      <selection pane="bottomRight"/>
    </sheetView>
  </sheetViews>
  <sheetFormatPr defaultRowHeight="15.75" x14ac:dyDescent="0.25"/>
  <cols>
    <col min="1" max="1" width="13.7109375" style="455" customWidth="1"/>
    <col min="2" max="16" width="9.140625" style="93"/>
    <col min="17" max="17" width="10.28515625" style="93" customWidth="1"/>
    <col min="18" max="18" width="19.42578125" style="93" customWidth="1"/>
    <col min="19" max="16384" width="9.140625" style="93"/>
  </cols>
  <sheetData>
    <row r="1" spans="1:18" ht="23.25" customHeight="1" x14ac:dyDescent="0.25">
      <c r="A1" s="231"/>
      <c r="B1" s="456" t="s">
        <v>1082</v>
      </c>
      <c r="C1" s="446"/>
      <c r="D1" s="446"/>
      <c r="E1" s="446"/>
      <c r="F1" s="446"/>
      <c r="G1" s="446"/>
      <c r="H1" s="446"/>
      <c r="I1" s="446"/>
      <c r="J1" s="446"/>
      <c r="K1" s="446"/>
      <c r="L1" s="447"/>
      <c r="M1" s="448"/>
      <c r="N1" s="448"/>
      <c r="O1" s="448"/>
      <c r="P1" s="448"/>
      <c r="Q1" s="449"/>
    </row>
    <row r="2" spans="1:18" ht="23.1" customHeight="1" x14ac:dyDescent="0.25">
      <c r="A2" s="259" t="s">
        <v>12</v>
      </c>
      <c r="B2" s="233" t="s">
        <v>1083</v>
      </c>
      <c r="C2" s="233"/>
      <c r="D2" s="233"/>
      <c r="E2" s="233"/>
      <c r="F2" s="233"/>
      <c r="G2" s="233"/>
      <c r="H2" s="233"/>
      <c r="I2" s="233"/>
      <c r="J2" s="233"/>
      <c r="K2" s="233"/>
      <c r="L2" s="233"/>
      <c r="M2" s="233"/>
      <c r="N2" s="233"/>
      <c r="O2" s="233"/>
      <c r="P2" s="233"/>
      <c r="Q2" s="451"/>
    </row>
    <row r="3" spans="1:18" ht="23.1" customHeight="1" x14ac:dyDescent="0.25">
      <c r="A3" s="259" t="s">
        <v>664</v>
      </c>
      <c r="B3" s="233" t="s">
        <v>1084</v>
      </c>
      <c r="C3" s="233"/>
      <c r="D3" s="233"/>
      <c r="E3" s="233"/>
      <c r="F3" s="233"/>
      <c r="G3" s="233"/>
      <c r="H3" s="233"/>
      <c r="I3" s="233"/>
      <c r="J3" s="233"/>
      <c r="K3" s="233"/>
      <c r="L3" s="233"/>
      <c r="M3" s="233"/>
      <c r="N3" s="233"/>
      <c r="O3" s="233"/>
      <c r="P3" s="233"/>
      <c r="Q3" s="451"/>
    </row>
    <row r="4" spans="1:18" ht="23.1" customHeight="1" x14ac:dyDescent="0.25">
      <c r="A4" s="259" t="s">
        <v>799</v>
      </c>
      <c r="B4" s="260" t="s">
        <v>798</v>
      </c>
      <c r="C4" s="260"/>
      <c r="D4" s="233"/>
      <c r="E4" s="233"/>
      <c r="F4" s="233"/>
      <c r="G4" s="233"/>
      <c r="H4" s="233"/>
      <c r="I4" s="233"/>
      <c r="J4" s="233"/>
      <c r="K4" s="233"/>
      <c r="L4" s="233"/>
      <c r="M4" s="233"/>
      <c r="N4" s="233"/>
      <c r="O4" s="233"/>
      <c r="P4" s="233"/>
      <c r="Q4" s="451"/>
      <c r="R4" s="645"/>
    </row>
    <row r="5" spans="1:18" ht="39.75" customHeight="1" x14ac:dyDescent="0.25">
      <c r="A5" s="258" t="s">
        <v>281</v>
      </c>
      <c r="B5" s="726" t="s">
        <v>1086</v>
      </c>
      <c r="C5" s="726"/>
      <c r="D5" s="726"/>
      <c r="E5" s="726"/>
      <c r="F5" s="726"/>
      <c r="G5" s="726"/>
      <c r="H5" s="726"/>
      <c r="I5" s="726"/>
      <c r="J5" s="726"/>
      <c r="K5" s="726"/>
      <c r="L5" s="726"/>
      <c r="M5" s="726"/>
      <c r="N5" s="726"/>
      <c r="O5" s="726"/>
      <c r="P5" s="726"/>
      <c r="Q5" s="727"/>
    </row>
    <row r="6" spans="1:18" ht="23.1" customHeight="1" x14ac:dyDescent="0.25">
      <c r="A6" s="258" t="s">
        <v>181</v>
      </c>
      <c r="B6" s="260" t="s">
        <v>1085</v>
      </c>
      <c r="C6" s="260"/>
      <c r="D6" s="260"/>
      <c r="E6" s="260"/>
      <c r="F6" s="260"/>
      <c r="G6" s="260"/>
      <c r="H6" s="260"/>
      <c r="I6" s="260"/>
      <c r="J6" s="260"/>
      <c r="K6" s="260"/>
      <c r="L6" s="260"/>
      <c r="M6" s="260"/>
      <c r="N6" s="260"/>
      <c r="O6" s="260"/>
      <c r="P6" s="260"/>
      <c r="Q6" s="452"/>
    </row>
    <row r="7" spans="1:18" ht="23.1" customHeight="1" x14ac:dyDescent="0.25">
      <c r="A7" s="258" t="s">
        <v>182</v>
      </c>
      <c r="B7" s="402" t="s">
        <v>1087</v>
      </c>
      <c r="C7" s="260"/>
      <c r="D7" s="260"/>
      <c r="E7" s="260"/>
      <c r="F7" s="260"/>
      <c r="G7" s="260"/>
      <c r="H7" s="260"/>
      <c r="I7" s="260"/>
      <c r="J7" s="260"/>
      <c r="K7" s="260"/>
      <c r="L7" s="260"/>
      <c r="M7" s="260"/>
      <c r="N7" s="260"/>
      <c r="O7" s="260"/>
      <c r="P7" s="260"/>
      <c r="Q7" s="452"/>
    </row>
    <row r="8" spans="1:18" ht="23.1" customHeight="1" x14ac:dyDescent="0.25">
      <c r="A8" s="232" t="s">
        <v>183</v>
      </c>
      <c r="B8" s="230" t="s">
        <v>1088</v>
      </c>
      <c r="C8" s="230"/>
      <c r="D8" s="230"/>
      <c r="E8" s="230"/>
      <c r="F8" s="230"/>
      <c r="G8" s="230"/>
      <c r="H8" s="230"/>
      <c r="I8" s="230"/>
      <c r="J8" s="230"/>
      <c r="K8" s="230"/>
      <c r="L8" s="230"/>
      <c r="M8" s="230"/>
      <c r="N8" s="230"/>
      <c r="O8" s="230"/>
      <c r="P8" s="230"/>
      <c r="Q8" s="450"/>
    </row>
    <row r="9" spans="1:18" ht="23.1" customHeight="1" x14ac:dyDescent="0.25">
      <c r="A9" s="258" t="s">
        <v>184</v>
      </c>
      <c r="B9" s="260" t="s">
        <v>1089</v>
      </c>
      <c r="C9" s="260"/>
      <c r="D9" s="260"/>
      <c r="E9" s="260"/>
      <c r="F9" s="260"/>
      <c r="G9" s="260"/>
      <c r="H9" s="260"/>
      <c r="I9" s="260"/>
      <c r="J9" s="260"/>
      <c r="K9" s="260"/>
      <c r="L9" s="260"/>
      <c r="M9" s="260"/>
      <c r="N9" s="260"/>
      <c r="O9" s="260"/>
      <c r="P9" s="260"/>
      <c r="Q9" s="452"/>
    </row>
    <row r="10" spans="1:18" ht="23.1" customHeight="1" x14ac:dyDescent="0.25">
      <c r="A10" s="258" t="s">
        <v>185</v>
      </c>
      <c r="B10" s="260" t="s">
        <v>1090</v>
      </c>
      <c r="C10" s="260"/>
      <c r="D10" s="260"/>
      <c r="E10" s="260"/>
      <c r="F10" s="260"/>
      <c r="G10" s="260"/>
      <c r="H10" s="260"/>
      <c r="I10" s="260"/>
      <c r="J10" s="260"/>
      <c r="K10" s="260"/>
      <c r="L10" s="260"/>
      <c r="M10" s="260"/>
      <c r="N10" s="260"/>
      <c r="O10" s="260"/>
      <c r="P10" s="260"/>
      <c r="Q10" s="452"/>
    </row>
    <row r="11" spans="1:18" ht="23.1" customHeight="1" x14ac:dyDescent="0.25">
      <c r="A11" s="232" t="s">
        <v>809</v>
      </c>
      <c r="B11" s="230" t="s">
        <v>1091</v>
      </c>
      <c r="C11" s="230"/>
      <c r="D11" s="230"/>
      <c r="E11" s="230"/>
      <c r="F11" s="230"/>
      <c r="G11" s="230"/>
      <c r="H11" s="230"/>
      <c r="I11" s="230"/>
      <c r="J11" s="230"/>
      <c r="K11" s="230"/>
      <c r="L11" s="230"/>
      <c r="M11" s="230"/>
      <c r="N11" s="230"/>
      <c r="O11" s="230"/>
      <c r="P11" s="230"/>
      <c r="Q11" s="450"/>
    </row>
    <row r="12" spans="1:18" ht="23.1" customHeight="1" x14ac:dyDescent="0.25">
      <c r="A12" s="258" t="s">
        <v>186</v>
      </c>
      <c r="B12" s="260" t="s">
        <v>1217</v>
      </c>
      <c r="C12" s="260"/>
      <c r="D12" s="260"/>
      <c r="E12" s="260"/>
      <c r="F12" s="260"/>
      <c r="G12" s="260"/>
      <c r="H12" s="260"/>
      <c r="I12" s="260"/>
      <c r="J12" s="260"/>
      <c r="K12" s="260"/>
      <c r="L12" s="260"/>
      <c r="M12" s="260"/>
      <c r="N12" s="260"/>
      <c r="O12" s="260"/>
      <c r="P12" s="260"/>
      <c r="Q12" s="452"/>
      <c r="R12" s="385"/>
    </row>
    <row r="13" spans="1:18" ht="23.1" customHeight="1" x14ac:dyDescent="0.25">
      <c r="A13" s="232" t="s">
        <v>168</v>
      </c>
      <c r="B13" s="230" t="s">
        <v>1092</v>
      </c>
      <c r="C13" s="230"/>
      <c r="D13" s="230"/>
      <c r="E13" s="230"/>
      <c r="F13" s="230"/>
      <c r="G13" s="230"/>
      <c r="H13" s="230"/>
      <c r="I13" s="230"/>
      <c r="J13" s="230"/>
      <c r="K13" s="230"/>
      <c r="L13" s="230"/>
      <c r="M13" s="230"/>
      <c r="N13" s="230"/>
      <c r="O13" s="230"/>
      <c r="P13" s="230"/>
      <c r="Q13" s="450"/>
    </row>
    <row r="14" spans="1:18" ht="23.1" customHeight="1" x14ac:dyDescent="0.25">
      <c r="A14" s="258" t="s">
        <v>0</v>
      </c>
      <c r="B14" s="260" t="s">
        <v>1093</v>
      </c>
      <c r="C14" s="260"/>
      <c r="D14" s="260"/>
      <c r="E14" s="260"/>
      <c r="F14" s="260"/>
      <c r="G14" s="260"/>
      <c r="H14" s="260"/>
      <c r="I14" s="260"/>
      <c r="J14" s="260"/>
      <c r="K14" s="260"/>
      <c r="L14" s="260"/>
      <c r="M14" s="260"/>
      <c r="N14" s="260"/>
      <c r="O14" s="260"/>
      <c r="P14" s="260"/>
      <c r="Q14" s="452"/>
    </row>
    <row r="15" spans="1:18" ht="23.1" customHeight="1" x14ac:dyDescent="0.25">
      <c r="A15" s="232" t="s">
        <v>1</v>
      </c>
      <c r="B15" s="230" t="s">
        <v>1094</v>
      </c>
      <c r="C15" s="230"/>
      <c r="D15" s="230"/>
      <c r="E15" s="230"/>
      <c r="F15" s="230"/>
      <c r="G15" s="230"/>
      <c r="H15" s="230"/>
      <c r="I15" s="230"/>
      <c r="J15" s="230"/>
      <c r="K15" s="230"/>
      <c r="L15" s="230"/>
      <c r="M15" s="230"/>
      <c r="N15" s="230"/>
      <c r="O15" s="230"/>
      <c r="P15" s="230"/>
      <c r="Q15" s="450"/>
    </row>
    <row r="16" spans="1:18" ht="23.1" customHeight="1" x14ac:dyDescent="0.25">
      <c r="A16" s="258" t="s">
        <v>2</v>
      </c>
      <c r="B16" s="260" t="s">
        <v>1095</v>
      </c>
      <c r="C16" s="260"/>
      <c r="D16" s="260"/>
      <c r="E16" s="260"/>
      <c r="F16" s="260"/>
      <c r="G16" s="260"/>
      <c r="H16" s="260"/>
      <c r="I16" s="260"/>
      <c r="J16" s="260"/>
      <c r="K16" s="260"/>
      <c r="L16" s="260"/>
      <c r="M16" s="260"/>
      <c r="N16" s="260"/>
      <c r="O16" s="260"/>
      <c r="P16" s="260"/>
      <c r="Q16" s="452"/>
    </row>
    <row r="17" spans="1:17" ht="23.1" customHeight="1" x14ac:dyDescent="0.25">
      <c r="A17" s="232" t="s">
        <v>3</v>
      </c>
      <c r="B17" s="230" t="s">
        <v>1096</v>
      </c>
      <c r="C17" s="230"/>
      <c r="D17" s="230"/>
      <c r="E17" s="230"/>
      <c r="F17" s="230"/>
      <c r="G17" s="230"/>
      <c r="H17" s="230"/>
      <c r="I17" s="230"/>
      <c r="J17" s="230"/>
      <c r="K17" s="230"/>
      <c r="L17" s="230"/>
      <c r="M17" s="230"/>
      <c r="N17" s="230"/>
      <c r="O17" s="230"/>
      <c r="P17" s="230"/>
      <c r="Q17" s="450"/>
    </row>
    <row r="18" spans="1:17" ht="23.1" customHeight="1" x14ac:dyDescent="0.25">
      <c r="A18" s="258" t="s">
        <v>4</v>
      </c>
      <c r="B18" s="260" t="s">
        <v>1097</v>
      </c>
      <c r="C18" s="260"/>
      <c r="D18" s="260"/>
      <c r="E18" s="260"/>
      <c r="F18" s="260"/>
      <c r="G18" s="260"/>
      <c r="H18" s="260"/>
      <c r="I18" s="260"/>
      <c r="J18" s="260"/>
      <c r="K18" s="260"/>
      <c r="L18" s="260"/>
      <c r="M18" s="260"/>
      <c r="N18" s="260"/>
      <c r="O18" s="260"/>
      <c r="P18" s="260"/>
      <c r="Q18" s="452"/>
    </row>
    <row r="19" spans="1:17" ht="23.1" customHeight="1" x14ac:dyDescent="0.25">
      <c r="A19" s="232" t="s">
        <v>5</v>
      </c>
      <c r="B19" s="230" t="s">
        <v>1098</v>
      </c>
      <c r="C19" s="230"/>
      <c r="D19" s="230"/>
      <c r="E19" s="230"/>
      <c r="F19" s="230"/>
      <c r="G19" s="230"/>
      <c r="H19" s="230"/>
      <c r="I19" s="230"/>
      <c r="J19" s="230"/>
      <c r="K19" s="230"/>
      <c r="L19" s="230"/>
      <c r="M19" s="230"/>
      <c r="N19" s="230"/>
      <c r="O19" s="230"/>
      <c r="P19" s="230"/>
      <c r="Q19" s="450"/>
    </row>
    <row r="20" spans="1:17" ht="32.450000000000003" customHeight="1" x14ac:dyDescent="0.25">
      <c r="A20" s="258" t="s">
        <v>62</v>
      </c>
      <c r="B20" s="730" t="s">
        <v>1099</v>
      </c>
      <c r="C20" s="730"/>
      <c r="D20" s="730"/>
      <c r="E20" s="730"/>
      <c r="F20" s="730"/>
      <c r="G20" s="730"/>
      <c r="H20" s="730"/>
      <c r="I20" s="730"/>
      <c r="J20" s="730"/>
      <c r="K20" s="730"/>
      <c r="L20" s="730"/>
      <c r="M20" s="730"/>
      <c r="N20" s="730"/>
      <c r="O20" s="730"/>
      <c r="P20" s="730"/>
      <c r="Q20" s="731"/>
    </row>
    <row r="21" spans="1:17" ht="33.6" customHeight="1" x14ac:dyDescent="0.25">
      <c r="A21" s="232" t="s">
        <v>6</v>
      </c>
      <c r="B21" s="728" t="s">
        <v>1100</v>
      </c>
      <c r="C21" s="728"/>
      <c r="D21" s="728"/>
      <c r="E21" s="728"/>
      <c r="F21" s="728"/>
      <c r="G21" s="728"/>
      <c r="H21" s="728"/>
      <c r="I21" s="728"/>
      <c r="J21" s="728"/>
      <c r="K21" s="728"/>
      <c r="L21" s="728"/>
      <c r="M21" s="728"/>
      <c r="N21" s="728"/>
      <c r="O21" s="728"/>
      <c r="P21" s="728"/>
      <c r="Q21" s="729"/>
    </row>
    <row r="22" spans="1:17" ht="23.1" customHeight="1" x14ac:dyDescent="0.25">
      <c r="A22" s="258" t="s">
        <v>7</v>
      </c>
      <c r="B22" s="260" t="s">
        <v>1101</v>
      </c>
      <c r="C22" s="260"/>
      <c r="D22" s="260"/>
      <c r="E22" s="260"/>
      <c r="F22" s="260"/>
      <c r="G22" s="260"/>
      <c r="H22" s="260"/>
      <c r="I22" s="260"/>
      <c r="J22" s="260"/>
      <c r="K22" s="260"/>
      <c r="L22" s="260"/>
      <c r="M22" s="260"/>
      <c r="N22" s="260"/>
      <c r="O22" s="260"/>
      <c r="P22" s="260"/>
      <c r="Q22" s="452"/>
    </row>
    <row r="23" spans="1:17" ht="23.1" customHeight="1" x14ac:dyDescent="0.25">
      <c r="A23" s="258" t="s">
        <v>8</v>
      </c>
      <c r="B23" s="230" t="s">
        <v>1102</v>
      </c>
      <c r="C23" s="230"/>
      <c r="D23" s="230"/>
      <c r="E23" s="230"/>
      <c r="F23" s="230"/>
      <c r="G23" s="230"/>
      <c r="H23" s="230"/>
      <c r="I23" s="230"/>
      <c r="J23" s="230"/>
      <c r="K23" s="230"/>
      <c r="L23" s="230"/>
      <c r="M23" s="230"/>
      <c r="N23" s="230"/>
      <c r="O23" s="230"/>
      <c r="P23" s="230"/>
      <c r="Q23" s="450"/>
    </row>
    <row r="24" spans="1:17" ht="23.1" customHeight="1" x14ac:dyDescent="0.25">
      <c r="A24" s="258" t="s">
        <v>9</v>
      </c>
      <c r="B24" s="260" t="s">
        <v>1103</v>
      </c>
      <c r="C24" s="260"/>
      <c r="D24" s="260"/>
      <c r="E24" s="260"/>
      <c r="F24" s="260"/>
      <c r="G24" s="260"/>
      <c r="H24" s="260"/>
      <c r="I24" s="260"/>
      <c r="J24" s="260"/>
      <c r="K24" s="260"/>
      <c r="L24" s="260"/>
      <c r="M24" s="260"/>
      <c r="N24" s="260"/>
      <c r="O24" s="260"/>
      <c r="P24" s="260"/>
      <c r="Q24" s="452"/>
    </row>
    <row r="25" spans="1:17" ht="23.1" customHeight="1" x14ac:dyDescent="0.25">
      <c r="A25" s="258" t="s">
        <v>506</v>
      </c>
      <c r="B25" s="230" t="s">
        <v>1104</v>
      </c>
      <c r="C25" s="230"/>
      <c r="D25" s="230"/>
      <c r="E25" s="230"/>
      <c r="F25" s="230"/>
      <c r="G25" s="230"/>
      <c r="H25" s="230"/>
      <c r="I25" s="230"/>
      <c r="J25" s="230"/>
      <c r="K25" s="230"/>
      <c r="L25" s="230"/>
      <c r="M25" s="230"/>
      <c r="N25" s="230"/>
      <c r="O25" s="230"/>
      <c r="P25" s="230"/>
      <c r="Q25" s="450"/>
    </row>
    <row r="26" spans="1:17" ht="23.1" customHeight="1" x14ac:dyDescent="0.25">
      <c r="A26" s="258" t="s">
        <v>507</v>
      </c>
      <c r="B26" s="260" t="s">
        <v>1105</v>
      </c>
      <c r="C26" s="445"/>
      <c r="D26" s="445"/>
      <c r="E26" s="445"/>
      <c r="F26" s="445"/>
      <c r="G26" s="445"/>
      <c r="H26" s="445"/>
      <c r="I26" s="445"/>
      <c r="J26" s="445"/>
      <c r="K26" s="445"/>
      <c r="L26" s="445"/>
      <c r="M26" s="445"/>
      <c r="N26" s="445"/>
      <c r="O26" s="445"/>
      <c r="P26" s="445"/>
      <c r="Q26" s="453"/>
    </row>
    <row r="27" spans="1:17" x14ac:dyDescent="0.25">
      <c r="A27" s="454"/>
    </row>
    <row r="28" spans="1:17" x14ac:dyDescent="0.25">
      <c r="A28" s="454"/>
    </row>
  </sheetData>
  <mergeCells count="3">
    <mergeCell ref="B5:Q5"/>
    <mergeCell ref="B21:Q21"/>
    <mergeCell ref="B20:Q20"/>
  </mergeCells>
  <phoneticPr fontId="6" type="noConversion"/>
  <hyperlinks>
    <hyperlink ref="B5" r:id="rId1" display="Tabuľky_VVŠ_2007_prázdne.xls"/>
    <hyperlink ref="A7" location="'T3-Výnosy'!A1" display="Tabuľka 3"/>
    <hyperlink ref="A6" location="'T2-Ostatné dot mimo MŠ SR'!A1" display="Tabuľka 2"/>
    <hyperlink ref="A8" location="'T4-Výnosy zo školného'!A1" display="Tabuľka 4"/>
    <hyperlink ref="A5" location="'T1-Dotácie podľa DZ'!A1" display="Tabuľka 1"/>
    <hyperlink ref="A9" location="'T5 - Analýza nákladov'!A1" display="Tabuľka 5"/>
    <hyperlink ref="A10" location="'T6-Zamestnanci_a_mzdy'!A1" display="Tabuľka 6"/>
    <hyperlink ref="A13" location="'T8-Soc_štipendiá'!A1" display="Tabuľka 8"/>
    <hyperlink ref="A14" location="'T9_ŠD '!A1" display="Tabuľka 9"/>
    <hyperlink ref="A15" location="'T10-ŠJ '!A1" display="Tabuľka 10"/>
    <hyperlink ref="A16" location="'T11-Zdroje KV'!A1" display="Tabuľka 11"/>
    <hyperlink ref="A17" location="'T12-KV'!A1" display="Tabuľka 12"/>
    <hyperlink ref="A18" location="'T13-Fondy'!A1" display="Tabuľka 13"/>
    <hyperlink ref="A19" location="'T16 - Štruktúra hotovosti'!A1" display="Tabuľka 16"/>
    <hyperlink ref="A20" location="'T17-Dotácie zo ŠF EU'!A1" display="Tabuľka 17"/>
    <hyperlink ref="A21" location="'T18-Ostatné dotacie z kap MŠ SR'!A1" display="Tabuľka 18"/>
    <hyperlink ref="A22" location="'T19-Štip_ z vlastných '!A1" display="Tabuľka 19"/>
    <hyperlink ref="A23" location="'T20_motivačné štipendiá_nová'!A1" display="Tabuľka 20"/>
    <hyperlink ref="A24" location="'T21-štruktúra_384'!A1" display="Tabuľka 21"/>
    <hyperlink ref="A3" location="Súvzťažnosti!A1" display="Súvzťažnosti"/>
    <hyperlink ref="A2" location="Vysvetlivky!A1" display="Vysvetlivky"/>
    <hyperlink ref="A25" location="T22_Výnosy_soc_oblasť!Oblasť_tlače" display="Tabuľka_22"/>
    <hyperlink ref="A26" location="T23_Náklady_soc_oblasť!A1" display="Tabuľka_­23"/>
    <hyperlink ref="A12" location="'T7_Doktorandi '!A1" display="Tabuľka 7"/>
    <hyperlink ref="A4" location="'Kódy z CRŠ'!A1" display="Kódy z CRŠ"/>
    <hyperlink ref="A11" location="'T6a-Zamestnanci_a_mzdy (ženy)'!A1" display="Tabuľka 6a"/>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92"/>
  <sheetViews>
    <sheetView zoomScale="80" zoomScaleNormal="80" zoomScaleSheetLayoutView="80" workbookViewId="0">
      <pane xSplit="2" ySplit="5" topLeftCell="C69" activePane="bottomRight" state="frozen"/>
      <selection pane="topRight" activeCell="C1" sqref="C1"/>
      <selection pane="bottomLeft" activeCell="A6" sqref="A6"/>
      <selection pane="bottomRight" activeCell="I83" sqref="I83"/>
    </sheetView>
  </sheetViews>
  <sheetFormatPr defaultRowHeight="15.75" x14ac:dyDescent="0.25"/>
  <cols>
    <col min="1" max="1" width="8.42578125" style="3" customWidth="1"/>
    <col min="2" max="2" width="74.140625" style="132" customWidth="1"/>
    <col min="3" max="3" width="18" style="1" customWidth="1"/>
    <col min="4" max="7" width="17" style="1" customWidth="1"/>
    <col min="8" max="8" width="18" style="1" customWidth="1"/>
    <col min="9" max="9" width="34.28515625" style="563" customWidth="1"/>
    <col min="10" max="10" width="16.7109375" style="1" customWidth="1"/>
    <col min="11" max="11" width="9.140625" style="1"/>
    <col min="12" max="12" width="8.85546875" style="1" customWidth="1"/>
    <col min="13" max="16384" width="9.140625" style="1"/>
  </cols>
  <sheetData>
    <row r="1" spans="1:9" ht="35.1" customHeight="1" thickBot="1" x14ac:dyDescent="0.3">
      <c r="A1" s="772" t="s">
        <v>994</v>
      </c>
      <c r="B1" s="773"/>
      <c r="C1" s="773"/>
      <c r="D1" s="773"/>
      <c r="E1" s="773"/>
      <c r="F1" s="773"/>
      <c r="G1" s="773"/>
      <c r="H1" s="774"/>
      <c r="I1" s="562"/>
    </row>
    <row r="2" spans="1:9" ht="32.450000000000003" customHeight="1" x14ac:dyDescent="0.25">
      <c r="A2" s="775" t="s">
        <v>365</v>
      </c>
      <c r="B2" s="776"/>
      <c r="C2" s="776"/>
      <c r="D2" s="776"/>
      <c r="E2" s="776"/>
      <c r="F2" s="776"/>
      <c r="G2" s="776"/>
      <c r="H2" s="777"/>
    </row>
    <row r="3" spans="1:9" s="10" customFormat="1" ht="31.5" customHeight="1" x14ac:dyDescent="0.25">
      <c r="A3" s="764" t="s">
        <v>180</v>
      </c>
      <c r="B3" s="765" t="s">
        <v>299</v>
      </c>
      <c r="C3" s="778">
        <v>2018</v>
      </c>
      <c r="D3" s="778"/>
      <c r="E3" s="778">
        <v>2019</v>
      </c>
      <c r="F3" s="778"/>
      <c r="G3" s="767" t="s">
        <v>992</v>
      </c>
      <c r="H3" s="769"/>
      <c r="I3" s="564"/>
    </row>
    <row r="4" spans="1:9" ht="31.5" customHeight="1" x14ac:dyDescent="0.25">
      <c r="A4" s="764"/>
      <c r="B4" s="766"/>
      <c r="C4" s="461" t="s">
        <v>300</v>
      </c>
      <c r="D4" s="461" t="s">
        <v>301</v>
      </c>
      <c r="E4" s="461" t="s">
        <v>300</v>
      </c>
      <c r="F4" s="461" t="s">
        <v>301</v>
      </c>
      <c r="G4" s="461" t="s">
        <v>300</v>
      </c>
      <c r="H4" s="462" t="s">
        <v>301</v>
      </c>
    </row>
    <row r="5" spans="1:9" x14ac:dyDescent="0.25">
      <c r="A5" s="31"/>
      <c r="B5" s="359"/>
      <c r="C5" s="38" t="s">
        <v>257</v>
      </c>
      <c r="D5" s="38" t="s">
        <v>258</v>
      </c>
      <c r="E5" s="38" t="s">
        <v>259</v>
      </c>
      <c r="F5" s="38" t="s">
        <v>266</v>
      </c>
      <c r="G5" s="38" t="s">
        <v>30</v>
      </c>
      <c r="H5" s="78" t="s">
        <v>31</v>
      </c>
    </row>
    <row r="6" spans="1:9" x14ac:dyDescent="0.25">
      <c r="A6" s="31">
        <v>1</v>
      </c>
      <c r="B6" s="357" t="s">
        <v>962</v>
      </c>
      <c r="C6" s="61">
        <f>SUM(C7:C18)</f>
        <v>2881761.0900000003</v>
      </c>
      <c r="D6" s="61">
        <f>SUM(D7:D18)</f>
        <v>370292.28</v>
      </c>
      <c r="E6" s="61">
        <f>SUM(E7:E18)</f>
        <v>3101518.8299999996</v>
      </c>
      <c r="F6" s="673">
        <f>SUM(F7:F18)</f>
        <v>320626.51</v>
      </c>
      <c r="G6" s="61">
        <f>E6-C6</f>
        <v>219757.73999999929</v>
      </c>
      <c r="H6" s="144">
        <f>F6-D6</f>
        <v>-49665.770000000019</v>
      </c>
    </row>
    <row r="7" spans="1:9" ht="17.25" customHeight="1" x14ac:dyDescent="0.25">
      <c r="A7" s="31">
        <f>A6+1</f>
        <v>2</v>
      </c>
      <c r="B7" s="355" t="s">
        <v>758</v>
      </c>
      <c r="C7" s="684">
        <v>168050.21</v>
      </c>
      <c r="D7" s="684">
        <v>2689.52</v>
      </c>
      <c r="E7" s="684">
        <v>146053.62</v>
      </c>
      <c r="F7" s="684">
        <v>181.6</v>
      </c>
      <c r="G7" s="152">
        <f>E7-C7</f>
        <v>-21996.589999999997</v>
      </c>
      <c r="H7" s="153">
        <f>F7-D7</f>
        <v>-2507.92</v>
      </c>
    </row>
    <row r="8" spans="1:9" ht="30.6" customHeight="1" x14ac:dyDescent="0.25">
      <c r="A8" s="31">
        <f t="shared" ref="A8:A71" si="0">A7+1</f>
        <v>3</v>
      </c>
      <c r="B8" s="358" t="s">
        <v>859</v>
      </c>
      <c r="C8" s="684">
        <v>691245.52</v>
      </c>
      <c r="D8" s="684">
        <v>5479</v>
      </c>
      <c r="E8" s="684">
        <v>782192.16</v>
      </c>
      <c r="F8" s="684">
        <v>1745.64</v>
      </c>
      <c r="G8" s="152">
        <f t="shared" ref="G8:H71" si="1">E8-C8</f>
        <v>90946.640000000014</v>
      </c>
      <c r="H8" s="153">
        <f t="shared" si="1"/>
        <v>-3733.3599999999997</v>
      </c>
    </row>
    <row r="9" spans="1:9" x14ac:dyDescent="0.25">
      <c r="A9" s="31">
        <f t="shared" si="0"/>
        <v>4</v>
      </c>
      <c r="B9" s="355" t="s">
        <v>759</v>
      </c>
      <c r="C9" s="684">
        <v>162917.34</v>
      </c>
      <c r="D9" s="684">
        <v>3126.35</v>
      </c>
      <c r="E9" s="684">
        <v>184350.16</v>
      </c>
      <c r="F9" s="684">
        <v>2324.2600000000002</v>
      </c>
      <c r="G9" s="152">
        <f t="shared" si="1"/>
        <v>21432.820000000007</v>
      </c>
      <c r="H9" s="153">
        <f t="shared" si="1"/>
        <v>-802.08999999999969</v>
      </c>
    </row>
    <row r="10" spans="1:9" x14ac:dyDescent="0.25">
      <c r="A10" s="31">
        <f t="shared" si="0"/>
        <v>5</v>
      </c>
      <c r="B10" s="355" t="s">
        <v>760</v>
      </c>
      <c r="C10" s="684">
        <v>18029.650000000001</v>
      </c>
      <c r="D10" s="684">
        <v>320.56</v>
      </c>
      <c r="E10" s="684">
        <v>26224.65</v>
      </c>
      <c r="F10" s="684">
        <v>919.5</v>
      </c>
      <c r="G10" s="152">
        <f t="shared" si="1"/>
        <v>8195</v>
      </c>
      <c r="H10" s="153">
        <f t="shared" si="1"/>
        <v>598.94000000000005</v>
      </c>
    </row>
    <row r="11" spans="1:9" x14ac:dyDescent="0.25">
      <c r="A11" s="31">
        <f t="shared" si="0"/>
        <v>6</v>
      </c>
      <c r="B11" s="355" t="s">
        <v>761</v>
      </c>
      <c r="C11" s="684">
        <v>31060.41</v>
      </c>
      <c r="D11" s="684">
        <v>6372.44</v>
      </c>
      <c r="E11" s="684">
        <v>31486.39</v>
      </c>
      <c r="F11" s="684">
        <v>5302.99</v>
      </c>
      <c r="G11" s="152">
        <f t="shared" si="1"/>
        <v>425.97999999999956</v>
      </c>
      <c r="H11" s="153">
        <f t="shared" si="1"/>
        <v>-1069.4499999999998</v>
      </c>
    </row>
    <row r="12" spans="1:9" x14ac:dyDescent="0.25">
      <c r="A12" s="31">
        <f t="shared" si="0"/>
        <v>7</v>
      </c>
      <c r="B12" s="355" t="s">
        <v>762</v>
      </c>
      <c r="C12" s="684">
        <v>73263.360000000001</v>
      </c>
      <c r="D12" s="684">
        <v>18904.71</v>
      </c>
      <c r="E12" s="684">
        <v>86296.71</v>
      </c>
      <c r="F12" s="684">
        <v>17819</v>
      </c>
      <c r="G12" s="152">
        <f t="shared" si="1"/>
        <v>13033.350000000006</v>
      </c>
      <c r="H12" s="153">
        <f t="shared" si="1"/>
        <v>-1085.7099999999991</v>
      </c>
    </row>
    <row r="13" spans="1:9" ht="31.5" x14ac:dyDescent="0.25">
      <c r="A13" s="31">
        <f t="shared" si="0"/>
        <v>8</v>
      </c>
      <c r="B13" s="355" t="s">
        <v>102</v>
      </c>
      <c r="C13" s="684">
        <v>95430.07</v>
      </c>
      <c r="D13" s="684">
        <v>3917.05</v>
      </c>
      <c r="E13" s="684">
        <v>155087.73000000001</v>
      </c>
      <c r="F13" s="684">
        <v>4260.67</v>
      </c>
      <c r="G13" s="152">
        <f t="shared" si="1"/>
        <v>59657.66</v>
      </c>
      <c r="H13" s="153">
        <f t="shared" si="1"/>
        <v>343.61999999999989</v>
      </c>
    </row>
    <row r="14" spans="1:9" x14ac:dyDescent="0.25">
      <c r="A14" s="31">
        <f t="shared" si="0"/>
        <v>9</v>
      </c>
      <c r="B14" s="355" t="s">
        <v>103</v>
      </c>
      <c r="C14" s="684">
        <v>196308.54</v>
      </c>
      <c r="D14" s="684">
        <v>264983.31</v>
      </c>
      <c r="E14" s="684">
        <v>259007.45</v>
      </c>
      <c r="F14" s="684">
        <v>214647.77</v>
      </c>
      <c r="G14" s="152">
        <f t="shared" si="1"/>
        <v>62698.91</v>
      </c>
      <c r="H14" s="153">
        <f t="shared" si="1"/>
        <v>-50335.540000000008</v>
      </c>
    </row>
    <row r="15" spans="1:9" x14ac:dyDescent="0.25">
      <c r="A15" s="31">
        <f t="shared" si="0"/>
        <v>10</v>
      </c>
      <c r="B15" s="360" t="s">
        <v>104</v>
      </c>
      <c r="C15" s="684">
        <v>567414.06000000006</v>
      </c>
      <c r="D15" s="684">
        <v>34884.82</v>
      </c>
      <c r="E15" s="684">
        <v>572435.07999999996</v>
      </c>
      <c r="F15" s="684">
        <v>10215.200000000001</v>
      </c>
      <c r="G15" s="152">
        <f t="shared" si="1"/>
        <v>5021.0199999999022</v>
      </c>
      <c r="H15" s="153">
        <f t="shared" si="1"/>
        <v>-24669.62</v>
      </c>
    </row>
    <row r="16" spans="1:9" ht="16.149999999999999" customHeight="1" x14ac:dyDescent="0.25">
      <c r="A16" s="31">
        <f t="shared" si="0"/>
        <v>11</v>
      </c>
      <c r="B16" s="355" t="s">
        <v>105</v>
      </c>
      <c r="C16" s="684">
        <v>244472.12</v>
      </c>
      <c r="D16" s="684">
        <v>1047.45</v>
      </c>
      <c r="E16" s="684">
        <v>277650.68</v>
      </c>
      <c r="F16" s="684">
        <v>2015.1</v>
      </c>
      <c r="G16" s="152">
        <f t="shared" si="1"/>
        <v>33178.559999999998</v>
      </c>
      <c r="H16" s="153">
        <f t="shared" si="1"/>
        <v>967.64999999999986</v>
      </c>
    </row>
    <row r="17" spans="1:8" ht="31.5" x14ac:dyDescent="0.25">
      <c r="A17" s="31">
        <f t="shared" si="0"/>
        <v>12</v>
      </c>
      <c r="B17" s="360" t="s">
        <v>939</v>
      </c>
      <c r="C17" s="684">
        <v>594375.81999999995</v>
      </c>
      <c r="D17" s="684">
        <v>19764.14</v>
      </c>
      <c r="E17" s="684">
        <v>536246.93999999994</v>
      </c>
      <c r="F17" s="684">
        <v>36917.81</v>
      </c>
      <c r="G17" s="152">
        <f t="shared" si="1"/>
        <v>-58128.880000000005</v>
      </c>
      <c r="H17" s="153">
        <f t="shared" si="1"/>
        <v>17153.669999999998</v>
      </c>
    </row>
    <row r="18" spans="1:8" x14ac:dyDescent="0.25">
      <c r="A18" s="31">
        <f t="shared" si="0"/>
        <v>13</v>
      </c>
      <c r="B18" s="355" t="s">
        <v>854</v>
      </c>
      <c r="C18" s="684">
        <v>39193.99</v>
      </c>
      <c r="D18" s="684">
        <v>8802.93</v>
      </c>
      <c r="E18" s="684">
        <v>44487.26</v>
      </c>
      <c r="F18" s="684">
        <v>24276.97</v>
      </c>
      <c r="G18" s="152">
        <f t="shared" si="1"/>
        <v>5293.2700000000041</v>
      </c>
      <c r="H18" s="153">
        <f t="shared" si="1"/>
        <v>15474.04</v>
      </c>
    </row>
    <row r="19" spans="1:8" x14ac:dyDescent="0.25">
      <c r="A19" s="31">
        <f t="shared" si="0"/>
        <v>14</v>
      </c>
      <c r="B19" s="357" t="s">
        <v>963</v>
      </c>
      <c r="C19" s="61">
        <f>SUM(C20:C25)</f>
        <v>1725401.1199999999</v>
      </c>
      <c r="D19" s="61">
        <f>SUM(D20:D25)</f>
        <v>60584.53</v>
      </c>
      <c r="E19" s="673">
        <f>SUM(E20:E25)</f>
        <v>1904630.1</v>
      </c>
      <c r="F19" s="673">
        <f>SUM(F20:F25)</f>
        <v>59071.530000000006</v>
      </c>
      <c r="G19" s="61">
        <f t="shared" si="1"/>
        <v>179228.98000000021</v>
      </c>
      <c r="H19" s="144">
        <f t="shared" si="1"/>
        <v>-1512.9999999999927</v>
      </c>
    </row>
    <row r="20" spans="1:8" x14ac:dyDescent="0.25">
      <c r="A20" s="31">
        <f t="shared" si="0"/>
        <v>15</v>
      </c>
      <c r="B20" s="355" t="s">
        <v>763</v>
      </c>
      <c r="C20" s="684">
        <v>551513.69999999995</v>
      </c>
      <c r="D20" s="684">
        <v>19794.39</v>
      </c>
      <c r="E20" s="684">
        <v>663374.39</v>
      </c>
      <c r="F20" s="684">
        <v>19406.47</v>
      </c>
      <c r="G20" s="152">
        <f t="shared" si="1"/>
        <v>111860.69000000006</v>
      </c>
      <c r="H20" s="153">
        <f t="shared" si="1"/>
        <v>-387.91999999999825</v>
      </c>
    </row>
    <row r="21" spans="1:8" x14ac:dyDescent="0.25">
      <c r="A21" s="31">
        <f t="shared" si="0"/>
        <v>16</v>
      </c>
      <c r="B21" s="355" t="s">
        <v>764</v>
      </c>
      <c r="C21" s="684">
        <v>967930.16</v>
      </c>
      <c r="D21" s="684">
        <v>16975.96</v>
      </c>
      <c r="E21" s="684">
        <v>1015799.05</v>
      </c>
      <c r="F21" s="684">
        <v>18828.57</v>
      </c>
      <c r="G21" s="152">
        <f t="shared" si="1"/>
        <v>47868.890000000014</v>
      </c>
      <c r="H21" s="153">
        <f t="shared" si="1"/>
        <v>1852.6100000000006</v>
      </c>
    </row>
    <row r="22" spans="1:8" x14ac:dyDescent="0.25">
      <c r="A22" s="31">
        <f t="shared" si="0"/>
        <v>17</v>
      </c>
      <c r="B22" s="355" t="s">
        <v>765</v>
      </c>
      <c r="C22" s="684">
        <v>158093.24</v>
      </c>
      <c r="D22" s="684">
        <v>18251.02</v>
      </c>
      <c r="E22" s="684">
        <v>160015.87</v>
      </c>
      <c r="F22" s="684">
        <v>17054.12</v>
      </c>
      <c r="G22" s="152">
        <f t="shared" si="1"/>
        <v>1922.6300000000047</v>
      </c>
      <c r="H22" s="153">
        <f t="shared" si="1"/>
        <v>-1196.9000000000015</v>
      </c>
    </row>
    <row r="23" spans="1:8" x14ac:dyDescent="0.25">
      <c r="A23" s="31">
        <f t="shared" si="0"/>
        <v>18</v>
      </c>
      <c r="B23" s="355" t="s">
        <v>766</v>
      </c>
      <c r="C23" s="684">
        <v>45914.04</v>
      </c>
      <c r="D23" s="684">
        <v>5563.16</v>
      </c>
      <c r="E23" s="684">
        <v>64482.99</v>
      </c>
      <c r="F23" s="684">
        <v>3735.9</v>
      </c>
      <c r="G23" s="152">
        <f t="shared" si="1"/>
        <v>18568.949999999997</v>
      </c>
      <c r="H23" s="153">
        <f t="shared" si="1"/>
        <v>-1827.2599999999998</v>
      </c>
    </row>
    <row r="24" spans="1:8" x14ac:dyDescent="0.25">
      <c r="A24" s="31">
        <f t="shared" si="0"/>
        <v>19</v>
      </c>
      <c r="B24" s="355" t="s">
        <v>767</v>
      </c>
      <c r="C24" s="684">
        <v>1949.98</v>
      </c>
      <c r="D24" s="684"/>
      <c r="E24" s="684">
        <v>957.8</v>
      </c>
      <c r="F24" s="684">
        <v>46.47</v>
      </c>
      <c r="G24" s="152">
        <f t="shared" si="1"/>
        <v>-992.18000000000006</v>
      </c>
      <c r="H24" s="153">
        <f t="shared" si="1"/>
        <v>46.47</v>
      </c>
    </row>
    <row r="25" spans="1:8" x14ac:dyDescent="0.25">
      <c r="A25" s="31">
        <f t="shared" si="0"/>
        <v>20</v>
      </c>
      <c r="B25" s="355" t="s">
        <v>855</v>
      </c>
      <c r="C25" s="684">
        <v>0</v>
      </c>
      <c r="D25" s="684">
        <v>0</v>
      </c>
      <c r="E25" s="684">
        <v>0</v>
      </c>
      <c r="F25" s="684">
        <v>0</v>
      </c>
      <c r="G25" s="152">
        <f t="shared" si="1"/>
        <v>0</v>
      </c>
      <c r="H25" s="153">
        <f t="shared" si="1"/>
        <v>0</v>
      </c>
    </row>
    <row r="26" spans="1:8" x14ac:dyDescent="0.25">
      <c r="A26" s="31">
        <f t="shared" si="0"/>
        <v>21</v>
      </c>
      <c r="B26" s="357" t="s">
        <v>295</v>
      </c>
      <c r="C26" s="36" t="s">
        <v>285</v>
      </c>
      <c r="D26" s="36" t="s">
        <v>285</v>
      </c>
      <c r="E26" s="685" t="s">
        <v>285</v>
      </c>
      <c r="F26" s="685" t="s">
        <v>285</v>
      </c>
      <c r="G26" s="65" t="s">
        <v>147</v>
      </c>
      <c r="H26" s="145" t="s">
        <v>147</v>
      </c>
    </row>
    <row r="27" spans="1:8" x14ac:dyDescent="0.25">
      <c r="A27" s="31">
        <f t="shared" si="0"/>
        <v>22</v>
      </c>
      <c r="B27" s="357" t="s">
        <v>964</v>
      </c>
      <c r="C27" s="61">
        <f>SUM(C28:C31)</f>
        <v>0</v>
      </c>
      <c r="D27" s="61">
        <f>SUM(D28:D31)</f>
        <v>66714.820000000007</v>
      </c>
      <c r="E27" s="673">
        <f>SUM(E28:E31)</f>
        <v>0</v>
      </c>
      <c r="F27" s="673">
        <f>SUM(F28:F31)</f>
        <v>77523.38</v>
      </c>
      <c r="G27" s="61">
        <f t="shared" si="1"/>
        <v>0</v>
      </c>
      <c r="H27" s="144">
        <f t="shared" si="1"/>
        <v>10808.559999999998</v>
      </c>
    </row>
    <row r="28" spans="1:8" x14ac:dyDescent="0.25">
      <c r="A28" s="31">
        <f t="shared" si="0"/>
        <v>23</v>
      </c>
      <c r="B28" s="355" t="s">
        <v>249</v>
      </c>
      <c r="C28" s="684"/>
      <c r="D28" s="684"/>
      <c r="E28" s="684"/>
      <c r="F28" s="684"/>
      <c r="G28" s="152">
        <f t="shared" si="1"/>
        <v>0</v>
      </c>
      <c r="H28" s="153">
        <f t="shared" si="1"/>
        <v>0</v>
      </c>
    </row>
    <row r="29" spans="1:8" x14ac:dyDescent="0.25">
      <c r="A29" s="31">
        <f t="shared" si="0"/>
        <v>24</v>
      </c>
      <c r="B29" s="358" t="s">
        <v>273</v>
      </c>
      <c r="C29" s="684"/>
      <c r="D29" s="684"/>
      <c r="E29" s="684"/>
      <c r="F29" s="684"/>
      <c r="G29" s="152">
        <f t="shared" si="1"/>
        <v>0</v>
      </c>
      <c r="H29" s="153">
        <f t="shared" si="1"/>
        <v>0</v>
      </c>
    </row>
    <row r="30" spans="1:8" x14ac:dyDescent="0.25">
      <c r="A30" s="31">
        <f t="shared" si="0"/>
        <v>25</v>
      </c>
      <c r="B30" s="358" t="s">
        <v>54</v>
      </c>
      <c r="C30" s="684"/>
      <c r="D30" s="684"/>
      <c r="E30" s="684"/>
      <c r="F30" s="684"/>
      <c r="G30" s="152">
        <f t="shared" si="1"/>
        <v>0</v>
      </c>
      <c r="H30" s="153">
        <f t="shared" si="1"/>
        <v>0</v>
      </c>
    </row>
    <row r="31" spans="1:8" x14ac:dyDescent="0.25">
      <c r="A31" s="31">
        <f t="shared" si="0"/>
        <v>26</v>
      </c>
      <c r="B31" s="355" t="s">
        <v>55</v>
      </c>
      <c r="C31" s="684">
        <v>0</v>
      </c>
      <c r="D31" s="684">
        <v>66714.820000000007</v>
      </c>
      <c r="E31" s="684">
        <v>0</v>
      </c>
      <c r="F31" s="684">
        <v>77523.38</v>
      </c>
      <c r="G31" s="152">
        <f t="shared" si="1"/>
        <v>0</v>
      </c>
      <c r="H31" s="153">
        <f t="shared" si="1"/>
        <v>10808.559999999998</v>
      </c>
    </row>
    <row r="32" spans="1:8" x14ac:dyDescent="0.25">
      <c r="A32" s="31">
        <f t="shared" si="0"/>
        <v>27</v>
      </c>
      <c r="B32" s="357" t="s">
        <v>965</v>
      </c>
      <c r="C32" s="673">
        <f>SUM(C33:C39)</f>
        <v>1558392.6900000002</v>
      </c>
      <c r="D32" s="673">
        <f>SUM(D33:D39)</f>
        <v>19758.670000000002</v>
      </c>
      <c r="E32" s="673">
        <f>SUM(E33:E39)</f>
        <v>1218473.8499999999</v>
      </c>
      <c r="F32" s="673">
        <f>SUM(F33:F39)</f>
        <v>18783.22</v>
      </c>
      <c r="G32" s="61">
        <f t="shared" si="1"/>
        <v>-339918.84000000032</v>
      </c>
      <c r="H32" s="144">
        <f t="shared" si="1"/>
        <v>-975.45000000000073</v>
      </c>
    </row>
    <row r="33" spans="1:8" x14ac:dyDescent="0.25">
      <c r="A33" s="31">
        <f t="shared" si="0"/>
        <v>28</v>
      </c>
      <c r="B33" s="355" t="s">
        <v>106</v>
      </c>
      <c r="C33" s="684">
        <v>1272482.57</v>
      </c>
      <c r="D33" s="684">
        <v>5152.28</v>
      </c>
      <c r="E33" s="684">
        <v>588485.19999999995</v>
      </c>
      <c r="F33" s="684">
        <v>6104.73</v>
      </c>
      <c r="G33" s="152">
        <f t="shared" si="1"/>
        <v>-683997.37000000011</v>
      </c>
      <c r="H33" s="153">
        <f t="shared" si="1"/>
        <v>952.44999999999982</v>
      </c>
    </row>
    <row r="34" spans="1:8" x14ac:dyDescent="0.25">
      <c r="A34" s="31">
        <f t="shared" si="0"/>
        <v>29</v>
      </c>
      <c r="B34" s="355" t="s">
        <v>107</v>
      </c>
      <c r="C34" s="684">
        <v>196974.28</v>
      </c>
      <c r="D34" s="684">
        <v>5031.7</v>
      </c>
      <c r="E34" s="684">
        <v>252373.38</v>
      </c>
      <c r="F34" s="684">
        <v>3217.94</v>
      </c>
      <c r="G34" s="152">
        <f t="shared" si="1"/>
        <v>55399.100000000006</v>
      </c>
      <c r="H34" s="153">
        <f t="shared" si="1"/>
        <v>-1813.7599999999998</v>
      </c>
    </row>
    <row r="35" spans="1:8" x14ac:dyDescent="0.25">
      <c r="A35" s="31">
        <f t="shared" si="0"/>
        <v>30</v>
      </c>
      <c r="B35" s="355" t="s">
        <v>108</v>
      </c>
      <c r="C35" s="684">
        <v>14654.97</v>
      </c>
      <c r="D35" s="684">
        <v>2512.8000000000002</v>
      </c>
      <c r="E35" s="684">
        <v>9756.94</v>
      </c>
      <c r="F35" s="684">
        <v>3996.22</v>
      </c>
      <c r="G35" s="152">
        <f t="shared" si="1"/>
        <v>-4898.0299999999988</v>
      </c>
      <c r="H35" s="153">
        <f t="shared" si="1"/>
        <v>1483.4199999999996</v>
      </c>
    </row>
    <row r="36" spans="1:8" x14ac:dyDescent="0.25">
      <c r="A36" s="31">
        <f t="shared" si="0"/>
        <v>31</v>
      </c>
      <c r="B36" s="355" t="s">
        <v>109</v>
      </c>
      <c r="C36" s="684">
        <v>35973.86</v>
      </c>
      <c r="D36" s="684">
        <v>5322.56</v>
      </c>
      <c r="E36" s="684">
        <v>39378.71</v>
      </c>
      <c r="F36" s="684">
        <v>4930.2700000000004</v>
      </c>
      <c r="G36" s="152">
        <f t="shared" si="1"/>
        <v>3404.8499999999985</v>
      </c>
      <c r="H36" s="153">
        <f t="shared" si="1"/>
        <v>-392.28999999999996</v>
      </c>
    </row>
    <row r="37" spans="1:8" ht="31.5" x14ac:dyDescent="0.25">
      <c r="A37" s="31">
        <f t="shared" si="0"/>
        <v>32</v>
      </c>
      <c r="B37" s="360" t="s">
        <v>110</v>
      </c>
      <c r="C37" s="684">
        <v>1194.29</v>
      </c>
      <c r="D37" s="684">
        <v>0</v>
      </c>
      <c r="E37" s="684">
        <v>54258.17</v>
      </c>
      <c r="F37" s="684">
        <v>0</v>
      </c>
      <c r="G37" s="152">
        <f t="shared" si="1"/>
        <v>53063.88</v>
      </c>
      <c r="H37" s="153">
        <f t="shared" si="1"/>
        <v>0</v>
      </c>
    </row>
    <row r="38" spans="1:8" x14ac:dyDescent="0.25">
      <c r="A38" s="31">
        <f t="shared" si="0"/>
        <v>33</v>
      </c>
      <c r="B38" s="355" t="s">
        <v>803</v>
      </c>
      <c r="C38" s="684">
        <v>31270.080000000002</v>
      </c>
      <c r="D38" s="684">
        <v>1203.18</v>
      </c>
      <c r="E38" s="684">
        <v>169263.45</v>
      </c>
      <c r="F38" s="684">
        <v>340.7</v>
      </c>
      <c r="G38" s="152">
        <f t="shared" si="1"/>
        <v>137993.37</v>
      </c>
      <c r="H38" s="153">
        <f t="shared" si="1"/>
        <v>-862.48</v>
      </c>
    </row>
    <row r="39" spans="1:8" x14ac:dyDescent="0.25">
      <c r="A39" s="31">
        <f t="shared" si="0"/>
        <v>34</v>
      </c>
      <c r="B39" s="355" t="s">
        <v>111</v>
      </c>
      <c r="C39" s="684">
        <v>5842.64</v>
      </c>
      <c r="D39" s="684">
        <v>536.15</v>
      </c>
      <c r="E39" s="684">
        <v>104958</v>
      </c>
      <c r="F39" s="684">
        <v>193.36</v>
      </c>
      <c r="G39" s="152">
        <f t="shared" si="1"/>
        <v>99115.36</v>
      </c>
      <c r="H39" s="153">
        <f t="shared" si="1"/>
        <v>-342.78999999999996</v>
      </c>
    </row>
    <row r="40" spans="1:8" x14ac:dyDescent="0.25">
      <c r="A40" s="31">
        <f t="shared" si="0"/>
        <v>35</v>
      </c>
      <c r="B40" s="357" t="s">
        <v>966</v>
      </c>
      <c r="C40" s="673">
        <f>C41+C42</f>
        <v>1249281.5999999999</v>
      </c>
      <c r="D40" s="673">
        <f>D41+D42</f>
        <v>6867.5099999999993</v>
      </c>
      <c r="E40" s="673">
        <f>E41+E42</f>
        <v>1415753.8399999999</v>
      </c>
      <c r="F40" s="673">
        <f>F41+F42</f>
        <v>4404.42</v>
      </c>
      <c r="G40" s="61">
        <f t="shared" si="1"/>
        <v>166472.24</v>
      </c>
      <c r="H40" s="144">
        <f t="shared" si="1"/>
        <v>-2463.0899999999992</v>
      </c>
    </row>
    <row r="41" spans="1:8" x14ac:dyDescent="0.25">
      <c r="A41" s="31">
        <f t="shared" si="0"/>
        <v>36</v>
      </c>
      <c r="B41" s="355" t="s">
        <v>768</v>
      </c>
      <c r="C41" s="684">
        <v>130838.45</v>
      </c>
      <c r="D41" s="684">
        <v>6628.44</v>
      </c>
      <c r="E41" s="684">
        <v>145021.89000000001</v>
      </c>
      <c r="F41" s="684">
        <v>3772.01</v>
      </c>
      <c r="G41" s="152">
        <f t="shared" si="1"/>
        <v>14183.440000000017</v>
      </c>
      <c r="H41" s="153">
        <f t="shared" si="1"/>
        <v>-2856.4299999999994</v>
      </c>
    </row>
    <row r="42" spans="1:8" x14ac:dyDescent="0.25">
      <c r="A42" s="31">
        <f t="shared" si="0"/>
        <v>37</v>
      </c>
      <c r="B42" s="355" t="s">
        <v>899</v>
      </c>
      <c r="C42" s="684">
        <v>1118443.1499999999</v>
      </c>
      <c r="D42" s="684">
        <v>239.07</v>
      </c>
      <c r="E42" s="684">
        <v>1270731.95</v>
      </c>
      <c r="F42" s="684">
        <v>632.41</v>
      </c>
      <c r="G42" s="152">
        <f t="shared" si="1"/>
        <v>152288.80000000005</v>
      </c>
      <c r="H42" s="153">
        <f t="shared" si="1"/>
        <v>393.34</v>
      </c>
    </row>
    <row r="43" spans="1:8" x14ac:dyDescent="0.25">
      <c r="A43" s="31">
        <f t="shared" si="0"/>
        <v>38</v>
      </c>
      <c r="B43" s="357" t="s">
        <v>296</v>
      </c>
      <c r="C43" s="686">
        <v>68258.2</v>
      </c>
      <c r="D43" s="686">
        <v>1391.65</v>
      </c>
      <c r="E43" s="686">
        <v>81279.820000000007</v>
      </c>
      <c r="F43" s="686">
        <v>60.34</v>
      </c>
      <c r="G43" s="152">
        <f t="shared" si="1"/>
        <v>13021.62000000001</v>
      </c>
      <c r="H43" s="153">
        <f t="shared" si="1"/>
        <v>-1331.3100000000002</v>
      </c>
    </row>
    <row r="44" spans="1:8" x14ac:dyDescent="0.25">
      <c r="A44" s="31">
        <f t="shared" si="0"/>
        <v>39</v>
      </c>
      <c r="B44" s="357" t="s">
        <v>967</v>
      </c>
      <c r="C44" s="673">
        <f>SUM(C45:C59)</f>
        <v>5133672.57</v>
      </c>
      <c r="D44" s="673">
        <f>SUM(D45:D59)</f>
        <v>154960.04999999999</v>
      </c>
      <c r="E44" s="673">
        <f>SUM(E45:E59)</f>
        <v>5658163.46</v>
      </c>
      <c r="F44" s="673">
        <f>SUM(F45:F59)</f>
        <v>136040.71000000002</v>
      </c>
      <c r="G44" s="61">
        <f t="shared" si="1"/>
        <v>524490.88999999966</v>
      </c>
      <c r="H44" s="144">
        <f t="shared" si="1"/>
        <v>-18919.339999999967</v>
      </c>
    </row>
    <row r="45" spans="1:8" x14ac:dyDescent="0.25">
      <c r="A45" s="31">
        <f t="shared" si="0"/>
        <v>40</v>
      </c>
      <c r="B45" s="355" t="s">
        <v>113</v>
      </c>
      <c r="C45" s="684">
        <v>44521.08</v>
      </c>
      <c r="D45" s="684">
        <v>2958.51</v>
      </c>
      <c r="E45" s="684">
        <v>30066.62</v>
      </c>
      <c r="F45" s="684">
        <v>2988</v>
      </c>
      <c r="G45" s="152">
        <f t="shared" si="1"/>
        <v>-14454.460000000003</v>
      </c>
      <c r="H45" s="153">
        <f t="shared" si="1"/>
        <v>29.489999999999782</v>
      </c>
    </row>
    <row r="46" spans="1:8" x14ac:dyDescent="0.25">
      <c r="A46" s="31">
        <f t="shared" si="0"/>
        <v>41</v>
      </c>
      <c r="B46" s="355" t="s">
        <v>112</v>
      </c>
      <c r="C46" s="684">
        <v>12158.43</v>
      </c>
      <c r="D46" s="684">
        <v>1175</v>
      </c>
      <c r="E46" s="684">
        <v>16950.439999999999</v>
      </c>
      <c r="F46" s="684">
        <v>555</v>
      </c>
      <c r="G46" s="152">
        <f t="shared" si="1"/>
        <v>4792.0099999999984</v>
      </c>
      <c r="H46" s="153">
        <f t="shared" si="1"/>
        <v>-620</v>
      </c>
    </row>
    <row r="47" spans="1:8" x14ac:dyDescent="0.25">
      <c r="A47" s="31">
        <f t="shared" si="0"/>
        <v>42</v>
      </c>
      <c r="B47" s="355" t="s">
        <v>975</v>
      </c>
      <c r="C47" s="684">
        <v>182465.72</v>
      </c>
      <c r="D47" s="684">
        <v>115</v>
      </c>
      <c r="E47" s="684">
        <v>182178.09</v>
      </c>
      <c r="F47" s="684">
        <v>384.08</v>
      </c>
      <c r="G47" s="152">
        <f t="shared" si="1"/>
        <v>-287.63000000000466</v>
      </c>
      <c r="H47" s="153">
        <f t="shared" si="1"/>
        <v>269.08</v>
      </c>
    </row>
    <row r="48" spans="1:8" x14ac:dyDescent="0.25">
      <c r="A48" s="31">
        <f t="shared" si="0"/>
        <v>43</v>
      </c>
      <c r="B48" s="355" t="s">
        <v>114</v>
      </c>
      <c r="C48" s="684">
        <v>11581.25</v>
      </c>
      <c r="D48" s="684">
        <v>55323.85</v>
      </c>
      <c r="E48" s="684">
        <v>21402.6</v>
      </c>
      <c r="F48" s="684">
        <v>61138.92</v>
      </c>
      <c r="G48" s="152">
        <f t="shared" si="1"/>
        <v>9821.3499999999985</v>
      </c>
      <c r="H48" s="153">
        <f t="shared" si="1"/>
        <v>5815.07</v>
      </c>
    </row>
    <row r="49" spans="1:12" x14ac:dyDescent="0.25">
      <c r="A49" s="31">
        <f t="shared" si="0"/>
        <v>44</v>
      </c>
      <c r="B49" s="355" t="s">
        <v>769</v>
      </c>
      <c r="C49" s="684">
        <v>41488.69</v>
      </c>
      <c r="D49" s="684">
        <v>4277.6499999999996</v>
      </c>
      <c r="E49" s="684">
        <v>32956.76</v>
      </c>
      <c r="F49" s="684">
        <v>2680.47</v>
      </c>
      <c r="G49" s="152">
        <f t="shared" si="1"/>
        <v>-8531.93</v>
      </c>
      <c r="H49" s="153">
        <f t="shared" si="1"/>
        <v>-1597.1799999999998</v>
      </c>
    </row>
    <row r="50" spans="1:12" x14ac:dyDescent="0.25">
      <c r="A50" s="31">
        <f t="shared" si="0"/>
        <v>45</v>
      </c>
      <c r="B50" s="355" t="s">
        <v>115</v>
      </c>
      <c r="C50" s="684">
        <v>833.94</v>
      </c>
      <c r="D50" s="684">
        <v>630.55999999999995</v>
      </c>
      <c r="E50" s="684">
        <v>2962.71</v>
      </c>
      <c r="F50" s="684">
        <v>3</v>
      </c>
      <c r="G50" s="152">
        <f t="shared" si="1"/>
        <v>2128.77</v>
      </c>
      <c r="H50" s="153">
        <f t="shared" si="1"/>
        <v>-627.55999999999995</v>
      </c>
    </row>
    <row r="51" spans="1:12" x14ac:dyDescent="0.25">
      <c r="A51" s="31">
        <f t="shared" si="0"/>
        <v>46</v>
      </c>
      <c r="B51" s="355" t="s">
        <v>770</v>
      </c>
      <c r="C51" s="684">
        <v>53814.1</v>
      </c>
      <c r="D51" s="684">
        <v>3106.8</v>
      </c>
      <c r="E51" s="684">
        <v>56549.48</v>
      </c>
      <c r="F51" s="684">
        <v>2813.28</v>
      </c>
      <c r="G51" s="152">
        <f t="shared" si="1"/>
        <v>2735.3800000000047</v>
      </c>
      <c r="H51" s="153">
        <f t="shared" si="1"/>
        <v>-293.52</v>
      </c>
    </row>
    <row r="52" spans="1:12" x14ac:dyDescent="0.25">
      <c r="A52" s="31">
        <f t="shared" si="0"/>
        <v>47</v>
      </c>
      <c r="B52" s="355" t="s">
        <v>771</v>
      </c>
      <c r="C52" s="684">
        <v>31513.72</v>
      </c>
      <c r="D52" s="684">
        <v>1625.44</v>
      </c>
      <c r="E52" s="684">
        <v>149771.28</v>
      </c>
      <c r="F52" s="684">
        <v>598</v>
      </c>
      <c r="G52" s="152">
        <f t="shared" si="1"/>
        <v>118257.56</v>
      </c>
      <c r="H52" s="153">
        <f t="shared" si="1"/>
        <v>-1027.44</v>
      </c>
    </row>
    <row r="53" spans="1:12" x14ac:dyDescent="0.25">
      <c r="A53" s="31">
        <f t="shared" si="0"/>
        <v>48</v>
      </c>
      <c r="B53" s="355" t="s">
        <v>116</v>
      </c>
      <c r="C53" s="684">
        <v>50622.41</v>
      </c>
      <c r="D53" s="684">
        <v>674.23</v>
      </c>
      <c r="E53" s="684">
        <v>52149.13</v>
      </c>
      <c r="F53" s="684">
        <v>1904.85</v>
      </c>
      <c r="G53" s="152">
        <f t="shared" si="1"/>
        <v>1526.7199999999939</v>
      </c>
      <c r="H53" s="153">
        <f t="shared" si="1"/>
        <v>1230.6199999999999</v>
      </c>
    </row>
    <row r="54" spans="1:12" x14ac:dyDescent="0.25">
      <c r="A54" s="31">
        <f t="shared" si="0"/>
        <v>49</v>
      </c>
      <c r="B54" s="355" t="s">
        <v>117</v>
      </c>
      <c r="C54" s="684">
        <v>0</v>
      </c>
      <c r="D54" s="684">
        <v>0</v>
      </c>
      <c r="E54" s="684">
        <v>0</v>
      </c>
      <c r="F54" s="684">
        <v>0</v>
      </c>
      <c r="G54" s="152">
        <f t="shared" si="1"/>
        <v>0</v>
      </c>
      <c r="H54" s="153">
        <f t="shared" si="1"/>
        <v>0</v>
      </c>
    </row>
    <row r="55" spans="1:12" x14ac:dyDescent="0.25">
      <c r="A55" s="31">
        <f t="shared" si="0"/>
        <v>50</v>
      </c>
      <c r="B55" s="355" t="s">
        <v>856</v>
      </c>
      <c r="C55" s="684">
        <v>10312.049999999999</v>
      </c>
      <c r="D55" s="684">
        <v>154.43</v>
      </c>
      <c r="E55" s="684">
        <v>11870.09</v>
      </c>
      <c r="F55" s="684">
        <v>123.14</v>
      </c>
      <c r="G55" s="152">
        <f t="shared" si="1"/>
        <v>1558.0400000000009</v>
      </c>
      <c r="H55" s="153">
        <f t="shared" si="1"/>
        <v>-31.290000000000006</v>
      </c>
    </row>
    <row r="56" spans="1:12" x14ac:dyDescent="0.25">
      <c r="A56" s="31">
        <f t="shared" si="0"/>
        <v>51</v>
      </c>
      <c r="B56" s="355" t="s">
        <v>91</v>
      </c>
      <c r="C56" s="684">
        <v>123131.56</v>
      </c>
      <c r="D56" s="684">
        <v>3364.49</v>
      </c>
      <c r="E56" s="684">
        <v>202085.1</v>
      </c>
      <c r="F56" s="684">
        <v>131.80000000000001</v>
      </c>
      <c r="G56" s="152">
        <f t="shared" si="1"/>
        <v>78953.540000000008</v>
      </c>
      <c r="H56" s="153">
        <f t="shared" si="1"/>
        <v>-3232.6899999999996</v>
      </c>
    </row>
    <row r="57" spans="1:12" x14ac:dyDescent="0.25">
      <c r="A57" s="31">
        <f t="shared" si="0"/>
        <v>52</v>
      </c>
      <c r="B57" s="355" t="s">
        <v>92</v>
      </c>
      <c r="C57" s="684">
        <v>0</v>
      </c>
      <c r="D57" s="684">
        <v>0</v>
      </c>
      <c r="E57" s="684">
        <v>0</v>
      </c>
      <c r="F57" s="684">
        <v>0</v>
      </c>
      <c r="G57" s="152">
        <f t="shared" si="1"/>
        <v>0</v>
      </c>
      <c r="H57" s="153">
        <f t="shared" si="1"/>
        <v>0</v>
      </c>
    </row>
    <row r="58" spans="1:12" ht="47.25" x14ac:dyDescent="0.25">
      <c r="A58" s="31">
        <f t="shared" si="0"/>
        <v>53</v>
      </c>
      <c r="B58" s="355" t="s">
        <v>940</v>
      </c>
      <c r="C58" s="684">
        <v>4571229.62</v>
      </c>
      <c r="D58" s="684">
        <v>81554.09</v>
      </c>
      <c r="E58" s="684">
        <v>4899221.16</v>
      </c>
      <c r="F58" s="684">
        <v>62720.17</v>
      </c>
      <c r="G58" s="152">
        <f t="shared" si="1"/>
        <v>327991.54000000004</v>
      </c>
      <c r="H58" s="153">
        <f t="shared" si="1"/>
        <v>-18833.919999999998</v>
      </c>
      <c r="J58" s="771"/>
      <c r="K58" s="771"/>
      <c r="L58" s="771"/>
    </row>
    <row r="59" spans="1:12" x14ac:dyDescent="0.25">
      <c r="A59" s="31">
        <f t="shared" si="0"/>
        <v>54</v>
      </c>
      <c r="B59" s="355" t="s">
        <v>933</v>
      </c>
      <c r="C59" s="684">
        <v>0</v>
      </c>
      <c r="D59" s="684">
        <v>0</v>
      </c>
      <c r="E59" s="684">
        <v>0</v>
      </c>
      <c r="F59" s="684">
        <v>0</v>
      </c>
      <c r="G59" s="152">
        <f t="shared" si="1"/>
        <v>0</v>
      </c>
      <c r="H59" s="153">
        <f t="shared" si="1"/>
        <v>0</v>
      </c>
    </row>
    <row r="60" spans="1:12" x14ac:dyDescent="0.25">
      <c r="A60" s="31">
        <f t="shared" si="0"/>
        <v>55</v>
      </c>
      <c r="B60" s="357" t="s">
        <v>968</v>
      </c>
      <c r="C60" s="673">
        <f>C61+C62</f>
        <v>26568143.300000001</v>
      </c>
      <c r="D60" s="673">
        <f>D61+D62</f>
        <v>395341.42000000004</v>
      </c>
      <c r="E60" s="673">
        <f>E61+E62</f>
        <v>29760481.109999999</v>
      </c>
      <c r="F60" s="673">
        <f>F61+F62</f>
        <v>338009.51999999996</v>
      </c>
      <c r="G60" s="61">
        <f t="shared" si="1"/>
        <v>3192337.8099999987</v>
      </c>
      <c r="H60" s="144">
        <f t="shared" si="1"/>
        <v>-57331.900000000081</v>
      </c>
    </row>
    <row r="61" spans="1:12" x14ac:dyDescent="0.25">
      <c r="A61" s="31">
        <f t="shared" si="0"/>
        <v>56</v>
      </c>
      <c r="B61" s="355" t="s">
        <v>969</v>
      </c>
      <c r="C61" s="684">
        <v>26069191.210000001</v>
      </c>
      <c r="D61" s="684">
        <v>369906.7</v>
      </c>
      <c r="E61" s="684">
        <v>29219792.879999999</v>
      </c>
      <c r="F61" s="684">
        <v>321806.90999999997</v>
      </c>
      <c r="G61" s="152">
        <f t="shared" si="1"/>
        <v>3150601.6699999981</v>
      </c>
      <c r="H61" s="153">
        <f t="shared" si="1"/>
        <v>-48099.790000000037</v>
      </c>
      <c r="I61" s="706"/>
    </row>
    <row r="62" spans="1:12" x14ac:dyDescent="0.25">
      <c r="A62" s="31">
        <f t="shared" si="0"/>
        <v>57</v>
      </c>
      <c r="B62" s="357" t="s">
        <v>970</v>
      </c>
      <c r="C62" s="673">
        <f>SUM(C63:C65)</f>
        <v>498952.08999999997</v>
      </c>
      <c r="D62" s="673">
        <f>SUM(D63:D65)</f>
        <v>25434.720000000001</v>
      </c>
      <c r="E62" s="673">
        <f>SUM(E63:E65)</f>
        <v>540688.23</v>
      </c>
      <c r="F62" s="673">
        <f>SUM(F63:F65)</f>
        <v>16202.61</v>
      </c>
      <c r="G62" s="61">
        <f t="shared" si="1"/>
        <v>41736.140000000014</v>
      </c>
      <c r="H62" s="144">
        <f t="shared" si="1"/>
        <v>-9232.11</v>
      </c>
      <c r="I62" s="707"/>
    </row>
    <row r="63" spans="1:12" s="137" customFormat="1" x14ac:dyDescent="0.2">
      <c r="A63" s="31">
        <f t="shared" si="0"/>
        <v>58</v>
      </c>
      <c r="B63" s="361" t="s">
        <v>13</v>
      </c>
      <c r="C63" s="687">
        <v>14.49</v>
      </c>
      <c r="D63" s="687">
        <v>57.96</v>
      </c>
      <c r="E63" s="687">
        <v>21.53</v>
      </c>
      <c r="F63" s="687">
        <v>26.91</v>
      </c>
      <c r="G63" s="152">
        <f t="shared" si="1"/>
        <v>7.0400000000000009</v>
      </c>
      <c r="H63" s="153">
        <f t="shared" si="1"/>
        <v>-31.05</v>
      </c>
      <c r="I63" s="708"/>
    </row>
    <row r="64" spans="1:12" ht="31.5" x14ac:dyDescent="0.25">
      <c r="A64" s="31">
        <f t="shared" si="0"/>
        <v>59</v>
      </c>
      <c r="B64" s="361" t="s">
        <v>14</v>
      </c>
      <c r="C64" s="684">
        <v>452288.88</v>
      </c>
      <c r="D64" s="684">
        <v>21170.2</v>
      </c>
      <c r="E64" s="684">
        <v>481444.35</v>
      </c>
      <c r="F64" s="684">
        <v>12235.7</v>
      </c>
      <c r="G64" s="152">
        <f t="shared" si="1"/>
        <v>29155.469999999972</v>
      </c>
      <c r="H64" s="153">
        <f t="shared" si="1"/>
        <v>-8934.5</v>
      </c>
    </row>
    <row r="65" spans="1:8" x14ac:dyDescent="0.25">
      <c r="A65" s="31">
        <f t="shared" si="0"/>
        <v>60</v>
      </c>
      <c r="B65" s="355" t="s">
        <v>218</v>
      </c>
      <c r="C65" s="684">
        <v>46648.72</v>
      </c>
      <c r="D65" s="684">
        <v>4206.5600000000004</v>
      </c>
      <c r="E65" s="684">
        <v>59222.35</v>
      </c>
      <c r="F65" s="684">
        <v>3940</v>
      </c>
      <c r="G65" s="152">
        <f t="shared" si="1"/>
        <v>12573.629999999997</v>
      </c>
      <c r="H65" s="153">
        <f t="shared" si="1"/>
        <v>-266.5600000000004</v>
      </c>
    </row>
    <row r="66" spans="1:8" x14ac:dyDescent="0.25">
      <c r="A66" s="31">
        <f t="shared" si="0"/>
        <v>61</v>
      </c>
      <c r="B66" s="357" t="s">
        <v>157</v>
      </c>
      <c r="C66" s="684">
        <v>9064281.2100000009</v>
      </c>
      <c r="D66" s="684">
        <v>136298.42000000001</v>
      </c>
      <c r="E66" s="684">
        <v>10162054.060000001</v>
      </c>
      <c r="F66" s="684">
        <v>116287.24</v>
      </c>
      <c r="G66" s="152">
        <f t="shared" si="1"/>
        <v>1097772.8499999996</v>
      </c>
      <c r="H66" s="153">
        <f t="shared" si="1"/>
        <v>-20011.180000000008</v>
      </c>
    </row>
    <row r="67" spans="1:8" x14ac:dyDescent="0.25">
      <c r="A67" s="31">
        <f t="shared" si="0"/>
        <v>62</v>
      </c>
      <c r="B67" s="357" t="s">
        <v>28</v>
      </c>
      <c r="C67" s="684">
        <v>210503.01</v>
      </c>
      <c r="D67" s="684">
        <v>5199.99</v>
      </c>
      <c r="E67" s="684">
        <v>218487.96</v>
      </c>
      <c r="F67" s="684">
        <v>4474.04</v>
      </c>
      <c r="G67" s="152">
        <f t="shared" si="1"/>
        <v>7984.9499999999825</v>
      </c>
      <c r="H67" s="153">
        <f t="shared" si="1"/>
        <v>-725.94999999999982</v>
      </c>
    </row>
    <row r="68" spans="1:8" ht="18.75" customHeight="1" x14ac:dyDescent="0.25">
      <c r="A68" s="31">
        <f t="shared" si="0"/>
        <v>63</v>
      </c>
      <c r="B68" s="357" t="s">
        <v>971</v>
      </c>
      <c r="C68" s="673">
        <f>SUM(C69:C74)</f>
        <v>806300.73999999987</v>
      </c>
      <c r="D68" s="673">
        <f>SUM(D69:D74)</f>
        <v>12501.029999999999</v>
      </c>
      <c r="E68" s="673">
        <f>SUM(E69:E75)</f>
        <v>987606.97000000009</v>
      </c>
      <c r="F68" s="673">
        <f>SUM(F69:F75)</f>
        <v>7070.8099999999995</v>
      </c>
      <c r="G68" s="61">
        <f t="shared" si="1"/>
        <v>181306.23000000021</v>
      </c>
      <c r="H68" s="144">
        <f t="shared" si="1"/>
        <v>-5430.2199999999993</v>
      </c>
    </row>
    <row r="69" spans="1:8" x14ac:dyDescent="0.25">
      <c r="A69" s="31">
        <f t="shared" si="0"/>
        <v>64</v>
      </c>
      <c r="B69" s="355" t="s">
        <v>79</v>
      </c>
      <c r="C69" s="684">
        <v>279695.78999999998</v>
      </c>
      <c r="D69" s="684">
        <v>4016.84</v>
      </c>
      <c r="E69" s="684">
        <v>316327.99</v>
      </c>
      <c r="F69" s="684">
        <v>3804.56</v>
      </c>
      <c r="G69" s="152">
        <f t="shared" si="1"/>
        <v>36632.200000000012</v>
      </c>
      <c r="H69" s="153">
        <f t="shared" si="1"/>
        <v>-212.2800000000002</v>
      </c>
    </row>
    <row r="70" spans="1:8" x14ac:dyDescent="0.25">
      <c r="A70" s="31">
        <f t="shared" si="0"/>
        <v>65</v>
      </c>
      <c r="B70" s="355" t="s">
        <v>909</v>
      </c>
      <c r="C70" s="684">
        <v>362620.36</v>
      </c>
      <c r="D70" s="684">
        <v>0</v>
      </c>
      <c r="E70" s="684">
        <v>439670.04</v>
      </c>
      <c r="F70" s="684">
        <v>0</v>
      </c>
      <c r="G70" s="152">
        <f t="shared" si="1"/>
        <v>77049.679999999993</v>
      </c>
      <c r="H70" s="153">
        <f t="shared" si="1"/>
        <v>0</v>
      </c>
    </row>
    <row r="71" spans="1:8" x14ac:dyDescent="0.25">
      <c r="A71" s="31">
        <f t="shared" si="0"/>
        <v>66</v>
      </c>
      <c r="B71" s="355" t="s">
        <v>118</v>
      </c>
      <c r="C71" s="684">
        <v>71939.95</v>
      </c>
      <c r="D71" s="684">
        <v>4273.5</v>
      </c>
      <c r="E71" s="684">
        <v>44577.18</v>
      </c>
      <c r="F71" s="684">
        <v>0</v>
      </c>
      <c r="G71" s="152">
        <f t="shared" si="1"/>
        <v>-27362.769999999997</v>
      </c>
      <c r="H71" s="153">
        <f t="shared" si="1"/>
        <v>-4273.5</v>
      </c>
    </row>
    <row r="72" spans="1:8" x14ac:dyDescent="0.25">
      <c r="A72" s="31">
        <f t="shared" ref="A72:A103" si="2">A71+1</f>
        <v>67</v>
      </c>
      <c r="B72" s="355" t="s">
        <v>119</v>
      </c>
      <c r="C72" s="684">
        <v>92044.64</v>
      </c>
      <c r="D72" s="684">
        <v>4210.6899999999996</v>
      </c>
      <c r="E72" s="684">
        <v>100839.55</v>
      </c>
      <c r="F72" s="684">
        <v>3266.25</v>
      </c>
      <c r="G72" s="152">
        <f t="shared" ref="G72:H102" si="3">E72-C72</f>
        <v>8794.9100000000035</v>
      </c>
      <c r="H72" s="153">
        <f t="shared" si="3"/>
        <v>-944.4399999999996</v>
      </c>
    </row>
    <row r="73" spans="1:8" x14ac:dyDescent="0.25">
      <c r="A73" s="31">
        <f t="shared" si="2"/>
        <v>68</v>
      </c>
      <c r="B73" s="355" t="s">
        <v>120</v>
      </c>
      <c r="C73" s="684">
        <v>0</v>
      </c>
      <c r="D73" s="684">
        <v>0</v>
      </c>
      <c r="E73" s="684">
        <v>0</v>
      </c>
      <c r="F73" s="684">
        <v>0</v>
      </c>
      <c r="G73" s="152">
        <f t="shared" si="3"/>
        <v>0</v>
      </c>
      <c r="H73" s="153">
        <f t="shared" si="3"/>
        <v>0</v>
      </c>
    </row>
    <row r="74" spans="1:8" x14ac:dyDescent="0.25">
      <c r="A74" s="654" t="s">
        <v>1256</v>
      </c>
      <c r="B74" s="655" t="s">
        <v>1257</v>
      </c>
      <c r="C74" s="684">
        <v>0</v>
      </c>
      <c r="D74" s="684">
        <v>0</v>
      </c>
      <c r="E74" s="684">
        <v>86192.21</v>
      </c>
      <c r="F74" s="684">
        <v>0</v>
      </c>
      <c r="G74" s="152"/>
      <c r="H74" s="153"/>
    </row>
    <row r="75" spans="1:8" x14ac:dyDescent="0.25">
      <c r="A75" s="31">
        <f>A73+1</f>
        <v>69</v>
      </c>
      <c r="B75" s="355" t="s">
        <v>121</v>
      </c>
      <c r="C75" s="684">
        <v>0</v>
      </c>
      <c r="D75" s="684">
        <v>0</v>
      </c>
      <c r="E75" s="684">
        <v>0</v>
      </c>
      <c r="F75" s="684">
        <v>0</v>
      </c>
      <c r="G75" s="152">
        <f t="shared" si="3"/>
        <v>0</v>
      </c>
      <c r="H75" s="153">
        <f t="shared" si="3"/>
        <v>0</v>
      </c>
    </row>
    <row r="76" spans="1:8" x14ac:dyDescent="0.25">
      <c r="A76" s="31">
        <f t="shared" si="2"/>
        <v>70</v>
      </c>
      <c r="B76" s="357" t="s">
        <v>42</v>
      </c>
      <c r="C76" s="684">
        <v>0</v>
      </c>
      <c r="D76" s="684">
        <v>0</v>
      </c>
      <c r="E76" s="684">
        <v>0</v>
      </c>
      <c r="F76" s="684">
        <v>0</v>
      </c>
      <c r="G76" s="152">
        <f t="shared" si="3"/>
        <v>0</v>
      </c>
      <c r="H76" s="153">
        <f t="shared" si="3"/>
        <v>0</v>
      </c>
    </row>
    <row r="77" spans="1:8" x14ac:dyDescent="0.25">
      <c r="A77" s="31">
        <f t="shared" si="2"/>
        <v>71</v>
      </c>
      <c r="B77" s="357" t="s">
        <v>346</v>
      </c>
      <c r="C77" s="684">
        <v>0</v>
      </c>
      <c r="D77" s="684">
        <v>355.61</v>
      </c>
      <c r="E77" s="684">
        <v>0</v>
      </c>
      <c r="F77" s="684">
        <v>1519.06</v>
      </c>
      <c r="G77" s="152">
        <f t="shared" si="3"/>
        <v>0</v>
      </c>
      <c r="H77" s="153">
        <f t="shared" si="3"/>
        <v>1163.4499999999998</v>
      </c>
    </row>
    <row r="78" spans="1:8" x14ac:dyDescent="0.25">
      <c r="A78" s="31">
        <f t="shared" si="2"/>
        <v>72</v>
      </c>
      <c r="B78" s="357" t="s">
        <v>158</v>
      </c>
      <c r="C78" s="684">
        <v>25206.98</v>
      </c>
      <c r="D78" s="684">
        <v>0</v>
      </c>
      <c r="E78" s="684">
        <v>23106.6</v>
      </c>
      <c r="F78" s="684">
        <v>2100.38</v>
      </c>
      <c r="G78" s="152">
        <f t="shared" si="3"/>
        <v>-2100.380000000001</v>
      </c>
      <c r="H78" s="153">
        <f t="shared" si="3"/>
        <v>2100.38</v>
      </c>
    </row>
    <row r="79" spans="1:8" x14ac:dyDescent="0.25">
      <c r="A79" s="31">
        <f t="shared" si="2"/>
        <v>73</v>
      </c>
      <c r="B79" s="357" t="s">
        <v>270</v>
      </c>
      <c r="C79" s="684">
        <v>122952.07</v>
      </c>
      <c r="D79" s="684">
        <v>2412.17</v>
      </c>
      <c r="E79" s="684">
        <v>154024.15</v>
      </c>
      <c r="F79" s="684">
        <v>4310.28</v>
      </c>
      <c r="G79" s="152">
        <f t="shared" si="3"/>
        <v>31072.079999999987</v>
      </c>
      <c r="H79" s="153">
        <f t="shared" si="3"/>
        <v>1898.1099999999997</v>
      </c>
    </row>
    <row r="80" spans="1:8" x14ac:dyDescent="0.25">
      <c r="A80" s="31">
        <f t="shared" si="2"/>
        <v>74</v>
      </c>
      <c r="B80" s="357" t="s">
        <v>960</v>
      </c>
      <c r="C80" s="673">
        <f>C81+C82</f>
        <v>4714458.08</v>
      </c>
      <c r="D80" s="673">
        <f>D81+D82</f>
        <v>163900.6</v>
      </c>
      <c r="E80" s="673">
        <f>E81+E82</f>
        <v>4448898.43</v>
      </c>
      <c r="F80" s="673">
        <f>F81+F82</f>
        <v>147889.94</v>
      </c>
      <c r="G80" s="61">
        <f t="shared" si="3"/>
        <v>-265559.65000000037</v>
      </c>
      <c r="H80" s="144">
        <f t="shared" si="3"/>
        <v>-16010.660000000003</v>
      </c>
    </row>
    <row r="81" spans="1:13" ht="16.5" customHeight="1" x14ac:dyDescent="0.25">
      <c r="A81" s="31">
        <f t="shared" si="2"/>
        <v>75</v>
      </c>
      <c r="B81" s="357" t="s">
        <v>857</v>
      </c>
      <c r="C81" s="686">
        <v>149845.91</v>
      </c>
      <c r="D81" s="686">
        <v>0</v>
      </c>
      <c r="E81" s="686">
        <v>8486.5</v>
      </c>
      <c r="F81" s="686">
        <v>28.8</v>
      </c>
      <c r="G81" s="152">
        <f t="shared" si="3"/>
        <v>-141359.41</v>
      </c>
      <c r="H81" s="153">
        <f t="shared" si="3"/>
        <v>28.8</v>
      </c>
      <c r="I81" s="565"/>
    </row>
    <row r="82" spans="1:13" x14ac:dyDescent="0.25">
      <c r="A82" s="31">
        <f t="shared" si="2"/>
        <v>76</v>
      </c>
      <c r="B82" s="357" t="s">
        <v>15</v>
      </c>
      <c r="C82" s="673">
        <f>SUM(C83:C90)</f>
        <v>4564612.17</v>
      </c>
      <c r="D82" s="673">
        <f>SUM(D83:D90)</f>
        <v>163900.6</v>
      </c>
      <c r="E82" s="673">
        <f>SUM(E83:E90)</f>
        <v>4440411.93</v>
      </c>
      <c r="F82" s="673">
        <f>SUM(F83:F90)</f>
        <v>147861.14000000001</v>
      </c>
      <c r="G82" s="61">
        <f t="shared" si="3"/>
        <v>-124200.24000000022</v>
      </c>
      <c r="H82" s="144">
        <f t="shared" si="3"/>
        <v>-16039.459999999992</v>
      </c>
    </row>
    <row r="83" spans="1:13" ht="16.5" customHeight="1" x14ac:dyDescent="0.25">
      <c r="A83" s="31">
        <f t="shared" si="2"/>
        <v>77</v>
      </c>
      <c r="B83" s="355" t="s">
        <v>739</v>
      </c>
      <c r="C83" s="684">
        <v>2262653.31</v>
      </c>
      <c r="D83" s="684">
        <v>0</v>
      </c>
      <c r="E83" s="684">
        <v>2631339.88</v>
      </c>
      <c r="F83" s="684">
        <v>0</v>
      </c>
      <c r="G83" s="152">
        <f t="shared" si="3"/>
        <v>368686.56999999983</v>
      </c>
      <c r="H83" s="153">
        <f t="shared" si="3"/>
        <v>0</v>
      </c>
    </row>
    <row r="84" spans="1:13" x14ac:dyDescent="0.25">
      <c r="A84" s="31">
        <f t="shared" si="2"/>
        <v>78</v>
      </c>
      <c r="B84" s="355" t="s">
        <v>122</v>
      </c>
      <c r="C84" s="684">
        <v>3850.53</v>
      </c>
      <c r="D84" s="684">
        <v>354.15</v>
      </c>
      <c r="E84" s="684">
        <v>4324.88</v>
      </c>
      <c r="F84" s="684">
        <v>285.20999999999998</v>
      </c>
      <c r="G84" s="152">
        <f t="shared" si="3"/>
        <v>474.34999999999991</v>
      </c>
      <c r="H84" s="153">
        <f t="shared" si="3"/>
        <v>-68.94</v>
      </c>
    </row>
    <row r="85" spans="1:13" x14ac:dyDescent="0.25">
      <c r="A85" s="31">
        <f t="shared" si="2"/>
        <v>79</v>
      </c>
      <c r="B85" s="355" t="s">
        <v>123</v>
      </c>
      <c r="C85" s="684">
        <v>0</v>
      </c>
      <c r="D85" s="684">
        <v>0</v>
      </c>
      <c r="E85" s="684">
        <v>0</v>
      </c>
      <c r="F85" s="684">
        <v>0</v>
      </c>
      <c r="G85" s="152">
        <f t="shared" si="3"/>
        <v>0</v>
      </c>
      <c r="H85" s="153">
        <f t="shared" si="3"/>
        <v>0</v>
      </c>
    </row>
    <row r="86" spans="1:13" ht="31.5" x14ac:dyDescent="0.25">
      <c r="A86" s="31">
        <f t="shared" si="2"/>
        <v>80</v>
      </c>
      <c r="B86" s="355" t="s">
        <v>804</v>
      </c>
      <c r="C86" s="684">
        <v>56403.17</v>
      </c>
      <c r="D86" s="684">
        <v>36.479999999999997</v>
      </c>
      <c r="E86" s="684">
        <v>93324.13</v>
      </c>
      <c r="F86" s="684">
        <v>711.04</v>
      </c>
      <c r="G86" s="152">
        <f t="shared" si="3"/>
        <v>36920.960000000006</v>
      </c>
      <c r="H86" s="153">
        <f t="shared" si="3"/>
        <v>674.56</v>
      </c>
      <c r="I86" s="566"/>
      <c r="J86" s="442"/>
      <c r="K86" s="442"/>
      <c r="L86" s="442"/>
      <c r="M86" s="442"/>
    </row>
    <row r="87" spans="1:13" x14ac:dyDescent="0.25">
      <c r="A87" s="31">
        <f t="shared" si="2"/>
        <v>81</v>
      </c>
      <c r="B87" s="355" t="s">
        <v>863</v>
      </c>
      <c r="C87" s="684">
        <v>41957.84</v>
      </c>
      <c r="D87" s="684">
        <v>0</v>
      </c>
      <c r="E87" s="684">
        <v>50211.97</v>
      </c>
      <c r="F87" s="684">
        <v>0</v>
      </c>
      <c r="G87" s="152">
        <f t="shared" si="3"/>
        <v>8254.1300000000047</v>
      </c>
      <c r="H87" s="153">
        <f t="shared" si="3"/>
        <v>0</v>
      </c>
      <c r="I87" s="562"/>
      <c r="J87" s="240"/>
    </row>
    <row r="88" spans="1:13" x14ac:dyDescent="0.25">
      <c r="A88" s="31" t="s">
        <v>861</v>
      </c>
      <c r="B88" s="355" t="s">
        <v>860</v>
      </c>
      <c r="C88" s="684">
        <v>0</v>
      </c>
      <c r="D88" s="684">
        <v>0</v>
      </c>
      <c r="E88" s="684">
        <v>0</v>
      </c>
      <c r="F88" s="684">
        <v>0</v>
      </c>
      <c r="G88" s="152">
        <f t="shared" ref="G88" si="4">E88-C88</f>
        <v>0</v>
      </c>
      <c r="H88" s="153">
        <f t="shared" ref="H88" si="5">F88-D88</f>
        <v>0</v>
      </c>
      <c r="I88" s="562"/>
      <c r="J88" s="240"/>
    </row>
    <row r="89" spans="1:13" x14ac:dyDescent="0.25">
      <c r="A89" s="31">
        <f>A87+1</f>
        <v>82</v>
      </c>
      <c r="B89" s="355" t="s">
        <v>865</v>
      </c>
      <c r="C89" s="684">
        <v>2790</v>
      </c>
      <c r="D89" s="684">
        <v>0</v>
      </c>
      <c r="E89" s="684">
        <v>3600</v>
      </c>
      <c r="F89" s="684">
        <v>0</v>
      </c>
      <c r="G89" s="152">
        <f t="shared" si="3"/>
        <v>810</v>
      </c>
      <c r="H89" s="153">
        <f t="shared" si="3"/>
        <v>0</v>
      </c>
      <c r="I89" s="562"/>
    </row>
    <row r="90" spans="1:13" x14ac:dyDescent="0.25">
      <c r="A90" s="31">
        <f t="shared" si="2"/>
        <v>83</v>
      </c>
      <c r="B90" s="355" t="s">
        <v>864</v>
      </c>
      <c r="C90" s="684">
        <v>2196957.3199999998</v>
      </c>
      <c r="D90" s="684">
        <v>163509.97</v>
      </c>
      <c r="E90" s="684">
        <f>41220.8+1616390.27</f>
        <v>1657611.07</v>
      </c>
      <c r="F90" s="684">
        <f>-0.08+146864.97</f>
        <v>146864.89000000001</v>
      </c>
      <c r="G90" s="152">
        <f t="shared" si="3"/>
        <v>-539346.24999999977</v>
      </c>
      <c r="H90" s="153">
        <f t="shared" si="3"/>
        <v>-16645.079999999987</v>
      </c>
      <c r="I90" s="562"/>
    </row>
    <row r="91" spans="1:13" ht="31.5" x14ac:dyDescent="0.25">
      <c r="A91" s="31">
        <f t="shared" si="2"/>
        <v>84</v>
      </c>
      <c r="B91" s="357" t="s">
        <v>961</v>
      </c>
      <c r="C91" s="673">
        <f>SUM(C92:C100)</f>
        <v>6664570.9399999995</v>
      </c>
      <c r="D91" s="673">
        <f>SUM(D92:D100)</f>
        <v>77992.759999999995</v>
      </c>
      <c r="E91" s="673">
        <f>SUM(E92:E100)</f>
        <v>5896973.290000001</v>
      </c>
      <c r="F91" s="673">
        <f>SUM(F92:F100)</f>
        <v>79718.460000000006</v>
      </c>
      <c r="G91" s="61">
        <f t="shared" si="3"/>
        <v>-767597.64999999851</v>
      </c>
      <c r="H91" s="144">
        <f t="shared" si="3"/>
        <v>1725.7000000000116</v>
      </c>
      <c r="I91" s="562"/>
    </row>
    <row r="92" spans="1:13" ht="31.5" customHeight="1" x14ac:dyDescent="0.25">
      <c r="A92" s="31">
        <f t="shared" si="2"/>
        <v>85</v>
      </c>
      <c r="B92" s="355" t="s">
        <v>772</v>
      </c>
      <c r="C92" s="684">
        <v>429468.58</v>
      </c>
      <c r="D92" s="684">
        <v>0</v>
      </c>
      <c r="E92" s="684">
        <v>387857.5</v>
      </c>
      <c r="F92" s="684">
        <v>0</v>
      </c>
      <c r="G92" s="152">
        <f t="shared" si="3"/>
        <v>-41611.080000000016</v>
      </c>
      <c r="H92" s="153">
        <f t="shared" si="3"/>
        <v>0</v>
      </c>
      <c r="I92" s="562"/>
    </row>
    <row r="93" spans="1:13" ht="114.75" customHeight="1" x14ac:dyDescent="0.25">
      <c r="A93" s="31">
        <f t="shared" si="2"/>
        <v>86</v>
      </c>
      <c r="B93" s="362" t="s">
        <v>900</v>
      </c>
      <c r="C93" s="684">
        <v>1465321.81</v>
      </c>
      <c r="D93" s="684">
        <v>77992.759999999995</v>
      </c>
      <c r="E93" s="684">
        <v>1472420.62</v>
      </c>
      <c r="F93" s="684">
        <v>79718.460000000006</v>
      </c>
      <c r="G93" s="152">
        <f t="shared" si="3"/>
        <v>7098.8100000000559</v>
      </c>
      <c r="H93" s="153">
        <f t="shared" si="3"/>
        <v>1725.7000000000116</v>
      </c>
      <c r="I93" s="770"/>
      <c r="J93" s="770"/>
    </row>
    <row r="94" spans="1:13" ht="31.5" x14ac:dyDescent="0.25">
      <c r="A94" s="31" t="s">
        <v>677</v>
      </c>
      <c r="B94" s="362" t="s">
        <v>901</v>
      </c>
      <c r="C94" s="684">
        <v>4343786.7</v>
      </c>
      <c r="D94" s="684">
        <v>0</v>
      </c>
      <c r="E94" s="684">
        <v>3992958.19</v>
      </c>
      <c r="F94" s="684">
        <v>0</v>
      </c>
      <c r="G94" s="152">
        <f>E94-C94</f>
        <v>-350828.51000000024</v>
      </c>
      <c r="H94" s="153">
        <f>F94-D94</f>
        <v>0</v>
      </c>
    </row>
    <row r="95" spans="1:13" ht="15.75" customHeight="1" x14ac:dyDescent="0.25">
      <c r="A95" s="31">
        <f>A93+1</f>
        <v>87</v>
      </c>
      <c r="B95" s="355" t="s">
        <v>858</v>
      </c>
      <c r="C95" s="684">
        <v>0</v>
      </c>
      <c r="D95" s="684">
        <v>0</v>
      </c>
      <c r="E95" s="684">
        <v>82.98</v>
      </c>
      <c r="F95" s="684">
        <v>0</v>
      </c>
      <c r="G95" s="152">
        <f t="shared" si="3"/>
        <v>82.98</v>
      </c>
      <c r="H95" s="153">
        <f t="shared" si="3"/>
        <v>0</v>
      </c>
    </row>
    <row r="96" spans="1:13" x14ac:dyDescent="0.25">
      <c r="A96" s="31">
        <f t="shared" si="2"/>
        <v>88</v>
      </c>
      <c r="B96" s="355" t="s">
        <v>150</v>
      </c>
      <c r="C96" s="684">
        <v>0</v>
      </c>
      <c r="D96" s="684">
        <v>0</v>
      </c>
      <c r="E96" s="684">
        <v>0</v>
      </c>
      <c r="F96" s="684">
        <v>0</v>
      </c>
      <c r="G96" s="152">
        <f t="shared" si="3"/>
        <v>0</v>
      </c>
      <c r="H96" s="153">
        <f t="shared" si="3"/>
        <v>0</v>
      </c>
    </row>
    <row r="97" spans="1:9" x14ac:dyDescent="0.25">
      <c r="A97" s="31">
        <f t="shared" si="2"/>
        <v>89</v>
      </c>
      <c r="B97" s="355" t="s">
        <v>151</v>
      </c>
      <c r="C97" s="684">
        <v>48953.37</v>
      </c>
      <c r="D97" s="684">
        <v>0</v>
      </c>
      <c r="E97" s="684">
        <v>43654</v>
      </c>
      <c r="F97" s="684">
        <v>0</v>
      </c>
      <c r="G97" s="152">
        <f t="shared" si="3"/>
        <v>-5299.3700000000026</v>
      </c>
      <c r="H97" s="153">
        <f t="shared" si="3"/>
        <v>0</v>
      </c>
    </row>
    <row r="98" spans="1:9" ht="31.5" x14ac:dyDescent="0.25">
      <c r="A98" s="31">
        <f t="shared" si="2"/>
        <v>90</v>
      </c>
      <c r="B98" s="443" t="s">
        <v>862</v>
      </c>
      <c r="C98" s="684">
        <v>377040.48</v>
      </c>
      <c r="D98" s="684">
        <v>0</v>
      </c>
      <c r="E98" s="684">
        <v>0</v>
      </c>
      <c r="F98" s="684">
        <v>0</v>
      </c>
      <c r="G98" s="152">
        <f t="shared" si="3"/>
        <v>-377040.48</v>
      </c>
      <c r="H98" s="153">
        <f t="shared" si="3"/>
        <v>0</v>
      </c>
      <c r="I98" s="567"/>
    </row>
    <row r="99" spans="1:9" ht="40.5" customHeight="1" x14ac:dyDescent="0.25">
      <c r="A99" s="31">
        <f t="shared" si="2"/>
        <v>91</v>
      </c>
      <c r="B99" s="360" t="s">
        <v>817</v>
      </c>
      <c r="C99" s="684">
        <v>0</v>
      </c>
      <c r="D99" s="684">
        <v>0</v>
      </c>
      <c r="E99" s="684">
        <v>0</v>
      </c>
      <c r="F99" s="684">
        <v>0</v>
      </c>
      <c r="G99" s="152">
        <f t="shared" ref="G99" si="6">E99-C99</f>
        <v>0</v>
      </c>
      <c r="H99" s="153">
        <f t="shared" ref="H99" si="7">F99-D99</f>
        <v>0</v>
      </c>
    </row>
    <row r="100" spans="1:9" ht="16.5" customHeight="1" x14ac:dyDescent="0.25">
      <c r="A100" s="31">
        <f>A99+1</f>
        <v>92</v>
      </c>
      <c r="B100" s="355" t="s">
        <v>811</v>
      </c>
      <c r="C100" s="684">
        <v>0</v>
      </c>
      <c r="D100" s="684">
        <v>0</v>
      </c>
      <c r="E100" s="684">
        <v>0</v>
      </c>
      <c r="F100" s="684">
        <v>0</v>
      </c>
      <c r="G100" s="152">
        <f t="shared" si="3"/>
        <v>0</v>
      </c>
      <c r="H100" s="153">
        <f t="shared" si="3"/>
        <v>0</v>
      </c>
    </row>
    <row r="101" spans="1:9" ht="16.5" customHeight="1" x14ac:dyDescent="0.25">
      <c r="A101" s="31">
        <f t="shared" si="2"/>
        <v>93</v>
      </c>
      <c r="B101" s="357" t="s">
        <v>910</v>
      </c>
      <c r="C101" s="684">
        <v>400965.77</v>
      </c>
      <c r="D101" s="684">
        <v>0</v>
      </c>
      <c r="E101" s="684">
        <v>435516.34</v>
      </c>
      <c r="F101" s="684">
        <v>0</v>
      </c>
      <c r="G101" s="152">
        <f t="shared" si="3"/>
        <v>34550.570000000007</v>
      </c>
      <c r="H101" s="153">
        <f t="shared" si="3"/>
        <v>0</v>
      </c>
    </row>
    <row r="102" spans="1:9" x14ac:dyDescent="0.25">
      <c r="A102" s="31">
        <f>A101+1</f>
        <v>94</v>
      </c>
      <c r="B102" s="357" t="s">
        <v>911</v>
      </c>
      <c r="C102" s="684">
        <v>13.92</v>
      </c>
      <c r="D102" s="684">
        <v>19654.240000000002</v>
      </c>
      <c r="E102" s="684">
        <v>77.94</v>
      </c>
      <c r="F102" s="684">
        <v>31745.74</v>
      </c>
      <c r="G102" s="152">
        <f t="shared" si="3"/>
        <v>64.02</v>
      </c>
      <c r="H102" s="153">
        <f t="shared" si="3"/>
        <v>12091.5</v>
      </c>
    </row>
    <row r="103" spans="1:9" ht="34.5" customHeight="1" thickBot="1" x14ac:dyDescent="0.3">
      <c r="A103" s="32">
        <f t="shared" si="2"/>
        <v>95</v>
      </c>
      <c r="B103" s="537" t="s">
        <v>972</v>
      </c>
      <c r="C103" s="463">
        <f>C6+C19+C27+C32+C40+C43+C44+C60+C66+C67+C68+C76+C77+C78+C79+C80+C91+C101+C102</f>
        <v>61194163.289999999</v>
      </c>
      <c r="D103" s="463">
        <f t="shared" ref="D103:F103" si="8">D6+D19+D27+D32+D40+D43+D44+D60+D66+D67+D68+D76+D77+D78+D79+D80+D91+D101+D102</f>
        <v>1494225.7500000002</v>
      </c>
      <c r="E103" s="463">
        <f t="shared" si="8"/>
        <v>65467046.75</v>
      </c>
      <c r="F103" s="463">
        <f t="shared" si="8"/>
        <v>1349635.58</v>
      </c>
      <c r="G103" s="62">
        <f>E103-C103</f>
        <v>4272883.4600000009</v>
      </c>
      <c r="H103" s="147">
        <f>F103-D103</f>
        <v>-144590.17000000016</v>
      </c>
      <c r="I103" s="568"/>
    </row>
    <row r="104" spans="1:9" x14ac:dyDescent="0.25">
      <c r="A104" s="4"/>
      <c r="B104" s="538"/>
      <c r="D104" s="964"/>
      <c r="E104" s="964"/>
      <c r="F104" s="718"/>
      <c r="G104" s="43"/>
      <c r="H104" s="43"/>
      <c r="I104" s="965"/>
    </row>
    <row r="105" spans="1:9" ht="31.5" x14ac:dyDescent="0.25">
      <c r="A105" s="356" t="s">
        <v>773</v>
      </c>
      <c r="B105" s="539" t="s">
        <v>912</v>
      </c>
    </row>
    <row r="107" spans="1:9" x14ac:dyDescent="0.25">
      <c r="I107" s="706"/>
    </row>
    <row r="108" spans="1:9" x14ac:dyDescent="0.25">
      <c r="I108" s="706"/>
    </row>
    <row r="109" spans="1:9" x14ac:dyDescent="0.25">
      <c r="I109" s="706"/>
    </row>
    <row r="111" spans="1:9" x14ac:dyDescent="0.25">
      <c r="I111" s="706"/>
    </row>
    <row r="973" spans="6:6" x14ac:dyDescent="0.25">
      <c r="F973" s="1" t="s">
        <v>350</v>
      </c>
    </row>
    <row r="992" spans="4:4" x14ac:dyDescent="0.25">
      <c r="D992" s="1" t="s">
        <v>349</v>
      </c>
    </row>
  </sheetData>
  <mergeCells count="9">
    <mergeCell ref="I93:J93"/>
    <mergeCell ref="J58:L58"/>
    <mergeCell ref="A1:H1"/>
    <mergeCell ref="A2:H2"/>
    <mergeCell ref="A3:A4"/>
    <mergeCell ref="B3:B4"/>
    <mergeCell ref="C3:D3"/>
    <mergeCell ref="E3:F3"/>
    <mergeCell ref="G3:H3"/>
  </mergeCells>
  <printOptions gridLines="1"/>
  <pageMargins left="0.47" right="0.21" top="0.62992125984251968" bottom="0.39370078740157483" header="0.39370078740157483" footer="0.23622047244094491"/>
  <pageSetup paperSize="9" scale="61" fitToWidth="3" fitToHeight="3" orientation="landscape" r:id="rId1"/>
  <headerFooter alignWithMargins="0">
    <oddFooter xml:space="preserve">&amp;C &amp;P z &amp;N  </oddFooter>
  </headerFooter>
  <rowBreaks count="2" manualBreakCount="2">
    <brk id="39" max="7" man="1"/>
    <brk id="78"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tabColor indexed="42"/>
    <pageSetUpPr fitToPage="1"/>
  </sheetPr>
  <dimension ref="A1:O38"/>
  <sheetViews>
    <sheetView zoomScale="80" zoomScaleNormal="80" workbookViewId="0">
      <pane xSplit="2" ySplit="6" topLeftCell="C31" activePane="bottomRight" state="frozen"/>
      <selection pane="topRight" activeCell="C1" sqref="C1"/>
      <selection pane="bottomLeft" activeCell="A7" sqref="A7"/>
      <selection pane="bottomRight" activeCell="O34" sqref="O34"/>
    </sheetView>
  </sheetViews>
  <sheetFormatPr defaultRowHeight="15.75" x14ac:dyDescent="0.2"/>
  <cols>
    <col min="1" max="1" width="5.5703125" style="23" customWidth="1"/>
    <col min="2" max="2" width="65.42578125" style="48" customWidth="1"/>
    <col min="3" max="3" width="14.7109375" style="18" customWidth="1"/>
    <col min="4" max="4" width="14" style="18" customWidth="1"/>
    <col min="5" max="5" width="15.85546875" style="18" customWidth="1"/>
    <col min="6" max="6" width="15.7109375" style="18" customWidth="1"/>
    <col min="7" max="7" width="19.140625" style="18" customWidth="1"/>
    <col min="8" max="8" width="18.7109375" style="18" customWidth="1"/>
    <col min="9" max="9" width="16.28515625" style="18" customWidth="1"/>
    <col min="10" max="10" width="17.7109375" style="18" bestFit="1" customWidth="1"/>
    <col min="11" max="11" width="13.28515625" style="18" customWidth="1"/>
    <col min="12" max="13" width="9.85546875" style="18" customWidth="1"/>
    <col min="14" max="14" width="9.140625" style="18" customWidth="1"/>
    <col min="15" max="15" width="48.42578125" style="18" customWidth="1"/>
    <col min="16" max="16384" width="9.140625" style="18"/>
  </cols>
  <sheetData>
    <row r="1" spans="1:15" ht="35.1" customHeight="1" thickBot="1" x14ac:dyDescent="0.25">
      <c r="A1" s="803" t="s">
        <v>995</v>
      </c>
      <c r="B1" s="804"/>
      <c r="C1" s="804"/>
      <c r="D1" s="804"/>
      <c r="E1" s="804"/>
      <c r="F1" s="804"/>
      <c r="G1" s="804"/>
      <c r="H1" s="804"/>
      <c r="I1" s="804"/>
      <c r="J1" s="804"/>
      <c r="K1" s="804"/>
    </row>
    <row r="2" spans="1:15" ht="35.450000000000003" customHeight="1" thickBot="1" x14ac:dyDescent="0.25">
      <c r="A2" s="775" t="s">
        <v>365</v>
      </c>
      <c r="B2" s="776"/>
      <c r="C2" s="776"/>
      <c r="D2" s="776"/>
      <c r="E2" s="776"/>
      <c r="F2" s="776"/>
      <c r="G2" s="776"/>
      <c r="H2" s="776"/>
      <c r="I2" s="776"/>
      <c r="J2" s="776"/>
      <c r="K2" s="777"/>
      <c r="L2" s="516"/>
      <c r="M2" s="516"/>
      <c r="N2" s="516"/>
    </row>
    <row r="3" spans="1:15" ht="32.25" customHeight="1" x14ac:dyDescent="0.2">
      <c r="A3" s="792" t="s">
        <v>180</v>
      </c>
      <c r="B3" s="766" t="s">
        <v>208</v>
      </c>
      <c r="C3" s="781" t="s">
        <v>1113</v>
      </c>
      <c r="D3" s="781"/>
      <c r="E3" s="781"/>
      <c r="F3" s="781"/>
      <c r="G3" s="781" t="s">
        <v>712</v>
      </c>
      <c r="H3" s="782" t="s">
        <v>274</v>
      </c>
      <c r="I3" s="781" t="s">
        <v>714</v>
      </c>
      <c r="J3" s="805" t="s">
        <v>715</v>
      </c>
      <c r="K3" s="784" t="s">
        <v>805</v>
      </c>
      <c r="L3" s="794" t="s">
        <v>935</v>
      </c>
      <c r="M3" s="797" t="s">
        <v>959</v>
      </c>
      <c r="N3" s="800" t="s">
        <v>936</v>
      </c>
      <c r="O3" s="534"/>
    </row>
    <row r="4" spans="1:15" ht="34.5" customHeight="1" x14ac:dyDescent="0.2">
      <c r="A4" s="793"/>
      <c r="B4" s="791"/>
      <c r="C4" s="787" t="s">
        <v>206</v>
      </c>
      <c r="D4" s="14" t="s">
        <v>274</v>
      </c>
      <c r="E4" s="787" t="s">
        <v>207</v>
      </c>
      <c r="F4" s="787" t="s">
        <v>162</v>
      </c>
      <c r="G4" s="787"/>
      <c r="H4" s="783"/>
      <c r="I4" s="787"/>
      <c r="J4" s="806"/>
      <c r="K4" s="784"/>
      <c r="L4" s="795"/>
      <c r="M4" s="798"/>
      <c r="N4" s="801"/>
      <c r="O4" s="534"/>
    </row>
    <row r="5" spans="1:15" s="74" customFormat="1" ht="63.75" thickBot="1" x14ac:dyDescent="0.25">
      <c r="A5" s="793"/>
      <c r="B5" s="791"/>
      <c r="C5" s="787"/>
      <c r="D5" s="14" t="s">
        <v>666</v>
      </c>
      <c r="E5" s="787"/>
      <c r="F5" s="787"/>
      <c r="G5" s="787"/>
      <c r="H5" s="14" t="s">
        <v>713</v>
      </c>
      <c r="I5" s="787"/>
      <c r="J5" s="806"/>
      <c r="K5" s="785"/>
      <c r="L5" s="796"/>
      <c r="M5" s="799"/>
      <c r="N5" s="802"/>
      <c r="O5" s="536"/>
    </row>
    <row r="6" spans="1:15" s="75" customFormat="1" ht="18" customHeight="1" thickBot="1" x14ac:dyDescent="0.25">
      <c r="A6" s="140"/>
      <c r="B6" s="63"/>
      <c r="C6" s="16" t="s">
        <v>257</v>
      </c>
      <c r="D6" s="16" t="s">
        <v>258</v>
      </c>
      <c r="E6" s="16" t="s">
        <v>259</v>
      </c>
      <c r="F6" s="16" t="s">
        <v>163</v>
      </c>
      <c r="G6" s="16" t="s">
        <v>260</v>
      </c>
      <c r="H6" s="16" t="s">
        <v>261</v>
      </c>
      <c r="I6" s="16" t="s">
        <v>262</v>
      </c>
      <c r="J6" s="374" t="s">
        <v>164</v>
      </c>
      <c r="K6" s="431" t="s">
        <v>806</v>
      </c>
    </row>
    <row r="7" spans="1:15" s="21" customFormat="1" x14ac:dyDescent="0.2">
      <c r="A7" s="29">
        <v>1</v>
      </c>
      <c r="B7" s="44" t="s">
        <v>253</v>
      </c>
      <c r="C7" s="61">
        <f>SUM(C8:C12)</f>
        <v>599.03000000000009</v>
      </c>
      <c r="D7" s="61">
        <f>SUM(D8:D12)</f>
        <v>597.85</v>
      </c>
      <c r="E7" s="61">
        <f>SUM(E8:E12)</f>
        <v>79.309999999999988</v>
      </c>
      <c r="F7" s="61">
        <f t="shared" ref="F7:F13" si="0">C7+E7</f>
        <v>678.34</v>
      </c>
      <c r="G7" s="61">
        <f>SUM(G8:G12)</f>
        <v>12347701.77</v>
      </c>
      <c r="H7" s="61">
        <f>SUM(H8:H12)</f>
        <v>12085233.25</v>
      </c>
      <c r="I7" s="61">
        <f>SUM(I8:I12)</f>
        <v>4973273.5600000005</v>
      </c>
      <c r="J7" s="163">
        <f t="shared" ref="J7:J13" si="1">G7+I7</f>
        <v>17320975.329999998</v>
      </c>
      <c r="K7" s="429">
        <f>IF(F7=0,0,J7/F7/12)</f>
        <v>2127.8630345156312</v>
      </c>
      <c r="L7" s="510">
        <v>1366.155</v>
      </c>
      <c r="M7" s="511">
        <v>1736.4970000000001</v>
      </c>
      <c r="N7" s="659">
        <v>2517.297</v>
      </c>
    </row>
    <row r="8" spans="1:15" x14ac:dyDescent="0.2">
      <c r="A8" s="29">
        <v>2</v>
      </c>
      <c r="B8" s="26" t="s">
        <v>807</v>
      </c>
      <c r="C8" s="657">
        <v>85.69</v>
      </c>
      <c r="D8" s="657">
        <v>85.1</v>
      </c>
      <c r="E8" s="657">
        <v>18.96</v>
      </c>
      <c r="F8" s="61">
        <f t="shared" si="0"/>
        <v>104.65</v>
      </c>
      <c r="G8" s="657">
        <v>2939324.88</v>
      </c>
      <c r="H8" s="657">
        <v>2859511.32</v>
      </c>
      <c r="I8" s="657">
        <v>1271382.44</v>
      </c>
      <c r="J8" s="163">
        <f t="shared" si="1"/>
        <v>4210707.32</v>
      </c>
      <c r="K8" s="429">
        <f t="shared" ref="K8:K30" si="2">IF(F8=0,0,J8/F8/12)</f>
        <v>3353.0078993470302</v>
      </c>
      <c r="L8" s="512">
        <v>2270.4259999999999</v>
      </c>
      <c r="M8" s="509">
        <v>2909.3229999999999</v>
      </c>
      <c r="N8" s="660">
        <v>3910.0219999999999</v>
      </c>
    </row>
    <row r="9" spans="1:15" x14ac:dyDescent="0.2">
      <c r="A9" s="29">
        <v>3</v>
      </c>
      <c r="B9" s="26" t="s">
        <v>209</v>
      </c>
      <c r="C9" s="657">
        <v>134.88999999999999</v>
      </c>
      <c r="D9" s="657">
        <v>134.79</v>
      </c>
      <c r="E9" s="657">
        <v>17.05</v>
      </c>
      <c r="F9" s="61">
        <f t="shared" si="0"/>
        <v>151.94</v>
      </c>
      <c r="G9" s="657">
        <v>3351519.59</v>
      </c>
      <c r="H9" s="657">
        <v>3280133.11</v>
      </c>
      <c r="I9" s="657">
        <v>970509.64</v>
      </c>
      <c r="J9" s="163">
        <f t="shared" si="1"/>
        <v>4322029.2299999995</v>
      </c>
      <c r="K9" s="429">
        <f t="shared" si="2"/>
        <v>2370.4692806370936</v>
      </c>
      <c r="L9" s="512">
        <v>1566.933</v>
      </c>
      <c r="M9" s="509">
        <v>2116.3530000000001</v>
      </c>
      <c r="N9" s="660">
        <v>2954.1559999999999</v>
      </c>
    </row>
    <row r="10" spans="1:15" x14ac:dyDescent="0.2">
      <c r="A10" s="29">
        <v>4</v>
      </c>
      <c r="B10" s="26" t="s">
        <v>210</v>
      </c>
      <c r="C10" s="657">
        <v>300.93</v>
      </c>
      <c r="D10" s="657">
        <v>300.5</v>
      </c>
      <c r="E10" s="657">
        <v>34.369999999999997</v>
      </c>
      <c r="F10" s="61">
        <f t="shared" si="0"/>
        <v>335.3</v>
      </c>
      <c r="G10" s="657">
        <v>5125793.21</v>
      </c>
      <c r="H10" s="657">
        <v>5023328.8899999997</v>
      </c>
      <c r="I10" s="657">
        <v>2120799.12</v>
      </c>
      <c r="J10" s="163">
        <f t="shared" si="1"/>
        <v>7246592.3300000001</v>
      </c>
      <c r="K10" s="429">
        <f t="shared" si="2"/>
        <v>1801.0220523908938</v>
      </c>
      <c r="L10" s="512">
        <v>1304.463</v>
      </c>
      <c r="M10" s="509">
        <v>1618.0219999999999</v>
      </c>
      <c r="N10" s="660">
        <v>2143.183</v>
      </c>
    </row>
    <row r="11" spans="1:15" x14ac:dyDescent="0.2">
      <c r="A11" s="29">
        <v>5</v>
      </c>
      <c r="B11" s="26" t="s">
        <v>211</v>
      </c>
      <c r="C11" s="657">
        <v>66.930000000000007</v>
      </c>
      <c r="D11" s="657">
        <v>66.87</v>
      </c>
      <c r="E11" s="657">
        <v>2.2999999999999998</v>
      </c>
      <c r="F11" s="61">
        <f t="shared" si="0"/>
        <v>69.23</v>
      </c>
      <c r="G11" s="657">
        <v>774760.64</v>
      </c>
      <c r="H11" s="657">
        <v>772056.92</v>
      </c>
      <c r="I11" s="657">
        <v>521346.66</v>
      </c>
      <c r="J11" s="163">
        <f t="shared" si="1"/>
        <v>1296107.3</v>
      </c>
      <c r="K11" s="429">
        <f t="shared" si="2"/>
        <v>1560.1464923684337</v>
      </c>
      <c r="L11" s="512">
        <v>1170.028</v>
      </c>
      <c r="M11" s="509">
        <v>1480.058</v>
      </c>
      <c r="N11" s="660">
        <v>1778.05</v>
      </c>
    </row>
    <row r="12" spans="1:15" x14ac:dyDescent="0.2">
      <c r="A12" s="29">
        <v>6</v>
      </c>
      <c r="B12" s="26" t="s">
        <v>212</v>
      </c>
      <c r="C12" s="657">
        <v>10.59</v>
      </c>
      <c r="D12" s="657">
        <v>10.59</v>
      </c>
      <c r="E12" s="657">
        <v>6.63</v>
      </c>
      <c r="F12" s="61">
        <f t="shared" si="0"/>
        <v>17.22</v>
      </c>
      <c r="G12" s="657">
        <v>156303.45000000001</v>
      </c>
      <c r="H12" s="657">
        <v>150203.01</v>
      </c>
      <c r="I12" s="657">
        <v>89235.7</v>
      </c>
      <c r="J12" s="163">
        <f t="shared" si="1"/>
        <v>245539.15000000002</v>
      </c>
      <c r="K12" s="429">
        <f t="shared" si="2"/>
        <v>1188.2459833526909</v>
      </c>
      <c r="L12" s="512">
        <v>989.43399999999997</v>
      </c>
      <c r="M12" s="509">
        <v>1177.7739999999999</v>
      </c>
      <c r="N12" s="660">
        <v>1456.9590000000001</v>
      </c>
    </row>
    <row r="13" spans="1:15" x14ac:dyDescent="0.2">
      <c r="A13" s="29">
        <v>7</v>
      </c>
      <c r="B13" s="44" t="s">
        <v>56</v>
      </c>
      <c r="C13" s="657">
        <v>202.92</v>
      </c>
      <c r="D13" s="657">
        <v>187.03</v>
      </c>
      <c r="E13" s="657">
        <v>16.66</v>
      </c>
      <c r="F13" s="61">
        <f t="shared" si="0"/>
        <v>219.57999999999998</v>
      </c>
      <c r="G13" s="657">
        <v>2667051.2200000002</v>
      </c>
      <c r="H13" s="657">
        <v>2380150.12</v>
      </c>
      <c r="I13" s="657">
        <v>383611.98</v>
      </c>
      <c r="J13" s="163">
        <f t="shared" si="1"/>
        <v>3050663.2</v>
      </c>
      <c r="K13" s="429">
        <f t="shared" si="2"/>
        <v>1157.7645201445184</v>
      </c>
      <c r="L13" s="512">
        <v>868.98299999999995</v>
      </c>
      <c r="M13" s="509">
        <v>1061.77</v>
      </c>
      <c r="N13" s="660">
        <v>1425.3510000000001</v>
      </c>
    </row>
    <row r="14" spans="1:15" x14ac:dyDescent="0.2">
      <c r="A14" s="29"/>
      <c r="B14" s="26" t="s">
        <v>274</v>
      </c>
      <c r="C14" s="658"/>
      <c r="D14" s="658"/>
      <c r="E14" s="658"/>
      <c r="F14" s="157"/>
      <c r="G14" s="658"/>
      <c r="H14" s="658"/>
      <c r="I14" s="658"/>
      <c r="J14" s="376"/>
      <c r="K14" s="429"/>
      <c r="L14" s="512"/>
      <c r="M14" s="509"/>
      <c r="N14" s="660"/>
    </row>
    <row r="15" spans="1:15" x14ac:dyDescent="0.2">
      <c r="A15" s="29">
        <v>8</v>
      </c>
      <c r="B15" s="26" t="s">
        <v>60</v>
      </c>
      <c r="C15" s="657">
        <v>49.24</v>
      </c>
      <c r="D15" s="657">
        <v>49.24</v>
      </c>
      <c r="E15" s="657">
        <v>3.4</v>
      </c>
      <c r="F15" s="61">
        <f t="shared" ref="F15:F21" si="3">C15+E15</f>
        <v>52.64</v>
      </c>
      <c r="G15" s="657">
        <v>821606.79</v>
      </c>
      <c r="H15" s="657">
        <v>821548.76</v>
      </c>
      <c r="I15" s="657">
        <v>94821.24</v>
      </c>
      <c r="J15" s="163">
        <f t="shared" ref="J15:J21" si="4">G15+I15</f>
        <v>916428.03</v>
      </c>
      <c r="K15" s="429">
        <f t="shared" si="2"/>
        <v>1450.7789228723404</v>
      </c>
      <c r="L15" s="512">
        <v>1055.7829999999999</v>
      </c>
      <c r="M15" s="509">
        <v>1406.354</v>
      </c>
      <c r="N15" s="660">
        <v>1666.508</v>
      </c>
    </row>
    <row r="16" spans="1:15" x14ac:dyDescent="0.2">
      <c r="A16" s="29">
        <v>9</v>
      </c>
      <c r="B16" s="44" t="s">
        <v>254</v>
      </c>
      <c r="C16" s="61">
        <f>SUM(C17:C19)</f>
        <v>214.99</v>
      </c>
      <c r="D16" s="61">
        <f>SUM(D17:D19)</f>
        <v>211.1</v>
      </c>
      <c r="E16" s="61">
        <f>SUM(E17:E19)</f>
        <v>22.01</v>
      </c>
      <c r="F16" s="61">
        <f t="shared" si="3"/>
        <v>237</v>
      </c>
      <c r="G16" s="61">
        <f>SUM(G17:G19)</f>
        <v>2889973.42</v>
      </c>
      <c r="H16" s="61">
        <f>SUM(H17:H19)</f>
        <v>2823328.79</v>
      </c>
      <c r="I16" s="61">
        <f>SUM(I17:I19)</f>
        <v>585604.55000000005</v>
      </c>
      <c r="J16" s="163">
        <f t="shared" si="4"/>
        <v>3475577.9699999997</v>
      </c>
      <c r="K16" s="429">
        <f t="shared" si="2"/>
        <v>1222.0738291139239</v>
      </c>
      <c r="L16" s="512">
        <v>926.19299999999998</v>
      </c>
      <c r="M16" s="509">
        <v>1064.298</v>
      </c>
      <c r="N16" s="660">
        <v>1301.836</v>
      </c>
    </row>
    <row r="17" spans="1:15" x14ac:dyDescent="0.2">
      <c r="A17" s="29">
        <v>10</v>
      </c>
      <c r="B17" s="26" t="s">
        <v>213</v>
      </c>
      <c r="C17" s="657">
        <v>79.13</v>
      </c>
      <c r="D17" s="657">
        <v>75.239999999999995</v>
      </c>
      <c r="E17" s="657">
        <v>2.81</v>
      </c>
      <c r="F17" s="61">
        <f t="shared" si="3"/>
        <v>81.94</v>
      </c>
      <c r="G17" s="657">
        <v>1178966.97</v>
      </c>
      <c r="H17" s="657">
        <v>1112345.1200000001</v>
      </c>
      <c r="I17" s="657">
        <v>56778.9</v>
      </c>
      <c r="J17" s="163">
        <f t="shared" si="4"/>
        <v>1235745.8699999999</v>
      </c>
      <c r="K17" s="429">
        <f t="shared" si="2"/>
        <v>1256.7588784476445</v>
      </c>
      <c r="L17" s="512">
        <v>909.14300000000003</v>
      </c>
      <c r="M17" s="509">
        <v>1107.8679999999999</v>
      </c>
      <c r="N17" s="660">
        <v>1277.768</v>
      </c>
    </row>
    <row r="18" spans="1:15" x14ac:dyDescent="0.2">
      <c r="A18" s="29">
        <v>11</v>
      </c>
      <c r="B18" s="26" t="s">
        <v>165</v>
      </c>
      <c r="C18" s="657">
        <v>79.400000000000006</v>
      </c>
      <c r="D18" s="657">
        <v>79.400000000000006</v>
      </c>
      <c r="E18" s="657">
        <v>12.39</v>
      </c>
      <c r="F18" s="61">
        <f t="shared" si="3"/>
        <v>91.79</v>
      </c>
      <c r="G18" s="657">
        <v>1090632.47</v>
      </c>
      <c r="H18" s="657">
        <v>1090609.69</v>
      </c>
      <c r="I18" s="657">
        <v>371830.26</v>
      </c>
      <c r="J18" s="163">
        <f t="shared" si="4"/>
        <v>1462462.73</v>
      </c>
      <c r="K18" s="429">
        <f t="shared" si="2"/>
        <v>1327.725178850274</v>
      </c>
      <c r="L18" s="512">
        <v>938.86599999999999</v>
      </c>
      <c r="M18" s="509">
        <v>1156.8489999999999</v>
      </c>
      <c r="N18" s="660">
        <v>1445.356</v>
      </c>
    </row>
    <row r="19" spans="1:15" x14ac:dyDescent="0.2">
      <c r="A19" s="29">
        <v>12</v>
      </c>
      <c r="B19" s="26" t="s">
        <v>153</v>
      </c>
      <c r="C19" s="657">
        <v>56.46</v>
      </c>
      <c r="D19" s="657">
        <v>56.46</v>
      </c>
      <c r="E19" s="657">
        <v>6.81</v>
      </c>
      <c r="F19" s="61">
        <f t="shared" si="3"/>
        <v>63.27</v>
      </c>
      <c r="G19" s="657">
        <v>620373.98</v>
      </c>
      <c r="H19" s="657">
        <v>620373.98</v>
      </c>
      <c r="I19" s="657">
        <v>156995.39000000001</v>
      </c>
      <c r="J19" s="163">
        <f t="shared" si="4"/>
        <v>777369.37</v>
      </c>
      <c r="K19" s="429">
        <f t="shared" si="2"/>
        <v>1023.8783125230493</v>
      </c>
      <c r="L19" s="512">
        <v>884.51</v>
      </c>
      <c r="M19" s="509">
        <v>996.27200000000005</v>
      </c>
      <c r="N19" s="660">
        <v>1104.5119999999999</v>
      </c>
    </row>
    <row r="20" spans="1:15" x14ac:dyDescent="0.2">
      <c r="A20" s="29">
        <v>13</v>
      </c>
      <c r="B20" s="44" t="s">
        <v>251</v>
      </c>
      <c r="C20" s="657">
        <v>111.7</v>
      </c>
      <c r="D20" s="657">
        <v>101.6</v>
      </c>
      <c r="E20" s="657">
        <v>20.3</v>
      </c>
      <c r="F20" s="61">
        <f t="shared" si="3"/>
        <v>132</v>
      </c>
      <c r="G20" s="657">
        <v>2143411.35</v>
      </c>
      <c r="H20" s="657">
        <v>1950703.03</v>
      </c>
      <c r="I20" s="657">
        <v>791645.69</v>
      </c>
      <c r="J20" s="163">
        <f t="shared" si="4"/>
        <v>2935057.04</v>
      </c>
      <c r="K20" s="429">
        <f t="shared" si="2"/>
        <v>1852.9400505050505</v>
      </c>
      <c r="L20" s="512">
        <v>1097.625</v>
      </c>
      <c r="M20" s="509">
        <v>1512.848</v>
      </c>
      <c r="N20" s="660">
        <v>2001.4960000000001</v>
      </c>
    </row>
    <row r="21" spans="1:15" ht="31.5" x14ac:dyDescent="0.2">
      <c r="A21" s="29">
        <v>14</v>
      </c>
      <c r="B21" s="44" t="s">
        <v>57</v>
      </c>
      <c r="C21" s="657">
        <v>145.78</v>
      </c>
      <c r="D21" s="657">
        <v>145.78</v>
      </c>
      <c r="E21" s="657">
        <v>13.32</v>
      </c>
      <c r="F21" s="61">
        <f t="shared" si="3"/>
        <v>159.1</v>
      </c>
      <c r="G21" s="657">
        <v>1353204.61</v>
      </c>
      <c r="H21" s="657">
        <v>1351709.92</v>
      </c>
      <c r="I21" s="657">
        <v>241124.78</v>
      </c>
      <c r="J21" s="163">
        <f t="shared" si="4"/>
        <v>1594329.3900000001</v>
      </c>
      <c r="K21" s="429">
        <f t="shared" si="2"/>
        <v>835.077199874293</v>
      </c>
      <c r="L21" s="512">
        <v>635.673</v>
      </c>
      <c r="M21" s="509">
        <v>749.11099999999999</v>
      </c>
      <c r="N21" s="660">
        <v>963.76</v>
      </c>
    </row>
    <row r="22" spans="1:15" ht="47.25" x14ac:dyDescent="0.2">
      <c r="A22" s="29">
        <v>15</v>
      </c>
      <c r="B22" s="44" t="s">
        <v>292</v>
      </c>
      <c r="C22" s="61">
        <f>SUM(C23:C26)</f>
        <v>38.85</v>
      </c>
      <c r="D22" s="61">
        <f>SUM(D23:D26)</f>
        <v>38.85</v>
      </c>
      <c r="E22" s="61">
        <f>SUM(E23:E26)</f>
        <v>0</v>
      </c>
      <c r="F22" s="61">
        <f>SUM(F27:F27)</f>
        <v>0</v>
      </c>
      <c r="G22" s="61">
        <f>SUM(G23:G26)</f>
        <v>454391.77</v>
      </c>
      <c r="H22" s="61">
        <f>SUM(H23:H26)</f>
        <v>454391.77</v>
      </c>
      <c r="I22" s="61">
        <f>SUM(I23:I26)</f>
        <v>8605</v>
      </c>
      <c r="J22" s="163">
        <f>SUM(J23:J26)</f>
        <v>462996.77</v>
      </c>
      <c r="K22" s="429">
        <f t="shared" si="2"/>
        <v>0</v>
      </c>
      <c r="L22" s="592" t="s">
        <v>285</v>
      </c>
      <c r="M22" s="24" t="s">
        <v>285</v>
      </c>
      <c r="N22" s="595" t="s">
        <v>285</v>
      </c>
    </row>
    <row r="23" spans="1:15" x14ac:dyDescent="0.2">
      <c r="A23" s="29" t="s">
        <v>252</v>
      </c>
      <c r="B23" s="45" t="s">
        <v>1260</v>
      </c>
      <c r="C23" s="657">
        <v>38.85</v>
      </c>
      <c r="D23" s="657">
        <v>38.85</v>
      </c>
      <c r="E23" s="155"/>
      <c r="F23" s="61">
        <f t="shared" ref="F23:F29" si="5">C23+E23</f>
        <v>38.85</v>
      </c>
      <c r="G23" s="657">
        <v>454391.77</v>
      </c>
      <c r="H23" s="657">
        <v>454391.77</v>
      </c>
      <c r="I23" s="657">
        <v>8605</v>
      </c>
      <c r="J23" s="163">
        <f>G23+I23</f>
        <v>462996.77</v>
      </c>
      <c r="K23" s="429">
        <f t="shared" si="2"/>
        <v>993.12906477906472</v>
      </c>
      <c r="L23" s="592" t="s">
        <v>285</v>
      </c>
      <c r="M23" s="24" t="s">
        <v>285</v>
      </c>
      <c r="N23" s="595" t="s">
        <v>285</v>
      </c>
    </row>
    <row r="24" spans="1:15" x14ac:dyDescent="0.2">
      <c r="A24" s="29" t="s">
        <v>359</v>
      </c>
      <c r="B24" s="45"/>
      <c r="C24" s="155"/>
      <c r="D24" s="155"/>
      <c r="E24" s="155"/>
      <c r="F24" s="61">
        <f t="shared" si="5"/>
        <v>0</v>
      </c>
      <c r="G24" s="155"/>
      <c r="H24" s="155"/>
      <c r="I24" s="155"/>
      <c r="J24" s="163">
        <f>G24+I24</f>
        <v>0</v>
      </c>
      <c r="K24" s="429">
        <f t="shared" si="2"/>
        <v>0</v>
      </c>
      <c r="L24" s="592" t="s">
        <v>285</v>
      </c>
      <c r="M24" s="24" t="s">
        <v>285</v>
      </c>
      <c r="N24" s="595" t="s">
        <v>285</v>
      </c>
    </row>
    <row r="25" spans="1:15" x14ac:dyDescent="0.2">
      <c r="A25" s="29" t="s">
        <v>360</v>
      </c>
      <c r="B25" s="45"/>
      <c r="C25" s="155"/>
      <c r="D25" s="155"/>
      <c r="E25" s="155"/>
      <c r="F25" s="61">
        <f t="shared" si="5"/>
        <v>0</v>
      </c>
      <c r="G25" s="155"/>
      <c r="H25" s="155"/>
      <c r="I25" s="155"/>
      <c r="J25" s="163">
        <f>G25+I25</f>
        <v>0</v>
      </c>
      <c r="K25" s="429">
        <f t="shared" si="2"/>
        <v>0</v>
      </c>
      <c r="L25" s="592" t="s">
        <v>285</v>
      </c>
      <c r="M25" s="24" t="s">
        <v>285</v>
      </c>
      <c r="N25" s="595" t="s">
        <v>285</v>
      </c>
    </row>
    <row r="26" spans="1:15" ht="16.5" customHeight="1" x14ac:dyDescent="0.2">
      <c r="A26" s="29" t="s">
        <v>361</v>
      </c>
      <c r="B26" s="45"/>
      <c r="C26" s="155"/>
      <c r="D26" s="155"/>
      <c r="E26" s="155"/>
      <c r="F26" s="61">
        <f t="shared" si="5"/>
        <v>0</v>
      </c>
      <c r="G26" s="155"/>
      <c r="H26" s="155"/>
      <c r="I26" s="155"/>
      <c r="J26" s="163">
        <f>G26+I26</f>
        <v>0</v>
      </c>
      <c r="K26" s="429">
        <f t="shared" si="2"/>
        <v>0</v>
      </c>
      <c r="L26" s="592" t="s">
        <v>285</v>
      </c>
      <c r="M26" s="24" t="s">
        <v>285</v>
      </c>
      <c r="N26" s="595" t="s">
        <v>285</v>
      </c>
    </row>
    <row r="27" spans="1:15" x14ac:dyDescent="0.2">
      <c r="A27" s="29"/>
      <c r="B27" s="26"/>
      <c r="C27" s="156"/>
      <c r="D27" s="156"/>
      <c r="E27" s="156"/>
      <c r="F27" s="157">
        <f t="shared" si="5"/>
        <v>0</v>
      </c>
      <c r="G27" s="156"/>
      <c r="H27" s="156"/>
      <c r="I27" s="156"/>
      <c r="J27" s="376"/>
      <c r="K27" s="429"/>
      <c r="L27" s="593"/>
      <c r="M27" s="509"/>
      <c r="N27" s="594"/>
    </row>
    <row r="28" spans="1:15" x14ac:dyDescent="0.2">
      <c r="A28" s="29">
        <v>16</v>
      </c>
      <c r="B28" s="44" t="s">
        <v>58</v>
      </c>
      <c r="C28" s="657">
        <v>40.020000000000003</v>
      </c>
      <c r="D28" s="657">
        <v>40.020000000000003</v>
      </c>
      <c r="E28" s="657">
        <v>19.48</v>
      </c>
      <c r="F28" s="61">
        <f t="shared" si="5"/>
        <v>59.5</v>
      </c>
      <c r="G28" s="657">
        <v>423598.16</v>
      </c>
      <c r="H28" s="657">
        <v>423598.16</v>
      </c>
      <c r="I28" s="657">
        <v>192402.6</v>
      </c>
      <c r="J28" s="163">
        <f>G28+I28</f>
        <v>616000.76</v>
      </c>
      <c r="K28" s="429">
        <f t="shared" si="2"/>
        <v>862.74616246498601</v>
      </c>
      <c r="L28" s="512">
        <v>688.66600000000005</v>
      </c>
      <c r="M28" s="509">
        <v>770.18399999999997</v>
      </c>
      <c r="N28" s="660">
        <v>1078.1489999999999</v>
      </c>
    </row>
    <row r="29" spans="1:15" x14ac:dyDescent="0.2">
      <c r="A29" s="29">
        <v>17</v>
      </c>
      <c r="B29" s="44" t="s">
        <v>59</v>
      </c>
      <c r="C29" s="657">
        <v>3.62</v>
      </c>
      <c r="D29" s="657">
        <v>3.62</v>
      </c>
      <c r="E29" s="657">
        <v>39.603999999999999</v>
      </c>
      <c r="F29" s="61">
        <f t="shared" si="5"/>
        <v>43.223999999999997</v>
      </c>
      <c r="G29" s="657">
        <v>48134.86</v>
      </c>
      <c r="H29" s="657">
        <v>48134.86</v>
      </c>
      <c r="I29" s="657">
        <v>351206.94</v>
      </c>
      <c r="J29" s="163">
        <f>G29+I29</f>
        <v>399341.8</v>
      </c>
      <c r="K29" s="429">
        <f t="shared" si="2"/>
        <v>769.9075359368253</v>
      </c>
      <c r="L29" s="512">
        <v>563.75</v>
      </c>
      <c r="M29" s="509">
        <v>695.04700000000003</v>
      </c>
      <c r="N29" s="660">
        <v>821.97799999999995</v>
      </c>
    </row>
    <row r="30" spans="1:15" ht="111.75" customHeight="1" thickBot="1" x14ac:dyDescent="0.25">
      <c r="A30" s="30">
        <v>18</v>
      </c>
      <c r="B30" s="46" t="s">
        <v>293</v>
      </c>
      <c r="C30" s="62">
        <f t="shared" ref="C30:J30" si="6">C7+C13+C16+C20+C21+C28+C29</f>
        <v>1318.06</v>
      </c>
      <c r="D30" s="62">
        <f t="shared" si="6"/>
        <v>1286.9999999999998</v>
      </c>
      <c r="E30" s="62">
        <f t="shared" si="6"/>
        <v>210.68399999999997</v>
      </c>
      <c r="F30" s="62">
        <f t="shared" si="6"/>
        <v>1528.7439999999999</v>
      </c>
      <c r="G30" s="62">
        <f t="shared" si="6"/>
        <v>21873075.390000001</v>
      </c>
      <c r="H30" s="62">
        <f t="shared" si="6"/>
        <v>21062858.129999999</v>
      </c>
      <c r="I30" s="62">
        <f t="shared" si="6"/>
        <v>7518870.1000000015</v>
      </c>
      <c r="J30" s="164">
        <f t="shared" si="6"/>
        <v>29391945.489999998</v>
      </c>
      <c r="K30" s="430">
        <f t="shared" si="2"/>
        <v>1602.1837474641491</v>
      </c>
      <c r="L30" s="513">
        <v>1009.3390000000001</v>
      </c>
      <c r="M30" s="514">
        <v>1414.298</v>
      </c>
      <c r="N30" s="515">
        <v>2002.299</v>
      </c>
      <c r="O30" s="709"/>
    </row>
    <row r="31" spans="1:15" ht="16.5" thickBot="1" x14ac:dyDescent="0.25">
      <c r="A31" s="17"/>
      <c r="B31" s="17"/>
      <c r="C31" s="20"/>
      <c r="D31" s="17"/>
      <c r="E31" s="17"/>
      <c r="F31" s="20"/>
      <c r="G31" s="20"/>
      <c r="H31" s="20"/>
      <c r="I31" s="20"/>
      <c r="J31" s="20"/>
    </row>
    <row r="32" spans="1:15" ht="16.5" thickBot="1" x14ac:dyDescent="0.3">
      <c r="A32" s="779" t="s">
        <v>10</v>
      </c>
      <c r="B32" s="780"/>
      <c r="C32" s="780"/>
      <c r="D32" s="780"/>
      <c r="E32" s="780"/>
      <c r="F32" s="780"/>
      <c r="G32" s="780"/>
      <c r="H32" s="780"/>
      <c r="I32" s="780"/>
      <c r="J32" s="780"/>
      <c r="L32" s="596" t="s">
        <v>937</v>
      </c>
      <c r="M32" s="597"/>
      <c r="N32" s="598"/>
    </row>
    <row r="33" spans="1:10" x14ac:dyDescent="0.25">
      <c r="A33" s="788" t="s">
        <v>808</v>
      </c>
      <c r="B33" s="789"/>
      <c r="C33" s="789"/>
      <c r="D33" s="789"/>
      <c r="E33" s="789"/>
      <c r="F33" s="789"/>
      <c r="G33" s="789"/>
      <c r="H33" s="789"/>
      <c r="I33" s="789"/>
      <c r="J33" s="790"/>
    </row>
    <row r="34" spans="1:10" ht="50.25" customHeight="1" x14ac:dyDescent="0.2">
      <c r="B34" s="786" t="s">
        <v>1136</v>
      </c>
      <c r="C34" s="786"/>
      <c r="D34" s="786"/>
      <c r="E34" s="786"/>
      <c r="F34" s="786"/>
      <c r="G34" s="786"/>
      <c r="H34" s="786"/>
      <c r="I34" s="786"/>
      <c r="J34" s="786"/>
    </row>
    <row r="35" spans="1:10" x14ac:dyDescent="0.2">
      <c r="B35" s="616" t="s">
        <v>694</v>
      </c>
      <c r="C35" s="617"/>
      <c r="D35" s="617"/>
      <c r="E35" s="617"/>
      <c r="F35" s="617"/>
      <c r="G35" s="617"/>
      <c r="H35" s="617"/>
      <c r="I35" s="617"/>
      <c r="J35" s="617"/>
    </row>
    <row r="36" spans="1:10" x14ac:dyDescent="0.2">
      <c r="B36" s="616" t="s">
        <v>695</v>
      </c>
      <c r="C36" s="617"/>
      <c r="D36" s="617"/>
      <c r="E36" s="617"/>
      <c r="F36" s="617"/>
      <c r="G36" s="617"/>
      <c r="H36" s="617"/>
      <c r="I36" s="617"/>
      <c r="J36" s="617"/>
    </row>
    <row r="37" spans="1:10" x14ac:dyDescent="0.2">
      <c r="B37" s="616" t="s">
        <v>696</v>
      </c>
      <c r="C37" s="617"/>
      <c r="D37" s="617"/>
      <c r="E37" s="617"/>
      <c r="F37" s="617"/>
      <c r="G37" s="617"/>
      <c r="H37" s="617"/>
      <c r="I37" s="617"/>
      <c r="J37" s="617"/>
    </row>
    <row r="38" spans="1:10" x14ac:dyDescent="0.2">
      <c r="B38" s="618"/>
      <c r="C38" s="617"/>
      <c r="D38" s="617"/>
      <c r="E38" s="617"/>
      <c r="F38" s="617"/>
      <c r="G38" s="617"/>
      <c r="H38" s="617"/>
      <c r="I38" s="617"/>
      <c r="J38" s="617"/>
    </row>
  </sheetData>
  <mergeCells count="19">
    <mergeCell ref="L3:L5"/>
    <mergeCell ref="M3:M5"/>
    <mergeCell ref="N3:N5"/>
    <mergeCell ref="A1:K1"/>
    <mergeCell ref="A2:K2"/>
    <mergeCell ref="J3:J5"/>
    <mergeCell ref="A32:J32"/>
    <mergeCell ref="C3:F3"/>
    <mergeCell ref="H3:H4"/>
    <mergeCell ref="K3:K5"/>
    <mergeCell ref="B34:J34"/>
    <mergeCell ref="G3:G5"/>
    <mergeCell ref="I3:I5"/>
    <mergeCell ref="C4:C5"/>
    <mergeCell ref="A33:J33"/>
    <mergeCell ref="E4:E5"/>
    <mergeCell ref="F4:F5"/>
    <mergeCell ref="B3:B5"/>
    <mergeCell ref="A3:A5"/>
  </mergeCells>
  <phoneticPr fontId="0" type="noConversion"/>
  <printOptions gridLines="1"/>
  <pageMargins left="0.47244094488188981" right="0.31496062992125984" top="0.74803149606299213" bottom="0.39370078740157483" header="0.51181102362204722" footer="0.27559055118110237"/>
  <pageSetup paperSize="9" scale="5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70" zoomScaleNormal="70" workbookViewId="0">
      <pane xSplit="2" ySplit="6" topLeftCell="C22" activePane="bottomRight" state="frozen"/>
      <selection pane="topRight" activeCell="C1" sqref="C1"/>
      <selection pane="bottomLeft" activeCell="A7" sqref="A7"/>
      <selection pane="bottomRight" activeCell="S30" sqref="S30"/>
    </sheetView>
  </sheetViews>
  <sheetFormatPr defaultRowHeight="15.75" x14ac:dyDescent="0.2"/>
  <cols>
    <col min="1" max="1" width="5.5703125" style="23" customWidth="1"/>
    <col min="2" max="2" width="60.28515625" style="48" customWidth="1"/>
    <col min="3" max="3" width="14.7109375" style="18" customWidth="1"/>
    <col min="4" max="4" width="14" style="18" customWidth="1"/>
    <col min="5" max="5" width="15.85546875" style="18" customWidth="1"/>
    <col min="6" max="6" width="15.7109375" style="18" customWidth="1"/>
    <col min="7" max="7" width="19.140625" style="18" customWidth="1"/>
    <col min="8" max="8" width="18.7109375" style="18" customWidth="1"/>
    <col min="9" max="9" width="17.140625" style="18" customWidth="1"/>
    <col min="10" max="10" width="17.7109375" style="18" bestFit="1" customWidth="1"/>
    <col min="11" max="11" width="13.28515625" style="18" customWidth="1"/>
    <col min="12" max="12" width="12.42578125" style="18" customWidth="1"/>
    <col min="13" max="13" width="10.7109375" style="18" customWidth="1"/>
    <col min="14" max="15" width="11.28515625" style="18" customWidth="1"/>
    <col min="16" max="16" width="3.5703125" style="18" customWidth="1"/>
    <col min="17" max="18" width="3.85546875" style="18" customWidth="1"/>
    <col min="19" max="16384" width="9.140625" style="18"/>
  </cols>
  <sheetData>
    <row r="1" spans="1:15" ht="35.1" customHeight="1" thickBot="1" x14ac:dyDescent="0.25">
      <c r="A1" s="810" t="s">
        <v>996</v>
      </c>
      <c r="B1" s="811"/>
      <c r="C1" s="811"/>
      <c r="D1" s="811"/>
      <c r="E1" s="811"/>
      <c r="F1" s="811"/>
      <c r="G1" s="811"/>
      <c r="H1" s="811"/>
      <c r="I1" s="811"/>
      <c r="J1" s="811"/>
      <c r="K1" s="811"/>
    </row>
    <row r="2" spans="1:15" ht="35.450000000000003" customHeight="1" thickBot="1" x14ac:dyDescent="0.25">
      <c r="A2" s="775" t="s">
        <v>365</v>
      </c>
      <c r="B2" s="776"/>
      <c r="C2" s="776"/>
      <c r="D2" s="776"/>
      <c r="E2" s="776"/>
      <c r="F2" s="776"/>
      <c r="G2" s="776"/>
      <c r="H2" s="776"/>
      <c r="I2" s="776"/>
      <c r="J2" s="776"/>
      <c r="K2" s="776"/>
      <c r="L2" s="602" t="s">
        <v>838</v>
      </c>
      <c r="M2" s="531"/>
      <c r="N2" s="531"/>
      <c r="O2" s="531"/>
    </row>
    <row r="3" spans="1:15" ht="21" customHeight="1" x14ac:dyDescent="0.2">
      <c r="A3" s="792" t="s">
        <v>180</v>
      </c>
      <c r="B3" s="812" t="s">
        <v>958</v>
      </c>
      <c r="C3" s="781" t="s">
        <v>1112</v>
      </c>
      <c r="D3" s="781"/>
      <c r="E3" s="781"/>
      <c r="F3" s="781"/>
      <c r="G3" s="781" t="s">
        <v>712</v>
      </c>
      <c r="H3" s="782" t="s">
        <v>274</v>
      </c>
      <c r="I3" s="781" t="s">
        <v>714</v>
      </c>
      <c r="J3" s="805" t="s">
        <v>715</v>
      </c>
      <c r="K3" s="814" t="s">
        <v>839</v>
      </c>
      <c r="L3" s="808" t="s">
        <v>1111</v>
      </c>
      <c r="M3" s="794" t="s">
        <v>935</v>
      </c>
      <c r="N3" s="797" t="s">
        <v>959</v>
      </c>
      <c r="O3" s="800" t="s">
        <v>936</v>
      </c>
    </row>
    <row r="4" spans="1:15" ht="34.5" customHeight="1" x14ac:dyDescent="0.2">
      <c r="A4" s="793"/>
      <c r="B4" s="813"/>
      <c r="C4" s="787" t="s">
        <v>840</v>
      </c>
      <c r="D4" s="14" t="s">
        <v>274</v>
      </c>
      <c r="E4" s="787" t="s">
        <v>842</v>
      </c>
      <c r="F4" s="787" t="s">
        <v>843</v>
      </c>
      <c r="G4" s="787"/>
      <c r="H4" s="783"/>
      <c r="I4" s="787"/>
      <c r="J4" s="806"/>
      <c r="K4" s="814"/>
      <c r="L4" s="808"/>
      <c r="M4" s="795"/>
      <c r="N4" s="798"/>
      <c r="O4" s="801"/>
    </row>
    <row r="5" spans="1:15" s="74" customFormat="1" ht="63.75" thickBot="1" x14ac:dyDescent="0.25">
      <c r="A5" s="793"/>
      <c r="B5" s="813"/>
      <c r="C5" s="787"/>
      <c r="D5" s="97" t="s">
        <v>841</v>
      </c>
      <c r="E5" s="787"/>
      <c r="F5" s="787"/>
      <c r="G5" s="787"/>
      <c r="H5" s="14" t="s">
        <v>713</v>
      </c>
      <c r="I5" s="787"/>
      <c r="J5" s="806"/>
      <c r="K5" s="815"/>
      <c r="L5" s="809"/>
      <c r="M5" s="796"/>
      <c r="N5" s="799"/>
      <c r="O5" s="802"/>
    </row>
    <row r="6" spans="1:15" s="75" customFormat="1" ht="18" customHeight="1" thickBot="1" x14ac:dyDescent="0.25">
      <c r="A6" s="140"/>
      <c r="B6" s="63"/>
      <c r="C6" s="16" t="s">
        <v>257</v>
      </c>
      <c r="D6" s="16" t="s">
        <v>258</v>
      </c>
      <c r="E6" s="16" t="s">
        <v>259</v>
      </c>
      <c r="F6" s="16" t="s">
        <v>163</v>
      </c>
      <c r="G6" s="16" t="s">
        <v>260</v>
      </c>
      <c r="H6" s="16" t="s">
        <v>261</v>
      </c>
      <c r="I6" s="16" t="s">
        <v>262</v>
      </c>
      <c r="J6" s="374" t="s">
        <v>164</v>
      </c>
      <c r="K6" s="432" t="s">
        <v>806</v>
      </c>
      <c r="L6" s="599" t="s">
        <v>683</v>
      </c>
      <c r="M6" s="532"/>
      <c r="N6" s="532"/>
      <c r="O6" s="532"/>
    </row>
    <row r="7" spans="1:15" s="21" customFormat="1" x14ac:dyDescent="0.2">
      <c r="A7" s="29">
        <v>1</v>
      </c>
      <c r="B7" s="44" t="s">
        <v>253</v>
      </c>
      <c r="C7" s="61">
        <f>SUM(C8:C12)</f>
        <v>316.97999999999996</v>
      </c>
      <c r="D7" s="61">
        <f>SUM(D8:D12)</f>
        <v>316.97999999999996</v>
      </c>
      <c r="E7" s="61">
        <f>SUM(E8:E12)</f>
        <v>40.830000000000005</v>
      </c>
      <c r="F7" s="61">
        <f t="shared" ref="F7:F13" si="0">C7+E7</f>
        <v>357.80999999999995</v>
      </c>
      <c r="G7" s="61">
        <f>SUM(G8:G12)</f>
        <v>5764158.2600000007</v>
      </c>
      <c r="H7" s="61">
        <f>SUM(H8:H12)</f>
        <v>5762444.0700000012</v>
      </c>
      <c r="I7" s="61">
        <f>SUM(I8:I12)</f>
        <v>2495660.2599999998</v>
      </c>
      <c r="J7" s="163">
        <f t="shared" ref="J7:J13" si="1">G7+I7</f>
        <v>8259818.5200000005</v>
      </c>
      <c r="K7" s="429">
        <f>IF(F7=0,0,J7/F7/12)</f>
        <v>1923.6975210307148</v>
      </c>
      <c r="L7" s="600">
        <f>IF('T6-Zamestnanci_a_mzdy'!F7-'T6a-Zamestnanci_a_mzdy (ženy)'!F7=0,0,('T6-Zamestnanci_a_mzdy'!J7-'T6a-Zamestnanci_a_mzdy (ženy)'!J7)/('T6-Zamestnanci_a_mzdy'!F7-'T6a-Zamestnanci_a_mzdy (ženy)'!F7)/12)</f>
        <v>2355.7745010867407</v>
      </c>
      <c r="M7" s="661">
        <v>1304.289</v>
      </c>
      <c r="N7" s="662">
        <v>1608.066</v>
      </c>
      <c r="O7" s="663">
        <v>2151.067</v>
      </c>
    </row>
    <row r="8" spans="1:15" ht="31.5" x14ac:dyDescent="0.2">
      <c r="A8" s="29">
        <v>2</v>
      </c>
      <c r="B8" s="26" t="s">
        <v>807</v>
      </c>
      <c r="C8" s="657">
        <v>20.61</v>
      </c>
      <c r="D8" s="657">
        <v>20.62</v>
      </c>
      <c r="E8" s="657">
        <v>6.43</v>
      </c>
      <c r="F8" s="61">
        <f t="shared" si="0"/>
        <v>27.04</v>
      </c>
      <c r="G8" s="657">
        <v>722429.58</v>
      </c>
      <c r="H8" s="657">
        <v>722429.58</v>
      </c>
      <c r="I8" s="657">
        <v>428934.15</v>
      </c>
      <c r="J8" s="163">
        <f t="shared" si="1"/>
        <v>1151363.73</v>
      </c>
      <c r="K8" s="429">
        <f t="shared" ref="K8:K30" si="2">IF(F8=0,0,J8/F8/12)</f>
        <v>3548.3349667159764</v>
      </c>
      <c r="L8" s="600">
        <f>IF('T6-Zamestnanci_a_mzdy'!F8-'T6a-Zamestnanci_a_mzdy (ženy)'!F8=0,0,('T6-Zamestnanci_a_mzdy'!J8-'T6a-Zamestnanci_a_mzdy (ženy)'!J8)/('T6-Zamestnanci_a_mzdy'!F8-'T6a-Zamestnanci_a_mzdy (ženy)'!F8)/12)</f>
        <v>3284.9542477343985</v>
      </c>
      <c r="M8" s="664">
        <v>2533.5390000000002</v>
      </c>
      <c r="N8" s="665">
        <v>3115.4340000000002</v>
      </c>
      <c r="O8" s="666">
        <v>4300.933</v>
      </c>
    </row>
    <row r="9" spans="1:15" x14ac:dyDescent="0.2">
      <c r="A9" s="29">
        <v>3</v>
      </c>
      <c r="B9" s="26" t="s">
        <v>209</v>
      </c>
      <c r="C9" s="657">
        <v>62.35</v>
      </c>
      <c r="D9" s="657">
        <v>62.35</v>
      </c>
      <c r="E9" s="657">
        <v>8.5500000000000007</v>
      </c>
      <c r="F9" s="61">
        <f t="shared" si="0"/>
        <v>70.900000000000006</v>
      </c>
      <c r="G9" s="657">
        <v>1455936.95</v>
      </c>
      <c r="H9" s="657">
        <v>1455838.21</v>
      </c>
      <c r="I9" s="657">
        <v>473021.55</v>
      </c>
      <c r="J9" s="163">
        <f t="shared" si="1"/>
        <v>1928958.5</v>
      </c>
      <c r="K9" s="429">
        <f t="shared" si="2"/>
        <v>2267.2290785143391</v>
      </c>
      <c r="L9" s="600">
        <f>IF('T6-Zamestnanci_a_mzdy'!F9-'T6a-Zamestnanci_a_mzdy (ženy)'!F9=0,0,('T6-Zamestnanci_a_mzdy'!J9-'T6a-Zamestnanci_a_mzdy (ženy)'!J9)/('T6-Zamestnanci_a_mzdy'!F9-'T6a-Zamestnanci_a_mzdy (ženy)'!F9)/12)</f>
        <v>2460.7917180816053</v>
      </c>
      <c r="M9" s="664">
        <v>1586.316</v>
      </c>
      <c r="N9" s="665">
        <v>2035.8510000000001</v>
      </c>
      <c r="O9" s="666">
        <v>2903.3679999999999</v>
      </c>
    </row>
    <row r="10" spans="1:15" ht="31.5" x14ac:dyDescent="0.2">
      <c r="A10" s="29">
        <v>4</v>
      </c>
      <c r="B10" s="26" t="s">
        <v>210</v>
      </c>
      <c r="C10" s="657">
        <v>178.57</v>
      </c>
      <c r="D10" s="657">
        <v>178.57</v>
      </c>
      <c r="E10" s="657">
        <v>17.64</v>
      </c>
      <c r="F10" s="61">
        <f t="shared" si="0"/>
        <v>196.20999999999998</v>
      </c>
      <c r="G10" s="657">
        <v>2929368.63</v>
      </c>
      <c r="H10" s="657">
        <v>2927753.18</v>
      </c>
      <c r="I10" s="657">
        <v>1115291.06</v>
      </c>
      <c r="J10" s="163">
        <f t="shared" si="1"/>
        <v>4044659.69</v>
      </c>
      <c r="K10" s="429">
        <f t="shared" si="2"/>
        <v>1717.8277058593685</v>
      </c>
      <c r="L10" s="600">
        <f>IF('T6-Zamestnanci_a_mzdy'!F10-'T6a-Zamestnanci_a_mzdy (ženy)'!F10=0,0,('T6-Zamestnanci_a_mzdy'!J10-'T6a-Zamestnanci_a_mzdy (ženy)'!J10)/('T6-Zamestnanci_a_mzdy'!F10-'T6a-Zamestnanci_a_mzdy (ženy)'!F10)/12)</f>
        <v>1918.3817672010925</v>
      </c>
      <c r="M10" s="664">
        <v>1263.019</v>
      </c>
      <c r="N10" s="665">
        <v>1538.047</v>
      </c>
      <c r="O10" s="666">
        <v>1977.7339999999999</v>
      </c>
    </row>
    <row r="11" spans="1:15" x14ac:dyDescent="0.2">
      <c r="A11" s="29">
        <v>5</v>
      </c>
      <c r="B11" s="26" t="s">
        <v>211</v>
      </c>
      <c r="C11" s="657">
        <v>49.56</v>
      </c>
      <c r="D11" s="657">
        <v>49.56</v>
      </c>
      <c r="E11" s="657">
        <v>2.4300000000000002</v>
      </c>
      <c r="F11" s="61">
        <f t="shared" si="0"/>
        <v>51.99</v>
      </c>
      <c r="G11" s="657">
        <v>572973.24</v>
      </c>
      <c r="H11" s="657">
        <v>572973.24</v>
      </c>
      <c r="I11" s="657">
        <v>390298.85</v>
      </c>
      <c r="J11" s="163">
        <f t="shared" si="1"/>
        <v>963272.09</v>
      </c>
      <c r="K11" s="429">
        <f t="shared" si="2"/>
        <v>1544.0021959351154</v>
      </c>
      <c r="L11" s="600">
        <f>IF('T6-Zamestnanci_a_mzdy'!F11-'T6a-Zamestnanci_a_mzdy (ženy)'!F11=0,0,('T6-Zamestnanci_a_mzdy'!J11-'T6a-Zamestnanci_a_mzdy (ženy)'!J11)/('T6-Zamestnanci_a_mzdy'!F11-'T6a-Zamestnanci_a_mzdy (ženy)'!F11)/12)</f>
        <v>1608.8322215777264</v>
      </c>
      <c r="M11" s="664">
        <v>1215.9380000000001</v>
      </c>
      <c r="N11" s="665">
        <v>1483.0550000000001</v>
      </c>
      <c r="O11" s="666">
        <v>1779.808</v>
      </c>
    </row>
    <row r="12" spans="1:15" x14ac:dyDescent="0.2">
      <c r="A12" s="29">
        <v>6</v>
      </c>
      <c r="B12" s="26" t="s">
        <v>212</v>
      </c>
      <c r="C12" s="657">
        <v>5.89</v>
      </c>
      <c r="D12" s="657">
        <v>5.88</v>
      </c>
      <c r="E12" s="657">
        <v>5.78</v>
      </c>
      <c r="F12" s="61">
        <f t="shared" si="0"/>
        <v>11.67</v>
      </c>
      <c r="G12" s="657">
        <v>83449.86</v>
      </c>
      <c r="H12" s="657">
        <v>83449.86</v>
      </c>
      <c r="I12" s="657">
        <v>88114.65</v>
      </c>
      <c r="J12" s="163">
        <f t="shared" si="1"/>
        <v>171564.51</v>
      </c>
      <c r="K12" s="429">
        <f t="shared" si="2"/>
        <v>1225.1107540702658</v>
      </c>
      <c r="L12" s="600">
        <f>IF('T6-Zamestnanci_a_mzdy'!F12-'T6a-Zamestnanci_a_mzdy (ženy)'!F12=0,0,('T6-Zamestnanci_a_mzdy'!J12-'T6a-Zamestnanci_a_mzdy (ženy)'!J12)/('T6-Zamestnanci_a_mzdy'!F12-'T6a-Zamestnanci_a_mzdy (ženy)'!F12)/12)</f>
        <v>1110.7303303303308</v>
      </c>
      <c r="M12" s="664">
        <v>973.51</v>
      </c>
      <c r="N12" s="665">
        <v>1177.7739999999999</v>
      </c>
      <c r="O12" s="666">
        <v>1456.9590000000001</v>
      </c>
    </row>
    <row r="13" spans="1:15" x14ac:dyDescent="0.2">
      <c r="A13" s="29">
        <v>7</v>
      </c>
      <c r="B13" s="44" t="s">
        <v>56</v>
      </c>
      <c r="C13" s="657">
        <v>133.58000000000001</v>
      </c>
      <c r="D13" s="657">
        <v>122.83</v>
      </c>
      <c r="E13" s="657">
        <v>9.0299999999999994</v>
      </c>
      <c r="F13" s="61">
        <f t="shared" si="0"/>
        <v>142.61000000000001</v>
      </c>
      <c r="G13" s="657">
        <v>1555181.73</v>
      </c>
      <c r="H13" s="657">
        <v>1373819.18</v>
      </c>
      <c r="I13" s="657">
        <v>210806.47</v>
      </c>
      <c r="J13" s="163">
        <f t="shared" si="1"/>
        <v>1765988.2</v>
      </c>
      <c r="K13" s="429">
        <f t="shared" si="2"/>
        <v>1031.9450482668349</v>
      </c>
      <c r="L13" s="600">
        <f>IF('T6-Zamestnanci_a_mzdy'!F13-'T6a-Zamestnanci_a_mzdy (ženy)'!F13=0,0,('T6-Zamestnanci_a_mzdy'!J13-'T6a-Zamestnanci_a_mzdy (ženy)'!J13)/('T6-Zamestnanci_a_mzdy'!F13-'T6a-Zamestnanci_a_mzdy (ženy)'!F13)/12)</f>
        <v>1390.8828114849948</v>
      </c>
      <c r="M13" s="664">
        <v>832.68799999999999</v>
      </c>
      <c r="N13" s="665">
        <v>962.50800000000004</v>
      </c>
      <c r="O13" s="666">
        <v>1302.845</v>
      </c>
    </row>
    <row r="14" spans="1:15" x14ac:dyDescent="0.2">
      <c r="A14" s="29"/>
      <c r="B14" s="26" t="s">
        <v>274</v>
      </c>
      <c r="C14" s="658"/>
      <c r="D14" s="658"/>
      <c r="E14" s="658"/>
      <c r="F14" s="157"/>
      <c r="G14" s="658"/>
      <c r="H14" s="658"/>
      <c r="I14" s="658"/>
      <c r="J14" s="376"/>
      <c r="K14" s="376"/>
      <c r="L14" s="600"/>
      <c r="M14" s="664"/>
      <c r="N14" s="665"/>
      <c r="O14" s="666"/>
    </row>
    <row r="15" spans="1:15" x14ac:dyDescent="0.2">
      <c r="A15" s="29">
        <v>8</v>
      </c>
      <c r="B15" s="26" t="s">
        <v>60</v>
      </c>
      <c r="C15" s="657">
        <v>14.29</v>
      </c>
      <c r="D15" s="657">
        <v>14.29</v>
      </c>
      <c r="E15" s="657">
        <v>1.39</v>
      </c>
      <c r="F15" s="61">
        <f t="shared" ref="F15:F21" si="3">C15+E15</f>
        <v>15.68</v>
      </c>
      <c r="G15" s="657">
        <v>190703.48</v>
      </c>
      <c r="H15" s="657">
        <v>190645.45</v>
      </c>
      <c r="I15" s="657">
        <v>27495.57</v>
      </c>
      <c r="J15" s="163">
        <f t="shared" ref="J15:J21" si="4">G15+I15</f>
        <v>218199.05000000002</v>
      </c>
      <c r="K15" s="429">
        <f t="shared" si="2"/>
        <v>1159.64631164966</v>
      </c>
      <c r="L15" s="600">
        <f>IF('T6-Zamestnanci_a_mzdy'!F15-'T6a-Zamestnanci_a_mzdy (ženy)'!F15=0,0,('T6-Zamestnanci_a_mzdy'!J15-'T6a-Zamestnanci_a_mzdy (ženy)'!J15)/('T6-Zamestnanci_a_mzdy'!F15-'T6a-Zamestnanci_a_mzdy (ženy)'!F15)/12)</f>
        <v>1574.2897276334777</v>
      </c>
      <c r="M15" s="664">
        <v>951.28099999999995</v>
      </c>
      <c r="N15" s="665">
        <v>1140.681</v>
      </c>
      <c r="O15" s="666">
        <v>1318.5070000000001</v>
      </c>
    </row>
    <row r="16" spans="1:15" x14ac:dyDescent="0.2">
      <c r="A16" s="29">
        <v>9</v>
      </c>
      <c r="B16" s="44" t="s">
        <v>254</v>
      </c>
      <c r="C16" s="61">
        <f>SUM(C17:C19)</f>
        <v>202.33</v>
      </c>
      <c r="D16" s="61">
        <f>SUM(D17:D19)</f>
        <v>198.75</v>
      </c>
      <c r="E16" s="61">
        <f>SUM(E17:E19)</f>
        <v>21.32</v>
      </c>
      <c r="F16" s="61">
        <f t="shared" si="3"/>
        <v>223.65</v>
      </c>
      <c r="G16" s="61">
        <f>SUM(G17:G19)</f>
        <v>2684750.86</v>
      </c>
      <c r="H16" s="61">
        <f>SUM(H17:H19)</f>
        <v>2634327.12</v>
      </c>
      <c r="I16" s="61">
        <f>SUM(I17:I19)</f>
        <v>570393.26</v>
      </c>
      <c r="J16" s="163">
        <f t="shared" si="4"/>
        <v>3255144.12</v>
      </c>
      <c r="K16" s="429">
        <f t="shared" si="2"/>
        <v>1212.8862508383636</v>
      </c>
      <c r="L16" s="600">
        <f>IF('T6-Zamestnanci_a_mzdy'!F16-'T6a-Zamestnanci_a_mzdy (ženy)'!F16=0,0,('T6-Zamestnanci_a_mzdy'!J16-'T6a-Zamestnanci_a_mzdy (ženy)'!J16)/('T6-Zamestnanci_a_mzdy'!F16-'T6a-Zamestnanci_a_mzdy (ženy)'!F16)/12)</f>
        <v>1375.9915730337061</v>
      </c>
      <c r="M16" s="664">
        <v>927.923</v>
      </c>
      <c r="N16" s="665">
        <v>1064.298</v>
      </c>
      <c r="O16" s="666">
        <v>1298.3599999999999</v>
      </c>
    </row>
    <row r="17" spans="1:15" x14ac:dyDescent="0.2">
      <c r="A17" s="29">
        <v>10</v>
      </c>
      <c r="B17" s="26" t="s">
        <v>213</v>
      </c>
      <c r="C17" s="657">
        <v>70.739999999999995</v>
      </c>
      <c r="D17" s="657">
        <v>67.16</v>
      </c>
      <c r="E17" s="657">
        <v>2.29</v>
      </c>
      <c r="F17" s="61">
        <f t="shared" si="3"/>
        <v>73.03</v>
      </c>
      <c r="G17" s="657">
        <v>1032644.73</v>
      </c>
      <c r="H17" s="657">
        <v>982243.77</v>
      </c>
      <c r="I17" s="657">
        <v>45534.77</v>
      </c>
      <c r="J17" s="163">
        <f t="shared" si="4"/>
        <v>1078179.5</v>
      </c>
      <c r="K17" s="429">
        <f t="shared" si="2"/>
        <v>1230.292916153179</v>
      </c>
      <c r="L17" s="600">
        <f>IF('T6-Zamestnanci_a_mzdy'!F17-'T6a-Zamestnanci_a_mzdy (ženy)'!F17=0,0,('T6-Zamestnanci_a_mzdy'!J17-'T6a-Zamestnanci_a_mzdy (ženy)'!J17)/('T6-Zamestnanci_a_mzdy'!F17-'T6a-Zamestnanci_a_mzdy (ženy)'!F17)/12)</f>
        <v>1473.6847175458281</v>
      </c>
      <c r="M17" s="664">
        <v>913.33699999999999</v>
      </c>
      <c r="N17" s="665">
        <v>1107.8679999999999</v>
      </c>
      <c r="O17" s="666">
        <v>1277.768</v>
      </c>
    </row>
    <row r="18" spans="1:15" x14ac:dyDescent="0.2">
      <c r="A18" s="29">
        <v>11</v>
      </c>
      <c r="B18" s="26" t="s">
        <v>165</v>
      </c>
      <c r="C18" s="657">
        <v>76.13</v>
      </c>
      <c r="D18" s="657">
        <v>76.13</v>
      </c>
      <c r="E18" s="657">
        <v>12.22</v>
      </c>
      <c r="F18" s="61">
        <f t="shared" si="3"/>
        <v>88.35</v>
      </c>
      <c r="G18" s="657">
        <v>1050388.31</v>
      </c>
      <c r="H18" s="657">
        <v>1050365.53</v>
      </c>
      <c r="I18" s="657">
        <v>368163.1</v>
      </c>
      <c r="J18" s="163">
        <f t="shared" si="4"/>
        <v>1418551.4100000001</v>
      </c>
      <c r="K18" s="429">
        <f t="shared" si="2"/>
        <v>1338.0035936615734</v>
      </c>
      <c r="L18" s="600">
        <f>IF('T6-Zamestnanci_a_mzdy'!F18-'T6a-Zamestnanci_a_mzdy (ženy)'!F18=0,0,('T6-Zamestnanci_a_mzdy'!J18-'T6a-Zamestnanci_a_mzdy (ženy)'!J18)/('T6-Zamestnanci_a_mzdy'!F18-'T6a-Zamestnanci_a_mzdy (ženy)'!F18)/12)</f>
        <v>1063.7432170542559</v>
      </c>
      <c r="M18" s="664">
        <v>944.553</v>
      </c>
      <c r="N18" s="665">
        <v>1157.106</v>
      </c>
      <c r="O18" s="666">
        <v>1445.356</v>
      </c>
    </row>
    <row r="19" spans="1:15" x14ac:dyDescent="0.2">
      <c r="A19" s="29">
        <v>12</v>
      </c>
      <c r="B19" s="26" t="s">
        <v>153</v>
      </c>
      <c r="C19" s="657">
        <v>55.46</v>
      </c>
      <c r="D19" s="657">
        <v>55.46</v>
      </c>
      <c r="E19" s="657">
        <v>6.81</v>
      </c>
      <c r="F19" s="61">
        <f t="shared" si="3"/>
        <v>62.27</v>
      </c>
      <c r="G19" s="657">
        <v>601717.81999999995</v>
      </c>
      <c r="H19" s="657">
        <v>601717.81999999995</v>
      </c>
      <c r="I19" s="657">
        <v>156695.39000000001</v>
      </c>
      <c r="J19" s="163">
        <f t="shared" si="4"/>
        <v>758413.21</v>
      </c>
      <c r="K19" s="429">
        <f t="shared" si="2"/>
        <v>1014.9526390450188</v>
      </c>
      <c r="L19" s="600">
        <f>IF('T6-Zamestnanci_a_mzdy'!F19-'T6a-Zamestnanci_a_mzdy (ženy)'!F19=0,0,('T6-Zamestnanci_a_mzdy'!J19-'T6a-Zamestnanci_a_mzdy (ženy)'!J19)/('T6-Zamestnanci_a_mzdy'!F19-'T6a-Zamestnanci_a_mzdy (ženy)'!F19)/12)</f>
        <v>1579.6800000000028</v>
      </c>
      <c r="M19" s="664">
        <v>884.51</v>
      </c>
      <c r="N19" s="665">
        <v>984.84500000000003</v>
      </c>
      <c r="O19" s="666">
        <v>1104.5119999999999</v>
      </c>
    </row>
    <row r="20" spans="1:15" x14ac:dyDescent="0.2">
      <c r="A20" s="29">
        <v>13</v>
      </c>
      <c r="B20" s="44" t="s">
        <v>251</v>
      </c>
      <c r="C20" s="657">
        <v>57.75</v>
      </c>
      <c r="D20" s="657">
        <v>57.75</v>
      </c>
      <c r="E20" s="657">
        <v>11.78</v>
      </c>
      <c r="F20" s="61">
        <f t="shared" si="3"/>
        <v>69.53</v>
      </c>
      <c r="G20" s="657">
        <v>1005483.25</v>
      </c>
      <c r="H20" s="657">
        <v>1005483.25</v>
      </c>
      <c r="I20" s="657">
        <v>457814.95</v>
      </c>
      <c r="J20" s="163">
        <f t="shared" si="4"/>
        <v>1463298.2</v>
      </c>
      <c r="K20" s="429">
        <f t="shared" si="2"/>
        <v>1753.7971618965432</v>
      </c>
      <c r="L20" s="600">
        <f>IF('T6-Zamestnanci_a_mzdy'!F20-'T6a-Zamestnanci_a_mzdy (ženy)'!F20=0,0,('T6-Zamestnanci_a_mzdy'!J20-'T6a-Zamestnanci_a_mzdy (ženy)'!J20)/('T6-Zamestnanci_a_mzdy'!F20-'T6a-Zamestnanci_a_mzdy (ženy)'!F20)/12)</f>
        <v>1963.2874979990395</v>
      </c>
      <c r="M20" s="664">
        <v>1097.625</v>
      </c>
      <c r="N20" s="665">
        <v>1371.9580000000001</v>
      </c>
      <c r="O20" s="666">
        <v>1868.9269999999999</v>
      </c>
    </row>
    <row r="21" spans="1:15" ht="31.5" x14ac:dyDescent="0.2">
      <c r="A21" s="29">
        <v>14</v>
      </c>
      <c r="B21" s="44" t="s">
        <v>57</v>
      </c>
      <c r="C21" s="657">
        <v>80.03</v>
      </c>
      <c r="D21" s="657">
        <v>80.03</v>
      </c>
      <c r="E21" s="657">
        <v>9.39</v>
      </c>
      <c r="F21" s="61">
        <f t="shared" si="3"/>
        <v>89.42</v>
      </c>
      <c r="G21" s="657">
        <v>623578.88</v>
      </c>
      <c r="H21" s="657">
        <v>623578.88</v>
      </c>
      <c r="I21" s="657">
        <v>161645.26999999999</v>
      </c>
      <c r="J21" s="163">
        <f t="shared" si="4"/>
        <v>785224.15</v>
      </c>
      <c r="K21" s="429">
        <f t="shared" si="2"/>
        <v>731.77528330723919</v>
      </c>
      <c r="L21" s="600">
        <f>IF('T6-Zamestnanci_a_mzdy'!F21-'T6a-Zamestnanci_a_mzdy (ženy)'!F21=0,0,('T6-Zamestnanci_a_mzdy'!J21-'T6a-Zamestnanci_a_mzdy (ženy)'!J21)/('T6-Zamestnanci_a_mzdy'!F21-'T6a-Zamestnanci_a_mzdy (ženy)'!F21)/12)</f>
        <v>967.64403941829335</v>
      </c>
      <c r="M21" s="664">
        <v>625.673</v>
      </c>
      <c r="N21" s="665">
        <v>684.26599999999996</v>
      </c>
      <c r="O21" s="666">
        <v>807.72799999999995</v>
      </c>
    </row>
    <row r="22" spans="1:15" ht="47.25" x14ac:dyDescent="0.2">
      <c r="A22" s="29">
        <v>15</v>
      </c>
      <c r="B22" s="44" t="s">
        <v>292</v>
      </c>
      <c r="C22" s="61">
        <f>SUM(C23:C26)</f>
        <v>19.68</v>
      </c>
      <c r="D22" s="61">
        <f>SUM(D23:D26)</f>
        <v>19.68</v>
      </c>
      <c r="E22" s="61">
        <f>SUM(E23:E26)</f>
        <v>0</v>
      </c>
      <c r="F22" s="61">
        <f>SUM(F27:F27)</f>
        <v>0</v>
      </c>
      <c r="G22" s="61">
        <f>SUM(G23:G26)</f>
        <v>203611.47</v>
      </c>
      <c r="H22" s="61">
        <f>SUM(H23:H26)</f>
        <v>203611.47</v>
      </c>
      <c r="I22" s="61">
        <f>SUM(I23:I26)</f>
        <v>2740.5</v>
      </c>
      <c r="J22" s="163">
        <f>SUM(J23:J26)</f>
        <v>206351.97</v>
      </c>
      <c r="K22" s="429">
        <f t="shared" si="2"/>
        <v>0</v>
      </c>
      <c r="L22" s="600">
        <f>IF('T6-Zamestnanci_a_mzdy'!F22-'T6a-Zamestnanci_a_mzdy (ženy)'!F22=0,0,('T6-Zamestnanci_a_mzdy'!J22-'T6a-Zamestnanci_a_mzdy (ženy)'!J22)/('T6-Zamestnanci_a_mzdy'!F22-'T6a-Zamestnanci_a_mzdy (ženy)'!F22)/12)</f>
        <v>0</v>
      </c>
      <c r="M22" s="603" t="s">
        <v>285</v>
      </c>
      <c r="N22" s="588" t="s">
        <v>285</v>
      </c>
      <c r="O22" s="606" t="s">
        <v>285</v>
      </c>
    </row>
    <row r="23" spans="1:15" x14ac:dyDescent="0.2">
      <c r="A23" s="29" t="s">
        <v>252</v>
      </c>
      <c r="B23" s="45" t="s">
        <v>1260</v>
      </c>
      <c r="C23" s="657">
        <v>19.68</v>
      </c>
      <c r="D23" s="657">
        <v>19.68</v>
      </c>
      <c r="E23" s="155"/>
      <c r="F23" s="61">
        <f t="shared" ref="F23:F29" si="5">C23+E23</f>
        <v>19.68</v>
      </c>
      <c r="G23" s="657">
        <v>203611.47</v>
      </c>
      <c r="H23" s="657">
        <v>203611.47</v>
      </c>
      <c r="I23" s="657">
        <v>2740.5</v>
      </c>
      <c r="J23" s="163">
        <f>G23+I23</f>
        <v>206351.97</v>
      </c>
      <c r="K23" s="429">
        <f t="shared" si="2"/>
        <v>873.78036077235777</v>
      </c>
      <c r="L23" s="600">
        <f>IF('T6-Zamestnanci_a_mzdy'!F23-'T6a-Zamestnanci_a_mzdy (ženy)'!F23=0,0,('T6-Zamestnanci_a_mzdy'!J23-'T6a-Zamestnanci_a_mzdy (ženy)'!J23)/('T6-Zamestnanci_a_mzdy'!F23-'T6a-Zamestnanci_a_mzdy (ženy)'!F23)/12)</f>
        <v>1115.6529299252304</v>
      </c>
      <c r="M23" s="603" t="s">
        <v>285</v>
      </c>
      <c r="N23" s="588" t="s">
        <v>285</v>
      </c>
      <c r="O23" s="606" t="s">
        <v>285</v>
      </c>
    </row>
    <row r="24" spans="1:15" x14ac:dyDescent="0.2">
      <c r="A24" s="29" t="s">
        <v>359</v>
      </c>
      <c r="B24" s="45"/>
      <c r="C24" s="155"/>
      <c r="D24" s="155"/>
      <c r="E24" s="155"/>
      <c r="F24" s="61">
        <f t="shared" si="5"/>
        <v>0</v>
      </c>
      <c r="G24" s="155"/>
      <c r="H24" s="155"/>
      <c r="I24" s="155"/>
      <c r="J24" s="163">
        <f>G24+I24</f>
        <v>0</v>
      </c>
      <c r="K24" s="429">
        <f t="shared" si="2"/>
        <v>0</v>
      </c>
      <c r="L24" s="600">
        <f>IF('T6-Zamestnanci_a_mzdy'!F24-'T6a-Zamestnanci_a_mzdy (ženy)'!F24=0,0,('T6-Zamestnanci_a_mzdy'!J24-'T6a-Zamestnanci_a_mzdy (ženy)'!J24)/('T6-Zamestnanci_a_mzdy'!F24-'T6a-Zamestnanci_a_mzdy (ženy)'!F24)/12)</f>
        <v>0</v>
      </c>
      <c r="M24" s="603" t="s">
        <v>285</v>
      </c>
      <c r="N24" s="588" t="s">
        <v>285</v>
      </c>
      <c r="O24" s="606" t="s">
        <v>285</v>
      </c>
    </row>
    <row r="25" spans="1:15" x14ac:dyDescent="0.2">
      <c r="A25" s="29" t="s">
        <v>360</v>
      </c>
      <c r="B25" s="45"/>
      <c r="C25" s="155"/>
      <c r="D25" s="155"/>
      <c r="E25" s="155"/>
      <c r="F25" s="61">
        <f t="shared" si="5"/>
        <v>0</v>
      </c>
      <c r="G25" s="155"/>
      <c r="H25" s="155"/>
      <c r="I25" s="155"/>
      <c r="J25" s="163">
        <f>G25+I25</f>
        <v>0</v>
      </c>
      <c r="K25" s="429">
        <f t="shared" si="2"/>
        <v>0</v>
      </c>
      <c r="L25" s="600">
        <f>IF('T6-Zamestnanci_a_mzdy'!F25-'T6a-Zamestnanci_a_mzdy (ženy)'!F25=0,0,('T6-Zamestnanci_a_mzdy'!J25-'T6a-Zamestnanci_a_mzdy (ženy)'!J25)/('T6-Zamestnanci_a_mzdy'!F25-'T6a-Zamestnanci_a_mzdy (ženy)'!F25)/12)</f>
        <v>0</v>
      </c>
      <c r="M25" s="603" t="s">
        <v>285</v>
      </c>
      <c r="N25" s="588" t="s">
        <v>285</v>
      </c>
      <c r="O25" s="606" t="s">
        <v>285</v>
      </c>
    </row>
    <row r="26" spans="1:15" ht="16.5" customHeight="1" x14ac:dyDescent="0.2">
      <c r="A26" s="29" t="s">
        <v>361</v>
      </c>
      <c r="B26" s="45"/>
      <c r="C26" s="155"/>
      <c r="D26" s="155"/>
      <c r="E26" s="155"/>
      <c r="F26" s="61">
        <f t="shared" si="5"/>
        <v>0</v>
      </c>
      <c r="G26" s="155"/>
      <c r="H26" s="155"/>
      <c r="I26" s="155"/>
      <c r="J26" s="163">
        <f>G26+I26</f>
        <v>0</v>
      </c>
      <c r="K26" s="429">
        <f t="shared" si="2"/>
        <v>0</v>
      </c>
      <c r="L26" s="600">
        <f>IF('T6-Zamestnanci_a_mzdy'!F26-'T6a-Zamestnanci_a_mzdy (ženy)'!F26=0,0,('T6-Zamestnanci_a_mzdy'!J26-'T6a-Zamestnanci_a_mzdy (ženy)'!J26)/('T6-Zamestnanci_a_mzdy'!F26-'T6a-Zamestnanci_a_mzdy (ženy)'!F26)/12)</f>
        <v>0</v>
      </c>
      <c r="M26" s="603" t="s">
        <v>285</v>
      </c>
      <c r="N26" s="588" t="s">
        <v>285</v>
      </c>
      <c r="O26" s="606" t="s">
        <v>285</v>
      </c>
    </row>
    <row r="27" spans="1:15" x14ac:dyDescent="0.2">
      <c r="A27" s="29"/>
      <c r="B27" s="26"/>
      <c r="C27" s="156"/>
      <c r="D27" s="156"/>
      <c r="E27" s="156"/>
      <c r="F27" s="157">
        <f t="shared" si="5"/>
        <v>0</v>
      </c>
      <c r="G27" s="156"/>
      <c r="H27" s="156"/>
      <c r="I27" s="156"/>
      <c r="J27" s="376"/>
      <c r="K27" s="376"/>
      <c r="L27" s="600"/>
      <c r="M27" s="604"/>
      <c r="N27" s="533"/>
      <c r="O27" s="605"/>
    </row>
    <row r="28" spans="1:15" x14ac:dyDescent="0.2">
      <c r="A28" s="29">
        <v>16</v>
      </c>
      <c r="B28" s="44" t="s">
        <v>58</v>
      </c>
      <c r="C28" s="657">
        <v>26.07</v>
      </c>
      <c r="D28" s="657">
        <v>26.07</v>
      </c>
      <c r="E28" s="657">
        <v>13.42</v>
      </c>
      <c r="F28" s="61">
        <f t="shared" si="5"/>
        <v>39.49</v>
      </c>
      <c r="G28" s="657">
        <v>260578.21</v>
      </c>
      <c r="H28" s="657">
        <v>260578.21</v>
      </c>
      <c r="I28" s="657">
        <v>122224.4</v>
      </c>
      <c r="J28" s="163">
        <f>G28+I28</f>
        <v>382802.61</v>
      </c>
      <c r="K28" s="429">
        <f t="shared" si="2"/>
        <v>807.80495062041018</v>
      </c>
      <c r="L28" s="600">
        <f>IF('T6-Zamestnanci_a_mzdy'!F28-'T6a-Zamestnanci_a_mzdy (ženy)'!F28=0,0,('T6-Zamestnanci_a_mzdy'!J28-'T6a-Zamestnanci_a_mzdy (ženy)'!J28)/('T6-Zamestnanci_a_mzdy'!F28-'T6a-Zamestnanci_a_mzdy (ženy)'!F28)/12)</f>
        <v>971.17337164750973</v>
      </c>
      <c r="M28" s="664">
        <v>677.80799999999999</v>
      </c>
      <c r="N28" s="665">
        <v>735.06200000000001</v>
      </c>
      <c r="O28" s="666">
        <v>1019.282</v>
      </c>
    </row>
    <row r="29" spans="1:15" x14ac:dyDescent="0.2">
      <c r="A29" s="29">
        <v>17</v>
      </c>
      <c r="B29" s="44" t="s">
        <v>59</v>
      </c>
      <c r="C29" s="657">
        <v>3.28</v>
      </c>
      <c r="D29" s="657">
        <v>3.28</v>
      </c>
      <c r="E29" s="657">
        <v>36.03</v>
      </c>
      <c r="F29" s="61">
        <f t="shared" si="5"/>
        <v>39.31</v>
      </c>
      <c r="G29" s="657">
        <v>44214.77</v>
      </c>
      <c r="H29" s="657">
        <v>44214.77</v>
      </c>
      <c r="I29" s="657">
        <v>320141.57</v>
      </c>
      <c r="J29" s="163">
        <f>G29+I29</f>
        <v>364356.34</v>
      </c>
      <c r="K29" s="429">
        <f t="shared" si="2"/>
        <v>772.39960145849227</v>
      </c>
      <c r="L29" s="600">
        <f>IF('T6-Zamestnanci_a_mzdy'!F29-'T6a-Zamestnanci_a_mzdy (ženy)'!F29=0,0,('T6-Zamestnanci_a_mzdy'!J29-'T6a-Zamestnanci_a_mzdy (ženy)'!J29)/('T6-Zamestnanci_a_mzdy'!F29-'T6a-Zamestnanci_a_mzdy (ženy)'!F29)/12)</f>
        <v>744.87864077669929</v>
      </c>
      <c r="M29" s="664">
        <v>539.35299999999995</v>
      </c>
      <c r="N29" s="665">
        <v>690.58199999999999</v>
      </c>
      <c r="O29" s="666">
        <v>821.97799999999995</v>
      </c>
    </row>
    <row r="30" spans="1:15" ht="16.5" thickBot="1" x14ac:dyDescent="0.25">
      <c r="A30" s="30">
        <v>18</v>
      </c>
      <c r="B30" s="46" t="s">
        <v>293</v>
      </c>
      <c r="C30" s="62">
        <f t="shared" ref="C30:J30" si="6">C7+C13+C16+C20+C21+C28+C29</f>
        <v>820.02</v>
      </c>
      <c r="D30" s="62">
        <f t="shared" si="6"/>
        <v>805.68999999999994</v>
      </c>
      <c r="E30" s="62">
        <f t="shared" si="6"/>
        <v>141.80000000000001</v>
      </c>
      <c r="F30" s="62">
        <f t="shared" si="6"/>
        <v>961.81999999999994</v>
      </c>
      <c r="G30" s="62">
        <f t="shared" si="6"/>
        <v>11937945.960000001</v>
      </c>
      <c r="H30" s="62">
        <f t="shared" si="6"/>
        <v>11704445.480000002</v>
      </c>
      <c r="I30" s="62">
        <f t="shared" si="6"/>
        <v>4338686.1800000006</v>
      </c>
      <c r="J30" s="164">
        <f t="shared" si="6"/>
        <v>16276632.139999999</v>
      </c>
      <c r="K30" s="430">
        <f t="shared" si="2"/>
        <v>1410.2285372176359</v>
      </c>
      <c r="L30" s="601">
        <f>IF('T6-Zamestnanci_a_mzdy'!F30-'T6a-Zamestnanci_a_mzdy (ženy)'!F30=0,0,('T6-Zamestnanci_a_mzdy'!J30-'T6a-Zamestnanci_a_mzdy (ženy)'!J30)/('T6-Zamestnanci_a_mzdy'!F30-'T6a-Zamestnanci_a_mzdy (ženy)'!F30)/12)</f>
        <v>1927.8470820897803</v>
      </c>
      <c r="M30" s="667">
        <v>879.36300000000006</v>
      </c>
      <c r="N30" s="668">
        <v>1287.096</v>
      </c>
      <c r="O30" s="669">
        <v>1760.4090000000001</v>
      </c>
    </row>
    <row r="31" spans="1:15" x14ac:dyDescent="0.2">
      <c r="A31" s="17"/>
      <c r="B31" s="17"/>
      <c r="C31" s="20"/>
      <c r="D31" s="17"/>
      <c r="E31" s="17"/>
      <c r="F31" s="20"/>
      <c r="G31" s="20"/>
      <c r="H31" s="20"/>
      <c r="I31" s="20"/>
      <c r="J31" s="20"/>
      <c r="L31" s="534"/>
      <c r="M31" s="534"/>
      <c r="N31" s="534"/>
      <c r="O31" s="534"/>
    </row>
    <row r="32" spans="1:15" x14ac:dyDescent="0.25">
      <c r="A32" s="779" t="s">
        <v>10</v>
      </c>
      <c r="B32" s="780"/>
      <c r="C32" s="780"/>
      <c r="D32" s="780"/>
      <c r="E32" s="780"/>
      <c r="F32" s="780"/>
      <c r="G32" s="780"/>
      <c r="H32" s="780"/>
      <c r="I32" s="780"/>
      <c r="J32" s="807"/>
      <c r="L32" s="534"/>
      <c r="M32" s="534"/>
      <c r="N32" s="534"/>
      <c r="O32" s="534"/>
    </row>
    <row r="33" spans="1:15" x14ac:dyDescent="0.25">
      <c r="A33" s="788" t="s">
        <v>808</v>
      </c>
      <c r="B33" s="789"/>
      <c r="C33" s="789"/>
      <c r="D33" s="789"/>
      <c r="E33" s="789"/>
      <c r="F33" s="789"/>
      <c r="G33" s="789"/>
      <c r="H33" s="789"/>
      <c r="I33" s="789"/>
      <c r="J33" s="790"/>
      <c r="L33" s="534"/>
      <c r="M33" s="535" t="s">
        <v>937</v>
      </c>
      <c r="N33" s="534"/>
      <c r="O33" s="534"/>
    </row>
    <row r="34" spans="1:15" ht="50.25" customHeight="1" x14ac:dyDescent="0.2">
      <c r="B34" s="786" t="s">
        <v>1136</v>
      </c>
      <c r="C34" s="786"/>
      <c r="D34" s="786"/>
      <c r="E34" s="786"/>
      <c r="F34" s="786"/>
      <c r="G34" s="786"/>
      <c r="H34" s="786"/>
      <c r="I34" s="786"/>
      <c r="J34" s="786"/>
      <c r="L34" s="534"/>
      <c r="M34" s="534"/>
      <c r="N34" s="534"/>
      <c r="O34" s="534"/>
    </row>
    <row r="35" spans="1:15" x14ac:dyDescent="0.2">
      <c r="B35" s="616" t="s">
        <v>694</v>
      </c>
      <c r="C35" s="617"/>
      <c r="D35" s="617"/>
      <c r="E35" s="617"/>
      <c r="F35" s="617"/>
      <c r="G35" s="617"/>
      <c r="H35" s="617"/>
      <c r="I35" s="617"/>
      <c r="J35" s="617"/>
      <c r="L35" s="534"/>
      <c r="M35" s="534"/>
      <c r="N35" s="534"/>
      <c r="O35" s="534"/>
    </row>
    <row r="36" spans="1:15" x14ac:dyDescent="0.2">
      <c r="B36" s="616" t="s">
        <v>695</v>
      </c>
      <c r="C36" s="617"/>
      <c r="D36" s="617"/>
      <c r="E36" s="617"/>
      <c r="F36" s="617"/>
      <c r="G36" s="617"/>
      <c r="H36" s="617"/>
      <c r="I36" s="617"/>
      <c r="J36" s="617"/>
    </row>
    <row r="37" spans="1:15" x14ac:dyDescent="0.2">
      <c r="B37" s="616" t="s">
        <v>696</v>
      </c>
      <c r="C37" s="617"/>
      <c r="D37" s="617"/>
      <c r="E37" s="617"/>
      <c r="F37" s="617"/>
      <c r="G37" s="617"/>
      <c r="H37" s="617"/>
      <c r="I37" s="617"/>
      <c r="J37" s="617"/>
    </row>
  </sheetData>
  <mergeCells count="20">
    <mergeCell ref="B34:J34"/>
    <mergeCell ref="M3:M5"/>
    <mergeCell ref="A1:K1"/>
    <mergeCell ref="A2:K2"/>
    <mergeCell ref="A3:A5"/>
    <mergeCell ref="B3:B5"/>
    <mergeCell ref="C3:F3"/>
    <mergeCell ref="G3:G5"/>
    <mergeCell ref="H3:H4"/>
    <mergeCell ref="I3:I5"/>
    <mergeCell ref="J3:J5"/>
    <mergeCell ref="K3:K5"/>
    <mergeCell ref="C4:C5"/>
    <mergeCell ref="E4:E5"/>
    <mergeCell ref="F4:F5"/>
    <mergeCell ref="N3:N5"/>
    <mergeCell ref="O3:O5"/>
    <mergeCell ref="A32:J32"/>
    <mergeCell ref="A33:J33"/>
    <mergeCell ref="L3:L5"/>
  </mergeCells>
  <printOptions gridLines="1"/>
  <pageMargins left="0.2" right="0.19" top="0.8" bottom="0.39370078740157483" header="0.51181102362204722" footer="0.27559055118110237"/>
  <pageSetup paperSize="9" scale="5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2"/>
  <sheetViews>
    <sheetView zoomScale="90" zoomScaleNormal="90" workbookViewId="0">
      <pane xSplit="2" ySplit="4" topLeftCell="C5" activePane="bottomRight" state="frozen"/>
      <selection pane="topRight" activeCell="C1" sqref="C1"/>
      <selection pane="bottomLeft" activeCell="A7" sqref="A7"/>
      <selection pane="bottomRight" activeCell="D15" sqref="D15"/>
    </sheetView>
  </sheetViews>
  <sheetFormatPr defaultRowHeight="15.75" x14ac:dyDescent="0.25"/>
  <cols>
    <col min="1" max="1" width="9.140625" style="179"/>
    <col min="2" max="2" width="69.7109375" style="179" customWidth="1"/>
    <col min="3" max="3" width="18" style="179" bestFit="1" customWidth="1"/>
    <col min="4" max="4" width="20.28515625" style="179" bestFit="1" customWidth="1"/>
    <col min="5" max="5" width="26.42578125" style="179" customWidth="1"/>
    <col min="6" max="6" width="15.42578125" style="179" customWidth="1"/>
    <col min="7" max="7" width="12" style="179" customWidth="1"/>
    <col min="8" max="16384" width="9.140625" style="179"/>
  </cols>
  <sheetData>
    <row r="1" spans="1:7" ht="39.75" customHeight="1" thickBot="1" x14ac:dyDescent="0.3">
      <c r="A1" s="816" t="s">
        <v>1216</v>
      </c>
      <c r="B1" s="817"/>
      <c r="C1" s="817"/>
      <c r="D1" s="817"/>
      <c r="E1" s="818"/>
    </row>
    <row r="2" spans="1:7" ht="44.25" customHeight="1" thickBot="1" x14ac:dyDescent="0.3">
      <c r="A2" s="819" t="s">
        <v>372</v>
      </c>
      <c r="B2" s="820"/>
      <c r="C2" s="820"/>
      <c r="D2" s="820"/>
      <c r="E2" s="821"/>
    </row>
    <row r="3" spans="1:7" ht="65.25" customHeight="1" x14ac:dyDescent="0.25">
      <c r="A3" s="489" t="s">
        <v>180</v>
      </c>
      <c r="B3" s="490" t="s">
        <v>299</v>
      </c>
      <c r="C3" s="491" t="s">
        <v>915</v>
      </c>
      <c r="D3" s="491" t="s">
        <v>957</v>
      </c>
      <c r="E3" s="492" t="s">
        <v>754</v>
      </c>
    </row>
    <row r="4" spans="1:7" ht="26.25" customHeight="1" x14ac:dyDescent="0.25">
      <c r="A4" s="493"/>
      <c r="B4" s="488"/>
      <c r="C4" s="487" t="s">
        <v>257</v>
      </c>
      <c r="D4" s="487" t="s">
        <v>258</v>
      </c>
      <c r="E4" s="494" t="s">
        <v>914</v>
      </c>
    </row>
    <row r="5" spans="1:7" ht="35.25" customHeight="1" thickBot="1" x14ac:dyDescent="0.3">
      <c r="A5" s="498">
        <v>1</v>
      </c>
      <c r="B5" s="499" t="s">
        <v>1215</v>
      </c>
      <c r="C5" s="500">
        <v>2610129.88</v>
      </c>
      <c r="D5" s="500">
        <v>21210</v>
      </c>
      <c r="E5" s="501">
        <f>C5+D5</f>
        <v>2631339.88</v>
      </c>
      <c r="F5" s="703"/>
      <c r="G5" s="508"/>
    </row>
    <row r="6" spans="1:7" ht="30.75" customHeight="1" thickTop="1" x14ac:dyDescent="0.25">
      <c r="A6" s="496">
        <v>2</v>
      </c>
      <c r="B6" s="497" t="s">
        <v>1221</v>
      </c>
      <c r="C6" s="504">
        <v>2828</v>
      </c>
      <c r="D6" s="504">
        <v>63</v>
      </c>
      <c r="E6" s="505">
        <f>C6+D6</f>
        <v>2891</v>
      </c>
      <c r="F6" s="502"/>
    </row>
    <row r="7" spans="1:7" ht="31.5" customHeight="1" thickBot="1" x14ac:dyDescent="0.3">
      <c r="A7" s="319">
        <v>3</v>
      </c>
      <c r="B7" s="495" t="s">
        <v>1222</v>
      </c>
      <c r="C7" s="503">
        <f>IF(C6=0,0,+C5/C6)</f>
        <v>922.95964639321073</v>
      </c>
      <c r="D7" s="503">
        <f t="shared" ref="D7:E7" si="0">IF(D6=0,0,+D5/D6)</f>
        <v>336.66666666666669</v>
      </c>
      <c r="E7" s="506">
        <f t="shared" si="0"/>
        <v>910.18328606018679</v>
      </c>
    </row>
    <row r="9" spans="1:7" x14ac:dyDescent="0.25">
      <c r="A9" s="507"/>
    </row>
    <row r="12" spans="1:7" ht="48.75" customHeight="1" x14ac:dyDescent="0.25">
      <c r="A12" s="822"/>
      <c r="B12" s="822"/>
    </row>
  </sheetData>
  <mergeCells count="3">
    <mergeCell ref="A1:E1"/>
    <mergeCell ref="A2:E2"/>
    <mergeCell ref="A12:B12"/>
  </mergeCells>
  <pageMargins left="0.45" right="0.33" top="0.74803149606299213" bottom="0.74803149606299213" header="0.31496062992125984" footer="0.31496062992125984"/>
  <pageSetup paperSize="9" scale="9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tabColor indexed="42"/>
    <pageSetUpPr fitToPage="1"/>
  </sheetPr>
  <dimension ref="A1:H15"/>
  <sheetViews>
    <sheetView zoomScale="80" zoomScaleNormal="80" workbookViewId="0">
      <pane xSplit="2" ySplit="5" topLeftCell="C6" activePane="bottomRight" state="frozen"/>
      <selection pane="topRight" activeCell="C1" sqref="C1"/>
      <selection pane="bottomLeft" activeCell="A6" sqref="A6"/>
      <selection pane="bottomRight" activeCell="F9" sqref="F9"/>
    </sheetView>
  </sheetViews>
  <sheetFormatPr defaultRowHeight="15.75" x14ac:dyDescent="0.2"/>
  <cols>
    <col min="1" max="1" width="8.140625" style="18" customWidth="1"/>
    <col min="2" max="2" width="93.140625" style="70" customWidth="1"/>
    <col min="3" max="3" width="17.28515625" style="18" customWidth="1"/>
    <col min="4" max="4" width="17.140625" style="18" customWidth="1"/>
    <col min="5" max="5" width="15.7109375" style="18" customWidth="1"/>
    <col min="6" max="6" width="18" style="18" customWidth="1"/>
    <col min="7" max="7" width="7.5703125" style="18" customWidth="1"/>
    <col min="8" max="16384" width="9.140625" style="18"/>
  </cols>
  <sheetData>
    <row r="1" spans="1:8" ht="50.1" customHeight="1" thickBot="1" x14ac:dyDescent="0.25">
      <c r="A1" s="829" t="s">
        <v>997</v>
      </c>
      <c r="B1" s="830"/>
      <c r="C1" s="830"/>
      <c r="D1" s="830"/>
      <c r="E1" s="830"/>
      <c r="F1" s="831"/>
      <c r="G1" s="182"/>
      <c r="H1" s="23"/>
    </row>
    <row r="2" spans="1:8" ht="36.75" customHeight="1" x14ac:dyDescent="0.2">
      <c r="A2" s="775" t="s">
        <v>365</v>
      </c>
      <c r="B2" s="840"/>
      <c r="C2" s="841" t="s">
        <v>778</v>
      </c>
      <c r="D2" s="841"/>
      <c r="E2" s="841"/>
      <c r="F2" s="842"/>
      <c r="G2" s="183"/>
    </row>
    <row r="3" spans="1:8" x14ac:dyDescent="0.2">
      <c r="A3" s="838" t="s">
        <v>180</v>
      </c>
      <c r="B3" s="836" t="s">
        <v>299</v>
      </c>
      <c r="C3" s="832">
        <v>2018</v>
      </c>
      <c r="D3" s="833"/>
      <c r="E3" s="834">
        <v>2019</v>
      </c>
      <c r="F3" s="835"/>
      <c r="G3" s="183"/>
    </row>
    <row r="4" spans="1:8" ht="69" customHeight="1" x14ac:dyDescent="0.2">
      <c r="A4" s="839"/>
      <c r="B4" s="837"/>
      <c r="C4" s="116" t="s">
        <v>716</v>
      </c>
      <c r="D4" s="116" t="s">
        <v>167</v>
      </c>
      <c r="E4" s="116" t="s">
        <v>716</v>
      </c>
      <c r="F4" s="28" t="s">
        <v>248</v>
      </c>
      <c r="G4" s="183"/>
    </row>
    <row r="5" spans="1:8" x14ac:dyDescent="0.2">
      <c r="A5" s="121"/>
      <c r="B5" s="91"/>
      <c r="C5" s="35" t="s">
        <v>257</v>
      </c>
      <c r="D5" s="35" t="s">
        <v>258</v>
      </c>
      <c r="E5" s="88" t="s">
        <v>259</v>
      </c>
      <c r="F5" s="98" t="s">
        <v>266</v>
      </c>
      <c r="G5" s="183"/>
    </row>
    <row r="6" spans="1:8" ht="38.25" customHeight="1" x14ac:dyDescent="0.2">
      <c r="A6" s="29">
        <v>1</v>
      </c>
      <c r="B6" s="92" t="s">
        <v>65</v>
      </c>
      <c r="C6" s="158">
        <v>746220</v>
      </c>
      <c r="D6" s="159" t="s">
        <v>285</v>
      </c>
      <c r="E6" s="158">
        <v>596770</v>
      </c>
      <c r="F6" s="160" t="s">
        <v>285</v>
      </c>
      <c r="G6" s="183"/>
    </row>
    <row r="7" spans="1:8" ht="38.25" customHeight="1" x14ac:dyDescent="0.2">
      <c r="A7" s="29">
        <f>A6+1</f>
        <v>2</v>
      </c>
      <c r="B7" s="92" t="s">
        <v>309</v>
      </c>
      <c r="C7" s="159" t="s">
        <v>285</v>
      </c>
      <c r="D7" s="77">
        <v>2835</v>
      </c>
      <c r="E7" s="159" t="s">
        <v>285</v>
      </c>
      <c r="F7" s="82">
        <v>2740</v>
      </c>
      <c r="G7" s="183"/>
    </row>
    <row r="8" spans="1:8" ht="38.25" customHeight="1" x14ac:dyDescent="0.2">
      <c r="A8" s="29">
        <f>A7+1</f>
        <v>3</v>
      </c>
      <c r="B8" s="92" t="s">
        <v>745</v>
      </c>
      <c r="C8" s="159" t="s">
        <v>285</v>
      </c>
      <c r="D8" s="77">
        <v>1132</v>
      </c>
      <c r="E8" s="159" t="s">
        <v>285</v>
      </c>
      <c r="F8" s="82">
        <v>395</v>
      </c>
      <c r="G8" s="183"/>
    </row>
    <row r="9" spans="1:8" ht="35.25" customHeight="1" x14ac:dyDescent="0.2">
      <c r="A9" s="29">
        <f>A8+1</f>
        <v>4</v>
      </c>
      <c r="B9" s="67" t="s">
        <v>672</v>
      </c>
      <c r="C9" s="158">
        <v>206862.81</v>
      </c>
      <c r="D9" s="159" t="s">
        <v>285</v>
      </c>
      <c r="E9" s="161">
        <f>+C11</f>
        <v>167531.81000000006</v>
      </c>
      <c r="F9" s="160" t="s">
        <v>285</v>
      </c>
      <c r="G9" s="183"/>
    </row>
    <row r="10" spans="1:8" ht="37.5" customHeight="1" x14ac:dyDescent="0.2">
      <c r="A10" s="29">
        <f>A9+1</f>
        <v>5</v>
      </c>
      <c r="B10" s="67" t="s">
        <v>742</v>
      </c>
      <c r="C10" s="158">
        <v>706889</v>
      </c>
      <c r="D10" s="159" t="s">
        <v>285</v>
      </c>
      <c r="E10" s="162">
        <v>647240</v>
      </c>
      <c r="F10" s="160" t="s">
        <v>285</v>
      </c>
      <c r="G10" s="183"/>
    </row>
    <row r="11" spans="1:8" ht="33" customHeight="1" x14ac:dyDescent="0.2">
      <c r="A11" s="29">
        <v>6</v>
      </c>
      <c r="B11" s="67" t="s">
        <v>222</v>
      </c>
      <c r="C11" s="163">
        <f>+C9+C10-C6</f>
        <v>167531.81000000006</v>
      </c>
      <c r="D11" s="159" t="s">
        <v>285</v>
      </c>
      <c r="E11" s="161">
        <f>+E9+E10-E6</f>
        <v>218001.81000000006</v>
      </c>
      <c r="F11" s="160" t="s">
        <v>285</v>
      </c>
      <c r="G11" s="183"/>
    </row>
    <row r="12" spans="1:8" ht="36" customHeight="1" thickBot="1" x14ac:dyDescent="0.25">
      <c r="A12" s="30">
        <v>7</v>
      </c>
      <c r="B12" s="80" t="s">
        <v>223</v>
      </c>
      <c r="C12" s="164">
        <f>IF(C6=0,0,C6/D7)</f>
        <v>263.21693121693124</v>
      </c>
      <c r="D12" s="165" t="s">
        <v>285</v>
      </c>
      <c r="E12" s="164">
        <f>IF(E6=0,0,E6/F7)</f>
        <v>217.7992700729927</v>
      </c>
      <c r="F12" s="166" t="s">
        <v>285</v>
      </c>
      <c r="G12" s="183"/>
    </row>
    <row r="13" spans="1:8" x14ac:dyDescent="0.2">
      <c r="B13" s="20"/>
      <c r="G13" s="183"/>
    </row>
    <row r="14" spans="1:8" x14ac:dyDescent="0.2">
      <c r="A14" s="823" t="s">
        <v>73</v>
      </c>
      <c r="B14" s="824"/>
      <c r="C14" s="824"/>
      <c r="D14" s="824"/>
      <c r="E14" s="824"/>
      <c r="F14" s="825"/>
      <c r="G14" s="183"/>
    </row>
    <row r="15" spans="1:8" x14ac:dyDescent="0.2">
      <c r="A15" s="826" t="s">
        <v>348</v>
      </c>
      <c r="B15" s="827"/>
      <c r="C15" s="827"/>
      <c r="D15" s="827"/>
      <c r="E15" s="827"/>
      <c r="F15" s="828"/>
      <c r="G15" s="183"/>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tabColor indexed="42"/>
    <pageSetUpPr fitToPage="1"/>
  </sheetPr>
  <dimension ref="A1:H21"/>
  <sheetViews>
    <sheetView zoomScale="90" zoomScaleNormal="90" workbookViewId="0">
      <pane xSplit="2" ySplit="5" topLeftCell="C6" activePane="bottomRight" state="frozen"/>
      <selection pane="topRight" activeCell="C1" sqref="C1"/>
      <selection pane="bottomLeft" activeCell="A6" sqref="A6"/>
      <selection pane="bottomRight" activeCell="D12" sqref="D12"/>
    </sheetView>
  </sheetViews>
  <sheetFormatPr defaultRowHeight="12.75" x14ac:dyDescent="0.2"/>
  <cols>
    <col min="1" max="1" width="8.28515625" style="90" customWidth="1"/>
    <col min="2" max="2" width="77.7109375" style="90" customWidth="1"/>
    <col min="3" max="3" width="17.7109375" style="90" customWidth="1"/>
    <col min="4" max="4" width="15.7109375" style="90" customWidth="1"/>
    <col min="5" max="6" width="14.7109375" style="90" customWidth="1"/>
    <col min="7" max="7" width="27.28515625" style="90" customWidth="1"/>
    <col min="8" max="8" width="19.42578125" style="90" customWidth="1"/>
    <col min="9" max="16384" width="9.140625" style="90"/>
  </cols>
  <sheetData>
    <row r="1" spans="1:8" ht="50.1" customHeight="1" x14ac:dyDescent="0.2">
      <c r="A1" s="846" t="s">
        <v>998</v>
      </c>
      <c r="B1" s="847"/>
      <c r="C1" s="847"/>
      <c r="D1" s="847"/>
      <c r="E1" s="847"/>
      <c r="F1" s="848"/>
      <c r="H1" s="117"/>
    </row>
    <row r="2" spans="1:8" ht="33" customHeight="1" x14ac:dyDescent="0.2">
      <c r="A2" s="851" t="s">
        <v>367</v>
      </c>
      <c r="B2" s="852"/>
      <c r="C2" s="852"/>
      <c r="D2" s="852"/>
      <c r="E2" s="852"/>
      <c r="F2" s="853"/>
    </row>
    <row r="3" spans="1:8" ht="18.75" customHeight="1" x14ac:dyDescent="0.2">
      <c r="A3" s="838" t="s">
        <v>180</v>
      </c>
      <c r="B3" s="791" t="s">
        <v>299</v>
      </c>
      <c r="C3" s="787" t="s">
        <v>749</v>
      </c>
      <c r="D3" s="787"/>
      <c r="E3" s="787" t="s">
        <v>321</v>
      </c>
      <c r="F3" s="850"/>
    </row>
    <row r="4" spans="1:8" ht="18.75" customHeight="1" x14ac:dyDescent="0.2">
      <c r="A4" s="849"/>
      <c r="B4" s="791"/>
      <c r="C4" s="97">
        <v>2018</v>
      </c>
      <c r="D4" s="97">
        <v>2019</v>
      </c>
      <c r="E4" s="14">
        <v>2018</v>
      </c>
      <c r="F4" s="28">
        <v>2019</v>
      </c>
    </row>
    <row r="5" spans="1:8" ht="15.75" x14ac:dyDescent="0.2">
      <c r="A5" s="29"/>
      <c r="B5" s="87"/>
      <c r="C5" s="24" t="s">
        <v>257</v>
      </c>
      <c r="D5" s="24" t="s">
        <v>258</v>
      </c>
      <c r="E5" s="35" t="s">
        <v>259</v>
      </c>
      <c r="F5" s="89" t="s">
        <v>266</v>
      </c>
    </row>
    <row r="6" spans="1:8" ht="31.5" x14ac:dyDescent="0.2">
      <c r="A6" s="29">
        <v>1</v>
      </c>
      <c r="B6" s="44" t="s">
        <v>678</v>
      </c>
      <c r="C6" s="81" t="s">
        <v>285</v>
      </c>
      <c r="D6" s="81" t="s">
        <v>285</v>
      </c>
      <c r="E6" s="146">
        <v>1916</v>
      </c>
      <c r="F6" s="154">
        <v>1916</v>
      </c>
    </row>
    <row r="7" spans="1:8" ht="37.5" x14ac:dyDescent="0.2">
      <c r="A7" s="29">
        <f>A6+1</f>
        <v>2</v>
      </c>
      <c r="B7" s="63" t="s">
        <v>310</v>
      </c>
      <c r="C7" s="81" t="s">
        <v>285</v>
      </c>
      <c r="D7" s="81" t="s">
        <v>285</v>
      </c>
      <c r="E7" s="146">
        <v>18590</v>
      </c>
      <c r="F7" s="154">
        <v>18966</v>
      </c>
    </row>
    <row r="8" spans="1:8" ht="15.75" x14ac:dyDescent="0.2">
      <c r="A8" s="29">
        <v>3</v>
      </c>
      <c r="B8" s="79" t="s">
        <v>246</v>
      </c>
      <c r="C8" s="81" t="s">
        <v>285</v>
      </c>
      <c r="D8" s="81" t="s">
        <v>285</v>
      </c>
      <c r="E8" s="61">
        <f>E7/12</f>
        <v>1549.1666666666667</v>
      </c>
      <c r="F8" s="144">
        <f>F7/12</f>
        <v>1580.5</v>
      </c>
    </row>
    <row r="9" spans="1:8" ht="31.5" x14ac:dyDescent="0.2">
      <c r="A9" s="29">
        <f t="shared" ref="A9:A18" si="0">A8+1</f>
        <v>4</v>
      </c>
      <c r="B9" s="63" t="s">
        <v>324</v>
      </c>
      <c r="C9" s="51">
        <v>753579.86</v>
      </c>
      <c r="D9" s="83">
        <v>1206543</v>
      </c>
      <c r="E9" s="81" t="s">
        <v>285</v>
      </c>
      <c r="F9" s="84" t="s">
        <v>285</v>
      </c>
    </row>
    <row r="10" spans="1:8" ht="31.5" x14ac:dyDescent="0.2">
      <c r="A10" s="29">
        <f t="shared" si="0"/>
        <v>5</v>
      </c>
      <c r="B10" s="63" t="s">
        <v>341</v>
      </c>
      <c r="C10" s="51">
        <v>46763</v>
      </c>
      <c r="D10" s="51">
        <v>45387.02</v>
      </c>
      <c r="E10" s="51">
        <v>700</v>
      </c>
      <c r="F10" s="58">
        <v>913</v>
      </c>
      <c r="G10" s="688"/>
      <c r="H10" s="710"/>
    </row>
    <row r="11" spans="1:8" ht="45" customHeight="1" x14ac:dyDescent="0.2">
      <c r="A11" s="29">
        <f t="shared" si="0"/>
        <v>6</v>
      </c>
      <c r="B11" s="377" t="s">
        <v>908</v>
      </c>
      <c r="C11" s="146">
        <v>833913.7</v>
      </c>
      <c r="D11" s="146">
        <f>1034937+30530.41+79578-259</f>
        <v>1144786.4099999999</v>
      </c>
      <c r="E11" s="81" t="s">
        <v>285</v>
      </c>
      <c r="F11" s="84" t="s">
        <v>285</v>
      </c>
      <c r="G11" s="711"/>
      <c r="H11" s="710"/>
    </row>
    <row r="12" spans="1:8" ht="15.75" x14ac:dyDescent="0.2">
      <c r="A12" s="29">
        <f t="shared" si="0"/>
        <v>7</v>
      </c>
      <c r="B12" s="63" t="s">
        <v>322</v>
      </c>
      <c r="C12" s="51">
        <v>13119.4</v>
      </c>
      <c r="D12" s="51">
        <v>264</v>
      </c>
      <c r="E12" s="81" t="s">
        <v>285</v>
      </c>
      <c r="F12" s="84" t="s">
        <v>285</v>
      </c>
      <c r="H12" s="710"/>
    </row>
    <row r="13" spans="1:8" ht="15.75" x14ac:dyDescent="0.2">
      <c r="A13" s="29">
        <f t="shared" si="0"/>
        <v>8</v>
      </c>
      <c r="B13" s="63" t="s">
        <v>342</v>
      </c>
      <c r="C13" s="61">
        <f>SUM(C9:C12)</f>
        <v>1647375.96</v>
      </c>
      <c r="D13" s="61">
        <f>SUM(D9:D12)</f>
        <v>2396980.4299999997</v>
      </c>
      <c r="E13" s="81" t="s">
        <v>285</v>
      </c>
      <c r="F13" s="84" t="s">
        <v>285</v>
      </c>
      <c r="H13" s="710"/>
    </row>
    <row r="14" spans="1:8" ht="15.75" x14ac:dyDescent="0.2">
      <c r="A14" s="29">
        <f t="shared" si="0"/>
        <v>9</v>
      </c>
      <c r="B14" s="63" t="s">
        <v>343</v>
      </c>
      <c r="C14" s="61">
        <f>C15+C16</f>
        <v>1380422.05</v>
      </c>
      <c r="D14" s="61">
        <f>D15+D16</f>
        <v>1675288.1600000001</v>
      </c>
      <c r="E14" s="81" t="s">
        <v>285</v>
      </c>
      <c r="F14" s="84" t="s">
        <v>285</v>
      </c>
    </row>
    <row r="15" spans="1:8" ht="15.75" x14ac:dyDescent="0.2">
      <c r="A15" s="29">
        <f t="shared" si="0"/>
        <v>10</v>
      </c>
      <c r="B15" s="45" t="s">
        <v>52</v>
      </c>
      <c r="C15" s="51">
        <v>700977.38</v>
      </c>
      <c r="D15" s="51">
        <f>806160.61+79578</f>
        <v>885738.61</v>
      </c>
      <c r="E15" s="81" t="s">
        <v>285</v>
      </c>
      <c r="F15" s="84" t="s">
        <v>285</v>
      </c>
    </row>
    <row r="16" spans="1:8" ht="15.75" x14ac:dyDescent="0.2">
      <c r="A16" s="29">
        <f t="shared" si="0"/>
        <v>11</v>
      </c>
      <c r="B16" s="45" t="s">
        <v>53</v>
      </c>
      <c r="C16" s="51">
        <v>679444.67</v>
      </c>
      <c r="D16" s="51">
        <v>789549.55</v>
      </c>
      <c r="E16" s="81" t="s">
        <v>285</v>
      </c>
      <c r="F16" s="84" t="s">
        <v>285</v>
      </c>
    </row>
    <row r="17" spans="1:6" ht="31.5" x14ac:dyDescent="0.2">
      <c r="A17" s="29">
        <f t="shared" si="0"/>
        <v>12</v>
      </c>
      <c r="B17" s="63" t="s">
        <v>344</v>
      </c>
      <c r="C17" s="61">
        <f>+C13-C14</f>
        <v>266953.90999999992</v>
      </c>
      <c r="D17" s="61">
        <f>+D13-D14</f>
        <v>721692.26999999955</v>
      </c>
      <c r="E17" s="81" t="s">
        <v>285</v>
      </c>
      <c r="F17" s="84" t="s">
        <v>285</v>
      </c>
    </row>
    <row r="18" spans="1:6" ht="16.5" thickBot="1" x14ac:dyDescent="0.25">
      <c r="A18" s="30">
        <f t="shared" si="0"/>
        <v>13</v>
      </c>
      <c r="B18" s="95" t="s">
        <v>345</v>
      </c>
      <c r="C18" s="62">
        <f>IF(E8=0,0,C14/E8)</f>
        <v>891.07394298009683</v>
      </c>
      <c r="D18" s="62">
        <f>IF(F8=0,0,D14/F8)</f>
        <v>1059.9735273647582</v>
      </c>
      <c r="E18" s="85" t="s">
        <v>285</v>
      </c>
      <c r="F18" s="86" t="s">
        <v>285</v>
      </c>
    </row>
    <row r="20" spans="1:6" ht="15" x14ac:dyDescent="0.2">
      <c r="A20" s="823" t="s">
        <v>323</v>
      </c>
      <c r="B20" s="824"/>
      <c r="C20" s="824"/>
      <c r="D20" s="824"/>
      <c r="E20" s="824"/>
      <c r="F20" s="825"/>
    </row>
    <row r="21" spans="1:6" ht="35.25" customHeight="1" x14ac:dyDescent="0.2">
      <c r="A21" s="843" t="s">
        <v>78</v>
      </c>
      <c r="B21" s="844"/>
      <c r="C21" s="844"/>
      <c r="D21" s="844"/>
      <c r="E21" s="844"/>
      <c r="F21" s="845"/>
    </row>
  </sheetData>
  <mergeCells count="8">
    <mergeCell ref="A21:F21"/>
    <mergeCell ref="A1:F1"/>
    <mergeCell ref="A3:A4"/>
    <mergeCell ref="B3:B4"/>
    <mergeCell ref="C3:D3"/>
    <mergeCell ref="E3:F3"/>
    <mergeCell ref="A2:F2"/>
    <mergeCell ref="A20:F20"/>
  </mergeCells>
  <phoneticPr fontId="6" type="noConversion"/>
  <pageMargins left="0.66" right="0.45" top="0.98425196850393704" bottom="0.77" header="0.51181102362204722" footer="0.51181102362204722"/>
  <pageSetup paperSize="9"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K29"/>
  <sheetViews>
    <sheetView workbookViewId="0">
      <pane xSplit="2" ySplit="4" topLeftCell="C5" activePane="bottomRight" state="frozen"/>
      <selection pane="topRight" activeCell="C1" sqref="C1"/>
      <selection pane="bottomLeft" activeCell="A5" sqref="A5"/>
      <selection pane="bottomRight" activeCell="J25" sqref="J25"/>
    </sheetView>
  </sheetViews>
  <sheetFormatPr defaultRowHeight="15.75" x14ac:dyDescent="0.25"/>
  <cols>
    <col min="1" max="1" width="8.140625" style="272" customWidth="1"/>
    <col min="2" max="2" width="94" style="299" customWidth="1"/>
    <col min="3" max="3" width="18.7109375" style="272" customWidth="1"/>
    <col min="4" max="4" width="18.5703125" style="272" customWidth="1"/>
    <col min="5" max="5" width="11.42578125" style="273" customWidth="1"/>
    <col min="6" max="16384" width="9.140625" style="272"/>
  </cols>
  <sheetData>
    <row r="1" spans="1:11" ht="50.1" customHeight="1" thickBot="1" x14ac:dyDescent="0.3">
      <c r="A1" s="857" t="s">
        <v>999</v>
      </c>
      <c r="B1" s="858"/>
      <c r="C1" s="858"/>
      <c r="D1" s="859"/>
      <c r="E1" s="271"/>
    </row>
    <row r="2" spans="1:11" ht="29.25" customHeight="1" x14ac:dyDescent="0.25">
      <c r="A2" s="860" t="s">
        <v>368</v>
      </c>
      <c r="B2" s="861"/>
      <c r="C2" s="861"/>
      <c r="D2" s="862"/>
    </row>
    <row r="3" spans="1:11" ht="33" customHeight="1" x14ac:dyDescent="0.25">
      <c r="A3" s="274" t="s">
        <v>180</v>
      </c>
      <c r="B3" s="275" t="s">
        <v>299</v>
      </c>
      <c r="C3" s="276">
        <v>2018</v>
      </c>
      <c r="D3" s="277">
        <v>2019</v>
      </c>
    </row>
    <row r="4" spans="1:11" x14ac:dyDescent="0.25">
      <c r="A4" s="278"/>
      <c r="B4" s="279"/>
      <c r="C4" s="280" t="s">
        <v>257</v>
      </c>
      <c r="D4" s="310" t="s">
        <v>258</v>
      </c>
    </row>
    <row r="5" spans="1:11" ht="18.75" x14ac:dyDescent="0.25">
      <c r="A5" s="281">
        <v>1</v>
      </c>
      <c r="B5" s="282" t="s">
        <v>250</v>
      </c>
      <c r="C5" s="283">
        <f>+C6+C9</f>
        <v>458007.56</v>
      </c>
      <c r="D5" s="311">
        <f>D6+D9</f>
        <v>550963.24</v>
      </c>
    </row>
    <row r="6" spans="1:11" ht="18.75" customHeight="1" x14ac:dyDescent="0.25">
      <c r="A6" s="281">
        <f t="shared" ref="A6:A13" si="0">A5+1</f>
        <v>2</v>
      </c>
      <c r="B6" s="282" t="s">
        <v>328</v>
      </c>
      <c r="C6" s="283">
        <f>+C7+C8</f>
        <v>275845.56</v>
      </c>
      <c r="D6" s="311">
        <f>+D7+D8</f>
        <v>282814.84000000003</v>
      </c>
    </row>
    <row r="7" spans="1:11" x14ac:dyDescent="0.25">
      <c r="A7" s="281">
        <f t="shared" si="0"/>
        <v>3</v>
      </c>
      <c r="B7" s="286" t="s">
        <v>326</v>
      </c>
      <c r="C7" s="284">
        <v>271546.06</v>
      </c>
      <c r="D7" s="312">
        <v>278375.14</v>
      </c>
    </row>
    <row r="8" spans="1:11" x14ac:dyDescent="0.25">
      <c r="A8" s="281">
        <f t="shared" si="0"/>
        <v>4</v>
      </c>
      <c r="B8" s="286" t="s">
        <v>327</v>
      </c>
      <c r="C8" s="284">
        <v>4299.5</v>
      </c>
      <c r="D8" s="312">
        <v>4439.7</v>
      </c>
    </row>
    <row r="9" spans="1:11" x14ac:dyDescent="0.25">
      <c r="A9" s="281">
        <f t="shared" si="0"/>
        <v>5</v>
      </c>
      <c r="B9" s="282" t="s">
        <v>224</v>
      </c>
      <c r="C9" s="285">
        <f>+C10+C11-C12</f>
        <v>182162</v>
      </c>
      <c r="D9" s="313">
        <f>+D10+D11-D12</f>
        <v>268148.40000000002</v>
      </c>
    </row>
    <row r="10" spans="1:11" ht="19.5" customHeight="1" x14ac:dyDescent="0.25">
      <c r="A10" s="281">
        <f t="shared" si="0"/>
        <v>6</v>
      </c>
      <c r="B10" s="286" t="s">
        <v>169</v>
      </c>
      <c r="C10" s="284">
        <v>61146.21</v>
      </c>
      <c r="D10" s="313">
        <f>+C12</f>
        <v>59847.209999999992</v>
      </c>
      <c r="E10" s="712"/>
    </row>
    <row r="11" spans="1:11" x14ac:dyDescent="0.25">
      <c r="A11" s="281">
        <f t="shared" si="0"/>
        <v>7</v>
      </c>
      <c r="B11" s="286" t="s">
        <v>197</v>
      </c>
      <c r="C11" s="284">
        <v>180863</v>
      </c>
      <c r="D11" s="312">
        <f>633451</f>
        <v>633451</v>
      </c>
    </row>
    <row r="12" spans="1:11" x14ac:dyDescent="0.25">
      <c r="A12" s="281">
        <f t="shared" si="0"/>
        <v>8</v>
      </c>
      <c r="B12" s="286" t="s">
        <v>722</v>
      </c>
      <c r="C12" s="285">
        <f>C10+C11-C20</f>
        <v>59847.209999999992</v>
      </c>
      <c r="D12" s="313">
        <f>D10+D11-D20</f>
        <v>425149.80999999994</v>
      </c>
      <c r="E12" s="712"/>
    </row>
    <row r="13" spans="1:11" ht="30" customHeight="1" x14ac:dyDescent="0.25">
      <c r="A13" s="281">
        <f t="shared" si="0"/>
        <v>9</v>
      </c>
      <c r="B13" s="282" t="s">
        <v>723</v>
      </c>
      <c r="C13" s="287">
        <v>435824.27</v>
      </c>
      <c r="D13" s="314">
        <f>651815.12-79578</f>
        <v>572237.12</v>
      </c>
      <c r="E13" s="712"/>
    </row>
    <row r="14" spans="1:11" x14ac:dyDescent="0.25">
      <c r="A14" s="281"/>
      <c r="B14" s="317" t="s">
        <v>274</v>
      </c>
      <c r="C14" s="288"/>
      <c r="D14" s="315"/>
      <c r="E14" s="289"/>
      <c r="F14" s="290"/>
      <c r="G14" s="290"/>
      <c r="H14" s="290"/>
      <c r="I14" s="290"/>
      <c r="J14" s="290"/>
      <c r="K14" s="290"/>
    </row>
    <row r="15" spans="1:11" ht="18.75" x14ac:dyDescent="0.25">
      <c r="A15" s="281">
        <f>A13+1</f>
        <v>10</v>
      </c>
      <c r="B15" s="318" t="s">
        <v>329</v>
      </c>
      <c r="C15" s="284">
        <v>435824.27</v>
      </c>
      <c r="D15" s="312">
        <f>651815.12-79578</f>
        <v>572237.12</v>
      </c>
    </row>
    <row r="16" spans="1:11" ht="30.75" customHeight="1" x14ac:dyDescent="0.25">
      <c r="A16" s="281">
        <f t="shared" ref="A16:A21" si="1">+A15+1</f>
        <v>11</v>
      </c>
      <c r="B16" s="282" t="s">
        <v>724</v>
      </c>
      <c r="C16" s="283">
        <f>C5-C13</f>
        <v>22183.289999999979</v>
      </c>
      <c r="D16" s="311">
        <f>D5-D13</f>
        <v>-21273.880000000005</v>
      </c>
    </row>
    <row r="17" spans="1:6" ht="18.75" x14ac:dyDescent="0.25">
      <c r="A17" s="281">
        <f t="shared" si="1"/>
        <v>12</v>
      </c>
      <c r="B17" s="282" t="s">
        <v>725</v>
      </c>
      <c r="C17" s="283">
        <f>C18+C19</f>
        <v>182162</v>
      </c>
      <c r="D17" s="311">
        <f>D18+D19</f>
        <v>206268</v>
      </c>
    </row>
    <row r="18" spans="1:6" x14ac:dyDescent="0.25">
      <c r="A18" s="330">
        <f t="shared" si="1"/>
        <v>13</v>
      </c>
      <c r="B18" s="291" t="s">
        <v>830</v>
      </c>
      <c r="C18" s="287">
        <v>182162</v>
      </c>
      <c r="D18" s="316">
        <v>206268</v>
      </c>
    </row>
    <row r="19" spans="1:6" ht="18.75" x14ac:dyDescent="0.25">
      <c r="A19" s="330">
        <f>+A18+1</f>
        <v>14</v>
      </c>
      <c r="B19" s="291" t="s">
        <v>726</v>
      </c>
      <c r="C19" s="287"/>
      <c r="D19" s="316"/>
    </row>
    <row r="20" spans="1:6" x14ac:dyDescent="0.25">
      <c r="A20" s="330">
        <f>+A19+1</f>
        <v>15</v>
      </c>
      <c r="B20" s="282" t="s">
        <v>738</v>
      </c>
      <c r="C20" s="283">
        <f>(C18*1 +C19*1)</f>
        <v>182162</v>
      </c>
      <c r="D20" s="311">
        <f>(D18*1.3+D19*1.3)</f>
        <v>268148.40000000002</v>
      </c>
      <c r="F20" s="713"/>
    </row>
    <row r="21" spans="1:6" ht="16.5" thickBot="1" x14ac:dyDescent="0.3">
      <c r="A21" s="331">
        <f t="shared" si="1"/>
        <v>16</v>
      </c>
      <c r="B21" s="292" t="s">
        <v>748</v>
      </c>
      <c r="C21" s="670">
        <f>IF(C18=0,0,C15/C18)</f>
        <v>2.3925092500082346</v>
      </c>
      <c r="D21" s="671">
        <f>IF(D18=0,0,D15/D18)</f>
        <v>2.7742408904919813</v>
      </c>
    </row>
    <row r="22" spans="1:6" s="290" customFormat="1" x14ac:dyDescent="0.25">
      <c r="A22" s="293"/>
      <c r="B22" s="294"/>
      <c r="C22" s="295"/>
      <c r="D22" s="295"/>
      <c r="E22" s="273"/>
      <c r="F22" s="272"/>
    </row>
    <row r="23" spans="1:6" s="297" customFormat="1" x14ac:dyDescent="0.25">
      <c r="A23" s="863" t="s">
        <v>325</v>
      </c>
      <c r="B23" s="864"/>
      <c r="C23" s="864"/>
      <c r="D23" s="865"/>
      <c r="E23" s="296"/>
    </row>
    <row r="24" spans="1:6" s="297" customFormat="1" x14ac:dyDescent="0.25">
      <c r="A24" s="866" t="s">
        <v>665</v>
      </c>
      <c r="B24" s="867"/>
      <c r="C24" s="867"/>
      <c r="D24" s="868"/>
      <c r="E24" s="296"/>
    </row>
    <row r="25" spans="1:6" s="297" customFormat="1" x14ac:dyDescent="0.25">
      <c r="A25" s="869" t="s">
        <v>829</v>
      </c>
      <c r="B25" s="870"/>
      <c r="C25" s="870"/>
      <c r="D25" s="871"/>
      <c r="E25" s="296"/>
    </row>
    <row r="26" spans="1:6" s="297" customFormat="1" x14ac:dyDescent="0.25">
      <c r="A26" s="854" t="s">
        <v>670</v>
      </c>
      <c r="B26" s="855"/>
      <c r="C26" s="855"/>
      <c r="D26" s="856"/>
      <c r="E26" s="296"/>
    </row>
    <row r="27" spans="1:6" s="297" customFormat="1" x14ac:dyDescent="0.25">
      <c r="B27" s="298"/>
      <c r="E27" s="296"/>
    </row>
    <row r="28" spans="1:6" s="297" customFormat="1" x14ac:dyDescent="0.25">
      <c r="B28" s="298"/>
      <c r="E28" s="296"/>
    </row>
    <row r="29" spans="1:6" s="297" customFormat="1" x14ac:dyDescent="0.25">
      <c r="B29" s="298"/>
      <c r="E29" s="296"/>
    </row>
  </sheetData>
  <mergeCells count="6">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tabColor indexed="42"/>
    <pageSetUpPr fitToPage="1"/>
  </sheetPr>
  <dimension ref="A1:I24"/>
  <sheetViews>
    <sheetView zoomScale="80" zoomScaleNormal="80" workbookViewId="0">
      <pane xSplit="2" ySplit="5" topLeftCell="C6" activePane="bottomRight" state="frozen"/>
      <selection pane="topRight" activeCell="C1" sqref="C1"/>
      <selection pane="bottomLeft" activeCell="A6" sqref="A6"/>
      <selection pane="bottomRight" activeCell="G17" sqref="G17"/>
    </sheetView>
  </sheetViews>
  <sheetFormatPr defaultRowHeight="15.75" x14ac:dyDescent="0.25"/>
  <cols>
    <col min="1" max="1" width="9.140625" style="2"/>
    <col min="2" max="2" width="88.7109375" style="8" customWidth="1"/>
    <col min="3" max="3" width="23.42578125" style="2" customWidth="1"/>
    <col min="4" max="4" width="24.42578125" style="2" customWidth="1"/>
    <col min="5" max="5" width="15.28515625" style="236" bestFit="1" customWidth="1"/>
    <col min="6" max="6" width="9.140625" style="236"/>
    <col min="7" max="16384" width="9.140625" style="2"/>
  </cols>
  <sheetData>
    <row r="1" spans="1:9" ht="50.1" customHeight="1" thickBot="1" x14ac:dyDescent="0.3">
      <c r="A1" s="872" t="s">
        <v>1000</v>
      </c>
      <c r="B1" s="873"/>
      <c r="C1" s="873"/>
      <c r="D1" s="874"/>
    </row>
    <row r="2" spans="1:9" ht="27.75" customHeight="1" x14ac:dyDescent="0.25">
      <c r="A2" s="746" t="s">
        <v>368</v>
      </c>
      <c r="B2" s="747"/>
      <c r="C2" s="747"/>
      <c r="D2" s="748"/>
    </row>
    <row r="3" spans="1:9" ht="18.75" customHeight="1" x14ac:dyDescent="0.25">
      <c r="A3" s="764" t="s">
        <v>180</v>
      </c>
      <c r="B3" s="875" t="s">
        <v>299</v>
      </c>
      <c r="C3" s="876" t="s">
        <v>278</v>
      </c>
      <c r="D3" s="877"/>
    </row>
    <row r="4" spans="1:9" s="5" customFormat="1" ht="19.5" customHeight="1" x14ac:dyDescent="0.2">
      <c r="A4" s="764"/>
      <c r="B4" s="875"/>
      <c r="C4" s="16">
        <v>2018</v>
      </c>
      <c r="D4" s="15">
        <v>2019</v>
      </c>
      <c r="E4" s="237"/>
      <c r="F4" s="237"/>
    </row>
    <row r="5" spans="1:9" s="5" customFormat="1" x14ac:dyDescent="0.2">
      <c r="A5" s="29"/>
      <c r="B5" s="27"/>
      <c r="C5" s="16" t="s">
        <v>257</v>
      </c>
      <c r="D5" s="15" t="s">
        <v>258</v>
      </c>
      <c r="E5" s="237"/>
      <c r="F5" s="237"/>
    </row>
    <row r="6" spans="1:9" s="5" customFormat="1" x14ac:dyDescent="0.2">
      <c r="A6" s="105">
        <v>1</v>
      </c>
      <c r="B6" s="59" t="s">
        <v>189</v>
      </c>
      <c r="C6" s="167">
        <v>0</v>
      </c>
      <c r="D6" s="168">
        <v>281.74</v>
      </c>
      <c r="E6" s="237"/>
      <c r="F6" s="237"/>
    </row>
    <row r="7" spans="1:9" s="5" customFormat="1" x14ac:dyDescent="0.2">
      <c r="A7" s="105">
        <f t="shared" ref="A7:A20" si="0">A6+1</f>
        <v>2</v>
      </c>
      <c r="B7" s="44" t="s">
        <v>152</v>
      </c>
      <c r="C7" s="49">
        <f>SUM(C8:C13)</f>
        <v>1896622.17</v>
      </c>
      <c r="D7" s="50">
        <f>SUM(D8:D13)</f>
        <v>1490987.96</v>
      </c>
      <c r="E7" s="237"/>
      <c r="F7" s="237"/>
    </row>
    <row r="8" spans="1:9" s="5" customFormat="1" ht="18.75" x14ac:dyDescent="0.2">
      <c r="A8" s="105">
        <f t="shared" si="0"/>
        <v>3</v>
      </c>
      <c r="B8" s="60" t="s">
        <v>351</v>
      </c>
      <c r="C8" s="146"/>
      <c r="D8" s="154"/>
      <c r="E8" s="692"/>
      <c r="F8" s="237"/>
    </row>
    <row r="9" spans="1:9" s="5" customFormat="1" x14ac:dyDescent="0.2">
      <c r="A9" s="105">
        <f t="shared" si="0"/>
        <v>4</v>
      </c>
      <c r="B9" s="60" t="s">
        <v>354</v>
      </c>
      <c r="C9" s="146">
        <v>1519581.69</v>
      </c>
      <c r="D9" s="693">
        <f>1454033.9-42764.4+80500.76-782.3</f>
        <v>1490987.96</v>
      </c>
      <c r="E9" s="692"/>
      <c r="F9" s="237"/>
    </row>
    <row r="10" spans="1:9" s="5" customFormat="1" x14ac:dyDescent="0.2">
      <c r="A10" s="105">
        <f t="shared" si="0"/>
        <v>5</v>
      </c>
      <c r="B10" s="60" t="s">
        <v>866</v>
      </c>
      <c r="C10" s="146">
        <v>377040.48</v>
      </c>
      <c r="D10" s="154"/>
      <c r="E10" s="692"/>
      <c r="F10" s="237"/>
    </row>
    <row r="11" spans="1:9" s="5" customFormat="1" x14ac:dyDescent="0.2">
      <c r="A11" s="105">
        <f t="shared" si="0"/>
        <v>6</v>
      </c>
      <c r="B11" s="60" t="s">
        <v>352</v>
      </c>
      <c r="C11" s="146"/>
      <c r="D11" s="154"/>
      <c r="E11" s="692"/>
      <c r="F11" s="237"/>
    </row>
    <row r="12" spans="1:9" s="5" customFormat="1" x14ac:dyDescent="0.2">
      <c r="A12" s="105">
        <f t="shared" si="0"/>
        <v>7</v>
      </c>
      <c r="B12" s="60" t="s">
        <v>353</v>
      </c>
      <c r="C12" s="146"/>
      <c r="D12" s="154"/>
      <c r="E12" s="692"/>
      <c r="F12" s="237"/>
    </row>
    <row r="13" spans="1:9" s="5" customFormat="1" ht="19.5" customHeight="1" x14ac:dyDescent="0.2">
      <c r="A13" s="105">
        <f t="shared" si="0"/>
        <v>8</v>
      </c>
      <c r="B13" s="60" t="s">
        <v>355</v>
      </c>
      <c r="C13" s="146"/>
      <c r="D13" s="154"/>
      <c r="E13" s="692"/>
      <c r="F13" s="237"/>
    </row>
    <row r="14" spans="1:9" s="5" customFormat="1" ht="21.75" customHeight="1" x14ac:dyDescent="0.2">
      <c r="A14" s="105">
        <f t="shared" si="0"/>
        <v>9</v>
      </c>
      <c r="B14" s="44" t="s">
        <v>50</v>
      </c>
      <c r="C14" s="49">
        <f>C6+C7</f>
        <v>1896622.17</v>
      </c>
      <c r="D14" s="50">
        <f>D6+D7</f>
        <v>1491269.7</v>
      </c>
      <c r="E14" s="237"/>
      <c r="F14" s="237"/>
    </row>
    <row r="15" spans="1:9" s="5" customFormat="1" ht="27" customHeight="1" x14ac:dyDescent="0.2">
      <c r="A15" s="105">
        <f t="shared" si="0"/>
        <v>10</v>
      </c>
      <c r="B15" s="44" t="s">
        <v>1114</v>
      </c>
      <c r="C15" s="167">
        <v>1479863</v>
      </c>
      <c r="D15" s="167">
        <v>1136960</v>
      </c>
      <c r="E15" s="722"/>
      <c r="F15" s="723"/>
      <c r="G15" s="265"/>
      <c r="H15" s="265"/>
      <c r="I15" s="265"/>
    </row>
    <row r="16" spans="1:9" s="5" customFormat="1" ht="31.5" x14ac:dyDescent="0.2">
      <c r="A16" s="130" t="s">
        <v>685</v>
      </c>
      <c r="B16" s="63" t="s">
        <v>985</v>
      </c>
      <c r="C16" s="167">
        <v>926906.74</v>
      </c>
      <c r="D16" s="168">
        <v>154153.64000000001</v>
      </c>
      <c r="E16" s="722"/>
      <c r="F16" s="724"/>
      <c r="G16" s="265"/>
      <c r="H16" s="265"/>
      <c r="I16" s="265"/>
    </row>
    <row r="17" spans="1:9" s="5" customFormat="1" ht="28.5" customHeight="1" x14ac:dyDescent="0.2">
      <c r="A17" s="105">
        <f>A15+1</f>
        <v>11</v>
      </c>
      <c r="B17" s="44" t="s">
        <v>755</v>
      </c>
      <c r="C17" s="167">
        <v>161505.01999999999</v>
      </c>
      <c r="D17" s="168">
        <v>1247694.18</v>
      </c>
      <c r="E17" s="237"/>
      <c r="F17" s="237"/>
    </row>
    <row r="18" spans="1:9" s="5" customFormat="1" ht="23.25" customHeight="1" x14ac:dyDescent="0.2">
      <c r="A18" s="105">
        <f t="shared" si="0"/>
        <v>12</v>
      </c>
      <c r="B18" s="44" t="s">
        <v>236</v>
      </c>
      <c r="C18" s="167">
        <v>0</v>
      </c>
      <c r="D18" s="168">
        <v>0</v>
      </c>
      <c r="E18" s="237"/>
      <c r="F18" s="237"/>
    </row>
    <row r="19" spans="1:9" s="5" customFormat="1" ht="33" customHeight="1" x14ac:dyDescent="0.2">
      <c r="A19" s="105">
        <f t="shared" si="0"/>
        <v>13</v>
      </c>
      <c r="B19" s="44" t="s">
        <v>756</v>
      </c>
      <c r="C19" s="167">
        <v>4272555.3899999997</v>
      </c>
      <c r="D19" s="694">
        <f>6918+4581870.96+11134.01+440051.06</f>
        <v>5039974.0299999993</v>
      </c>
      <c r="E19" s="237"/>
      <c r="F19" s="237"/>
    </row>
    <row r="20" spans="1:9" s="5" customFormat="1" ht="21" customHeight="1" thickBot="1" x14ac:dyDescent="0.25">
      <c r="A20" s="106">
        <f t="shared" si="0"/>
        <v>14</v>
      </c>
      <c r="B20" s="46" t="s">
        <v>80</v>
      </c>
      <c r="C20" s="150">
        <f>SUM(C14:C19)</f>
        <v>8737452.3200000003</v>
      </c>
      <c r="D20" s="53">
        <f>SUM(D14:D19)</f>
        <v>9070051.5500000007</v>
      </c>
      <c r="E20" s="237"/>
      <c r="F20" s="237"/>
    </row>
    <row r="21" spans="1:9" ht="9" customHeight="1" x14ac:dyDescent="0.25"/>
    <row r="22" spans="1:9" ht="18" customHeight="1" x14ac:dyDescent="0.25">
      <c r="A22" s="823" t="s">
        <v>84</v>
      </c>
      <c r="B22" s="824"/>
      <c r="C22" s="824"/>
      <c r="D22" s="825"/>
    </row>
    <row r="23" spans="1:9" x14ac:dyDescent="0.25">
      <c r="A23" s="843" t="s">
        <v>18</v>
      </c>
      <c r="B23" s="844"/>
      <c r="C23" s="844"/>
      <c r="D23" s="845"/>
      <c r="E23" s="237"/>
      <c r="F23" s="237"/>
      <c r="G23" s="139"/>
      <c r="H23" s="139"/>
      <c r="I23" s="139"/>
    </row>
    <row r="24" spans="1:9" x14ac:dyDescent="0.25">
      <c r="A24" s="580" t="s">
        <v>986</v>
      </c>
      <c r="B24" s="581" t="s">
        <v>1115</v>
      </c>
    </row>
  </sheetData>
  <mergeCells count="7">
    <mergeCell ref="A23:D23"/>
    <mergeCell ref="A22:D22"/>
    <mergeCell ref="A1:D1"/>
    <mergeCell ref="A3:A4"/>
    <mergeCell ref="B3:B4"/>
    <mergeCell ref="C3:D3"/>
    <mergeCell ref="A2:D2"/>
  </mergeCells>
  <phoneticPr fontId="0" type="noConversion"/>
  <printOptions gridLines="1"/>
  <pageMargins left="0.74803149606299213" right="0.54" top="0.98425196850393704" bottom="0.82" header="0.51181102362204722" footer="0.51181102362204722"/>
  <pageSetup paperSize="9"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tabColor indexed="42"/>
    <pageSetUpPr fitToPage="1"/>
  </sheetPr>
  <dimension ref="A1:J83"/>
  <sheetViews>
    <sheetView zoomScale="90" zoomScaleNormal="90" workbookViewId="0">
      <pane xSplit="2" ySplit="5" topLeftCell="C6" activePane="bottomRight" state="frozen"/>
      <selection pane="topRight" activeCell="C1" sqref="C1"/>
      <selection pane="bottomLeft" activeCell="A6" sqref="A6"/>
      <selection pane="bottomRight" activeCell="L16" sqref="L16"/>
    </sheetView>
  </sheetViews>
  <sheetFormatPr defaultRowHeight="15.75" x14ac:dyDescent="0.25"/>
  <cols>
    <col min="1" max="1" width="7.42578125" style="2" customWidth="1"/>
    <col min="2" max="2" width="51.5703125" style="8" customWidth="1"/>
    <col min="3" max="3" width="22.28515625" style="8" customWidth="1"/>
    <col min="4" max="4" width="18.140625" style="2" customWidth="1"/>
    <col min="5" max="5" width="18.5703125" style="2" customWidth="1"/>
    <col min="6" max="6" width="16.28515625" style="2" customWidth="1"/>
    <col min="7" max="7" width="11.85546875" style="2" customWidth="1"/>
    <col min="8" max="8" width="15.42578125" style="2" customWidth="1"/>
    <col min="9" max="9" width="18.28515625" style="2" customWidth="1"/>
    <col min="10" max="10" width="13.28515625" style="2" customWidth="1"/>
    <col min="11" max="13" width="9.140625" style="2"/>
    <col min="14" max="14" width="11.5703125" style="2" customWidth="1"/>
    <col min="15" max="16384" width="9.140625" style="2"/>
  </cols>
  <sheetData>
    <row r="1" spans="1:10" ht="35.1" customHeight="1" thickBot="1" x14ac:dyDescent="0.3">
      <c r="A1" s="881" t="s">
        <v>1001</v>
      </c>
      <c r="B1" s="882"/>
      <c r="C1" s="882"/>
      <c r="D1" s="882"/>
      <c r="E1" s="882"/>
      <c r="F1" s="882"/>
      <c r="G1" s="882"/>
      <c r="H1" s="882"/>
      <c r="I1" s="883"/>
    </row>
    <row r="2" spans="1:10" ht="35.1" customHeight="1" x14ac:dyDescent="0.25">
      <c r="A2" s="775" t="s">
        <v>368</v>
      </c>
      <c r="B2" s="776"/>
      <c r="C2" s="776"/>
      <c r="D2" s="776"/>
      <c r="E2" s="776"/>
      <c r="F2" s="776"/>
      <c r="G2" s="776"/>
      <c r="H2" s="776"/>
      <c r="I2" s="777"/>
    </row>
    <row r="3" spans="1:10" s="5" customFormat="1" ht="35.25" customHeight="1" x14ac:dyDescent="0.2">
      <c r="A3" s="839" t="s">
        <v>180</v>
      </c>
      <c r="B3" s="766" t="s">
        <v>299</v>
      </c>
      <c r="C3" s="886" t="s">
        <v>1214</v>
      </c>
      <c r="D3" s="812" t="s">
        <v>1006</v>
      </c>
      <c r="E3" s="812" t="s">
        <v>1002</v>
      </c>
      <c r="F3" s="812" t="s">
        <v>1121</v>
      </c>
      <c r="G3" s="884" t="s">
        <v>204</v>
      </c>
      <c r="H3" s="884" t="s">
        <v>1007</v>
      </c>
      <c r="I3" s="879" t="s">
        <v>205</v>
      </c>
    </row>
    <row r="4" spans="1:10" s="5" customFormat="1" ht="72" customHeight="1" x14ac:dyDescent="0.2">
      <c r="A4" s="764"/>
      <c r="B4" s="791"/>
      <c r="C4" s="887"/>
      <c r="D4" s="813"/>
      <c r="E4" s="813"/>
      <c r="F4" s="813"/>
      <c r="G4" s="885"/>
      <c r="H4" s="885"/>
      <c r="I4" s="880"/>
    </row>
    <row r="5" spans="1:10" s="5" customFormat="1" x14ac:dyDescent="0.2">
      <c r="A5" s="29"/>
      <c r="B5" s="91"/>
      <c r="C5" s="94" t="s">
        <v>257</v>
      </c>
      <c r="D5" s="94" t="s">
        <v>258</v>
      </c>
      <c r="E5" s="35" t="s">
        <v>259</v>
      </c>
      <c r="F5" s="35" t="s">
        <v>266</v>
      </c>
      <c r="G5" s="35" t="s">
        <v>260</v>
      </c>
      <c r="H5" s="35" t="s">
        <v>261</v>
      </c>
      <c r="I5" s="247" t="s">
        <v>686</v>
      </c>
    </row>
    <row r="6" spans="1:10" s="5" customFormat="1" x14ac:dyDescent="0.2">
      <c r="A6" s="29">
        <v>1</v>
      </c>
      <c r="B6" s="67" t="s">
        <v>347</v>
      </c>
      <c r="C6" s="684"/>
      <c r="D6" s="684">
        <v>137.94</v>
      </c>
      <c r="E6" s="684"/>
      <c r="F6" s="684">
        <v>63154.8</v>
      </c>
      <c r="G6" s="684"/>
      <c r="H6" s="684"/>
      <c r="I6" s="698">
        <f t="shared" ref="I6:I17" si="0">SUM(C6:H6)</f>
        <v>63292.740000000005</v>
      </c>
    </row>
    <row r="7" spans="1:10" s="5" customFormat="1" x14ac:dyDescent="0.2">
      <c r="A7" s="29"/>
      <c r="B7" s="68" t="s">
        <v>274</v>
      </c>
      <c r="C7" s="684"/>
      <c r="D7" s="684"/>
      <c r="E7" s="684"/>
      <c r="F7" s="684"/>
      <c r="G7" s="684"/>
      <c r="H7" s="684"/>
      <c r="I7" s="698"/>
    </row>
    <row r="8" spans="1:10" s="5" customFormat="1" x14ac:dyDescent="0.2">
      <c r="A8" s="29">
        <v>2</v>
      </c>
      <c r="B8" s="111" t="s">
        <v>51</v>
      </c>
      <c r="C8" s="684"/>
      <c r="D8" s="684">
        <v>137.94</v>
      </c>
      <c r="E8" s="684"/>
      <c r="F8" s="684">
        <v>2854.8</v>
      </c>
      <c r="G8" s="684"/>
      <c r="H8" s="684"/>
      <c r="I8" s="698">
        <f t="shared" si="0"/>
        <v>2992.7400000000002</v>
      </c>
    </row>
    <row r="9" spans="1:10" x14ac:dyDescent="0.25">
      <c r="A9" s="29">
        <v>3</v>
      </c>
      <c r="B9" s="67" t="s">
        <v>256</v>
      </c>
      <c r="C9" s="684"/>
      <c r="D9" s="684"/>
      <c r="E9" s="684"/>
      <c r="F9" s="684"/>
      <c r="G9" s="684"/>
      <c r="H9" s="684"/>
      <c r="I9" s="698">
        <f t="shared" si="0"/>
        <v>0</v>
      </c>
    </row>
    <row r="10" spans="1:10" ht="31.5" x14ac:dyDescent="0.25">
      <c r="A10" s="29">
        <v>4</v>
      </c>
      <c r="B10" s="575" t="s">
        <v>1004</v>
      </c>
      <c r="C10" s="673">
        <f>SUM(C11:C16)</f>
        <v>33408</v>
      </c>
      <c r="D10" s="673">
        <f t="shared" ref="D10:H10" si="1">SUM(D11:D16)</f>
        <v>154015.70000000001</v>
      </c>
      <c r="E10" s="673">
        <f>SUM(E11:E16)</f>
        <v>245397.62</v>
      </c>
      <c r="F10" s="673">
        <f t="shared" si="1"/>
        <v>360043.20999999996</v>
      </c>
      <c r="G10" s="673">
        <f t="shared" si="1"/>
        <v>0</v>
      </c>
      <c r="H10" s="673">
        <f t="shared" si="1"/>
        <v>0</v>
      </c>
      <c r="I10" s="698">
        <f>SUM(I11:I16)</f>
        <v>792864.53</v>
      </c>
      <c r="J10" s="555"/>
    </row>
    <row r="11" spans="1:10" x14ac:dyDescent="0.25">
      <c r="A11" s="29">
        <v>5</v>
      </c>
      <c r="B11" s="576" t="s">
        <v>317</v>
      </c>
      <c r="C11" s="684"/>
      <c r="D11" s="684">
        <v>14787.78</v>
      </c>
      <c r="E11" s="684"/>
      <c r="F11" s="684">
        <v>2220</v>
      </c>
      <c r="G11" s="684"/>
      <c r="H11" s="684"/>
      <c r="I11" s="698">
        <f t="shared" si="0"/>
        <v>17007.78</v>
      </c>
    </row>
    <row r="12" spans="1:10" x14ac:dyDescent="0.25">
      <c r="A12" s="29">
        <v>6</v>
      </c>
      <c r="B12" s="576" t="s">
        <v>983</v>
      </c>
      <c r="C12" s="684"/>
      <c r="D12" s="684"/>
      <c r="E12" s="684">
        <v>3828.04</v>
      </c>
      <c r="F12" s="684">
        <v>85757.35</v>
      </c>
      <c r="G12" s="684"/>
      <c r="H12" s="684"/>
      <c r="I12" s="698">
        <f t="shared" si="0"/>
        <v>89585.39</v>
      </c>
      <c r="J12" s="556"/>
    </row>
    <row r="13" spans="1:10" x14ac:dyDescent="0.25">
      <c r="A13" s="29">
        <v>7</v>
      </c>
      <c r="B13" s="363" t="s">
        <v>318</v>
      </c>
      <c r="C13" s="684"/>
      <c r="D13" s="684">
        <v>61678.720000000001</v>
      </c>
      <c r="E13" s="684">
        <v>32379.599999999999</v>
      </c>
      <c r="F13" s="684">
        <v>107228</v>
      </c>
      <c r="G13" s="684"/>
      <c r="H13" s="684"/>
      <c r="I13" s="698">
        <f t="shared" si="0"/>
        <v>201286.32</v>
      </c>
    </row>
    <row r="14" spans="1:10" ht="31.5" x14ac:dyDescent="0.25">
      <c r="A14" s="29">
        <v>8</v>
      </c>
      <c r="B14" s="576" t="s">
        <v>319</v>
      </c>
      <c r="C14" s="684">
        <f>23328+10080</f>
        <v>33408</v>
      </c>
      <c r="D14" s="684">
        <v>77549.2</v>
      </c>
      <c r="E14" s="684">
        <v>209189.98</v>
      </c>
      <c r="F14" s="684">
        <v>119673.88</v>
      </c>
      <c r="G14" s="684"/>
      <c r="H14" s="684"/>
      <c r="I14" s="698">
        <f t="shared" si="0"/>
        <v>439821.06</v>
      </c>
    </row>
    <row r="15" spans="1:10" ht="31.5" x14ac:dyDescent="0.25">
      <c r="A15" s="41">
        <v>9</v>
      </c>
      <c r="B15" s="576" t="s">
        <v>320</v>
      </c>
      <c r="C15" s="684"/>
      <c r="D15" s="684"/>
      <c r="E15" s="684"/>
      <c r="F15" s="684">
        <v>45163.98</v>
      </c>
      <c r="G15" s="684"/>
      <c r="H15" s="684"/>
      <c r="I15" s="698">
        <f t="shared" si="0"/>
        <v>45163.98</v>
      </c>
    </row>
    <row r="16" spans="1:10" x14ac:dyDescent="0.25">
      <c r="A16" s="29">
        <v>10</v>
      </c>
      <c r="B16" s="576" t="s">
        <v>980</v>
      </c>
      <c r="C16" s="684"/>
      <c r="D16" s="684"/>
      <c r="E16" s="684"/>
      <c r="F16" s="684"/>
      <c r="G16" s="684"/>
      <c r="H16" s="684"/>
      <c r="I16" s="698">
        <f t="shared" si="0"/>
        <v>0</v>
      </c>
      <c r="J16" s="555"/>
    </row>
    <row r="17" spans="1:9" x14ac:dyDescent="0.25">
      <c r="A17" s="29">
        <v>11</v>
      </c>
      <c r="B17" s="577" t="s">
        <v>159</v>
      </c>
      <c r="C17" s="684"/>
      <c r="D17" s="684"/>
      <c r="E17" s="684"/>
      <c r="F17" s="684"/>
      <c r="G17" s="684"/>
      <c r="H17" s="684"/>
      <c r="I17" s="698">
        <f t="shared" si="0"/>
        <v>0</v>
      </c>
    </row>
    <row r="18" spans="1:9" x14ac:dyDescent="0.25">
      <c r="A18" s="41">
        <v>12</v>
      </c>
      <c r="B18" s="575" t="s">
        <v>160</v>
      </c>
      <c r="C18" s="684"/>
      <c r="D18" s="684"/>
      <c r="E18" s="684"/>
      <c r="F18" s="684">
        <v>194214.76</v>
      </c>
      <c r="G18" s="684"/>
      <c r="H18" s="684"/>
      <c r="I18" s="698">
        <f t="shared" ref="I18:I23" si="2">SUM(C18:H18)</f>
        <v>194214.76</v>
      </c>
    </row>
    <row r="19" spans="1:9" x14ac:dyDescent="0.25">
      <c r="A19" s="29">
        <v>13</v>
      </c>
      <c r="B19" s="575" t="s">
        <v>271</v>
      </c>
      <c r="C19" s="684">
        <v>1487767.2</v>
      </c>
      <c r="D19" s="684"/>
      <c r="E19" s="684">
        <f>1382.66+103356.7</f>
        <v>104739.36</v>
      </c>
      <c r="F19" s="684">
        <v>3232660.86</v>
      </c>
      <c r="G19" s="684"/>
      <c r="H19" s="684"/>
      <c r="I19" s="698">
        <f t="shared" si="2"/>
        <v>4825167.42</v>
      </c>
    </row>
    <row r="20" spans="1:9" x14ac:dyDescent="0.25">
      <c r="A20" s="29">
        <v>14</v>
      </c>
      <c r="B20" s="575" t="s">
        <v>161</v>
      </c>
      <c r="C20" s="684"/>
      <c r="D20" s="684"/>
      <c r="E20" s="684">
        <v>89914.08</v>
      </c>
      <c r="F20" s="684"/>
      <c r="G20" s="684"/>
      <c r="H20" s="684"/>
      <c r="I20" s="698">
        <f t="shared" si="2"/>
        <v>89914.08</v>
      </c>
    </row>
    <row r="21" spans="1:9" x14ac:dyDescent="0.25">
      <c r="A21" s="41">
        <v>15</v>
      </c>
      <c r="B21" s="575" t="s">
        <v>279</v>
      </c>
      <c r="C21" s="684"/>
      <c r="D21" s="684"/>
      <c r="E21" s="684"/>
      <c r="F21" s="684"/>
      <c r="G21" s="684"/>
      <c r="H21" s="684"/>
      <c r="I21" s="698">
        <f t="shared" si="2"/>
        <v>0</v>
      </c>
    </row>
    <row r="22" spans="1:9" x14ac:dyDescent="0.25">
      <c r="A22" s="29">
        <v>16</v>
      </c>
      <c r="B22" s="578" t="s">
        <v>945</v>
      </c>
      <c r="C22" s="699"/>
      <c r="D22" s="684"/>
      <c r="E22" s="684"/>
      <c r="F22" s="684"/>
      <c r="G22" s="684"/>
      <c r="H22" s="684"/>
      <c r="I22" s="698">
        <f t="shared" si="2"/>
        <v>0</v>
      </c>
    </row>
    <row r="23" spans="1:9" ht="48" thickBot="1" x14ac:dyDescent="0.3">
      <c r="A23" s="30">
        <v>17</v>
      </c>
      <c r="B23" s="579" t="s">
        <v>1005</v>
      </c>
      <c r="C23" s="700">
        <f>+C6+C9+C10+C17+C18+C19+C20+C21+C22</f>
        <v>1521175.2</v>
      </c>
      <c r="D23" s="701">
        <f>+D6+D9+D10+D17+D18+D19+D20+D21+D22</f>
        <v>154153.64000000001</v>
      </c>
      <c r="E23" s="701">
        <f t="shared" ref="E23:H23" si="3">+E6+E9+E10+E17+E18+E19+E20+E21+E22</f>
        <v>440051.06</v>
      </c>
      <c r="F23" s="701">
        <f t="shared" si="3"/>
        <v>3850073.63</v>
      </c>
      <c r="G23" s="701">
        <f t="shared" si="3"/>
        <v>0</v>
      </c>
      <c r="H23" s="701">
        <f t="shared" si="3"/>
        <v>0</v>
      </c>
      <c r="I23" s="702">
        <f t="shared" si="2"/>
        <v>5965453.5299999993</v>
      </c>
    </row>
    <row r="24" spans="1:9" x14ac:dyDescent="0.25">
      <c r="C24" s="235"/>
      <c r="D24" s="234"/>
      <c r="E24" s="234"/>
      <c r="F24" s="234"/>
      <c r="G24" s="234"/>
      <c r="H24" s="234"/>
    </row>
    <row r="25" spans="1:9" x14ac:dyDescent="0.25">
      <c r="A25" s="571" t="s">
        <v>986</v>
      </c>
      <c r="B25" s="572" t="s">
        <v>1003</v>
      </c>
      <c r="C25" s="234"/>
      <c r="D25" s="234"/>
      <c r="E25" s="234"/>
      <c r="F25" s="234"/>
      <c r="G25" s="234"/>
      <c r="H25" s="234"/>
    </row>
    <row r="26" spans="1:9" x14ac:dyDescent="0.25">
      <c r="C26" s="234"/>
      <c r="D26" s="234"/>
      <c r="E26" s="234"/>
      <c r="F26" s="234"/>
      <c r="G26" s="234"/>
      <c r="H26" s="234"/>
    </row>
    <row r="27" spans="1:9" x14ac:dyDescent="0.25">
      <c r="B27" s="878" t="s">
        <v>1270</v>
      </c>
      <c r="C27" s="878"/>
      <c r="D27" s="878"/>
      <c r="E27" s="878"/>
      <c r="F27" s="878"/>
      <c r="G27" s="878"/>
      <c r="H27" s="878"/>
      <c r="I27" s="878"/>
    </row>
    <row r="28" spans="1:9" x14ac:dyDescent="0.25">
      <c r="C28" s="234"/>
      <c r="D28" s="234"/>
      <c r="E28" s="234"/>
      <c r="F28" s="234"/>
      <c r="G28" s="234"/>
      <c r="H28" s="234"/>
    </row>
    <row r="29" spans="1:9" x14ac:dyDescent="0.25">
      <c r="C29" s="234"/>
      <c r="D29" s="234"/>
      <c r="E29" s="234"/>
      <c r="F29" s="234"/>
      <c r="G29" s="234"/>
      <c r="H29" s="234"/>
    </row>
    <row r="30" spans="1:9" x14ac:dyDescent="0.25">
      <c r="C30" s="234"/>
      <c r="D30" s="234"/>
      <c r="E30" s="234"/>
      <c r="F30" s="234"/>
      <c r="G30" s="234"/>
      <c r="H30" s="234"/>
    </row>
    <row r="31" spans="1:9" x14ac:dyDescent="0.25">
      <c r="C31" s="234"/>
      <c r="D31" s="234"/>
      <c r="E31" s="234"/>
      <c r="F31" s="234"/>
      <c r="G31" s="234"/>
      <c r="H31" s="234"/>
    </row>
    <row r="32" spans="1:9" x14ac:dyDescent="0.25">
      <c r="C32" s="234"/>
      <c r="D32" s="234"/>
      <c r="E32" s="234"/>
      <c r="F32" s="234"/>
      <c r="G32" s="234"/>
      <c r="H32" s="234"/>
    </row>
    <row r="33" spans="3:8" x14ac:dyDescent="0.25">
      <c r="C33" s="234"/>
      <c r="D33" s="234"/>
      <c r="E33" s="234"/>
      <c r="F33" s="234"/>
      <c r="G33" s="234"/>
      <c r="H33" s="234"/>
    </row>
    <row r="34" spans="3:8" x14ac:dyDescent="0.25">
      <c r="C34" s="234"/>
      <c r="D34" s="234"/>
      <c r="E34" s="234"/>
      <c r="F34" s="234"/>
      <c r="G34" s="234"/>
      <c r="H34" s="234"/>
    </row>
    <row r="35" spans="3:8" x14ac:dyDescent="0.25">
      <c r="C35" s="234"/>
      <c r="D35" s="234"/>
      <c r="E35" s="234"/>
      <c r="F35" s="234"/>
      <c r="G35" s="234"/>
      <c r="H35" s="234"/>
    </row>
    <row r="36" spans="3:8" x14ac:dyDescent="0.25">
      <c r="C36" s="234"/>
      <c r="D36" s="234"/>
      <c r="E36" s="234"/>
      <c r="F36" s="234"/>
      <c r="G36" s="234"/>
      <c r="H36" s="234"/>
    </row>
    <row r="37" spans="3:8" x14ac:dyDescent="0.25">
      <c r="C37" s="234"/>
      <c r="D37" s="234"/>
      <c r="E37" s="234"/>
      <c r="F37" s="234"/>
      <c r="G37" s="234"/>
      <c r="H37" s="234"/>
    </row>
    <row r="38" spans="3:8" x14ac:dyDescent="0.25">
      <c r="C38" s="234"/>
      <c r="D38" s="234"/>
      <c r="E38" s="234"/>
      <c r="F38" s="234"/>
      <c r="G38" s="234"/>
      <c r="H38" s="234"/>
    </row>
    <row r="39" spans="3:8" x14ac:dyDescent="0.25">
      <c r="C39" s="234"/>
      <c r="D39" s="234"/>
      <c r="E39" s="234"/>
      <c r="F39" s="234"/>
      <c r="G39" s="234"/>
      <c r="H39" s="234"/>
    </row>
    <row r="40" spans="3:8" x14ac:dyDescent="0.25">
      <c r="C40" s="234"/>
      <c r="D40" s="234"/>
      <c r="E40" s="234"/>
      <c r="F40" s="234"/>
      <c r="G40" s="234"/>
      <c r="H40" s="234"/>
    </row>
    <row r="41" spans="3:8" x14ac:dyDescent="0.25">
      <c r="C41" s="234"/>
      <c r="D41" s="234"/>
      <c r="E41" s="234"/>
      <c r="F41" s="234"/>
      <c r="G41" s="234"/>
      <c r="H41" s="234"/>
    </row>
    <row r="42" spans="3:8" x14ac:dyDescent="0.25">
      <c r="C42" s="234"/>
      <c r="D42" s="234"/>
      <c r="E42" s="234"/>
      <c r="F42" s="234"/>
      <c r="G42" s="234"/>
      <c r="H42" s="234"/>
    </row>
    <row r="43" spans="3:8" x14ac:dyDescent="0.25">
      <c r="C43" s="234"/>
      <c r="D43" s="234"/>
      <c r="E43" s="234"/>
      <c r="F43" s="234"/>
      <c r="G43" s="234"/>
      <c r="H43" s="234"/>
    </row>
    <row r="44" spans="3:8" x14ac:dyDescent="0.25">
      <c r="C44" s="234"/>
      <c r="D44" s="234"/>
      <c r="E44" s="234"/>
      <c r="F44" s="234"/>
      <c r="G44" s="234"/>
      <c r="H44" s="234"/>
    </row>
    <row r="45" spans="3:8" x14ac:dyDescent="0.25">
      <c r="C45" s="234"/>
      <c r="D45" s="234"/>
      <c r="E45" s="234"/>
      <c r="F45" s="234"/>
      <c r="G45" s="234"/>
      <c r="H45" s="234"/>
    </row>
    <row r="46" spans="3:8" x14ac:dyDescent="0.25">
      <c r="C46" s="234"/>
      <c r="D46" s="234"/>
      <c r="E46" s="234"/>
      <c r="F46" s="234"/>
      <c r="G46" s="234"/>
      <c r="H46" s="234"/>
    </row>
    <row r="47" spans="3:8" x14ac:dyDescent="0.25">
      <c r="C47" s="234"/>
      <c r="D47" s="234"/>
      <c r="E47" s="234"/>
      <c r="F47" s="234"/>
      <c r="G47" s="234"/>
      <c r="H47" s="234"/>
    </row>
    <row r="48" spans="3:8" x14ac:dyDescent="0.25">
      <c r="C48" s="234"/>
      <c r="D48" s="234"/>
      <c r="E48" s="234"/>
      <c r="F48" s="234"/>
      <c r="G48" s="234"/>
      <c r="H48" s="234"/>
    </row>
    <row r="49" spans="3:8" x14ac:dyDescent="0.25">
      <c r="C49" s="234"/>
      <c r="D49" s="234"/>
      <c r="E49" s="234"/>
      <c r="F49" s="234"/>
      <c r="G49" s="234"/>
      <c r="H49" s="234"/>
    </row>
    <row r="50" spans="3:8" x14ac:dyDescent="0.25">
      <c r="C50" s="234"/>
      <c r="D50" s="234"/>
      <c r="E50" s="234"/>
      <c r="F50" s="234"/>
      <c r="G50" s="234"/>
      <c r="H50" s="234"/>
    </row>
    <row r="51" spans="3:8" x14ac:dyDescent="0.25">
      <c r="C51" s="234"/>
      <c r="D51" s="234"/>
      <c r="E51" s="234"/>
      <c r="F51" s="234"/>
      <c r="G51" s="234"/>
      <c r="H51" s="234"/>
    </row>
    <row r="52" spans="3:8" x14ac:dyDescent="0.25">
      <c r="C52" s="234"/>
      <c r="D52" s="234"/>
      <c r="E52" s="234"/>
      <c r="F52" s="234"/>
      <c r="G52" s="234"/>
      <c r="H52" s="234"/>
    </row>
    <row r="53" spans="3:8" x14ac:dyDescent="0.25">
      <c r="C53" s="234"/>
      <c r="D53" s="234"/>
      <c r="E53" s="234"/>
      <c r="F53" s="234"/>
      <c r="G53" s="234"/>
      <c r="H53" s="234"/>
    </row>
    <row r="54" spans="3:8" x14ac:dyDescent="0.25">
      <c r="C54" s="234"/>
      <c r="D54" s="234"/>
      <c r="E54" s="234"/>
      <c r="F54" s="234"/>
      <c r="G54" s="234"/>
      <c r="H54" s="234"/>
    </row>
    <row r="55" spans="3:8" x14ac:dyDescent="0.25">
      <c r="C55" s="234"/>
      <c r="D55" s="234"/>
      <c r="E55" s="234"/>
      <c r="F55" s="234"/>
      <c r="G55" s="234"/>
      <c r="H55" s="234"/>
    </row>
    <row r="56" spans="3:8" x14ac:dyDescent="0.25">
      <c r="C56" s="234"/>
      <c r="D56" s="234"/>
      <c r="E56" s="234"/>
      <c r="F56" s="234"/>
      <c r="G56" s="234"/>
      <c r="H56" s="234"/>
    </row>
    <row r="57" spans="3:8" x14ac:dyDescent="0.25">
      <c r="C57" s="234"/>
      <c r="D57" s="234"/>
      <c r="E57" s="234"/>
      <c r="F57" s="234"/>
      <c r="G57" s="234"/>
      <c r="H57" s="234"/>
    </row>
    <row r="58" spans="3:8" x14ac:dyDescent="0.25">
      <c r="C58" s="234"/>
      <c r="D58" s="234"/>
      <c r="E58" s="234"/>
      <c r="F58" s="234"/>
      <c r="G58" s="234"/>
      <c r="H58" s="234"/>
    </row>
    <row r="59" spans="3:8" x14ac:dyDescent="0.25">
      <c r="C59" s="234"/>
      <c r="D59" s="234"/>
      <c r="E59" s="234"/>
      <c r="F59" s="234"/>
      <c r="G59" s="234"/>
      <c r="H59" s="234"/>
    </row>
    <row r="60" spans="3:8" x14ac:dyDescent="0.25">
      <c r="C60" s="234"/>
      <c r="D60" s="234"/>
      <c r="E60" s="234"/>
      <c r="F60" s="234"/>
      <c r="G60" s="234"/>
      <c r="H60" s="234"/>
    </row>
    <row r="61" spans="3:8" x14ac:dyDescent="0.25">
      <c r="C61" s="234"/>
      <c r="D61" s="234"/>
      <c r="E61" s="234"/>
      <c r="F61" s="234"/>
      <c r="G61" s="234"/>
      <c r="H61" s="234"/>
    </row>
    <row r="62" spans="3:8" x14ac:dyDescent="0.25">
      <c r="C62" s="234"/>
      <c r="D62" s="234"/>
      <c r="E62" s="234"/>
      <c r="F62" s="234"/>
      <c r="G62" s="234"/>
      <c r="H62" s="234"/>
    </row>
    <row r="63" spans="3:8" x14ac:dyDescent="0.25">
      <c r="C63" s="234"/>
      <c r="D63" s="234"/>
      <c r="E63" s="234"/>
      <c r="F63" s="234"/>
      <c r="G63" s="234"/>
      <c r="H63" s="234"/>
    </row>
    <row r="64" spans="3:8" x14ac:dyDescent="0.25">
      <c r="C64" s="234"/>
      <c r="D64" s="234"/>
      <c r="E64" s="234"/>
      <c r="F64" s="234"/>
      <c r="G64" s="234"/>
      <c r="H64" s="234"/>
    </row>
    <row r="65" spans="3:8" x14ac:dyDescent="0.25">
      <c r="C65" s="234"/>
      <c r="D65" s="234"/>
      <c r="E65" s="234"/>
      <c r="F65" s="234"/>
      <c r="G65" s="234"/>
      <c r="H65" s="234"/>
    </row>
    <row r="66" spans="3:8" x14ac:dyDescent="0.25">
      <c r="C66" s="234"/>
      <c r="D66" s="234"/>
      <c r="E66" s="234"/>
      <c r="F66" s="234"/>
      <c r="G66" s="234"/>
      <c r="H66" s="234"/>
    </row>
    <row r="67" spans="3:8" x14ac:dyDescent="0.25">
      <c r="C67" s="234"/>
      <c r="D67" s="234"/>
      <c r="E67" s="234"/>
      <c r="F67" s="234"/>
      <c r="G67" s="234"/>
      <c r="H67" s="234"/>
    </row>
    <row r="68" spans="3:8" x14ac:dyDescent="0.25">
      <c r="C68" s="234"/>
      <c r="D68" s="234"/>
      <c r="E68" s="234"/>
      <c r="F68" s="234"/>
      <c r="G68" s="234"/>
      <c r="H68" s="234"/>
    </row>
    <row r="69" spans="3:8" x14ac:dyDescent="0.25">
      <c r="C69" s="234"/>
      <c r="D69" s="234"/>
      <c r="E69" s="234"/>
      <c r="F69" s="234"/>
      <c r="G69" s="234"/>
      <c r="H69" s="234"/>
    </row>
    <row r="70" spans="3:8" x14ac:dyDescent="0.25">
      <c r="C70" s="234"/>
      <c r="D70" s="234"/>
      <c r="E70" s="234"/>
      <c r="F70" s="234"/>
      <c r="G70" s="234"/>
      <c r="H70" s="234"/>
    </row>
    <row r="71" spans="3:8" x14ac:dyDescent="0.25">
      <c r="C71" s="234"/>
      <c r="D71" s="234"/>
      <c r="E71" s="234"/>
      <c r="F71" s="234"/>
      <c r="G71" s="234"/>
      <c r="H71" s="234"/>
    </row>
    <row r="72" spans="3:8" x14ac:dyDescent="0.25">
      <c r="C72" s="234"/>
      <c r="D72" s="234"/>
      <c r="E72" s="234"/>
      <c r="F72" s="234"/>
      <c r="G72" s="234"/>
      <c r="H72" s="234"/>
    </row>
    <row r="73" spans="3:8" x14ac:dyDescent="0.25">
      <c r="C73" s="234"/>
      <c r="D73" s="234"/>
      <c r="E73" s="234"/>
      <c r="F73" s="234"/>
      <c r="G73" s="234"/>
      <c r="H73" s="234"/>
    </row>
    <row r="74" spans="3:8" x14ac:dyDescent="0.25">
      <c r="C74" s="234"/>
      <c r="D74" s="234"/>
      <c r="E74" s="234"/>
      <c r="F74" s="234"/>
      <c r="G74" s="234"/>
      <c r="H74" s="234"/>
    </row>
    <row r="75" spans="3:8" x14ac:dyDescent="0.25">
      <c r="C75" s="234"/>
      <c r="D75" s="234"/>
      <c r="E75" s="234"/>
      <c r="F75" s="234"/>
      <c r="G75" s="234"/>
      <c r="H75" s="234"/>
    </row>
    <row r="76" spans="3:8" x14ac:dyDescent="0.25">
      <c r="C76" s="234"/>
      <c r="D76" s="234"/>
      <c r="E76" s="234"/>
      <c r="F76" s="234"/>
      <c r="G76" s="234"/>
      <c r="H76" s="234"/>
    </row>
    <row r="77" spans="3:8" x14ac:dyDescent="0.25">
      <c r="C77" s="234"/>
      <c r="D77" s="234"/>
      <c r="E77" s="234"/>
      <c r="F77" s="234"/>
      <c r="G77" s="234"/>
      <c r="H77" s="234"/>
    </row>
    <row r="78" spans="3:8" x14ac:dyDescent="0.25">
      <c r="C78" s="234"/>
      <c r="D78" s="234"/>
      <c r="E78" s="234"/>
      <c r="F78" s="234"/>
      <c r="G78" s="234"/>
      <c r="H78" s="234"/>
    </row>
    <row r="79" spans="3:8" x14ac:dyDescent="0.25">
      <c r="C79" s="234"/>
      <c r="D79" s="234"/>
      <c r="E79" s="234"/>
      <c r="F79" s="234"/>
      <c r="G79" s="234"/>
      <c r="H79" s="234"/>
    </row>
    <row r="80" spans="3:8" x14ac:dyDescent="0.25">
      <c r="C80" s="234"/>
      <c r="D80" s="234"/>
      <c r="E80" s="234"/>
      <c r="F80" s="234"/>
      <c r="G80" s="234"/>
      <c r="H80" s="234"/>
    </row>
    <row r="81" spans="3:8" x14ac:dyDescent="0.25">
      <c r="C81" s="234"/>
      <c r="D81" s="234"/>
      <c r="E81" s="234"/>
      <c r="F81" s="234"/>
      <c r="G81" s="234"/>
      <c r="H81" s="234"/>
    </row>
    <row r="82" spans="3:8" x14ac:dyDescent="0.25">
      <c r="C82" s="234"/>
      <c r="D82" s="234"/>
      <c r="E82" s="234"/>
      <c r="F82" s="234"/>
      <c r="G82" s="234"/>
      <c r="H82" s="234"/>
    </row>
    <row r="83" spans="3:8" x14ac:dyDescent="0.25">
      <c r="C83" s="234"/>
      <c r="D83" s="234"/>
      <c r="E83" s="234"/>
      <c r="F83" s="234"/>
      <c r="G83" s="234"/>
      <c r="H83" s="234"/>
    </row>
  </sheetData>
  <mergeCells count="12">
    <mergeCell ref="B27:I27"/>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66" right="0.44" top="0.98425196850393704" bottom="0.98425196850393704" header="0.51181102362204722" footer="0.51181102362204722"/>
  <pageSetup paperSize="9" scale="7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23"/>
  <sheetViews>
    <sheetView zoomScale="90" zoomScaleNormal="90" workbookViewId="0">
      <pane xSplit="2" ySplit="5" topLeftCell="C6" activePane="bottomRight" state="frozen"/>
      <selection pane="topRight" activeCell="C1" sqref="C1"/>
      <selection pane="bottomLeft" activeCell="A6" sqref="A6"/>
      <selection pane="bottomRight" activeCell="F9" sqref="F9"/>
    </sheetView>
  </sheetViews>
  <sheetFormatPr defaultRowHeight="15.75" x14ac:dyDescent="0.25"/>
  <cols>
    <col min="1" max="1" width="7.28515625" style="264" customWidth="1"/>
    <col min="2" max="2" width="38.85546875" style="269" customWidth="1"/>
    <col min="3" max="4" width="12.85546875" style="264" customWidth="1"/>
    <col min="5" max="5" width="12.140625" style="264" customWidth="1"/>
    <col min="6" max="6" width="11.85546875" style="264" customWidth="1"/>
    <col min="7" max="7" width="11.42578125" style="264" customWidth="1"/>
    <col min="8" max="8" width="10.5703125" style="264" customWidth="1"/>
    <col min="9" max="9" width="13.42578125" style="264" customWidth="1"/>
    <col min="10" max="10" width="12.42578125" style="264" customWidth="1"/>
    <col min="11" max="11" width="14.5703125" style="264" customWidth="1"/>
    <col min="12" max="12" width="14.42578125" style="264" customWidth="1"/>
    <col min="13" max="13" width="14.85546875" style="264" customWidth="1"/>
    <col min="14" max="14" width="14.7109375" style="264" customWidth="1"/>
    <col min="15" max="15" width="14.140625" style="264" customWidth="1"/>
    <col min="16" max="16" width="14.28515625" style="264" customWidth="1"/>
    <col min="17" max="16384" width="9.140625" style="264"/>
  </cols>
  <sheetData>
    <row r="1" spans="1:256" ht="27.75" customHeight="1" thickBot="1" x14ac:dyDescent="0.3">
      <c r="A1" s="891" t="s">
        <v>1008</v>
      </c>
      <c r="B1" s="892"/>
      <c r="C1" s="892"/>
      <c r="D1" s="892"/>
      <c r="E1" s="892"/>
      <c r="F1" s="892"/>
      <c r="G1" s="892"/>
      <c r="H1" s="892"/>
      <c r="I1" s="892"/>
      <c r="J1" s="892"/>
      <c r="K1" s="892"/>
      <c r="L1" s="892"/>
      <c r="M1" s="892"/>
      <c r="N1" s="893"/>
    </row>
    <row r="2" spans="1:256" ht="28.5" customHeight="1" x14ac:dyDescent="0.25">
      <c r="A2" s="894" t="s">
        <v>368</v>
      </c>
      <c r="B2" s="895"/>
      <c r="C2" s="895"/>
      <c r="D2" s="895"/>
      <c r="E2" s="895"/>
      <c r="F2" s="895"/>
      <c r="G2" s="895"/>
      <c r="H2" s="895"/>
      <c r="I2" s="896"/>
      <c r="J2" s="896"/>
      <c r="K2" s="895"/>
      <c r="L2" s="895"/>
      <c r="M2" s="895"/>
      <c r="N2" s="897"/>
    </row>
    <row r="3" spans="1:256" ht="51.75" customHeight="1" x14ac:dyDescent="0.25">
      <c r="A3" s="898" t="s">
        <v>180</v>
      </c>
      <c r="B3" s="899" t="s">
        <v>827</v>
      </c>
      <c r="C3" s="888" t="s">
        <v>302</v>
      </c>
      <c r="D3" s="888"/>
      <c r="E3" s="888" t="s">
        <v>303</v>
      </c>
      <c r="F3" s="888"/>
      <c r="G3" s="888" t="s">
        <v>304</v>
      </c>
      <c r="H3" s="876"/>
      <c r="I3" s="901" t="s">
        <v>743</v>
      </c>
      <c r="J3" s="901"/>
      <c r="K3" s="902" t="s">
        <v>280</v>
      </c>
      <c r="L3" s="888"/>
      <c r="M3" s="888" t="s">
        <v>297</v>
      </c>
      <c r="N3" s="889"/>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5"/>
      <c r="DG3" s="265"/>
      <c r="DH3" s="265"/>
      <c r="DI3" s="265"/>
      <c r="DJ3" s="265"/>
      <c r="DK3" s="265"/>
      <c r="DL3" s="265"/>
      <c r="DM3" s="265"/>
      <c r="DN3" s="265"/>
      <c r="DO3" s="265"/>
      <c r="DP3" s="265"/>
      <c r="DQ3" s="265"/>
      <c r="DR3" s="265"/>
      <c r="DS3" s="265"/>
      <c r="DT3" s="265"/>
      <c r="DU3" s="265"/>
      <c r="DV3" s="265"/>
      <c r="DW3" s="265"/>
      <c r="DX3" s="265"/>
      <c r="DY3" s="265"/>
      <c r="DZ3" s="265"/>
      <c r="EA3" s="265"/>
      <c r="EB3" s="265"/>
      <c r="EC3" s="265"/>
      <c r="ED3" s="265"/>
      <c r="EE3" s="265"/>
      <c r="EF3" s="265"/>
      <c r="EG3" s="265"/>
      <c r="EH3" s="265"/>
      <c r="EI3" s="265"/>
      <c r="EJ3" s="265"/>
      <c r="EK3" s="265"/>
      <c r="EL3" s="265"/>
      <c r="EM3" s="265"/>
      <c r="EN3" s="265"/>
      <c r="EO3" s="265"/>
      <c r="EP3" s="265"/>
      <c r="EQ3" s="265"/>
      <c r="ER3" s="265"/>
      <c r="ES3" s="265"/>
      <c r="ET3" s="265"/>
      <c r="EU3" s="265"/>
      <c r="EV3" s="265"/>
      <c r="EW3" s="265"/>
      <c r="EX3" s="265"/>
      <c r="EY3" s="265"/>
      <c r="EZ3" s="265"/>
      <c r="FA3" s="265"/>
      <c r="FB3" s="265"/>
      <c r="FC3" s="265"/>
      <c r="FD3" s="265"/>
      <c r="FE3" s="265"/>
      <c r="FF3" s="265"/>
      <c r="FG3" s="265"/>
      <c r="FH3" s="265"/>
      <c r="FI3" s="265"/>
      <c r="FJ3" s="265"/>
      <c r="FK3" s="265"/>
      <c r="FL3" s="265"/>
      <c r="FM3" s="265"/>
      <c r="FN3" s="265"/>
      <c r="FO3" s="265"/>
      <c r="FP3" s="265"/>
      <c r="FQ3" s="265"/>
      <c r="FR3" s="265"/>
      <c r="FS3" s="265"/>
      <c r="FT3" s="265"/>
      <c r="FU3" s="265"/>
      <c r="FV3" s="265"/>
      <c r="FW3" s="265"/>
      <c r="FX3" s="265"/>
      <c r="FY3" s="265"/>
      <c r="FZ3" s="265"/>
      <c r="GA3" s="265"/>
      <c r="GB3" s="265"/>
      <c r="GC3" s="265"/>
      <c r="GD3" s="265"/>
      <c r="GE3" s="265"/>
      <c r="GF3" s="265"/>
      <c r="GG3" s="265"/>
      <c r="GH3" s="265"/>
      <c r="GI3" s="265"/>
      <c r="GJ3" s="265"/>
      <c r="GK3" s="265"/>
      <c r="GL3" s="265"/>
      <c r="GM3" s="265"/>
      <c r="GN3" s="265"/>
      <c r="GO3" s="265"/>
      <c r="GP3" s="265"/>
      <c r="GQ3" s="265"/>
      <c r="GR3" s="265"/>
      <c r="GS3" s="265"/>
      <c r="GT3" s="265"/>
      <c r="GU3" s="265"/>
      <c r="GV3" s="265"/>
      <c r="GW3" s="265"/>
      <c r="GX3" s="265"/>
      <c r="GY3" s="265"/>
      <c r="GZ3" s="265"/>
      <c r="HA3" s="265"/>
      <c r="HB3" s="265"/>
      <c r="HC3" s="265"/>
      <c r="HD3" s="265"/>
      <c r="HE3" s="265"/>
      <c r="HF3" s="265"/>
      <c r="HG3" s="265"/>
      <c r="HH3" s="265"/>
      <c r="HI3" s="265"/>
      <c r="HJ3" s="265"/>
      <c r="HK3" s="265"/>
      <c r="HL3" s="265"/>
      <c r="HM3" s="265"/>
      <c r="HN3" s="265"/>
      <c r="HO3" s="265"/>
      <c r="HP3" s="265"/>
      <c r="HQ3" s="265"/>
      <c r="HR3" s="265"/>
      <c r="HS3" s="265"/>
      <c r="HT3" s="265"/>
      <c r="HU3" s="265"/>
      <c r="HV3" s="265"/>
      <c r="HW3" s="265"/>
      <c r="HX3" s="265"/>
      <c r="HY3" s="265"/>
      <c r="HZ3" s="265"/>
      <c r="IA3" s="265"/>
      <c r="IB3" s="265"/>
      <c r="IC3" s="265"/>
      <c r="ID3" s="265"/>
      <c r="IE3" s="265"/>
      <c r="IF3" s="265"/>
      <c r="IG3" s="265"/>
      <c r="IH3" s="265"/>
      <c r="II3" s="265"/>
      <c r="IJ3" s="265"/>
      <c r="IK3" s="265"/>
      <c r="IL3" s="265"/>
      <c r="IM3" s="265"/>
      <c r="IN3" s="265"/>
      <c r="IO3" s="265"/>
      <c r="IP3" s="265"/>
      <c r="IQ3" s="265"/>
      <c r="IR3" s="265"/>
      <c r="IS3" s="265"/>
      <c r="IT3" s="265"/>
      <c r="IU3" s="265"/>
      <c r="IV3" s="265"/>
    </row>
    <row r="4" spans="1:256" ht="17.25" customHeight="1" x14ac:dyDescent="0.25">
      <c r="A4" s="898"/>
      <c r="B4" s="900"/>
      <c r="C4" s="460">
        <v>2018</v>
      </c>
      <c r="D4" s="460">
        <v>2019</v>
      </c>
      <c r="E4" s="570">
        <v>2018</v>
      </c>
      <c r="F4" s="570">
        <v>2019</v>
      </c>
      <c r="G4" s="570">
        <v>2018</v>
      </c>
      <c r="H4" s="570">
        <v>2019</v>
      </c>
      <c r="I4" s="570">
        <v>2018</v>
      </c>
      <c r="J4" s="570">
        <v>2019</v>
      </c>
      <c r="K4" s="570">
        <v>2018</v>
      </c>
      <c r="L4" s="570">
        <v>2019</v>
      </c>
      <c r="M4" s="522">
        <v>2018</v>
      </c>
      <c r="N4" s="522">
        <v>2019</v>
      </c>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c r="BR4" s="265"/>
      <c r="BS4" s="265"/>
      <c r="BT4" s="265"/>
      <c r="BU4" s="265"/>
      <c r="BV4" s="265"/>
      <c r="BW4" s="265"/>
      <c r="BX4" s="265"/>
      <c r="BY4" s="265"/>
      <c r="BZ4" s="265"/>
      <c r="CA4" s="265"/>
      <c r="CB4" s="265"/>
      <c r="CC4" s="265"/>
      <c r="CD4" s="265"/>
      <c r="CE4" s="265"/>
      <c r="CF4" s="265"/>
      <c r="CG4" s="265"/>
      <c r="CH4" s="265"/>
      <c r="CI4" s="265"/>
      <c r="CJ4" s="265"/>
      <c r="CK4" s="265"/>
      <c r="CL4" s="265"/>
      <c r="CM4" s="265"/>
      <c r="CN4" s="265"/>
      <c r="CO4" s="265"/>
      <c r="CP4" s="265"/>
      <c r="CQ4" s="265"/>
      <c r="CR4" s="265"/>
      <c r="CS4" s="265"/>
      <c r="CT4" s="265"/>
      <c r="CU4" s="265"/>
      <c r="CV4" s="265"/>
      <c r="CW4" s="265"/>
      <c r="CX4" s="265"/>
      <c r="CY4" s="265"/>
      <c r="CZ4" s="265"/>
      <c r="DA4" s="265"/>
      <c r="DB4" s="265"/>
      <c r="DC4" s="265"/>
      <c r="DD4" s="265"/>
      <c r="DE4" s="265"/>
      <c r="DF4" s="265"/>
      <c r="DG4" s="265"/>
      <c r="DH4" s="265"/>
      <c r="DI4" s="265"/>
      <c r="DJ4" s="265"/>
      <c r="DK4" s="265"/>
      <c r="DL4" s="265"/>
      <c r="DM4" s="265"/>
      <c r="DN4" s="265"/>
      <c r="DO4" s="265"/>
      <c r="DP4" s="265"/>
      <c r="DQ4" s="265"/>
      <c r="DR4" s="265"/>
      <c r="DS4" s="265"/>
      <c r="DT4" s="265"/>
      <c r="DU4" s="265"/>
      <c r="DV4" s="265"/>
      <c r="DW4" s="265"/>
      <c r="DX4" s="265"/>
      <c r="DY4" s="265"/>
      <c r="DZ4" s="265"/>
      <c r="EA4" s="265"/>
      <c r="EB4" s="265"/>
      <c r="EC4" s="265"/>
      <c r="ED4" s="265"/>
      <c r="EE4" s="265"/>
      <c r="EF4" s="265"/>
      <c r="EG4" s="265"/>
      <c r="EH4" s="265"/>
      <c r="EI4" s="265"/>
      <c r="EJ4" s="265"/>
      <c r="EK4" s="265"/>
      <c r="EL4" s="265"/>
      <c r="EM4" s="265"/>
      <c r="EN4" s="265"/>
      <c r="EO4" s="265"/>
      <c r="EP4" s="265"/>
      <c r="EQ4" s="265"/>
      <c r="ER4" s="265"/>
      <c r="ES4" s="265"/>
      <c r="ET4" s="265"/>
      <c r="EU4" s="265"/>
      <c r="EV4" s="265"/>
      <c r="EW4" s="265"/>
      <c r="EX4" s="265"/>
      <c r="EY4" s="265"/>
      <c r="EZ4" s="265"/>
      <c r="FA4" s="265"/>
      <c r="FB4" s="265"/>
      <c r="FC4" s="265"/>
      <c r="FD4" s="265"/>
      <c r="FE4" s="265"/>
      <c r="FF4" s="265"/>
      <c r="FG4" s="265"/>
      <c r="FH4" s="265"/>
      <c r="FI4" s="265"/>
      <c r="FJ4" s="265"/>
      <c r="FK4" s="265"/>
      <c r="FL4" s="265"/>
      <c r="FM4" s="265"/>
      <c r="FN4" s="265"/>
      <c r="FO4" s="265"/>
      <c r="FP4" s="265"/>
      <c r="FQ4" s="265"/>
      <c r="FR4" s="265"/>
      <c r="FS4" s="265"/>
      <c r="FT4" s="265"/>
      <c r="FU4" s="265"/>
      <c r="FV4" s="265"/>
      <c r="FW4" s="265"/>
      <c r="FX4" s="265"/>
      <c r="FY4" s="265"/>
      <c r="FZ4" s="265"/>
      <c r="GA4" s="265"/>
      <c r="GB4" s="265"/>
      <c r="GC4" s="265"/>
      <c r="GD4" s="265"/>
      <c r="GE4" s="265"/>
      <c r="GF4" s="265"/>
      <c r="GG4" s="265"/>
      <c r="GH4" s="265"/>
      <c r="GI4" s="265"/>
      <c r="GJ4" s="265"/>
      <c r="GK4" s="265"/>
      <c r="GL4" s="265"/>
      <c r="GM4" s="265"/>
      <c r="GN4" s="265"/>
      <c r="GO4" s="265"/>
      <c r="GP4" s="265"/>
      <c r="GQ4" s="265"/>
      <c r="GR4" s="265"/>
      <c r="GS4" s="265"/>
      <c r="GT4" s="265"/>
      <c r="GU4" s="265"/>
      <c r="GV4" s="265"/>
      <c r="GW4" s="265"/>
      <c r="GX4" s="265"/>
      <c r="GY4" s="265"/>
      <c r="GZ4" s="265"/>
      <c r="HA4" s="265"/>
      <c r="HB4" s="265"/>
      <c r="HC4" s="265"/>
      <c r="HD4" s="265"/>
      <c r="HE4" s="265"/>
      <c r="HF4" s="265"/>
      <c r="HG4" s="265"/>
      <c r="HH4" s="265"/>
      <c r="HI4" s="265"/>
      <c r="HJ4" s="265"/>
      <c r="HK4" s="265"/>
      <c r="HL4" s="265"/>
      <c r="HM4" s="265"/>
      <c r="HN4" s="265"/>
      <c r="HO4" s="265"/>
      <c r="HP4" s="265"/>
      <c r="HQ4" s="265"/>
      <c r="HR4" s="265"/>
      <c r="HS4" s="265"/>
      <c r="HT4" s="265"/>
      <c r="HU4" s="265"/>
      <c r="HV4" s="265"/>
      <c r="HW4" s="265"/>
      <c r="HX4" s="265"/>
      <c r="HY4" s="265"/>
      <c r="HZ4" s="265"/>
      <c r="IA4" s="265"/>
      <c r="IB4" s="265"/>
      <c r="IC4" s="265"/>
      <c r="ID4" s="265"/>
      <c r="IE4" s="265"/>
      <c r="IF4" s="265"/>
      <c r="IG4" s="265"/>
      <c r="IH4" s="265"/>
      <c r="II4" s="265"/>
      <c r="IJ4" s="265"/>
      <c r="IK4" s="265"/>
      <c r="IL4" s="265"/>
      <c r="IM4" s="265"/>
      <c r="IN4" s="265"/>
      <c r="IO4" s="265"/>
      <c r="IP4" s="265"/>
      <c r="IQ4" s="265"/>
      <c r="IR4" s="265"/>
      <c r="IS4" s="265"/>
      <c r="IT4" s="265"/>
      <c r="IU4" s="265"/>
      <c r="IV4" s="265"/>
    </row>
    <row r="5" spans="1:256" x14ac:dyDescent="0.25">
      <c r="A5" s="41"/>
      <c r="B5" s="266"/>
      <c r="C5" s="35" t="s">
        <v>257</v>
      </c>
      <c r="D5" s="35" t="s">
        <v>258</v>
      </c>
      <c r="E5" s="35" t="s">
        <v>259</v>
      </c>
      <c r="F5" s="35" t="s">
        <v>266</v>
      </c>
      <c r="G5" s="35" t="s">
        <v>260</v>
      </c>
      <c r="H5" s="300" t="s">
        <v>261</v>
      </c>
      <c r="I5" s="35" t="s">
        <v>262</v>
      </c>
      <c r="J5" s="35" t="s">
        <v>263</v>
      </c>
      <c r="K5" s="35" t="s">
        <v>264</v>
      </c>
      <c r="L5" s="35" t="s">
        <v>683</v>
      </c>
      <c r="M5" s="485" t="s">
        <v>906</v>
      </c>
      <c r="N5" s="486" t="s">
        <v>907</v>
      </c>
      <c r="O5" s="265"/>
      <c r="P5" s="265"/>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c r="CR5" s="267"/>
      <c r="CS5" s="267"/>
      <c r="CT5" s="267"/>
      <c r="CU5" s="267"/>
      <c r="CV5" s="267"/>
      <c r="CW5" s="267"/>
      <c r="CX5" s="267"/>
      <c r="CY5" s="267"/>
      <c r="CZ5" s="267"/>
      <c r="DA5" s="267"/>
      <c r="DB5" s="267"/>
      <c r="DC5" s="267"/>
      <c r="DD5" s="267"/>
      <c r="DE5" s="267"/>
      <c r="DF5" s="267"/>
      <c r="DG5" s="267"/>
      <c r="DH5" s="267"/>
      <c r="DI5" s="267"/>
      <c r="DJ5" s="267"/>
      <c r="DK5" s="267"/>
      <c r="DL5" s="267"/>
      <c r="DM5" s="267"/>
      <c r="DN5" s="267"/>
      <c r="DO5" s="267"/>
      <c r="DP5" s="267"/>
      <c r="DQ5" s="267"/>
      <c r="DR5" s="267"/>
      <c r="DS5" s="267"/>
      <c r="DT5" s="267"/>
      <c r="DU5" s="267"/>
      <c r="DV5" s="267"/>
      <c r="DW5" s="267"/>
      <c r="DX5" s="267"/>
      <c r="DY5" s="267"/>
      <c r="DZ5" s="267"/>
      <c r="EA5" s="267"/>
      <c r="EB5" s="267"/>
      <c r="EC5" s="267"/>
      <c r="ED5" s="267"/>
      <c r="EE5" s="267"/>
      <c r="EF5" s="267"/>
      <c r="EG5" s="267"/>
      <c r="EH5" s="267"/>
      <c r="EI5" s="267"/>
      <c r="EJ5" s="267"/>
      <c r="EK5" s="267"/>
      <c r="EL5" s="267"/>
      <c r="EM5" s="267"/>
      <c r="EN5" s="267"/>
      <c r="EO5" s="267"/>
      <c r="EP5" s="267"/>
      <c r="EQ5" s="267"/>
      <c r="ER5" s="267"/>
      <c r="ES5" s="267"/>
      <c r="ET5" s="267"/>
      <c r="EU5" s="267"/>
      <c r="EV5" s="267"/>
      <c r="EW5" s="267"/>
      <c r="EX5" s="267"/>
      <c r="EY5" s="267"/>
      <c r="EZ5" s="267"/>
      <c r="FA5" s="267"/>
      <c r="FB5" s="267"/>
      <c r="FC5" s="267"/>
      <c r="FD5" s="267"/>
      <c r="FE5" s="267"/>
      <c r="FF5" s="267"/>
      <c r="FG5" s="267"/>
      <c r="FH5" s="267"/>
      <c r="FI5" s="267"/>
      <c r="FJ5" s="267"/>
      <c r="FK5" s="267"/>
      <c r="FL5" s="267"/>
      <c r="FM5" s="267"/>
      <c r="FN5" s="267"/>
      <c r="FO5" s="267"/>
      <c r="FP5" s="267"/>
      <c r="FQ5" s="267"/>
      <c r="FR5" s="267"/>
      <c r="FS5" s="267"/>
      <c r="FT5" s="267"/>
      <c r="FU5" s="267"/>
      <c r="FV5" s="267"/>
      <c r="FW5" s="267"/>
      <c r="FX5" s="267"/>
      <c r="FY5" s="267"/>
      <c r="FZ5" s="267"/>
      <c r="GA5" s="267"/>
      <c r="GB5" s="267"/>
      <c r="GC5" s="267"/>
      <c r="GD5" s="267"/>
      <c r="GE5" s="267"/>
      <c r="GF5" s="267"/>
      <c r="GG5" s="267"/>
      <c r="GH5" s="267"/>
      <c r="GI5" s="267"/>
      <c r="GJ5" s="267"/>
      <c r="GK5" s="267"/>
      <c r="GL5" s="267"/>
      <c r="GM5" s="267"/>
      <c r="GN5" s="267"/>
      <c r="GO5" s="267"/>
      <c r="GP5" s="267"/>
      <c r="GQ5" s="267"/>
      <c r="GR5" s="267"/>
      <c r="GS5" s="267"/>
      <c r="GT5" s="267"/>
      <c r="GU5" s="267"/>
      <c r="GV5" s="267"/>
      <c r="GW5" s="267"/>
      <c r="GX5" s="267"/>
      <c r="GY5" s="267"/>
      <c r="GZ5" s="267"/>
      <c r="HA5" s="267"/>
      <c r="HB5" s="267"/>
      <c r="HC5" s="267"/>
      <c r="HD5" s="267"/>
      <c r="HE5" s="267"/>
      <c r="HF5" s="267"/>
      <c r="HG5" s="267"/>
      <c r="HH5" s="267"/>
      <c r="HI5" s="267"/>
      <c r="HJ5" s="267"/>
      <c r="HK5" s="267"/>
      <c r="HL5" s="267"/>
      <c r="HM5" s="267"/>
      <c r="HN5" s="267"/>
      <c r="HO5" s="267"/>
      <c r="HP5" s="267"/>
      <c r="HQ5" s="267"/>
      <c r="HR5" s="267"/>
      <c r="HS5" s="267"/>
      <c r="HT5" s="267"/>
      <c r="HU5" s="267"/>
      <c r="HV5" s="267"/>
      <c r="HW5" s="267"/>
      <c r="HX5" s="267"/>
      <c r="HY5" s="267"/>
      <c r="HZ5" s="267"/>
      <c r="IA5" s="267"/>
      <c r="IB5" s="267"/>
      <c r="IC5" s="267"/>
      <c r="ID5" s="267"/>
      <c r="IE5" s="267"/>
      <c r="IF5" s="267"/>
      <c r="IG5" s="267"/>
      <c r="IH5" s="267"/>
      <c r="II5" s="267"/>
      <c r="IJ5" s="267"/>
      <c r="IK5" s="267"/>
      <c r="IL5" s="267"/>
      <c r="IM5" s="267"/>
      <c r="IN5" s="267"/>
      <c r="IO5" s="267"/>
      <c r="IP5" s="267"/>
      <c r="IQ5" s="267"/>
      <c r="IR5" s="267"/>
      <c r="IS5" s="267"/>
      <c r="IT5" s="267"/>
      <c r="IU5" s="267"/>
      <c r="IV5" s="267"/>
    </row>
    <row r="6" spans="1:256" ht="31.5" x14ac:dyDescent="0.25">
      <c r="A6" s="41">
        <v>1</v>
      </c>
      <c r="B6" s="409" t="s">
        <v>176</v>
      </c>
      <c r="C6" s="340">
        <v>5852572.6100000003</v>
      </c>
      <c r="D6" s="341">
        <f>C17</f>
        <v>9209914.4700000007</v>
      </c>
      <c r="E6" s="340">
        <v>0</v>
      </c>
      <c r="F6" s="341">
        <f>E17</f>
        <v>281.73999999999069</v>
      </c>
      <c r="G6" s="672">
        <v>342611.75</v>
      </c>
      <c r="H6" s="342">
        <f>G17</f>
        <v>310266.28000000003</v>
      </c>
      <c r="I6" s="340"/>
      <c r="J6" s="341">
        <f>SUM(I17)</f>
        <v>0</v>
      </c>
      <c r="K6" s="340"/>
      <c r="L6" s="341">
        <f>SUM(K17)</f>
        <v>0</v>
      </c>
      <c r="M6" s="341">
        <f t="shared" ref="M6:N8" si="0">C6+E6+G6+I6+K6</f>
        <v>6195184.3600000003</v>
      </c>
      <c r="N6" s="343">
        <f t="shared" si="0"/>
        <v>9520462.4900000002</v>
      </c>
      <c r="O6" s="265"/>
      <c r="P6" s="265"/>
    </row>
    <row r="7" spans="1:256" ht="31.5" x14ac:dyDescent="0.25">
      <c r="A7" s="41">
        <v>2</v>
      </c>
      <c r="B7" s="410" t="s">
        <v>721</v>
      </c>
      <c r="C7" s="341">
        <f t="shared" ref="C7:L7" si="1">SUM(C8:C15)</f>
        <v>3674166.86</v>
      </c>
      <c r="D7" s="341">
        <f t="shared" si="1"/>
        <v>2892787.48</v>
      </c>
      <c r="E7" s="341">
        <f t="shared" si="1"/>
        <v>1896622.17</v>
      </c>
      <c r="F7" s="341">
        <f t="shared" si="1"/>
        <v>1490987.96</v>
      </c>
      <c r="G7" s="342">
        <f>SUM(G8:G15)</f>
        <v>1171367.3700000001</v>
      </c>
      <c r="H7" s="342">
        <f>SUM(H8:H15)</f>
        <v>1158619</v>
      </c>
      <c r="I7" s="341">
        <f t="shared" si="1"/>
        <v>0</v>
      </c>
      <c r="J7" s="341">
        <f t="shared" si="1"/>
        <v>0</v>
      </c>
      <c r="K7" s="341">
        <f t="shared" si="1"/>
        <v>0</v>
      </c>
      <c r="L7" s="341">
        <f t="shared" si="1"/>
        <v>0</v>
      </c>
      <c r="M7" s="341">
        <f t="shared" si="0"/>
        <v>6742156.3999999994</v>
      </c>
      <c r="N7" s="343">
        <f t="shared" si="0"/>
        <v>5542394.4399999995</v>
      </c>
      <c r="O7" s="265"/>
      <c r="P7" s="265"/>
    </row>
    <row r="8" spans="1:256" ht="22.5" customHeight="1" x14ac:dyDescent="0.25">
      <c r="A8" s="41">
        <v>3</v>
      </c>
      <c r="B8" s="411" t="s">
        <v>81</v>
      </c>
      <c r="C8" s="344">
        <v>3674166.86</v>
      </c>
      <c r="D8" s="344">
        <v>2892787.48</v>
      </c>
      <c r="E8" s="344"/>
      <c r="F8" s="344"/>
      <c r="G8" s="345"/>
      <c r="H8" s="345"/>
      <c r="I8" s="344"/>
      <c r="J8" s="344"/>
      <c r="K8" s="344"/>
      <c r="L8" s="344"/>
      <c r="M8" s="341">
        <f t="shared" si="0"/>
        <v>3674166.86</v>
      </c>
      <c r="N8" s="343">
        <f t="shared" si="0"/>
        <v>2892787.48</v>
      </c>
    </row>
    <row r="9" spans="1:256" ht="62.25" customHeight="1" x14ac:dyDescent="0.25">
      <c r="A9" s="41">
        <v>4</v>
      </c>
      <c r="B9" s="411" t="s">
        <v>286</v>
      </c>
      <c r="C9" s="346" t="s">
        <v>285</v>
      </c>
      <c r="D9" s="346" t="s">
        <v>285</v>
      </c>
      <c r="E9" s="344">
        <f>'T11-Zdroje KV'!C9</f>
        <v>1519581.69</v>
      </c>
      <c r="F9" s="344">
        <v>1490987.96</v>
      </c>
      <c r="G9" s="346" t="s">
        <v>285</v>
      </c>
      <c r="H9" s="346" t="s">
        <v>285</v>
      </c>
      <c r="I9" s="347" t="s">
        <v>285</v>
      </c>
      <c r="J9" s="347" t="s">
        <v>285</v>
      </c>
      <c r="K9" s="346" t="s">
        <v>285</v>
      </c>
      <c r="L9" s="346" t="s">
        <v>285</v>
      </c>
      <c r="M9" s="341">
        <f>E9</f>
        <v>1519581.69</v>
      </c>
      <c r="N9" s="343">
        <f>F9</f>
        <v>1490987.96</v>
      </c>
      <c r="O9" s="770"/>
      <c r="P9" s="770"/>
    </row>
    <row r="10" spans="1:256" ht="31.5" x14ac:dyDescent="0.25">
      <c r="A10" s="41">
        <v>5</v>
      </c>
      <c r="B10" s="411" t="s">
        <v>11</v>
      </c>
      <c r="C10" s="346" t="s">
        <v>285</v>
      </c>
      <c r="D10" s="346" t="s">
        <v>285</v>
      </c>
      <c r="E10" s="344">
        <f>'T11-Zdroje KV'!C10</f>
        <v>377040.48</v>
      </c>
      <c r="F10" s="344"/>
      <c r="G10" s="346" t="s">
        <v>285</v>
      </c>
      <c r="H10" s="346" t="s">
        <v>285</v>
      </c>
      <c r="I10" s="347" t="s">
        <v>285</v>
      </c>
      <c r="J10" s="347" t="s">
        <v>285</v>
      </c>
      <c r="K10" s="346" t="s">
        <v>285</v>
      </c>
      <c r="L10" s="346" t="s">
        <v>285</v>
      </c>
      <c r="M10" s="341">
        <f>E10</f>
        <v>377040.48</v>
      </c>
      <c r="N10" s="343">
        <f>F10</f>
        <v>0</v>
      </c>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267"/>
      <c r="BU10" s="267"/>
      <c r="BV10" s="267"/>
      <c r="BW10" s="267"/>
      <c r="BX10" s="267"/>
      <c r="BY10" s="267"/>
      <c r="BZ10" s="267"/>
      <c r="CA10" s="267"/>
      <c r="CB10" s="267"/>
      <c r="CC10" s="267"/>
      <c r="CD10" s="267"/>
      <c r="CE10" s="267"/>
      <c r="CF10" s="267"/>
      <c r="CG10" s="267"/>
      <c r="CH10" s="267"/>
      <c r="CI10" s="267"/>
      <c r="CJ10" s="267"/>
      <c r="CK10" s="267"/>
      <c r="CL10" s="267"/>
      <c r="CM10" s="267"/>
      <c r="CN10" s="267"/>
      <c r="CO10" s="267"/>
      <c r="CP10" s="267"/>
      <c r="CQ10" s="267"/>
      <c r="CR10" s="267"/>
      <c r="CS10" s="267"/>
      <c r="CT10" s="267"/>
      <c r="CU10" s="267"/>
      <c r="CV10" s="267"/>
      <c r="CW10" s="267"/>
      <c r="CX10" s="267"/>
      <c r="CY10" s="267"/>
      <c r="CZ10" s="267"/>
      <c r="DA10" s="267"/>
      <c r="DB10" s="267"/>
      <c r="DC10" s="267"/>
      <c r="DD10" s="267"/>
      <c r="DE10" s="267"/>
      <c r="DF10" s="267"/>
      <c r="DG10" s="267"/>
      <c r="DH10" s="267"/>
      <c r="DI10" s="267"/>
      <c r="DJ10" s="267"/>
      <c r="DK10" s="267"/>
      <c r="DL10" s="267"/>
      <c r="DM10" s="267"/>
      <c r="DN10" s="267"/>
      <c r="DO10" s="267"/>
      <c r="DP10" s="267"/>
      <c r="DQ10" s="267"/>
      <c r="DR10" s="267"/>
      <c r="DS10" s="267"/>
      <c r="DT10" s="267"/>
      <c r="DU10" s="267"/>
      <c r="DV10" s="267"/>
      <c r="DW10" s="267"/>
      <c r="DX10" s="267"/>
      <c r="DY10" s="267"/>
      <c r="DZ10" s="267"/>
      <c r="EA10" s="267"/>
      <c r="EB10" s="267"/>
      <c r="EC10" s="267"/>
      <c r="ED10" s="267"/>
      <c r="EE10" s="267"/>
      <c r="EF10" s="267"/>
      <c r="EG10" s="267"/>
      <c r="EH10" s="267"/>
      <c r="EI10" s="267"/>
      <c r="EJ10" s="267"/>
      <c r="EK10" s="267"/>
      <c r="EL10" s="267"/>
      <c r="EM10" s="267"/>
      <c r="EN10" s="267"/>
      <c r="EO10" s="267"/>
      <c r="EP10" s="267"/>
      <c r="EQ10" s="267"/>
      <c r="ER10" s="267"/>
      <c r="ES10" s="267"/>
      <c r="ET10" s="267"/>
      <c r="EU10" s="267"/>
      <c r="EV10" s="267"/>
      <c r="EW10" s="267"/>
      <c r="EX10" s="267"/>
      <c r="EY10" s="267"/>
      <c r="EZ10" s="267"/>
      <c r="FA10" s="267"/>
      <c r="FB10" s="267"/>
      <c r="FC10" s="267"/>
      <c r="FD10" s="267"/>
      <c r="FE10" s="267"/>
      <c r="FF10" s="267"/>
      <c r="FG10" s="267"/>
      <c r="FH10" s="267"/>
      <c r="FI10" s="267"/>
      <c r="FJ10" s="267"/>
      <c r="FK10" s="267"/>
      <c r="FL10" s="267"/>
      <c r="FM10" s="267"/>
      <c r="FN10" s="267"/>
      <c r="FO10" s="267"/>
      <c r="FP10" s="267"/>
      <c r="FQ10" s="267"/>
      <c r="FR10" s="267"/>
      <c r="FS10" s="267"/>
      <c r="FT10" s="267"/>
      <c r="FU10" s="267"/>
      <c r="FV10" s="267"/>
      <c r="FW10" s="267"/>
      <c r="FX10" s="267"/>
      <c r="FY10" s="267"/>
      <c r="FZ10" s="267"/>
      <c r="GA10" s="267"/>
      <c r="GB10" s="267"/>
      <c r="GC10" s="267"/>
      <c r="GD10" s="267"/>
      <c r="GE10" s="267"/>
      <c r="GF10" s="267"/>
      <c r="GG10" s="267"/>
      <c r="GH10" s="267"/>
      <c r="GI10" s="267"/>
      <c r="GJ10" s="267"/>
      <c r="GK10" s="267"/>
      <c r="GL10" s="267"/>
      <c r="GM10" s="267"/>
      <c r="GN10" s="267"/>
      <c r="GO10" s="267"/>
      <c r="GP10" s="267"/>
      <c r="GQ10" s="267"/>
      <c r="GR10" s="267"/>
      <c r="GS10" s="267"/>
      <c r="GT10" s="267"/>
      <c r="GU10" s="267"/>
      <c r="GV10" s="267"/>
      <c r="GW10" s="267"/>
      <c r="GX10" s="267"/>
      <c r="GY10" s="267"/>
      <c r="GZ10" s="267"/>
      <c r="HA10" s="267"/>
      <c r="HB10" s="267"/>
      <c r="HC10" s="267"/>
      <c r="HD10" s="267"/>
      <c r="HE10" s="267"/>
      <c r="HF10" s="267"/>
      <c r="HG10" s="267"/>
      <c r="HH10" s="267"/>
      <c r="HI10" s="267"/>
      <c r="HJ10" s="267"/>
      <c r="HK10" s="267"/>
      <c r="HL10" s="267"/>
      <c r="HM10" s="267"/>
      <c r="HN10" s="267"/>
      <c r="HO10" s="267"/>
      <c r="HP10" s="267"/>
      <c r="HQ10" s="267"/>
      <c r="HR10" s="267"/>
      <c r="HS10" s="267"/>
      <c r="HT10" s="267"/>
      <c r="HU10" s="267"/>
      <c r="HV10" s="267"/>
      <c r="HW10" s="267"/>
      <c r="HX10" s="267"/>
      <c r="HY10" s="267"/>
      <c r="HZ10" s="267"/>
      <c r="IA10" s="267"/>
      <c r="IB10" s="267"/>
      <c r="IC10" s="267"/>
      <c r="ID10" s="267"/>
      <c r="IE10" s="267"/>
      <c r="IF10" s="267"/>
      <c r="IG10" s="267"/>
      <c r="IH10" s="267"/>
      <c r="II10" s="267"/>
      <c r="IJ10" s="267"/>
      <c r="IK10" s="267"/>
      <c r="IL10" s="267"/>
      <c r="IM10" s="267"/>
      <c r="IN10" s="267"/>
      <c r="IO10" s="267"/>
      <c r="IP10" s="267"/>
      <c r="IQ10" s="267"/>
      <c r="IR10" s="267"/>
      <c r="IS10" s="267"/>
      <c r="IT10" s="267"/>
      <c r="IU10" s="267"/>
      <c r="IV10" s="267"/>
    </row>
    <row r="11" spans="1:256" ht="31.5" x14ac:dyDescent="0.25">
      <c r="A11" s="41">
        <v>6</v>
      </c>
      <c r="B11" s="411" t="s">
        <v>287</v>
      </c>
      <c r="C11" s="346" t="s">
        <v>285</v>
      </c>
      <c r="D11" s="346" t="s">
        <v>285</v>
      </c>
      <c r="E11" s="344"/>
      <c r="F11" s="344"/>
      <c r="G11" s="345"/>
      <c r="H11" s="345"/>
      <c r="I11" s="348"/>
      <c r="J11" s="348"/>
      <c r="K11" s="340"/>
      <c r="L11" s="340"/>
      <c r="M11" s="341">
        <f>E11+G11+I11+K11</f>
        <v>0</v>
      </c>
      <c r="N11" s="343">
        <f>F11+H11+J11+L11</f>
        <v>0</v>
      </c>
    </row>
    <row r="12" spans="1:256" ht="17.25" customHeight="1" x14ac:dyDescent="0.25">
      <c r="A12" s="41">
        <v>7</v>
      </c>
      <c r="B12" s="411" t="s">
        <v>288</v>
      </c>
      <c r="C12" s="344"/>
      <c r="D12" s="344"/>
      <c r="E12" s="344"/>
      <c r="F12" s="344"/>
      <c r="G12" s="345"/>
      <c r="H12" s="345"/>
      <c r="I12" s="348"/>
      <c r="J12" s="348"/>
      <c r="K12" s="344"/>
      <c r="L12" s="344"/>
      <c r="M12" s="341">
        <f>C12+E12+G12+I12+K12</f>
        <v>0</v>
      </c>
      <c r="N12" s="343">
        <f>D12+F12+H12+J12+L12</f>
        <v>0</v>
      </c>
    </row>
    <row r="13" spans="1:256" ht="18.75" x14ac:dyDescent="0.25">
      <c r="A13" s="41">
        <v>8</v>
      </c>
      <c r="B13" s="412" t="s">
        <v>82</v>
      </c>
      <c r="C13" s="346" t="s">
        <v>285</v>
      </c>
      <c r="D13" s="346" t="s">
        <v>285</v>
      </c>
      <c r="E13" s="346" t="s">
        <v>285</v>
      </c>
      <c r="F13" s="346" t="s">
        <v>285</v>
      </c>
      <c r="G13" s="345">
        <v>1122414</v>
      </c>
      <c r="H13" s="345">
        <v>1114965</v>
      </c>
      <c r="I13" s="349" t="s">
        <v>285</v>
      </c>
      <c r="J13" s="348"/>
      <c r="K13" s="349" t="s">
        <v>285</v>
      </c>
      <c r="L13" s="349" t="s">
        <v>285</v>
      </c>
      <c r="M13" s="341">
        <f>G13</f>
        <v>1122414</v>
      </c>
      <c r="N13" s="343">
        <f>H13</f>
        <v>1114965</v>
      </c>
    </row>
    <row r="14" spans="1:256" ht="19.5" customHeight="1" x14ac:dyDescent="0.25">
      <c r="A14" s="41">
        <v>9</v>
      </c>
      <c r="B14" s="411" t="s">
        <v>24</v>
      </c>
      <c r="C14" s="346" t="s">
        <v>285</v>
      </c>
      <c r="D14" s="346" t="s">
        <v>285</v>
      </c>
      <c r="E14" s="346" t="s">
        <v>285</v>
      </c>
      <c r="F14" s="346" t="s">
        <v>285</v>
      </c>
      <c r="G14" s="345">
        <v>48953.37</v>
      </c>
      <c r="H14" s="345">
        <v>43654</v>
      </c>
      <c r="I14" s="350" t="s">
        <v>285</v>
      </c>
      <c r="J14" s="350" t="s">
        <v>285</v>
      </c>
      <c r="K14" s="349" t="s">
        <v>285</v>
      </c>
      <c r="L14" s="349" t="s">
        <v>285</v>
      </c>
      <c r="M14" s="341">
        <f>G14</f>
        <v>48953.37</v>
      </c>
      <c r="N14" s="343">
        <f>H14</f>
        <v>43654</v>
      </c>
    </row>
    <row r="15" spans="1:256" ht="18.75" x14ac:dyDescent="0.25">
      <c r="A15" s="41">
        <v>10</v>
      </c>
      <c r="B15" s="411" t="s">
        <v>83</v>
      </c>
      <c r="C15" s="344"/>
      <c r="D15" s="344"/>
      <c r="E15" s="344"/>
      <c r="F15" s="344"/>
      <c r="G15" s="345"/>
      <c r="H15" s="345"/>
      <c r="I15" s="348"/>
      <c r="J15" s="348"/>
      <c r="K15" s="344"/>
      <c r="L15" s="344"/>
      <c r="M15" s="341">
        <f>C15+E15+G15+I15+K15</f>
        <v>0</v>
      </c>
      <c r="N15" s="343">
        <f>D15+F15+H15+J15+L15</f>
        <v>0</v>
      </c>
    </row>
    <row r="16" spans="1:256" ht="31.5" x14ac:dyDescent="0.25">
      <c r="A16" s="41">
        <v>11</v>
      </c>
      <c r="B16" s="409" t="s">
        <v>177</v>
      </c>
      <c r="C16" s="340">
        <v>316825</v>
      </c>
      <c r="D16" s="340">
        <v>144365.91</v>
      </c>
      <c r="E16" s="340">
        <v>1896340.43</v>
      </c>
      <c r="F16" s="340">
        <v>1489510.7</v>
      </c>
      <c r="G16" s="345">
        <v>1203712.8400000001</v>
      </c>
      <c r="H16" s="345">
        <v>1115475.97</v>
      </c>
      <c r="I16" s="340"/>
      <c r="J16" s="340"/>
      <c r="K16" s="340"/>
      <c r="L16" s="340"/>
      <c r="M16" s="341">
        <f t="shared" ref="M16:N18" si="2">C16+E16+G16+I16+K16</f>
        <v>3416878.2699999996</v>
      </c>
      <c r="N16" s="343">
        <f t="shared" si="2"/>
        <v>2749352.58</v>
      </c>
    </row>
    <row r="17" spans="1:14" ht="31.5" x14ac:dyDescent="0.25">
      <c r="A17" s="41">
        <v>12</v>
      </c>
      <c r="B17" s="409" t="s">
        <v>25</v>
      </c>
      <c r="C17" s="341">
        <f t="shared" ref="C17:L17" si="3">C6+C7-C16</f>
        <v>9209914.4700000007</v>
      </c>
      <c r="D17" s="341">
        <f t="shared" si="3"/>
        <v>11958336.040000001</v>
      </c>
      <c r="E17" s="341">
        <f t="shared" si="3"/>
        <v>281.73999999999069</v>
      </c>
      <c r="F17" s="341">
        <f t="shared" si="3"/>
        <v>1759</v>
      </c>
      <c r="G17" s="342">
        <f t="shared" si="3"/>
        <v>310266.28000000003</v>
      </c>
      <c r="H17" s="342">
        <f t="shared" si="3"/>
        <v>353409.31000000006</v>
      </c>
      <c r="I17" s="341">
        <f t="shared" si="3"/>
        <v>0</v>
      </c>
      <c r="J17" s="341">
        <f t="shared" si="3"/>
        <v>0</v>
      </c>
      <c r="K17" s="341">
        <f t="shared" si="3"/>
        <v>0</v>
      </c>
      <c r="L17" s="341">
        <f t="shared" si="3"/>
        <v>0</v>
      </c>
      <c r="M17" s="341">
        <f t="shared" si="2"/>
        <v>9520462.4900000002</v>
      </c>
      <c r="N17" s="343">
        <f t="shared" si="2"/>
        <v>12313504.350000001</v>
      </c>
    </row>
    <row r="18" spans="1:14" ht="48.75" customHeight="1" thickBot="1" x14ac:dyDescent="0.3">
      <c r="A18" s="268">
        <v>13</v>
      </c>
      <c r="B18" s="413" t="s">
        <v>826</v>
      </c>
      <c r="C18" s="351">
        <v>0</v>
      </c>
      <c r="D18" s="351">
        <v>0</v>
      </c>
      <c r="E18" s="351">
        <v>0</v>
      </c>
      <c r="F18" s="351">
        <v>0</v>
      </c>
      <c r="G18" s="352">
        <v>0</v>
      </c>
      <c r="H18" s="352">
        <v>0</v>
      </c>
      <c r="I18" s="351">
        <v>0</v>
      </c>
      <c r="J18" s="351">
        <v>0</v>
      </c>
      <c r="K18" s="351">
        <v>0</v>
      </c>
      <c r="L18" s="351">
        <v>0</v>
      </c>
      <c r="M18" s="353">
        <f t="shared" si="2"/>
        <v>0</v>
      </c>
      <c r="N18" s="354">
        <f t="shared" si="2"/>
        <v>0</v>
      </c>
    </row>
    <row r="19" spans="1:14" x14ac:dyDescent="0.25">
      <c r="F19" s="560">
        <f>'T5 - Analýza nákladov'!E93+'T5 - Analýza nákladov'!F93</f>
        <v>1552139.08</v>
      </c>
      <c r="H19" s="560">
        <f>'T1-Dotácie podľa DZ'!C16+'T1-Dotácie podľa DZ'!C17</f>
        <v>1114965</v>
      </c>
      <c r="I19" s="270"/>
      <c r="J19" s="270"/>
    </row>
    <row r="20" spans="1:14" x14ac:dyDescent="0.25">
      <c r="A20" s="270" t="s">
        <v>84</v>
      </c>
      <c r="B20" s="270"/>
      <c r="C20" s="270"/>
      <c r="E20" s="270"/>
      <c r="F20" s="270"/>
      <c r="G20" s="270"/>
      <c r="H20" s="270"/>
      <c r="I20" s="270"/>
      <c r="J20" s="270"/>
      <c r="K20" s="270"/>
      <c r="L20" s="270"/>
      <c r="M20" s="270"/>
      <c r="N20" s="270"/>
    </row>
    <row r="21" spans="1:14" x14ac:dyDescent="0.25">
      <c r="A21" s="270" t="s">
        <v>85</v>
      </c>
      <c r="B21" s="270"/>
      <c r="C21" s="270"/>
      <c r="D21" s="270"/>
      <c r="E21" s="270"/>
      <c r="F21" s="270"/>
      <c r="G21" s="270"/>
      <c r="H21" s="270"/>
      <c r="I21" s="270"/>
      <c r="J21" s="270"/>
      <c r="K21" s="270"/>
      <c r="L21" s="270"/>
      <c r="M21" s="270"/>
      <c r="N21" s="270"/>
    </row>
    <row r="22" spans="1:14" ht="33" customHeight="1" x14ac:dyDescent="0.25">
      <c r="A22" s="890" t="s">
        <v>86</v>
      </c>
      <c r="B22" s="890"/>
      <c r="C22" s="890"/>
      <c r="D22" s="270"/>
      <c r="E22" s="270"/>
      <c r="F22" s="270"/>
      <c r="G22" s="270"/>
      <c r="H22" s="270"/>
      <c r="I22" s="270"/>
      <c r="J22" s="656" t="s">
        <v>1258</v>
      </c>
      <c r="K22" s="270"/>
      <c r="L22" s="270"/>
      <c r="M22" s="270"/>
      <c r="N22" s="270"/>
    </row>
    <row r="23" spans="1:14" x14ac:dyDescent="0.25">
      <c r="L23" s="270"/>
    </row>
  </sheetData>
  <mergeCells count="12">
    <mergeCell ref="O9:P9"/>
    <mergeCell ref="M3:N3"/>
    <mergeCell ref="A22:C22"/>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tabColor indexed="33"/>
    <pageSetUpPr fitToPage="1"/>
  </sheetPr>
  <dimension ref="A1:F26"/>
  <sheetViews>
    <sheetView workbookViewId="0">
      <selection activeCell="A2" sqref="A2:B2"/>
    </sheetView>
  </sheetViews>
  <sheetFormatPr defaultColWidth="62.140625" defaultRowHeight="12.75" x14ac:dyDescent="0.2"/>
  <cols>
    <col min="1" max="1" width="17.42578125" customWidth="1"/>
    <col min="2" max="2" width="40.140625" style="128" customWidth="1"/>
    <col min="3" max="3" width="64.42578125" customWidth="1"/>
    <col min="4" max="4" width="15.7109375" customWidth="1"/>
    <col min="5" max="5" width="21" customWidth="1"/>
    <col min="6" max="7" width="19.85546875" customWidth="1"/>
    <col min="8" max="8" width="17.85546875" customWidth="1"/>
    <col min="9" max="9" width="17.140625" customWidth="1"/>
    <col min="10" max="10" width="15.7109375" customWidth="1"/>
    <col min="11" max="11" width="16.85546875" customWidth="1"/>
  </cols>
  <sheetData>
    <row r="1" spans="1:6" s="138" customFormat="1" ht="48" customHeight="1" thickBot="1" x14ac:dyDescent="0.25">
      <c r="A1" s="734" t="s">
        <v>988</v>
      </c>
      <c r="B1" s="735"/>
      <c r="C1" s="736"/>
      <c r="D1" s="484"/>
    </row>
    <row r="2" spans="1:6" ht="63" x14ac:dyDescent="0.2">
      <c r="A2" s="732" t="s">
        <v>675</v>
      </c>
      <c r="B2" s="733"/>
      <c r="C2" s="554" t="s">
        <v>1172</v>
      </c>
      <c r="F2" s="557"/>
    </row>
    <row r="3" spans="1:6" ht="31.5" x14ac:dyDescent="0.2">
      <c r="A3" s="403" t="s">
        <v>281</v>
      </c>
      <c r="B3" s="322" t="s">
        <v>730</v>
      </c>
      <c r="C3" s="483" t="s">
        <v>371</v>
      </c>
      <c r="F3" s="557"/>
    </row>
    <row r="4" spans="1:6" ht="31.5" x14ac:dyDescent="0.2">
      <c r="A4" s="401" t="s">
        <v>181</v>
      </c>
      <c r="B4" s="322" t="s">
        <v>1131</v>
      </c>
      <c r="C4" s="483" t="s">
        <v>371</v>
      </c>
    </row>
    <row r="5" spans="1:6" ht="16.5" thickBot="1" x14ac:dyDescent="0.25">
      <c r="A5" s="403" t="s">
        <v>182</v>
      </c>
      <c r="B5" s="322" t="s">
        <v>731</v>
      </c>
      <c r="C5" s="483" t="s">
        <v>371</v>
      </c>
      <c r="D5" s="301"/>
      <c r="F5" s="557"/>
    </row>
    <row r="6" spans="1:6" ht="31.5" x14ac:dyDescent="0.2">
      <c r="A6" s="403" t="s">
        <v>183</v>
      </c>
      <c r="B6" s="322" t="s">
        <v>732</v>
      </c>
      <c r="C6" s="554" t="s">
        <v>1201</v>
      </c>
      <c r="D6" s="378"/>
    </row>
    <row r="7" spans="1:6" ht="15.75" x14ac:dyDescent="0.2">
      <c r="A7" s="589" t="s">
        <v>184</v>
      </c>
      <c r="B7" s="590" t="s">
        <v>733</v>
      </c>
      <c r="C7" s="609" t="s">
        <v>1118</v>
      </c>
      <c r="D7" s="301"/>
    </row>
    <row r="8" spans="1:6" ht="15.75" x14ac:dyDescent="0.2">
      <c r="A8" s="401" t="s">
        <v>185</v>
      </c>
      <c r="B8" s="322" t="s">
        <v>734</v>
      </c>
      <c r="C8" s="483" t="s">
        <v>371</v>
      </c>
    </row>
    <row r="9" spans="1:6" ht="15.75" x14ac:dyDescent="0.2">
      <c r="A9" s="401" t="s">
        <v>809</v>
      </c>
      <c r="B9" s="324" t="s">
        <v>810</v>
      </c>
      <c r="C9" s="483" t="s">
        <v>371</v>
      </c>
      <c r="E9" s="436"/>
    </row>
    <row r="10" spans="1:6" ht="15.75" x14ac:dyDescent="0.2">
      <c r="A10" s="302" t="s">
        <v>186</v>
      </c>
      <c r="B10" s="323" t="s">
        <v>676</v>
      </c>
      <c r="C10" s="483" t="s">
        <v>371</v>
      </c>
      <c r="E10" s="436"/>
    </row>
    <row r="11" spans="1:6" ht="15.75" x14ac:dyDescent="0.2">
      <c r="A11" s="401" t="s">
        <v>168</v>
      </c>
      <c r="B11" s="322" t="s">
        <v>336</v>
      </c>
      <c r="C11" s="483" t="s">
        <v>371</v>
      </c>
    </row>
    <row r="12" spans="1:6" ht="15.75" x14ac:dyDescent="0.2">
      <c r="A12" s="403" t="s">
        <v>0</v>
      </c>
      <c r="B12" s="322" t="s">
        <v>337</v>
      </c>
      <c r="C12" s="483" t="s">
        <v>371</v>
      </c>
    </row>
    <row r="13" spans="1:6" ht="15.75" x14ac:dyDescent="0.2">
      <c r="A13" s="302" t="s">
        <v>1</v>
      </c>
      <c r="B13" s="322" t="s">
        <v>338</v>
      </c>
      <c r="C13" s="483" t="s">
        <v>371</v>
      </c>
      <c r="F13" s="557"/>
    </row>
    <row r="14" spans="1:6" ht="31.5" x14ac:dyDescent="0.2">
      <c r="A14" s="403" t="s">
        <v>2</v>
      </c>
      <c r="B14" s="322" t="s">
        <v>339</v>
      </c>
      <c r="C14" s="609" t="s">
        <v>1120</v>
      </c>
      <c r="F14" s="557"/>
    </row>
    <row r="15" spans="1:6" ht="31.5" x14ac:dyDescent="0.2">
      <c r="A15" s="403" t="s">
        <v>3</v>
      </c>
      <c r="B15" s="322" t="s">
        <v>659</v>
      </c>
      <c r="C15" s="483" t="s">
        <v>371</v>
      </c>
    </row>
    <row r="16" spans="1:6" ht="34.5" customHeight="1" x14ac:dyDescent="0.2">
      <c r="A16" s="403" t="s">
        <v>4</v>
      </c>
      <c r="B16" s="322" t="s">
        <v>74</v>
      </c>
      <c r="C16" s="483" t="s">
        <v>371</v>
      </c>
    </row>
    <row r="17" spans="1:4" ht="15.75" x14ac:dyDescent="0.2">
      <c r="A17" s="403" t="s">
        <v>5</v>
      </c>
      <c r="B17" s="322" t="s">
        <v>75</v>
      </c>
      <c r="C17" s="609" t="s">
        <v>1168</v>
      </c>
    </row>
    <row r="18" spans="1:4" ht="15.75" x14ac:dyDescent="0.2">
      <c r="A18" s="403" t="s">
        <v>62</v>
      </c>
      <c r="B18" s="322" t="s">
        <v>76</v>
      </c>
      <c r="C18" s="609" t="s">
        <v>1168</v>
      </c>
    </row>
    <row r="19" spans="1:4" ht="31.5" x14ac:dyDescent="0.2">
      <c r="A19" s="403" t="s">
        <v>6</v>
      </c>
      <c r="B19" s="322" t="s">
        <v>77</v>
      </c>
      <c r="C19" s="483" t="s">
        <v>371</v>
      </c>
    </row>
    <row r="20" spans="1:4" ht="15.75" x14ac:dyDescent="0.2">
      <c r="A20" s="403" t="s">
        <v>7</v>
      </c>
      <c r="B20" s="322" t="s">
        <v>660</v>
      </c>
      <c r="C20" s="483" t="s">
        <v>371</v>
      </c>
    </row>
    <row r="21" spans="1:4" ht="15.75" x14ac:dyDescent="0.2">
      <c r="A21" s="403" t="s">
        <v>8</v>
      </c>
      <c r="B21" s="322" t="s">
        <v>661</v>
      </c>
      <c r="C21" s="483" t="s">
        <v>371</v>
      </c>
    </row>
    <row r="22" spans="1:4" ht="31.5" x14ac:dyDescent="0.2">
      <c r="A22" s="403" t="s">
        <v>9</v>
      </c>
      <c r="B22" s="322" t="s">
        <v>662</v>
      </c>
      <c r="C22" s="483" t="s">
        <v>371</v>
      </c>
      <c r="D22" s="239"/>
    </row>
    <row r="23" spans="1:4" ht="36.75" customHeight="1" x14ac:dyDescent="0.2">
      <c r="A23" s="403" t="s">
        <v>506</v>
      </c>
      <c r="B23" s="322" t="s">
        <v>1129</v>
      </c>
      <c r="C23" s="609" t="s">
        <v>1128</v>
      </c>
      <c r="D23" s="239"/>
    </row>
    <row r="24" spans="1:4" ht="39" customHeight="1" x14ac:dyDescent="0.2">
      <c r="A24" s="403" t="s">
        <v>507</v>
      </c>
      <c r="B24" s="322" t="s">
        <v>1130</v>
      </c>
      <c r="C24" s="609" t="s">
        <v>1128</v>
      </c>
      <c r="D24" s="239"/>
    </row>
    <row r="25" spans="1:4" x14ac:dyDescent="0.2">
      <c r="D25" s="239"/>
    </row>
    <row r="26" spans="1:4" x14ac:dyDescent="0.2">
      <c r="D26" s="239"/>
    </row>
  </sheetData>
  <mergeCells count="2">
    <mergeCell ref="A2:B2"/>
    <mergeCell ref="A1:C1"/>
  </mergeCells>
  <phoneticPr fontId="6" type="noConversion"/>
  <pageMargins left="0.49" right="0.41" top="1" bottom="1" header="0.51" footer="0.4921259845"/>
  <pageSetup paperSize="9" scale="5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tabColor indexed="42"/>
    <pageSetUpPr fitToPage="1"/>
  </sheetPr>
  <dimension ref="A1:H24"/>
  <sheetViews>
    <sheetView zoomScale="130" zoomScaleNormal="130" workbookViewId="0">
      <pane xSplit="2" ySplit="4" topLeftCell="C23" activePane="bottomRight" state="frozen"/>
      <selection pane="topRight" activeCell="C1" sqref="C1"/>
      <selection pane="bottomLeft" activeCell="A5" sqref="A5"/>
      <selection pane="bottomRight" activeCell="E5" sqref="E5"/>
    </sheetView>
  </sheetViews>
  <sheetFormatPr defaultRowHeight="15.75" x14ac:dyDescent="0.2"/>
  <cols>
    <col min="1" max="1" width="10.5703125" style="12" customWidth="1"/>
    <col min="2" max="2" width="43.140625" style="69" customWidth="1"/>
    <col min="3" max="3" width="28.42578125" style="11" customWidth="1"/>
    <col min="4" max="4" width="46.5703125" style="11" customWidth="1"/>
    <col min="5" max="5" width="49.7109375" style="11" customWidth="1"/>
    <col min="6" max="16384" width="9.140625" style="11"/>
  </cols>
  <sheetData>
    <row r="1" spans="1:8" ht="50.1" customHeight="1" thickBot="1" x14ac:dyDescent="0.25">
      <c r="A1" s="749" t="s">
        <v>1009</v>
      </c>
      <c r="B1" s="750"/>
      <c r="C1" s="750"/>
      <c r="D1" s="751"/>
      <c r="E1" s="648"/>
    </row>
    <row r="2" spans="1:8" ht="35.1" customHeight="1" x14ac:dyDescent="0.2">
      <c r="A2" s="746" t="s">
        <v>369</v>
      </c>
      <c r="B2" s="747"/>
      <c r="C2" s="747"/>
      <c r="D2" s="748"/>
    </row>
    <row r="3" spans="1:8" ht="31.5" x14ac:dyDescent="0.2">
      <c r="A3" s="109" t="s">
        <v>180</v>
      </c>
      <c r="B3" s="97" t="s">
        <v>267</v>
      </c>
      <c r="C3" s="97" t="s">
        <v>1010</v>
      </c>
      <c r="D3" s="33" t="s">
        <v>1169</v>
      </c>
    </row>
    <row r="4" spans="1:8" s="13" customFormat="1" ht="18" customHeight="1" x14ac:dyDescent="0.2">
      <c r="A4" s="105"/>
      <c r="B4" s="108" t="s">
        <v>257</v>
      </c>
      <c r="C4" s="88" t="s">
        <v>258</v>
      </c>
      <c r="D4" s="89" t="s">
        <v>259</v>
      </c>
      <c r="F4" s="11"/>
      <c r="G4" s="11"/>
      <c r="H4" s="11"/>
    </row>
    <row r="5" spans="1:8" s="13" customFormat="1" ht="44.25" customHeight="1" x14ac:dyDescent="0.2">
      <c r="A5" s="105">
        <v>1</v>
      </c>
      <c r="B5" s="67" t="s">
        <v>1154</v>
      </c>
      <c r="C5" s="673">
        <f>C6+C7+C11+C12+C13+C14+C15+C16+C17+C18+C19+C20+C21</f>
        <v>21053796.910000004</v>
      </c>
      <c r="D5" s="66"/>
      <c r="E5" s="725"/>
      <c r="F5" s="11"/>
      <c r="G5" s="11"/>
      <c r="H5" s="11"/>
    </row>
    <row r="6" spans="1:8" ht="144" customHeight="1" x14ac:dyDescent="0.2">
      <c r="A6" s="105">
        <v>2</v>
      </c>
      <c r="B6" s="690" t="s">
        <v>1145</v>
      </c>
      <c r="C6" s="146">
        <v>9757476.8300000001</v>
      </c>
      <c r="D6" s="689" t="s">
        <v>1262</v>
      </c>
    </row>
    <row r="7" spans="1:8" ht="31.5" x14ac:dyDescent="0.2">
      <c r="A7" s="105">
        <v>3</v>
      </c>
      <c r="B7" s="127" t="s">
        <v>1153</v>
      </c>
      <c r="C7" s="61">
        <f>C8+C9+C10</f>
        <v>111199.62999999999</v>
      </c>
      <c r="D7" s="141"/>
    </row>
    <row r="8" spans="1:8" x14ac:dyDescent="0.2">
      <c r="A8" s="105">
        <v>4</v>
      </c>
      <c r="B8" s="621" t="s">
        <v>1137</v>
      </c>
      <c r="C8" s="146">
        <v>0</v>
      </c>
      <c r="D8" s="122"/>
    </row>
    <row r="9" spans="1:8" x14ac:dyDescent="0.2">
      <c r="A9" s="105">
        <v>5</v>
      </c>
      <c r="B9" s="621" t="s">
        <v>1138</v>
      </c>
      <c r="C9" s="146">
        <v>40595.839999999997</v>
      </c>
      <c r="D9" s="691" t="s">
        <v>1263</v>
      </c>
    </row>
    <row r="10" spans="1:8" ht="102" x14ac:dyDescent="0.2">
      <c r="A10" s="105">
        <v>6</v>
      </c>
      <c r="B10" s="621" t="s">
        <v>1139</v>
      </c>
      <c r="C10" s="146">
        <v>70603.789999999994</v>
      </c>
      <c r="D10" s="691" t="s">
        <v>1268</v>
      </c>
    </row>
    <row r="11" spans="1:8" x14ac:dyDescent="0.2">
      <c r="A11" s="105">
        <v>7</v>
      </c>
      <c r="B11" s="127" t="s">
        <v>1146</v>
      </c>
      <c r="C11" s="146">
        <v>39159.67</v>
      </c>
      <c r="D11" s="691" t="s">
        <v>1264</v>
      </c>
    </row>
    <row r="12" spans="1:8" x14ac:dyDescent="0.2">
      <c r="A12" s="105">
        <v>8</v>
      </c>
      <c r="B12" s="620" t="s">
        <v>1140</v>
      </c>
      <c r="C12" s="146">
        <v>0</v>
      </c>
      <c r="D12" s="122"/>
    </row>
    <row r="13" spans="1:8" x14ac:dyDescent="0.2">
      <c r="A13" s="105">
        <v>9</v>
      </c>
      <c r="B13" s="620" t="s">
        <v>1141</v>
      </c>
      <c r="C13" s="146">
        <v>0</v>
      </c>
      <c r="D13" s="122"/>
    </row>
    <row r="14" spans="1:8" x14ac:dyDescent="0.2">
      <c r="A14" s="105">
        <v>10</v>
      </c>
      <c r="B14" s="620" t="s">
        <v>1142</v>
      </c>
      <c r="C14" s="146">
        <v>0</v>
      </c>
      <c r="D14" s="122"/>
    </row>
    <row r="15" spans="1:8" ht="31.5" x14ac:dyDescent="0.2">
      <c r="A15" s="105">
        <v>11</v>
      </c>
      <c r="B15" s="620" t="s">
        <v>1143</v>
      </c>
      <c r="C15" s="146">
        <v>0</v>
      </c>
      <c r="D15" s="141"/>
    </row>
    <row r="16" spans="1:8" x14ac:dyDescent="0.2">
      <c r="A16" s="105">
        <v>12</v>
      </c>
      <c r="B16" s="620" t="s">
        <v>1144</v>
      </c>
      <c r="C16" s="146">
        <v>0</v>
      </c>
      <c r="D16" s="141"/>
    </row>
    <row r="17" spans="1:5" ht="76.5" x14ac:dyDescent="0.2">
      <c r="A17" s="105">
        <v>13</v>
      </c>
      <c r="B17" s="620" t="s">
        <v>1147</v>
      </c>
      <c r="C17" s="146">
        <v>111644.71</v>
      </c>
      <c r="D17" s="691" t="s">
        <v>1265</v>
      </c>
    </row>
    <row r="18" spans="1:5" ht="76.5" x14ac:dyDescent="0.2">
      <c r="A18" s="105">
        <v>14</v>
      </c>
      <c r="B18" s="127" t="s">
        <v>1148</v>
      </c>
      <c r="C18" s="146">
        <v>458193.02</v>
      </c>
      <c r="D18" s="691" t="s">
        <v>1267</v>
      </c>
    </row>
    <row r="19" spans="1:5" x14ac:dyDescent="0.2">
      <c r="A19" s="105">
        <v>15</v>
      </c>
      <c r="B19" s="464" t="s">
        <v>1149</v>
      </c>
      <c r="C19" s="146"/>
      <c r="D19" s="122"/>
    </row>
    <row r="20" spans="1:5" x14ac:dyDescent="0.2">
      <c r="A20" s="105">
        <v>16</v>
      </c>
      <c r="B20" s="127" t="s">
        <v>1150</v>
      </c>
      <c r="C20" s="146">
        <v>0</v>
      </c>
      <c r="D20" s="691" t="s">
        <v>1266</v>
      </c>
    </row>
    <row r="21" spans="1:5" ht="267.75" x14ac:dyDescent="0.2">
      <c r="A21" s="105">
        <v>17</v>
      </c>
      <c r="B21" s="127" t="s">
        <v>1152</v>
      </c>
      <c r="C21" s="169">
        <v>10576123.050000001</v>
      </c>
      <c r="D21" s="691" t="s">
        <v>1269</v>
      </c>
      <c r="E21" s="696"/>
    </row>
    <row r="22" spans="1:5" x14ac:dyDescent="0.2">
      <c r="A22" s="619">
        <v>18</v>
      </c>
      <c r="B22" s="629" t="s">
        <v>1151</v>
      </c>
      <c r="C22" s="169"/>
      <c r="D22" s="142"/>
    </row>
    <row r="23" spans="1:5" x14ac:dyDescent="0.2">
      <c r="A23" s="619">
        <v>19</v>
      </c>
      <c r="B23" s="110" t="s">
        <v>692</v>
      </c>
      <c r="C23" s="169">
        <v>216.94</v>
      </c>
      <c r="D23" s="142"/>
    </row>
    <row r="24" spans="1:5" ht="32.25" thickBot="1" x14ac:dyDescent="0.25">
      <c r="A24" s="106">
        <v>20</v>
      </c>
      <c r="B24" s="80" t="s">
        <v>1155</v>
      </c>
      <c r="C24" s="463">
        <f>+C5+C22+C23</f>
        <v>21054013.850000005</v>
      </c>
      <c r="D24" s="76"/>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8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K38"/>
  <sheetViews>
    <sheetView zoomScale="90" zoomScaleNormal="90" workbookViewId="0">
      <pane xSplit="2" ySplit="5" topLeftCell="C6" activePane="bottomRight" state="frozen"/>
      <selection pane="topRight" activeCell="C1" sqref="C1"/>
      <selection pane="bottomLeft" activeCell="A6" sqref="A6"/>
      <selection pane="bottomRight" activeCell="K18" sqref="K18"/>
    </sheetView>
  </sheetViews>
  <sheetFormatPr defaultRowHeight="15.75" x14ac:dyDescent="0.2"/>
  <cols>
    <col min="1" max="1" width="7.7109375" style="19" customWidth="1"/>
    <col min="2" max="2" width="47.5703125" style="20" customWidth="1"/>
    <col min="3" max="3" width="17.85546875" style="21" customWidth="1"/>
    <col min="4" max="4" width="16.85546875" style="21" customWidth="1"/>
    <col min="5" max="5" width="17.140625" style="21" customWidth="1"/>
    <col min="6" max="6" width="18.140625" style="21" customWidth="1"/>
    <col min="7" max="7" width="17.42578125" style="21" customWidth="1"/>
    <col min="8" max="8" width="17" style="21" customWidth="1"/>
    <col min="9" max="9" width="11.28515625" style="21" customWidth="1"/>
    <col min="10" max="16384" width="9.140625" style="21"/>
  </cols>
  <sheetData>
    <row r="1" spans="1:11" s="25" customFormat="1" ht="69" customHeight="1" thickBot="1" x14ac:dyDescent="0.25">
      <c r="A1" s="903" t="s">
        <v>1011</v>
      </c>
      <c r="B1" s="904"/>
      <c r="C1" s="904"/>
      <c r="D1" s="904"/>
      <c r="E1" s="904"/>
      <c r="F1" s="904"/>
      <c r="G1" s="904"/>
      <c r="H1" s="905"/>
      <c r="I1" s="304"/>
    </row>
    <row r="2" spans="1:11" s="25" customFormat="1" ht="35.1" customHeight="1" x14ac:dyDescent="0.2">
      <c r="A2" s="775" t="s">
        <v>365</v>
      </c>
      <c r="B2" s="776"/>
      <c r="C2" s="776"/>
      <c r="D2" s="776"/>
      <c r="E2" s="776"/>
      <c r="F2" s="776"/>
      <c r="G2" s="776"/>
      <c r="H2" s="777"/>
    </row>
    <row r="3" spans="1:11" ht="27" customHeight="1" x14ac:dyDescent="0.2">
      <c r="A3" s="839" t="s">
        <v>180</v>
      </c>
      <c r="B3" s="766" t="s">
        <v>299</v>
      </c>
      <c r="C3" s="781" t="s">
        <v>275</v>
      </c>
      <c r="D3" s="781"/>
      <c r="E3" s="781" t="s">
        <v>276</v>
      </c>
      <c r="F3" s="781"/>
      <c r="G3" s="906" t="s">
        <v>202</v>
      </c>
      <c r="H3" s="907"/>
    </row>
    <row r="4" spans="1:11" ht="33" customHeight="1" x14ac:dyDescent="0.2">
      <c r="A4" s="764"/>
      <c r="B4" s="791"/>
      <c r="C4" s="637" t="s">
        <v>67</v>
      </c>
      <c r="D4" s="637" t="s">
        <v>170</v>
      </c>
      <c r="E4" s="637" t="s">
        <v>67</v>
      </c>
      <c r="F4" s="637" t="s">
        <v>170</v>
      </c>
      <c r="G4" s="637" t="s">
        <v>67</v>
      </c>
      <c r="H4" s="639" t="s">
        <v>170</v>
      </c>
    </row>
    <row r="5" spans="1:11" ht="21.6" customHeight="1" x14ac:dyDescent="0.2">
      <c r="A5" s="636"/>
      <c r="B5" s="638"/>
      <c r="C5" s="42" t="s">
        <v>257</v>
      </c>
      <c r="D5" s="42" t="s">
        <v>258</v>
      </c>
      <c r="E5" s="42" t="s">
        <v>259</v>
      </c>
      <c r="F5" s="42" t="s">
        <v>266</v>
      </c>
      <c r="G5" s="42" t="s">
        <v>32</v>
      </c>
      <c r="H5" s="305" t="s">
        <v>33</v>
      </c>
    </row>
    <row r="6" spans="1:11" ht="18" customHeight="1" x14ac:dyDescent="0.2">
      <c r="A6" s="306">
        <v>1</v>
      </c>
      <c r="B6" s="582" t="s">
        <v>1012</v>
      </c>
      <c r="C6" s="249">
        <f>C7</f>
        <v>0</v>
      </c>
      <c r="D6" s="249">
        <f>D8</f>
        <v>0</v>
      </c>
      <c r="E6" s="249">
        <f>E7</f>
        <v>0</v>
      </c>
      <c r="F6" s="249">
        <f>F8</f>
        <v>0</v>
      </c>
      <c r="G6" s="249">
        <f>C6+E6</f>
        <v>0</v>
      </c>
      <c r="H6" s="307">
        <f>D6+F6</f>
        <v>0</v>
      </c>
      <c r="K6" s="519"/>
    </row>
    <row r="7" spans="1:11" ht="18" customHeight="1" x14ac:dyDescent="0.2">
      <c r="A7" s="306">
        <v>2</v>
      </c>
      <c r="B7" s="583" t="s">
        <v>1174</v>
      </c>
      <c r="C7" s="250"/>
      <c r="D7" s="339" t="s">
        <v>753</v>
      </c>
      <c r="E7" s="250"/>
      <c r="F7" s="339" t="s">
        <v>753</v>
      </c>
      <c r="G7" s="625">
        <f t="shared" ref="G7" si="0">C7+E7</f>
        <v>0</v>
      </c>
      <c r="H7" s="626" t="s">
        <v>753</v>
      </c>
      <c r="K7" s="519"/>
    </row>
    <row r="8" spans="1:11" ht="18" customHeight="1" x14ac:dyDescent="0.2">
      <c r="A8" s="306">
        <f t="shared" ref="A8:A11" si="1">A7+1</f>
        <v>3</v>
      </c>
      <c r="B8" s="583" t="s">
        <v>1175</v>
      </c>
      <c r="C8" s="339" t="s">
        <v>753</v>
      </c>
      <c r="D8" s="250"/>
      <c r="E8" s="339" t="s">
        <v>753</v>
      </c>
      <c r="F8" s="250"/>
      <c r="G8" s="627" t="s">
        <v>753</v>
      </c>
      <c r="H8" s="628">
        <f t="shared" ref="H8:H11" si="2">D8+F8</f>
        <v>0</v>
      </c>
      <c r="I8" s="519"/>
      <c r="J8" s="519"/>
      <c r="K8" s="519"/>
    </row>
    <row r="9" spans="1:11" ht="18" customHeight="1" x14ac:dyDescent="0.2">
      <c r="A9" s="306">
        <f t="shared" si="1"/>
        <v>4</v>
      </c>
      <c r="B9" s="582" t="s">
        <v>1013</v>
      </c>
      <c r="C9" s="249">
        <f>SUM(C10:C11)</f>
        <v>0</v>
      </c>
      <c r="D9" s="249">
        <f>SUM(D10:D11)</f>
        <v>0</v>
      </c>
      <c r="E9" s="249">
        <f>SUM(E10:E11)</f>
        <v>0</v>
      </c>
      <c r="F9" s="249">
        <f>SUM(F10:F11)</f>
        <v>0</v>
      </c>
      <c r="G9" s="249">
        <f>C9+E9</f>
        <v>0</v>
      </c>
      <c r="H9" s="307">
        <f t="shared" si="2"/>
        <v>0</v>
      </c>
      <c r="I9" s="519"/>
      <c r="J9" s="519"/>
      <c r="K9" s="519"/>
    </row>
    <row r="10" spans="1:11" ht="18" customHeight="1" x14ac:dyDescent="0.2">
      <c r="A10" s="306">
        <f t="shared" si="1"/>
        <v>5</v>
      </c>
      <c r="B10" s="583" t="s">
        <v>1176</v>
      </c>
      <c r="C10" s="250"/>
      <c r="D10" s="339" t="s">
        <v>753</v>
      </c>
      <c r="E10" s="250"/>
      <c r="F10" s="339" t="s">
        <v>753</v>
      </c>
      <c r="G10" s="625">
        <f>C10+E10</f>
        <v>0</v>
      </c>
      <c r="H10" s="626" t="s">
        <v>753</v>
      </c>
      <c r="I10" s="519"/>
      <c r="J10" s="519"/>
      <c r="K10" s="519"/>
    </row>
    <row r="11" spans="1:11" ht="18" customHeight="1" x14ac:dyDescent="0.2">
      <c r="A11" s="306">
        <f t="shared" si="1"/>
        <v>6</v>
      </c>
      <c r="B11" s="583" t="s">
        <v>1177</v>
      </c>
      <c r="C11" s="339" t="s">
        <v>753</v>
      </c>
      <c r="D11" s="250"/>
      <c r="E11" s="339" t="s">
        <v>753</v>
      </c>
      <c r="F11" s="250"/>
      <c r="G11" s="627" t="s">
        <v>753</v>
      </c>
      <c r="H11" s="628">
        <f t="shared" si="2"/>
        <v>0</v>
      </c>
      <c r="I11" s="641"/>
      <c r="J11" s="519"/>
      <c r="K11" s="519"/>
    </row>
    <row r="12" spans="1:11" ht="18" customHeight="1" x14ac:dyDescent="0.2">
      <c r="A12" s="306">
        <v>7</v>
      </c>
      <c r="B12" s="582" t="s">
        <v>941</v>
      </c>
      <c r="C12" s="249">
        <f>SUM(C13:C14)</f>
        <v>37894.43</v>
      </c>
      <c r="D12" s="249">
        <f t="shared" ref="D12:F12" si="3">SUM(D13:D14)</f>
        <v>4460.8900000000003</v>
      </c>
      <c r="E12" s="249">
        <f t="shared" si="3"/>
        <v>0</v>
      </c>
      <c r="F12" s="249">
        <f t="shared" si="3"/>
        <v>0</v>
      </c>
      <c r="G12" s="249">
        <f>C12+E12</f>
        <v>37894.43</v>
      </c>
      <c r="H12" s="307">
        <f>D12+F12</f>
        <v>4460.8900000000003</v>
      </c>
      <c r="I12" s="642"/>
      <c r="J12" s="519"/>
      <c r="K12" s="519"/>
    </row>
    <row r="13" spans="1:11" ht="18" customHeight="1" x14ac:dyDescent="0.2">
      <c r="A13" s="306">
        <v>8</v>
      </c>
      <c r="B13" s="583" t="s">
        <v>943</v>
      </c>
      <c r="C13" s="339">
        <v>37894.43</v>
      </c>
      <c r="D13" s="339" t="s">
        <v>753</v>
      </c>
      <c r="E13" s="339"/>
      <c r="F13" s="339" t="s">
        <v>753</v>
      </c>
      <c r="G13" s="625">
        <f>C13+E13</f>
        <v>37894.43</v>
      </c>
      <c r="H13" s="626" t="s">
        <v>753</v>
      </c>
      <c r="I13" s="642"/>
      <c r="J13" s="519"/>
      <c r="K13" s="519"/>
    </row>
    <row r="14" spans="1:11" ht="18" customHeight="1" x14ac:dyDescent="0.2">
      <c r="A14" s="306">
        <v>9</v>
      </c>
      <c r="B14" s="583" t="s">
        <v>944</v>
      </c>
      <c r="C14" s="339" t="s">
        <v>753</v>
      </c>
      <c r="D14" s="250">
        <v>4460.8900000000003</v>
      </c>
      <c r="E14" s="339" t="s">
        <v>753</v>
      </c>
      <c r="F14" s="250"/>
      <c r="G14" s="627" t="s">
        <v>753</v>
      </c>
      <c r="H14" s="628">
        <f>D14+F14</f>
        <v>4460.8900000000003</v>
      </c>
      <c r="I14" s="642"/>
      <c r="J14" s="519"/>
      <c r="K14" s="519"/>
    </row>
    <row r="15" spans="1:11" ht="18" customHeight="1" x14ac:dyDescent="0.2">
      <c r="A15" s="306">
        <v>10</v>
      </c>
      <c r="B15" s="248" t="s">
        <v>942</v>
      </c>
      <c r="C15" s="249">
        <f>SUM(C16:C17)</f>
        <v>647664.43999999994</v>
      </c>
      <c r="D15" s="249">
        <f t="shared" ref="D15:F15" si="4">SUM(D16:D17)</f>
        <v>76195.81</v>
      </c>
      <c r="E15" s="249">
        <f t="shared" si="4"/>
        <v>137926.94</v>
      </c>
      <c r="F15" s="249">
        <f t="shared" si="4"/>
        <v>16226.7</v>
      </c>
      <c r="G15" s="249">
        <f>C15+E15</f>
        <v>785591.37999999989</v>
      </c>
      <c r="H15" s="307">
        <f>D15+F15</f>
        <v>92422.51</v>
      </c>
      <c r="I15" s="642"/>
      <c r="J15" s="519"/>
      <c r="K15" s="519"/>
    </row>
    <row r="16" spans="1:11" ht="18" customHeight="1" x14ac:dyDescent="0.2">
      <c r="A16" s="306">
        <v>11</v>
      </c>
      <c r="B16" s="252" t="s">
        <v>1178</v>
      </c>
      <c r="C16" s="339">
        <v>647664.43999999994</v>
      </c>
      <c r="D16" s="339" t="s">
        <v>753</v>
      </c>
      <c r="E16" s="339">
        <v>137926.94</v>
      </c>
      <c r="F16" s="339" t="s">
        <v>753</v>
      </c>
      <c r="G16" s="625">
        <f>C16+E16</f>
        <v>785591.37999999989</v>
      </c>
      <c r="H16" s="626" t="s">
        <v>753</v>
      </c>
      <c r="I16" s="642"/>
      <c r="J16" s="519"/>
      <c r="K16" s="519"/>
    </row>
    <row r="17" spans="1:11" ht="18" customHeight="1" x14ac:dyDescent="0.2">
      <c r="A17" s="306">
        <v>12</v>
      </c>
      <c r="B17" s="252" t="s">
        <v>1179</v>
      </c>
      <c r="C17" s="339" t="s">
        <v>753</v>
      </c>
      <c r="D17" s="250">
        <v>76195.81</v>
      </c>
      <c r="E17" s="339" t="s">
        <v>753</v>
      </c>
      <c r="F17" s="250">
        <v>16226.7</v>
      </c>
      <c r="G17" s="627" t="s">
        <v>753</v>
      </c>
      <c r="H17" s="628">
        <f>D17+F17</f>
        <v>92422.51</v>
      </c>
      <c r="I17" s="642"/>
      <c r="J17" s="519"/>
      <c r="K17" s="519"/>
    </row>
    <row r="18" spans="1:11" ht="44.25" customHeight="1" x14ac:dyDescent="0.2">
      <c r="A18" s="306">
        <v>13</v>
      </c>
      <c r="B18" s="582" t="s">
        <v>1205</v>
      </c>
      <c r="C18" s="249">
        <f>C6+C9+C12+C15</f>
        <v>685558.87</v>
      </c>
      <c r="D18" s="249">
        <f>D6+D9+D12+D15</f>
        <v>80656.7</v>
      </c>
      <c r="E18" s="249">
        <f>E6+E9+E12+E15</f>
        <v>137926.94</v>
      </c>
      <c r="F18" s="249">
        <f t="shared" ref="F18" si="5">F6+F9+F12+F15</f>
        <v>16226.7</v>
      </c>
      <c r="G18" s="249">
        <f>C18+E18</f>
        <v>823485.81</v>
      </c>
      <c r="H18" s="249">
        <f>D18+F18</f>
        <v>96883.4</v>
      </c>
      <c r="I18" s="642"/>
      <c r="J18" s="519"/>
      <c r="K18" s="519"/>
    </row>
    <row r="19" spans="1:11" ht="45" customHeight="1" x14ac:dyDescent="0.2">
      <c r="A19" s="306">
        <v>14</v>
      </c>
      <c r="B19" s="582" t="s">
        <v>1204</v>
      </c>
      <c r="C19" s="249">
        <f>C20+C23+C26</f>
        <v>45854.29</v>
      </c>
      <c r="D19" s="249">
        <f t="shared" ref="D19:F19" si="6">D20+D23+D26</f>
        <v>5207.18</v>
      </c>
      <c r="E19" s="249">
        <f t="shared" si="6"/>
        <v>0</v>
      </c>
      <c r="F19" s="249">
        <f t="shared" si="6"/>
        <v>0</v>
      </c>
      <c r="G19" s="249">
        <f>C19+E19</f>
        <v>45854.29</v>
      </c>
      <c r="H19" s="249">
        <f>D19+F19</f>
        <v>5207.18</v>
      </c>
      <c r="I19" s="642"/>
      <c r="J19" s="519"/>
      <c r="K19" s="519"/>
    </row>
    <row r="20" spans="1:11" ht="18" customHeight="1" x14ac:dyDescent="0.2">
      <c r="A20" s="306">
        <v>15</v>
      </c>
      <c r="B20" s="248" t="s">
        <v>1173</v>
      </c>
      <c r="C20" s="249">
        <f>SUM(C21:C22)</f>
        <v>0</v>
      </c>
      <c r="D20" s="249">
        <f t="shared" ref="D20:F20" si="7">SUM(D21:D22)</f>
        <v>0</v>
      </c>
      <c r="E20" s="249">
        <f t="shared" si="7"/>
        <v>0</v>
      </c>
      <c r="F20" s="249">
        <f t="shared" si="7"/>
        <v>0</v>
      </c>
      <c r="G20" s="249">
        <f>SUM(G21:G22)</f>
        <v>0</v>
      </c>
      <c r="H20" s="307">
        <f t="shared" ref="H20" si="8">SUM(H21:H22)</f>
        <v>0</v>
      </c>
      <c r="I20" s="642"/>
      <c r="J20" s="519"/>
      <c r="K20" s="519"/>
    </row>
    <row r="21" spans="1:11" ht="18" customHeight="1" x14ac:dyDescent="0.2">
      <c r="A21" s="306">
        <v>16</v>
      </c>
      <c r="B21" s="252" t="s">
        <v>1180</v>
      </c>
      <c r="C21" s="251"/>
      <c r="D21" s="339" t="s">
        <v>753</v>
      </c>
      <c r="E21" s="251"/>
      <c r="F21" s="339" t="s">
        <v>753</v>
      </c>
      <c r="G21" s="625">
        <f t="shared" ref="G21:H28" si="9">C21+E21</f>
        <v>0</v>
      </c>
      <c r="H21" s="626" t="s">
        <v>753</v>
      </c>
      <c r="I21" s="520"/>
      <c r="J21" s="519"/>
      <c r="K21" s="519"/>
    </row>
    <row r="22" spans="1:11" ht="18" customHeight="1" x14ac:dyDescent="0.2">
      <c r="A22" s="306">
        <v>17</v>
      </c>
      <c r="B22" s="252" t="s">
        <v>1181</v>
      </c>
      <c r="C22" s="339" t="s">
        <v>753</v>
      </c>
      <c r="D22" s="251"/>
      <c r="E22" s="339" t="s">
        <v>753</v>
      </c>
      <c r="F22" s="251"/>
      <c r="G22" s="627" t="s">
        <v>753</v>
      </c>
      <c r="H22" s="628">
        <f t="shared" si="9"/>
        <v>0</v>
      </c>
      <c r="I22" s="520"/>
      <c r="J22" s="519"/>
      <c r="K22" s="519"/>
    </row>
    <row r="23" spans="1:11" ht="18" customHeight="1" x14ac:dyDescent="0.2">
      <c r="A23" s="306">
        <v>18</v>
      </c>
      <c r="B23" s="623" t="s">
        <v>1182</v>
      </c>
      <c r="C23" s="249">
        <f>SUM(C24:C25)</f>
        <v>44261.11</v>
      </c>
      <c r="D23" s="249">
        <f t="shared" ref="D23:H23" si="10">SUM(D24:D25)</f>
        <v>5207.18</v>
      </c>
      <c r="E23" s="249">
        <f t="shared" si="10"/>
        <v>0</v>
      </c>
      <c r="F23" s="249">
        <f t="shared" si="10"/>
        <v>0</v>
      </c>
      <c r="G23" s="249">
        <f t="shared" si="10"/>
        <v>0</v>
      </c>
      <c r="H23" s="307">
        <f t="shared" si="10"/>
        <v>5207.18</v>
      </c>
      <c r="I23" s="519"/>
      <c r="J23" s="519"/>
      <c r="K23" s="519"/>
    </row>
    <row r="24" spans="1:11" ht="18" customHeight="1" x14ac:dyDescent="0.2">
      <c r="A24" s="521">
        <v>19</v>
      </c>
      <c r="B24" s="252" t="s">
        <v>1183</v>
      </c>
      <c r="C24" s="251">
        <v>44261.11</v>
      </c>
      <c r="D24" s="339" t="s">
        <v>753</v>
      </c>
      <c r="E24" s="251"/>
      <c r="F24" s="339" t="s">
        <v>753</v>
      </c>
      <c r="G24" s="625"/>
      <c r="H24" s="626" t="s">
        <v>753</v>
      </c>
      <c r="I24" s="519"/>
      <c r="J24" s="519"/>
      <c r="K24" s="519"/>
    </row>
    <row r="25" spans="1:11" ht="18" customHeight="1" x14ac:dyDescent="0.2">
      <c r="A25" s="306">
        <v>20</v>
      </c>
      <c r="B25" s="252" t="s">
        <v>1184</v>
      </c>
      <c r="C25" s="339" t="s">
        <v>753</v>
      </c>
      <c r="D25" s="251">
        <v>5207.18</v>
      </c>
      <c r="E25" s="339" t="s">
        <v>753</v>
      </c>
      <c r="F25" s="251"/>
      <c r="G25" s="627" t="s">
        <v>753</v>
      </c>
      <c r="H25" s="628">
        <f t="shared" si="9"/>
        <v>5207.18</v>
      </c>
      <c r="I25" s="519"/>
      <c r="J25" s="519"/>
      <c r="K25" s="519"/>
    </row>
    <row r="26" spans="1:11" ht="18" customHeight="1" x14ac:dyDescent="0.2">
      <c r="A26" s="521">
        <v>21</v>
      </c>
      <c r="B26" s="623" t="s">
        <v>1185</v>
      </c>
      <c r="C26" s="249">
        <f>C27+C29</f>
        <v>1593.18</v>
      </c>
      <c r="D26" s="249">
        <f t="shared" ref="D26:H26" si="11">SUM(D28)</f>
        <v>0</v>
      </c>
      <c r="E26" s="249">
        <f t="shared" si="11"/>
        <v>0</v>
      </c>
      <c r="F26" s="249">
        <f t="shared" si="11"/>
        <v>0</v>
      </c>
      <c r="G26" s="249">
        <f t="shared" si="11"/>
        <v>0</v>
      </c>
      <c r="H26" s="307">
        <f t="shared" si="11"/>
        <v>0</v>
      </c>
      <c r="I26" s="519"/>
      <c r="J26" s="519"/>
      <c r="K26" s="519"/>
    </row>
    <row r="27" spans="1:11" ht="18" customHeight="1" x14ac:dyDescent="0.2">
      <c r="A27" s="306">
        <v>22</v>
      </c>
      <c r="B27" s="252" t="s">
        <v>1186</v>
      </c>
      <c r="C27" s="251"/>
      <c r="D27" s="339" t="s">
        <v>753</v>
      </c>
      <c r="E27" s="251"/>
      <c r="F27" s="339" t="s">
        <v>753</v>
      </c>
      <c r="G27" s="625">
        <f t="shared" si="9"/>
        <v>0</v>
      </c>
      <c r="H27" s="626" t="s">
        <v>753</v>
      </c>
      <c r="I27" s="519"/>
      <c r="J27" s="519"/>
      <c r="K27" s="519"/>
    </row>
    <row r="28" spans="1:11" ht="18" customHeight="1" x14ac:dyDescent="0.2">
      <c r="A28" s="521">
        <v>23</v>
      </c>
      <c r="B28" s="643" t="s">
        <v>1187</v>
      </c>
      <c r="C28" s="339" t="s">
        <v>753</v>
      </c>
      <c r="D28" s="250"/>
      <c r="E28" s="339" t="s">
        <v>753</v>
      </c>
      <c r="F28" s="250"/>
      <c r="G28" s="627" t="s">
        <v>753</v>
      </c>
      <c r="H28" s="628">
        <f t="shared" si="9"/>
        <v>0</v>
      </c>
      <c r="I28" s="519"/>
      <c r="J28" s="519"/>
      <c r="K28" s="519"/>
    </row>
    <row r="29" spans="1:11" ht="18" customHeight="1" x14ac:dyDescent="0.2">
      <c r="A29" s="521" t="s">
        <v>1212</v>
      </c>
      <c r="B29" s="252" t="s">
        <v>1259</v>
      </c>
      <c r="C29" s="640">
        <v>1593.18</v>
      </c>
      <c r="D29" s="251"/>
      <c r="E29" s="640"/>
      <c r="F29" s="251"/>
      <c r="G29" s="251"/>
      <c r="H29" s="624"/>
      <c r="I29" s="519"/>
      <c r="J29" s="519"/>
      <c r="K29" s="519"/>
    </row>
    <row r="30" spans="1:11" ht="18" customHeight="1" x14ac:dyDescent="0.2">
      <c r="A30" s="521" t="s">
        <v>1213</v>
      </c>
      <c r="B30" s="252"/>
      <c r="C30" s="640"/>
      <c r="D30" s="251"/>
      <c r="E30" s="640"/>
      <c r="F30" s="251"/>
      <c r="G30" s="251"/>
      <c r="H30" s="624"/>
      <c r="I30" s="519"/>
      <c r="J30" s="519"/>
      <c r="K30" s="519"/>
    </row>
    <row r="31" spans="1:11" ht="18" customHeight="1" x14ac:dyDescent="0.2">
      <c r="A31" s="521"/>
      <c r="B31" s="252"/>
      <c r="C31" s="640"/>
      <c r="D31" s="251"/>
      <c r="E31" s="640"/>
      <c r="F31" s="251"/>
      <c r="G31" s="251"/>
      <c r="H31" s="624"/>
      <c r="I31" s="519"/>
      <c r="J31" s="519"/>
      <c r="K31" s="519"/>
    </row>
    <row r="32" spans="1:11" ht="18" customHeight="1" x14ac:dyDescent="0.2">
      <c r="A32" s="521"/>
      <c r="B32" s="252"/>
      <c r="C32" s="640"/>
      <c r="D32" s="251"/>
      <c r="E32" s="640"/>
      <c r="F32" s="251"/>
      <c r="G32" s="251"/>
      <c r="H32" s="624"/>
      <c r="I32" s="519"/>
      <c r="J32" s="519"/>
      <c r="K32" s="519"/>
    </row>
    <row r="33" spans="1:11" ht="18" customHeight="1" x14ac:dyDescent="0.2">
      <c r="A33" s="521"/>
      <c r="B33" s="252"/>
      <c r="C33" s="640"/>
      <c r="D33" s="251"/>
      <c r="E33" s="640"/>
      <c r="F33" s="251"/>
      <c r="G33" s="251"/>
      <c r="H33" s="624"/>
      <c r="I33" s="519"/>
      <c r="J33" s="519"/>
      <c r="K33" s="519"/>
    </row>
    <row r="34" spans="1:11" ht="18" customHeight="1" x14ac:dyDescent="0.2">
      <c r="A34" s="521"/>
      <c r="B34" s="252"/>
      <c r="C34" s="251"/>
      <c r="D34" s="251"/>
      <c r="E34" s="251"/>
      <c r="F34" s="251"/>
      <c r="G34" s="251"/>
      <c r="H34" s="624"/>
      <c r="I34" s="519"/>
      <c r="J34" s="519"/>
      <c r="K34" s="519"/>
    </row>
    <row r="35" spans="1:11" ht="18" customHeight="1" thickBot="1" x14ac:dyDescent="0.25">
      <c r="A35" s="308">
        <v>24</v>
      </c>
      <c r="B35" s="334" t="s">
        <v>1207</v>
      </c>
      <c r="C35" s="309">
        <f>C18+C19</f>
        <v>731413.16</v>
      </c>
      <c r="D35" s="309">
        <f t="shared" ref="D35:H35" si="12">D18+D19</f>
        <v>85863.88</v>
      </c>
      <c r="E35" s="309">
        <f t="shared" si="12"/>
        <v>137926.94</v>
      </c>
      <c r="F35" s="309">
        <f t="shared" si="12"/>
        <v>16226.7</v>
      </c>
      <c r="G35" s="309">
        <f t="shared" si="12"/>
        <v>869340.10000000009</v>
      </c>
      <c r="H35" s="309">
        <f t="shared" si="12"/>
        <v>102090.57999999999</v>
      </c>
      <c r="I35" s="520"/>
      <c r="J35" s="519"/>
      <c r="K35" s="519"/>
    </row>
    <row r="36" spans="1:11" x14ac:dyDescent="0.2">
      <c r="I36" s="520"/>
    </row>
    <row r="37" spans="1:11" x14ac:dyDescent="0.2">
      <c r="A37" s="573" t="s">
        <v>986</v>
      </c>
      <c r="B37" s="574" t="s">
        <v>1206</v>
      </c>
      <c r="C37" s="574"/>
      <c r="D37" s="574"/>
      <c r="I37" s="520"/>
    </row>
    <row r="38" spans="1:11" x14ac:dyDescent="0.2">
      <c r="I38" s="520"/>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tabColor indexed="42"/>
    <pageSetUpPr fitToPage="1"/>
  </sheetPr>
  <dimension ref="A1:I24"/>
  <sheetViews>
    <sheetView zoomScaleNormal="100" workbookViewId="0">
      <pane xSplit="2" ySplit="4" topLeftCell="C5" activePane="bottomRight" state="frozen"/>
      <selection pane="topRight" activeCell="C1" sqref="C1"/>
      <selection pane="bottomLeft" activeCell="A5" sqref="A5"/>
      <selection pane="bottomRight" activeCell="G23" sqref="G23"/>
    </sheetView>
  </sheetViews>
  <sheetFormatPr defaultRowHeight="15.75" x14ac:dyDescent="0.25"/>
  <cols>
    <col min="1" max="1" width="9.5703125" style="3" customWidth="1"/>
    <col min="2" max="2" width="58.42578125" style="1" customWidth="1"/>
    <col min="3" max="3" width="22.140625" style="18" customWidth="1"/>
    <col min="4" max="4" width="21.140625" style="18" customWidth="1"/>
    <col min="5" max="5" width="24.140625" style="18" customWidth="1"/>
    <col min="6" max="16384" width="9.140625" style="1"/>
  </cols>
  <sheetData>
    <row r="1" spans="1:9" ht="80.25" customHeight="1" thickBot="1" x14ac:dyDescent="0.3">
      <c r="A1" s="908" t="s">
        <v>1014</v>
      </c>
      <c r="B1" s="909"/>
      <c r="C1" s="909"/>
      <c r="D1" s="909"/>
      <c r="E1" s="910"/>
      <c r="F1" s="7"/>
      <c r="G1" s="7"/>
    </row>
    <row r="2" spans="1:9" ht="35.1" customHeight="1" x14ac:dyDescent="0.25">
      <c r="A2" s="746" t="s">
        <v>365</v>
      </c>
      <c r="B2" s="747"/>
      <c r="C2" s="747"/>
      <c r="D2" s="747"/>
      <c r="E2" s="748"/>
      <c r="F2" s="7"/>
      <c r="G2" s="7"/>
    </row>
    <row r="3" spans="1:9" s="10" customFormat="1" ht="46.9" customHeight="1" x14ac:dyDescent="0.25">
      <c r="A3" s="395" t="s">
        <v>180</v>
      </c>
      <c r="B3" s="397" t="s">
        <v>299</v>
      </c>
      <c r="C3" s="397" t="s">
        <v>275</v>
      </c>
      <c r="D3" s="397" t="s">
        <v>276</v>
      </c>
      <c r="E3" s="398" t="s">
        <v>188</v>
      </c>
    </row>
    <row r="4" spans="1:9" s="10" customFormat="1" ht="16.5" customHeight="1" x14ac:dyDescent="0.25">
      <c r="A4" s="395"/>
      <c r="B4" s="397"/>
      <c r="C4" s="397" t="s">
        <v>257</v>
      </c>
      <c r="D4" s="397" t="s">
        <v>258</v>
      </c>
      <c r="E4" s="398" t="s">
        <v>29</v>
      </c>
    </row>
    <row r="5" spans="1:9" s="10" customFormat="1" ht="17.45" customHeight="1" x14ac:dyDescent="0.25">
      <c r="A5" s="395"/>
      <c r="B5" s="180" t="s">
        <v>340</v>
      </c>
      <c r="C5" s="65"/>
      <c r="D5" s="65"/>
      <c r="E5" s="131"/>
    </row>
    <row r="6" spans="1:9" s="10" customFormat="1" ht="17.45" customHeight="1" x14ac:dyDescent="0.25">
      <c r="A6" s="130">
        <v>1</v>
      </c>
      <c r="B6" s="107" t="s">
        <v>376</v>
      </c>
      <c r="C6" s="49">
        <f>SUM(C7:C10)</f>
        <v>2194673.38</v>
      </c>
      <c r="D6" s="49">
        <f>SUM(D7:D10)</f>
        <v>0</v>
      </c>
      <c r="E6" s="50">
        <f>C6+D6</f>
        <v>2194673.38</v>
      </c>
    </row>
    <row r="7" spans="1:9" s="18" customFormat="1" x14ac:dyDescent="0.2">
      <c r="A7" s="29">
        <f>A6+1</f>
        <v>2</v>
      </c>
      <c r="B7" s="127" t="s">
        <v>126</v>
      </c>
      <c r="C7" s="51">
        <v>2127673.38</v>
      </c>
      <c r="D7" s="146"/>
      <c r="E7" s="50">
        <f>C7+D7</f>
        <v>2127673.38</v>
      </c>
    </row>
    <row r="8" spans="1:9" s="18" customFormat="1" x14ac:dyDescent="0.2">
      <c r="A8" s="29">
        <f>A7+1</f>
        <v>3</v>
      </c>
      <c r="B8" s="127" t="s">
        <v>373</v>
      </c>
      <c r="C8" s="51">
        <v>67000</v>
      </c>
      <c r="D8" s="51"/>
      <c r="E8" s="50">
        <f t="shared" ref="E8:E16" si="0">C8+D8</f>
        <v>67000</v>
      </c>
      <c r="G8" s="400"/>
    </row>
    <row r="9" spans="1:9" s="18" customFormat="1" x14ac:dyDescent="0.2">
      <c r="A9" s="29">
        <f>A8+1</f>
        <v>4</v>
      </c>
      <c r="B9" s="127"/>
      <c r="C9" s="51"/>
      <c r="D9" s="51"/>
      <c r="E9" s="50"/>
    </row>
    <row r="10" spans="1:9" s="18" customFormat="1" x14ac:dyDescent="0.2">
      <c r="A10" s="29">
        <f>A9+1</f>
        <v>5</v>
      </c>
      <c r="B10" s="127"/>
      <c r="C10" s="51"/>
      <c r="D10" s="51"/>
      <c r="E10" s="50">
        <f t="shared" si="0"/>
        <v>0</v>
      </c>
    </row>
    <row r="11" spans="1:9" s="18" customFormat="1" x14ac:dyDescent="0.2">
      <c r="A11" s="41"/>
      <c r="B11" s="180" t="s">
        <v>691</v>
      </c>
      <c r="C11" s="65"/>
      <c r="D11" s="65"/>
      <c r="E11" s="131"/>
    </row>
    <row r="12" spans="1:9" x14ac:dyDescent="0.25">
      <c r="A12" s="41">
        <v>6</v>
      </c>
      <c r="B12" s="127" t="s">
        <v>16</v>
      </c>
      <c r="C12" s="148">
        <v>7381</v>
      </c>
      <c r="D12" s="148"/>
      <c r="E12" s="50">
        <f t="shared" si="0"/>
        <v>7381</v>
      </c>
    </row>
    <row r="13" spans="1:9" x14ac:dyDescent="0.25">
      <c r="A13" s="41">
        <v>7</v>
      </c>
      <c r="B13" s="127" t="s">
        <v>17</v>
      </c>
      <c r="C13" s="51"/>
      <c r="D13" s="51"/>
      <c r="E13" s="50">
        <f t="shared" si="0"/>
        <v>0</v>
      </c>
    </row>
    <row r="14" spans="1:9" s="43" customFormat="1" x14ac:dyDescent="0.25">
      <c r="A14" s="41"/>
      <c r="B14" s="79"/>
      <c r="C14" s="170"/>
      <c r="D14" s="170"/>
      <c r="E14" s="131"/>
    </row>
    <row r="15" spans="1:9" x14ac:dyDescent="0.25">
      <c r="A15" s="41">
        <v>8</v>
      </c>
      <c r="B15" s="79" t="s">
        <v>377</v>
      </c>
      <c r="C15" s="149">
        <f>SUM(C16:C17)</f>
        <v>0</v>
      </c>
      <c r="D15" s="149">
        <f>SUM(D16:D17)</f>
        <v>0</v>
      </c>
      <c r="E15" s="50">
        <f t="shared" si="0"/>
        <v>0</v>
      </c>
    </row>
    <row r="16" spans="1:9" ht="31.5" x14ac:dyDescent="0.25">
      <c r="A16" s="41" t="s">
        <v>375</v>
      </c>
      <c r="B16" s="363" t="s">
        <v>776</v>
      </c>
      <c r="C16" s="148"/>
      <c r="D16" s="148"/>
      <c r="E16" s="50">
        <f t="shared" si="0"/>
        <v>0</v>
      </c>
      <c r="I16" s="399"/>
    </row>
    <row r="17" spans="1:5" x14ac:dyDescent="0.25">
      <c r="A17" s="41"/>
      <c r="B17" s="79"/>
      <c r="C17" s="170"/>
      <c r="D17" s="170"/>
      <c r="E17" s="131"/>
    </row>
    <row r="18" spans="1:5" ht="16.5" thickBot="1" x14ac:dyDescent="0.3">
      <c r="A18" s="134">
        <v>9</v>
      </c>
      <c r="B18" s="135" t="s">
        <v>663</v>
      </c>
      <c r="C18" s="62">
        <f>C6+C12+C13+C15</f>
        <v>2202054.38</v>
      </c>
      <c r="D18" s="62">
        <f>D6+D12+D13+D15</f>
        <v>0</v>
      </c>
      <c r="E18" s="147">
        <f>E6+E12+E13+E15</f>
        <v>2202054.38</v>
      </c>
    </row>
    <row r="19" spans="1:5" x14ac:dyDescent="0.25">
      <c r="E19" s="21"/>
    </row>
    <row r="21" spans="1:5" x14ac:dyDescent="0.25">
      <c r="B21" s="242"/>
      <c r="C21" s="3"/>
    </row>
    <row r="22" spans="1:5" x14ac:dyDescent="0.25">
      <c r="B22" s="3"/>
      <c r="C22" s="3"/>
    </row>
    <row r="23" spans="1:5" x14ac:dyDescent="0.25">
      <c r="B23" s="3"/>
      <c r="C23" s="3"/>
    </row>
    <row r="24" spans="1:5" x14ac:dyDescent="0.25">
      <c r="D24" s="400"/>
    </row>
  </sheetData>
  <protectedRanges>
    <protectedRange sqref="C8:D10" name="Rozsah2_1"/>
    <protectedRange sqref="C11:D11" name="Rozsah2_2"/>
  </protectedRanges>
  <mergeCells count="2">
    <mergeCell ref="A1:E1"/>
    <mergeCell ref="A2:E2"/>
  </mergeCells>
  <phoneticPr fontId="6" type="noConversion"/>
  <pageMargins left="0.79" right="0.74803149606299213" top="0.98425196850393704" bottom="0.77" header="0.51181102362204722" footer="0.51181102362204722"/>
  <pageSetup paperSize="9" scale="9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G29"/>
  <sheetViews>
    <sheetView zoomScale="90" zoomScaleNormal="90" workbookViewId="0">
      <pane xSplit="2" ySplit="5" topLeftCell="C6" activePane="bottomRight" state="frozen"/>
      <selection pane="topRight" activeCell="C1" sqref="C1"/>
      <selection pane="bottomLeft" activeCell="A6" sqref="A6"/>
      <selection pane="bottomRight" activeCell="G23" sqref="G23"/>
    </sheetView>
  </sheetViews>
  <sheetFormatPr defaultRowHeight="15.75" x14ac:dyDescent="0.2"/>
  <cols>
    <col min="1" max="1" width="9.140625" style="18"/>
    <col min="2" max="2" width="75.42578125" style="70" customWidth="1"/>
    <col min="3" max="6" width="17.28515625" style="18" customWidth="1"/>
    <col min="7" max="7" width="66.42578125" style="18" customWidth="1"/>
    <col min="8" max="16384" width="9.140625" style="18"/>
  </cols>
  <sheetData>
    <row r="1" spans="1:7" ht="35.1" customHeight="1" thickBot="1" x14ac:dyDescent="0.25">
      <c r="A1" s="743" t="s">
        <v>1015</v>
      </c>
      <c r="B1" s="918"/>
      <c r="C1" s="918"/>
      <c r="D1" s="918"/>
      <c r="E1" s="918"/>
      <c r="F1" s="919"/>
    </row>
    <row r="2" spans="1:7" ht="35.1" customHeight="1" x14ac:dyDescent="0.2">
      <c r="A2" s="775" t="s">
        <v>365</v>
      </c>
      <c r="B2" s="840"/>
      <c r="C2" s="841" t="s">
        <v>828</v>
      </c>
      <c r="D2" s="841"/>
      <c r="E2" s="841"/>
      <c r="F2" s="842"/>
    </row>
    <row r="3" spans="1:7" ht="22.9" customHeight="1" x14ac:dyDescent="0.2">
      <c r="A3" s="764" t="s">
        <v>180</v>
      </c>
      <c r="B3" s="791" t="s">
        <v>299</v>
      </c>
      <c r="C3" s="787">
        <v>2018</v>
      </c>
      <c r="D3" s="787"/>
      <c r="E3" s="787">
        <v>2019</v>
      </c>
      <c r="F3" s="850"/>
    </row>
    <row r="4" spans="1:7" ht="75" customHeight="1" x14ac:dyDescent="0.2">
      <c r="A4" s="764"/>
      <c r="B4" s="791"/>
      <c r="C4" s="524" t="s">
        <v>37</v>
      </c>
      <c r="D4" s="524" t="s">
        <v>171</v>
      </c>
      <c r="E4" s="524" t="s">
        <v>37</v>
      </c>
      <c r="F4" s="525" t="s">
        <v>172</v>
      </c>
    </row>
    <row r="5" spans="1:7" x14ac:dyDescent="0.2">
      <c r="A5" s="29"/>
      <c r="B5" s="96"/>
      <c r="C5" s="39" t="s">
        <v>257</v>
      </c>
      <c r="D5" s="39" t="s">
        <v>258</v>
      </c>
      <c r="E5" s="39" t="s">
        <v>259</v>
      </c>
      <c r="F5" s="40" t="s">
        <v>266</v>
      </c>
    </row>
    <row r="6" spans="1:7" ht="31.5" x14ac:dyDescent="0.25">
      <c r="A6" s="29">
        <v>1</v>
      </c>
      <c r="B6" s="577" t="s">
        <v>1016</v>
      </c>
      <c r="C6" s="129">
        <f>C7+C10+C13+C16+C19+C22</f>
        <v>41957.840000000004</v>
      </c>
      <c r="D6" s="129">
        <f t="shared" ref="D6:E6" si="0">D7+D10+D13+D16+D19+D22</f>
        <v>391</v>
      </c>
      <c r="E6" s="673">
        <f t="shared" si="0"/>
        <v>50211.97</v>
      </c>
      <c r="F6" s="129">
        <f>F7+F10+F13+F16+F19+F22</f>
        <v>425</v>
      </c>
      <c r="G6" s="264"/>
    </row>
    <row r="7" spans="1:7" x14ac:dyDescent="0.2">
      <c r="A7" s="29">
        <v>2</v>
      </c>
      <c r="B7" s="577" t="s">
        <v>1017</v>
      </c>
      <c r="C7" s="129">
        <f>SUM(C8:C9)</f>
        <v>6093</v>
      </c>
      <c r="D7" s="129">
        <f t="shared" ref="D7:F7" si="1">SUM(D8:D9)</f>
        <v>42</v>
      </c>
      <c r="E7" s="673">
        <f t="shared" si="1"/>
        <v>3300</v>
      </c>
      <c r="F7" s="530">
        <f t="shared" si="1"/>
        <v>21</v>
      </c>
      <c r="G7" s="434"/>
    </row>
    <row r="8" spans="1:7" x14ac:dyDescent="0.2">
      <c r="A8" s="29">
        <v>3</v>
      </c>
      <c r="B8" s="576" t="s">
        <v>49</v>
      </c>
      <c r="C8" s="151">
        <v>6093</v>
      </c>
      <c r="D8" s="151">
        <v>42</v>
      </c>
      <c r="E8" s="684">
        <v>3300</v>
      </c>
      <c r="F8" s="171">
        <v>21</v>
      </c>
      <c r="G8" s="434"/>
    </row>
    <row r="9" spans="1:7" ht="18.75" x14ac:dyDescent="0.2">
      <c r="A9" s="29">
        <v>4</v>
      </c>
      <c r="B9" s="576" t="s">
        <v>1018</v>
      </c>
      <c r="C9" s="151"/>
      <c r="D9" s="151"/>
      <c r="E9" s="684"/>
      <c r="F9" s="171"/>
      <c r="G9" s="434"/>
    </row>
    <row r="10" spans="1:7" ht="21" customHeight="1" x14ac:dyDescent="0.2">
      <c r="A10" s="29">
        <v>5</v>
      </c>
      <c r="B10" s="577" t="s">
        <v>846</v>
      </c>
      <c r="C10" s="129">
        <f>SUM(C11:C12)</f>
        <v>14120</v>
      </c>
      <c r="D10" s="129">
        <f t="shared" ref="D10:F10" si="2">SUM(D11:D12)</f>
        <v>79</v>
      </c>
      <c r="E10" s="673">
        <f t="shared" si="2"/>
        <v>18950</v>
      </c>
      <c r="F10" s="530">
        <f t="shared" si="2"/>
        <v>102</v>
      </c>
      <c r="G10" s="434"/>
    </row>
    <row r="11" spans="1:7" x14ac:dyDescent="0.2">
      <c r="A11" s="29">
        <v>6</v>
      </c>
      <c r="B11" s="576" t="s">
        <v>49</v>
      </c>
      <c r="C11" s="151">
        <v>14120</v>
      </c>
      <c r="D11" s="151">
        <v>79</v>
      </c>
      <c r="E11" s="684">
        <v>18950</v>
      </c>
      <c r="F11" s="171">
        <v>102</v>
      </c>
      <c r="G11" s="434"/>
    </row>
    <row r="12" spans="1:7" ht="18.75" x14ac:dyDescent="0.2">
      <c r="A12" s="29">
        <v>7</v>
      </c>
      <c r="B12" s="576" t="s">
        <v>1018</v>
      </c>
      <c r="C12" s="151"/>
      <c r="D12" s="151"/>
      <c r="E12" s="684"/>
      <c r="F12" s="171"/>
      <c r="G12" s="434"/>
    </row>
    <row r="13" spans="1:7" x14ac:dyDescent="0.2">
      <c r="A13" s="29">
        <v>8</v>
      </c>
      <c r="B13" s="577" t="s">
        <v>847</v>
      </c>
      <c r="C13" s="129">
        <f>C14+C15</f>
        <v>14608.87</v>
      </c>
      <c r="D13" s="129">
        <f t="shared" ref="D13:F13" si="3">D14+D15</f>
        <v>174</v>
      </c>
      <c r="E13" s="673">
        <f t="shared" si="3"/>
        <v>15224.47</v>
      </c>
      <c r="F13" s="530">
        <f t="shared" si="3"/>
        <v>156</v>
      </c>
      <c r="G13" s="434"/>
    </row>
    <row r="14" spans="1:7" x14ac:dyDescent="0.2">
      <c r="A14" s="29">
        <v>9</v>
      </c>
      <c r="B14" s="576" t="s">
        <v>49</v>
      </c>
      <c r="C14" s="151">
        <v>14608.87</v>
      </c>
      <c r="D14" s="151">
        <v>174</v>
      </c>
      <c r="E14" s="684">
        <v>15224.47</v>
      </c>
      <c r="F14" s="171">
        <v>156</v>
      </c>
      <c r="G14" s="434"/>
    </row>
    <row r="15" spans="1:7" ht="18.75" x14ac:dyDescent="0.2">
      <c r="A15" s="29">
        <v>10</v>
      </c>
      <c r="B15" s="576" t="s">
        <v>1018</v>
      </c>
      <c r="C15" s="151"/>
      <c r="D15" s="151"/>
      <c r="E15" s="684"/>
      <c r="F15" s="171"/>
      <c r="G15" s="434"/>
    </row>
    <row r="16" spans="1:7" x14ac:dyDescent="0.2">
      <c r="A16" s="29">
        <v>11</v>
      </c>
      <c r="B16" s="577" t="s">
        <v>1019</v>
      </c>
      <c r="C16" s="129">
        <f>SUM(C17:C18)</f>
        <v>2576</v>
      </c>
      <c r="D16" s="129">
        <f t="shared" ref="D16:F16" si="4">SUM(D17:D18)</f>
        <v>32</v>
      </c>
      <c r="E16" s="673">
        <f t="shared" si="4"/>
        <v>5217.5</v>
      </c>
      <c r="F16" s="530">
        <f t="shared" si="4"/>
        <v>51</v>
      </c>
    </row>
    <row r="17" spans="1:6" x14ac:dyDescent="0.2">
      <c r="A17" s="29">
        <v>12</v>
      </c>
      <c r="B17" s="576" t="s">
        <v>49</v>
      </c>
      <c r="C17" s="151">
        <v>2576</v>
      </c>
      <c r="D17" s="151">
        <v>32</v>
      </c>
      <c r="E17" s="684">
        <v>5217.5</v>
      </c>
      <c r="F17" s="171">
        <v>51</v>
      </c>
    </row>
    <row r="18" spans="1:6" ht="18.75" x14ac:dyDescent="0.2">
      <c r="A18" s="29">
        <v>13</v>
      </c>
      <c r="B18" s="576" t="s">
        <v>1018</v>
      </c>
      <c r="C18" s="151"/>
      <c r="D18" s="151"/>
      <c r="E18" s="684"/>
      <c r="F18" s="171"/>
    </row>
    <row r="19" spans="1:6" x14ac:dyDescent="0.2">
      <c r="A19" s="29">
        <v>14</v>
      </c>
      <c r="B19" s="577" t="s">
        <v>1020</v>
      </c>
      <c r="C19" s="129">
        <f>SUM(C20:C21)</f>
        <v>600</v>
      </c>
      <c r="D19" s="129">
        <f t="shared" ref="D19:F19" si="5">SUM(D20:D21)</f>
        <v>2</v>
      </c>
      <c r="E19" s="673">
        <f t="shared" si="5"/>
        <v>900</v>
      </c>
      <c r="F19" s="530">
        <f t="shared" si="5"/>
        <v>2</v>
      </c>
    </row>
    <row r="20" spans="1:6" x14ac:dyDescent="0.2">
      <c r="A20" s="29">
        <v>15</v>
      </c>
      <c r="B20" s="576" t="s">
        <v>49</v>
      </c>
      <c r="C20" s="151">
        <v>600</v>
      </c>
      <c r="D20" s="151">
        <v>2</v>
      </c>
      <c r="E20" s="684">
        <v>300</v>
      </c>
      <c r="F20" s="171">
        <v>1</v>
      </c>
    </row>
    <row r="21" spans="1:6" ht="18.75" x14ac:dyDescent="0.2">
      <c r="A21" s="29">
        <v>16</v>
      </c>
      <c r="B21" s="584" t="s">
        <v>1018</v>
      </c>
      <c r="C21" s="172"/>
      <c r="D21" s="172"/>
      <c r="E21" s="705">
        <v>600</v>
      </c>
      <c r="F21" s="173">
        <v>1</v>
      </c>
    </row>
    <row r="22" spans="1:6" x14ac:dyDescent="0.2">
      <c r="A22" s="29">
        <v>17</v>
      </c>
      <c r="B22" s="585" t="s">
        <v>956</v>
      </c>
      <c r="C22" s="129">
        <f>C23+C24</f>
        <v>3959.97</v>
      </c>
      <c r="D22" s="129">
        <f t="shared" ref="D22:F22" si="6">D23+D24</f>
        <v>62</v>
      </c>
      <c r="E22" s="673">
        <f t="shared" si="6"/>
        <v>6620</v>
      </c>
      <c r="F22" s="530">
        <f t="shared" si="6"/>
        <v>93</v>
      </c>
    </row>
    <row r="23" spans="1:6" x14ac:dyDescent="0.2">
      <c r="A23" s="29">
        <v>18</v>
      </c>
      <c r="B23" s="576" t="s">
        <v>49</v>
      </c>
      <c r="C23" s="172">
        <v>3959.97</v>
      </c>
      <c r="D23" s="172">
        <v>62</v>
      </c>
      <c r="E23" s="705">
        <v>6620</v>
      </c>
      <c r="F23" s="173">
        <v>93</v>
      </c>
    </row>
    <row r="24" spans="1:6" ht="18.75" x14ac:dyDescent="0.2">
      <c r="A24" s="29">
        <v>19</v>
      </c>
      <c r="B24" s="584" t="s">
        <v>1018</v>
      </c>
      <c r="C24" s="172"/>
      <c r="D24" s="172"/>
      <c r="E24" s="172"/>
      <c r="F24" s="173"/>
    </row>
    <row r="25" spans="1:6" ht="19.5" thickBot="1" x14ac:dyDescent="0.25">
      <c r="A25" s="30">
        <v>20</v>
      </c>
      <c r="B25" s="586" t="s">
        <v>1021</v>
      </c>
      <c r="C25" s="174" t="s">
        <v>285</v>
      </c>
      <c r="D25" s="175">
        <v>388</v>
      </c>
      <c r="E25" s="174" t="s">
        <v>285</v>
      </c>
      <c r="F25" s="176">
        <v>425</v>
      </c>
    </row>
    <row r="26" spans="1:6" s="118" customFormat="1" x14ac:dyDescent="0.2">
      <c r="A26" s="414"/>
      <c r="B26" s="415"/>
      <c r="C26" s="416"/>
      <c r="D26" s="417"/>
      <c r="E26" s="416"/>
      <c r="F26" s="417"/>
    </row>
    <row r="27" spans="1:6" x14ac:dyDescent="0.2">
      <c r="A27" s="912" t="s">
        <v>680</v>
      </c>
      <c r="B27" s="913"/>
      <c r="C27" s="913"/>
      <c r="D27" s="913"/>
      <c r="E27" s="913"/>
      <c r="F27" s="914"/>
    </row>
    <row r="28" spans="1:6" x14ac:dyDescent="0.2">
      <c r="A28" s="915" t="s">
        <v>681</v>
      </c>
      <c r="B28" s="916"/>
      <c r="C28" s="916"/>
      <c r="D28" s="916"/>
      <c r="E28" s="916"/>
      <c r="F28" s="917"/>
    </row>
    <row r="29" spans="1:6" x14ac:dyDescent="0.2">
      <c r="A29" s="911" t="s">
        <v>844</v>
      </c>
      <c r="B29" s="911"/>
      <c r="C29" s="911"/>
      <c r="D29" s="911"/>
      <c r="E29" s="911"/>
      <c r="F29" s="911"/>
    </row>
  </sheetData>
  <mergeCells count="10">
    <mergeCell ref="C2:F2"/>
    <mergeCell ref="A29:F29"/>
    <mergeCell ref="A27:F27"/>
    <mergeCell ref="A28:F28"/>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6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H16"/>
  <sheetViews>
    <sheetView zoomScale="90" zoomScaleNormal="90" workbookViewId="0">
      <pane xSplit="2" ySplit="5" topLeftCell="C6" activePane="bottomRight" state="frozen"/>
      <selection pane="topRight" activeCell="C1" sqref="C1"/>
      <selection pane="bottomLeft" activeCell="A5" sqref="A5"/>
      <selection pane="bottomRight" activeCell="G6" sqref="G6"/>
    </sheetView>
  </sheetViews>
  <sheetFormatPr defaultRowHeight="18.75" x14ac:dyDescent="0.25"/>
  <cols>
    <col min="1" max="1" width="9.140625" style="272"/>
    <col min="2" max="2" width="87.42578125" style="299" customWidth="1"/>
    <col min="3" max="3" width="20.28515625" style="338" customWidth="1"/>
    <col min="4" max="4" width="23.5703125" style="338" customWidth="1"/>
    <col min="5" max="5" width="22.140625" style="338" customWidth="1"/>
    <col min="6" max="6" width="23.85546875" style="272" customWidth="1"/>
    <col min="7" max="7" width="16.140625" style="272" customWidth="1"/>
    <col min="8" max="16384" width="9.140625" style="272"/>
  </cols>
  <sheetData>
    <row r="1" spans="1:8" ht="50.1" customHeight="1" thickBot="1" x14ac:dyDescent="0.3">
      <c r="A1" s="857" t="s">
        <v>1022</v>
      </c>
      <c r="B1" s="920"/>
      <c r="C1" s="920"/>
      <c r="D1" s="921"/>
      <c r="E1" s="921"/>
      <c r="F1" s="922"/>
    </row>
    <row r="2" spans="1:8" ht="35.1" customHeight="1" thickBot="1" x14ac:dyDescent="0.3">
      <c r="A2" s="923" t="s">
        <v>365</v>
      </c>
      <c r="B2" s="924"/>
      <c r="C2" s="924"/>
      <c r="D2" s="925"/>
      <c r="E2" s="925"/>
      <c r="F2" s="926"/>
    </row>
    <row r="3" spans="1:8" ht="33" customHeight="1" x14ac:dyDescent="0.25">
      <c r="A3" s="839" t="s">
        <v>180</v>
      </c>
      <c r="B3" s="929" t="s">
        <v>299</v>
      </c>
      <c r="C3" s="927">
        <v>2018</v>
      </c>
      <c r="D3" s="927"/>
      <c r="E3" s="927">
        <v>2019</v>
      </c>
      <c r="F3" s="927"/>
    </row>
    <row r="4" spans="1:8" ht="71.25" customHeight="1" x14ac:dyDescent="0.25">
      <c r="A4" s="764"/>
      <c r="B4" s="930"/>
      <c r="C4" s="607" t="s">
        <v>895</v>
      </c>
      <c r="D4" s="607" t="s">
        <v>1116</v>
      </c>
      <c r="E4" s="607" t="s">
        <v>895</v>
      </c>
      <c r="F4" s="608" t="s">
        <v>1116</v>
      </c>
    </row>
    <row r="5" spans="1:8" ht="18.75" customHeight="1" x14ac:dyDescent="0.25">
      <c r="A5" s="274"/>
      <c r="B5" s="275"/>
      <c r="C5" s="276" t="s">
        <v>257</v>
      </c>
      <c r="D5" s="276" t="s">
        <v>258</v>
      </c>
      <c r="E5" s="473" t="s">
        <v>259</v>
      </c>
      <c r="F5" s="475" t="s">
        <v>266</v>
      </c>
    </row>
    <row r="6" spans="1:8" s="335" customFormat="1" ht="34.5" customHeight="1" x14ac:dyDescent="0.2">
      <c r="A6" s="281">
        <v>1</v>
      </c>
      <c r="B6" s="474" t="s">
        <v>750</v>
      </c>
      <c r="C6" s="284">
        <v>0</v>
      </c>
      <c r="D6" s="284">
        <v>44</v>
      </c>
      <c r="E6" s="283">
        <f>C9</f>
        <v>0</v>
      </c>
      <c r="F6" s="476">
        <f>D9</f>
        <v>34</v>
      </c>
      <c r="G6" s="420"/>
      <c r="H6" s="421"/>
    </row>
    <row r="7" spans="1:8" ht="36" customHeight="1" x14ac:dyDescent="0.25">
      <c r="A7" s="281">
        <v>2</v>
      </c>
      <c r="B7" s="474" t="s">
        <v>889</v>
      </c>
      <c r="C7" s="284">
        <v>96825</v>
      </c>
      <c r="D7" s="284">
        <v>318700</v>
      </c>
      <c r="E7" s="284">
        <v>149025</v>
      </c>
      <c r="F7" s="477">
        <v>318700</v>
      </c>
    </row>
    <row r="8" spans="1:8" ht="35.25" customHeight="1" x14ac:dyDescent="0.25">
      <c r="A8" s="281">
        <v>3</v>
      </c>
      <c r="B8" s="474" t="s">
        <v>751</v>
      </c>
      <c r="C8" s="284">
        <v>96825</v>
      </c>
      <c r="D8" s="284">
        <v>318710</v>
      </c>
      <c r="E8" s="284">
        <v>149025</v>
      </c>
      <c r="F8" s="477">
        <v>318534</v>
      </c>
    </row>
    <row r="9" spans="1:8" ht="39.75" customHeight="1" x14ac:dyDescent="0.25">
      <c r="A9" s="281">
        <v>4</v>
      </c>
      <c r="B9" s="474" t="s">
        <v>890</v>
      </c>
      <c r="C9" s="283">
        <f>C6+C7-C8</f>
        <v>0</v>
      </c>
      <c r="D9" s="283">
        <f>D6+D7-D8</f>
        <v>34</v>
      </c>
      <c r="E9" s="283">
        <f>E6+E7-E8</f>
        <v>0</v>
      </c>
      <c r="F9" s="476">
        <f>F6+F7-F8</f>
        <v>200</v>
      </c>
    </row>
    <row r="10" spans="1:8" ht="36" customHeight="1" thickBot="1" x14ac:dyDescent="0.3">
      <c r="A10" s="478">
        <v>5</v>
      </c>
      <c r="B10" s="479" t="s">
        <v>891</v>
      </c>
      <c r="C10" s="480">
        <v>183</v>
      </c>
      <c r="D10" s="480">
        <v>800</v>
      </c>
      <c r="E10" s="480">
        <v>257</v>
      </c>
      <c r="F10" s="481">
        <v>861</v>
      </c>
    </row>
    <row r="11" spans="1:8" ht="21" customHeight="1" x14ac:dyDescent="0.25">
      <c r="A11" s="336"/>
      <c r="B11" s="337"/>
      <c r="C11" s="272"/>
      <c r="D11" s="272"/>
      <c r="E11" s="272"/>
      <c r="G11" s="335"/>
    </row>
    <row r="12" spans="1:8" ht="21" customHeight="1" x14ac:dyDescent="0.25">
      <c r="A12" s="928" t="s">
        <v>892</v>
      </c>
      <c r="B12" s="928"/>
      <c r="C12" s="928"/>
      <c r="D12" s="928"/>
      <c r="E12" s="928"/>
      <c r="F12" s="928"/>
    </row>
    <row r="13" spans="1:8" ht="18" x14ac:dyDescent="0.25">
      <c r="A13" s="422" t="s">
        <v>893</v>
      </c>
      <c r="B13" s="423"/>
      <c r="C13" s="418"/>
      <c r="D13" s="418"/>
      <c r="E13" s="418"/>
      <c r="F13" s="419"/>
    </row>
    <row r="14" spans="1:8" ht="18" x14ac:dyDescent="0.25">
      <c r="A14" s="422" t="s">
        <v>894</v>
      </c>
      <c r="B14" s="423"/>
      <c r="C14" s="418"/>
      <c r="D14" s="418"/>
      <c r="E14" s="418"/>
      <c r="F14" s="419"/>
    </row>
    <row r="16" spans="1:8" x14ac:dyDescent="0.25">
      <c r="C16" s="338" t="s">
        <v>147</v>
      </c>
    </row>
  </sheetData>
  <mergeCells count="7">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tabColor indexed="42"/>
    <pageSetUpPr fitToPage="1"/>
  </sheetPr>
  <dimension ref="A1:N11"/>
  <sheetViews>
    <sheetView zoomScale="90" zoomScaleNormal="90" workbookViewId="0">
      <pane xSplit="1" ySplit="5" topLeftCell="B6" activePane="bottomRight" state="frozen"/>
      <selection pane="topRight" activeCell="B1" sqref="B1"/>
      <selection pane="bottomLeft" activeCell="A6" sqref="A6"/>
      <selection pane="bottomRight" activeCell="H14" sqref="H14"/>
    </sheetView>
  </sheetViews>
  <sheetFormatPr defaultRowHeight="15.75" x14ac:dyDescent="0.2"/>
  <cols>
    <col min="1" max="1" width="8.85546875" style="73" customWidth="1"/>
    <col min="2" max="2" width="20.5703125" style="73" customWidth="1"/>
    <col min="3" max="3" width="18.28515625" style="73" customWidth="1"/>
    <col min="4" max="4" width="15.85546875" style="73" customWidth="1"/>
    <col min="5" max="5" width="15.7109375" style="73" customWidth="1"/>
    <col min="6" max="6" width="14.5703125" style="73" customWidth="1"/>
    <col min="7" max="7" width="18.7109375" style="73" customWidth="1"/>
    <col min="8" max="8" width="20.28515625" style="73" customWidth="1"/>
    <col min="9" max="9" width="18" style="73" customWidth="1"/>
    <col min="10" max="11" width="16.85546875" style="73" customWidth="1"/>
    <col min="12" max="12" width="15.140625" style="73" customWidth="1"/>
    <col min="13" max="13" width="17.7109375" style="73" customWidth="1"/>
    <col min="14" max="16384" width="9.140625" style="73"/>
  </cols>
  <sheetData>
    <row r="1" spans="1:14" s="71" customFormat="1" ht="35.1" customHeight="1" thickBot="1" x14ac:dyDescent="0.25">
      <c r="A1" s="935" t="s">
        <v>1023</v>
      </c>
      <c r="B1" s="936"/>
      <c r="C1" s="936"/>
      <c r="D1" s="936"/>
      <c r="E1" s="936"/>
      <c r="F1" s="936"/>
      <c r="G1" s="936"/>
      <c r="H1" s="936"/>
      <c r="I1" s="936"/>
      <c r="J1" s="936"/>
      <c r="K1" s="936"/>
      <c r="L1" s="936"/>
      <c r="M1" s="937"/>
    </row>
    <row r="2" spans="1:14" s="71" customFormat="1" ht="42.75" customHeight="1" x14ac:dyDescent="0.2">
      <c r="A2" s="775" t="s">
        <v>368</v>
      </c>
      <c r="B2" s="776"/>
      <c r="C2" s="776"/>
      <c r="D2" s="776"/>
      <c r="E2" s="776"/>
      <c r="F2" s="776"/>
      <c r="G2" s="776"/>
      <c r="H2" s="776"/>
      <c r="I2" s="776"/>
      <c r="J2" s="776"/>
      <c r="K2" s="776"/>
      <c r="L2" s="776"/>
      <c r="M2" s="777"/>
    </row>
    <row r="3" spans="1:14" s="71" customFormat="1" ht="45.75" customHeight="1" x14ac:dyDescent="0.2">
      <c r="A3" s="931" t="s">
        <v>180</v>
      </c>
      <c r="B3" s="933" t="s">
        <v>951</v>
      </c>
      <c r="C3" s="933"/>
      <c r="D3" s="933"/>
      <c r="E3" s="933"/>
      <c r="F3" s="933"/>
      <c r="G3" s="933"/>
      <c r="H3" s="933" t="s">
        <v>1024</v>
      </c>
      <c r="I3" s="933"/>
      <c r="J3" s="933"/>
      <c r="K3" s="933"/>
      <c r="L3" s="933"/>
      <c r="M3" s="934"/>
    </row>
    <row r="4" spans="1:14" s="72" customFormat="1" ht="171.75" customHeight="1" x14ac:dyDescent="0.2">
      <c r="A4" s="932"/>
      <c r="B4" s="332" t="s">
        <v>746</v>
      </c>
      <c r="C4" s="332" t="s">
        <v>747</v>
      </c>
      <c r="D4" s="332" t="s">
        <v>203</v>
      </c>
      <c r="E4" s="332" t="s">
        <v>71</v>
      </c>
      <c r="F4" s="332" t="s">
        <v>72</v>
      </c>
      <c r="G4" s="332" t="s">
        <v>178</v>
      </c>
      <c r="H4" s="332" t="s">
        <v>746</v>
      </c>
      <c r="I4" s="332" t="s">
        <v>747</v>
      </c>
      <c r="J4" s="332" t="s">
        <v>203</v>
      </c>
      <c r="K4" s="332" t="s">
        <v>71</v>
      </c>
      <c r="L4" s="99" t="s">
        <v>72</v>
      </c>
      <c r="M4" s="101" t="s">
        <v>178</v>
      </c>
    </row>
    <row r="5" spans="1:14" x14ac:dyDescent="0.2">
      <c r="A5" s="102"/>
      <c r="B5" s="100" t="s">
        <v>257</v>
      </c>
      <c r="C5" s="100" t="s">
        <v>258</v>
      </c>
      <c r="D5" s="100" t="s">
        <v>259</v>
      </c>
      <c r="E5" s="100" t="s">
        <v>266</v>
      </c>
      <c r="F5" s="100" t="s">
        <v>260</v>
      </c>
      <c r="G5" s="100" t="s">
        <v>682</v>
      </c>
      <c r="H5" s="100" t="s">
        <v>262</v>
      </c>
      <c r="I5" s="100" t="s">
        <v>263</v>
      </c>
      <c r="J5" s="100" t="s">
        <v>264</v>
      </c>
      <c r="K5" s="100" t="s">
        <v>683</v>
      </c>
      <c r="L5" s="243" t="s">
        <v>684</v>
      </c>
      <c r="M5" s="103" t="s">
        <v>845</v>
      </c>
    </row>
    <row r="6" spans="1:14" ht="36" customHeight="1" thickBot="1" x14ac:dyDescent="0.25">
      <c r="A6" s="104">
        <v>1</v>
      </c>
      <c r="B6" s="244">
        <v>16181778.32</v>
      </c>
      <c r="C6" s="244">
        <v>28426165.989999998</v>
      </c>
      <c r="D6" s="244">
        <v>1921124.99</v>
      </c>
      <c r="E6" s="244">
        <v>1239865.57</v>
      </c>
      <c r="F6" s="244">
        <v>2758319.38</v>
      </c>
      <c r="G6" s="245">
        <f>SUM(B6:F6)</f>
        <v>50527254.250000007</v>
      </c>
      <c r="H6" s="244">
        <f>B6+'T11-Zdroje KV'!D15-'T5 - Analýza nákladov'!E92-'T5 - Analýza nákladov'!E95</f>
        <v>16930797.84</v>
      </c>
      <c r="I6" s="244">
        <f>C6+'T11-Zdroje KV'!D16-'T5 - Analýza nákladov'!E94</f>
        <v>24587361.439999998</v>
      </c>
      <c r="J6" s="244">
        <v>1666585.05</v>
      </c>
      <c r="K6" s="244">
        <v>1143503.8500000001</v>
      </c>
      <c r="L6" s="244">
        <f>44174.49+2590402.24+170079.92+7579.72+5132.95</f>
        <v>2817369.3200000008</v>
      </c>
      <c r="M6" s="246">
        <f>SUM(H6:L6)</f>
        <v>47145617.5</v>
      </c>
      <c r="N6" s="695"/>
    </row>
    <row r="7" spans="1:14" x14ac:dyDescent="0.2">
      <c r="H7" s="561"/>
      <c r="I7" s="561"/>
    </row>
    <row r="9" spans="1:14" ht="15.75" customHeight="1" x14ac:dyDescent="0.2">
      <c r="B9" s="695"/>
      <c r="C9" s="444"/>
    </row>
    <row r="11" spans="1:14" x14ac:dyDescent="0.2">
      <c r="B11" s="444"/>
      <c r="C11" s="444"/>
    </row>
  </sheetData>
  <mergeCells count="5">
    <mergeCell ref="A3:A4"/>
    <mergeCell ref="B3:G3"/>
    <mergeCell ref="H3:M3"/>
    <mergeCell ref="A1:M1"/>
    <mergeCell ref="A2:M2"/>
  </mergeCells>
  <phoneticPr fontId="24" type="noConversion"/>
  <pageMargins left="0.4" right="0.27" top="0.98425196850393704" bottom="0.98425196850393704" header="0.51181102362204722" footer="0.51181102362204722"/>
  <pageSetup paperSize="9" scale="6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4"/>
  <sheetViews>
    <sheetView zoomScale="90" zoomScaleNormal="90" workbookViewId="0">
      <pane xSplit="3" ySplit="3" topLeftCell="D4" activePane="bottomRight" state="frozen"/>
      <selection pane="topRight" activeCell="D1" sqref="D1"/>
      <selection pane="bottomLeft" activeCell="A4" sqref="A4"/>
      <selection pane="bottomRight" activeCell="O26" sqref="O26"/>
    </sheetView>
  </sheetViews>
  <sheetFormatPr defaultRowHeight="15.75" x14ac:dyDescent="0.2"/>
  <cols>
    <col min="1" max="1" width="7.28515625" style="186" customWidth="1"/>
    <col min="2" max="2" width="39.85546875" style="186" customWidth="1"/>
    <col min="3" max="3" width="9.42578125" style="186" customWidth="1"/>
    <col min="4" max="4" width="18.42578125" style="186" customWidth="1"/>
    <col min="5" max="5" width="16.7109375" style="186" customWidth="1"/>
    <col min="6" max="6" width="15.42578125" style="186" customWidth="1"/>
    <col min="7" max="7" width="12.140625" style="186" bestFit="1" customWidth="1"/>
    <col min="8" max="16384" width="9.140625" style="186"/>
  </cols>
  <sheetData>
    <row r="1" spans="1:7" ht="66.75" customHeight="1" thickBot="1" x14ac:dyDescent="0.25">
      <c r="A1" s="944" t="s">
        <v>1025</v>
      </c>
      <c r="B1" s="945"/>
      <c r="C1" s="945"/>
      <c r="D1" s="945"/>
      <c r="E1" s="945"/>
      <c r="F1" s="946"/>
    </row>
    <row r="2" spans="1:7" ht="36.75" customHeight="1" thickBot="1" x14ac:dyDescent="0.25">
      <c r="A2" s="947" t="s">
        <v>362</v>
      </c>
      <c r="B2" s="948"/>
      <c r="C2" s="948"/>
      <c r="D2" s="948"/>
      <c r="E2" s="948"/>
      <c r="F2" s="949"/>
    </row>
    <row r="3" spans="1:7" s="187" customFormat="1" ht="69" customHeight="1" thickBot="1" x14ac:dyDescent="0.25">
      <c r="A3" s="546" t="s">
        <v>509</v>
      </c>
      <c r="B3" s="546" t="s">
        <v>378</v>
      </c>
      <c r="C3" s="549" t="s">
        <v>180</v>
      </c>
      <c r="D3" s="549" t="s">
        <v>1030</v>
      </c>
      <c r="E3" s="550" t="s">
        <v>1031</v>
      </c>
      <c r="F3" s="551" t="s">
        <v>992</v>
      </c>
      <c r="G3" s="186"/>
    </row>
    <row r="4" spans="1:7" s="187" customFormat="1" x14ac:dyDescent="0.2">
      <c r="A4" s="542"/>
      <c r="B4" s="552"/>
      <c r="C4" s="544"/>
      <c r="D4" s="544" t="s">
        <v>257</v>
      </c>
      <c r="E4" s="544" t="s">
        <v>258</v>
      </c>
      <c r="F4" s="545" t="s">
        <v>259</v>
      </c>
      <c r="G4" s="186"/>
    </row>
    <row r="5" spans="1:7" customFormat="1" x14ac:dyDescent="0.25">
      <c r="A5" s="227">
        <v>601</v>
      </c>
      <c r="B5" s="220" t="s">
        <v>583</v>
      </c>
      <c r="C5" s="221" t="s">
        <v>584</v>
      </c>
      <c r="D5" s="215">
        <v>271546.06</v>
      </c>
      <c r="E5" s="215">
        <v>278375.14</v>
      </c>
      <c r="F5" s="219">
        <f>E5-D5</f>
        <v>6829.0800000000163</v>
      </c>
      <c r="G5" s="186"/>
    </row>
    <row r="6" spans="1:7" customFormat="1" x14ac:dyDescent="0.25">
      <c r="A6" s="228">
        <v>602</v>
      </c>
      <c r="B6" s="222" t="s">
        <v>585</v>
      </c>
      <c r="C6" s="223" t="s">
        <v>586</v>
      </c>
      <c r="D6" s="216">
        <v>800342.86</v>
      </c>
      <c r="E6" s="216">
        <v>1251930.02</v>
      </c>
      <c r="F6" s="219">
        <f t="shared" ref="F6:F39" si="0">E6-D6</f>
        <v>451587.16000000003</v>
      </c>
      <c r="G6" s="186"/>
    </row>
    <row r="7" spans="1:7" customFormat="1" x14ac:dyDescent="0.25">
      <c r="A7" s="228">
        <v>604</v>
      </c>
      <c r="B7" s="224" t="s">
        <v>587</v>
      </c>
      <c r="C7" s="223" t="s">
        <v>588</v>
      </c>
      <c r="D7" s="198"/>
      <c r="E7" s="216"/>
      <c r="F7" s="219">
        <f t="shared" si="0"/>
        <v>0</v>
      </c>
      <c r="G7" s="186"/>
    </row>
    <row r="8" spans="1:7" customFormat="1" x14ac:dyDescent="0.25">
      <c r="A8" s="228">
        <v>611</v>
      </c>
      <c r="B8" s="222" t="s">
        <v>589</v>
      </c>
      <c r="C8" s="223" t="s">
        <v>590</v>
      </c>
      <c r="D8" s="198"/>
      <c r="E8" s="216"/>
      <c r="F8" s="219">
        <f t="shared" si="0"/>
        <v>0</v>
      </c>
      <c r="G8" s="186"/>
    </row>
    <row r="9" spans="1:7" customFormat="1" x14ac:dyDescent="0.25">
      <c r="A9" s="228">
        <v>612</v>
      </c>
      <c r="B9" s="222" t="s">
        <v>591</v>
      </c>
      <c r="C9" s="223" t="s">
        <v>592</v>
      </c>
      <c r="D9" s="198"/>
      <c r="E9" s="216"/>
      <c r="F9" s="219">
        <f t="shared" si="0"/>
        <v>0</v>
      </c>
      <c r="G9" s="186"/>
    </row>
    <row r="10" spans="1:7" customFormat="1" x14ac:dyDescent="0.25">
      <c r="A10" s="228">
        <v>613</v>
      </c>
      <c r="B10" s="222" t="s">
        <v>593</v>
      </c>
      <c r="C10" s="223" t="s">
        <v>594</v>
      </c>
      <c r="D10" s="198"/>
      <c r="E10" s="216"/>
      <c r="F10" s="219">
        <f t="shared" si="0"/>
        <v>0</v>
      </c>
      <c r="G10" s="186"/>
    </row>
    <row r="11" spans="1:7" customFormat="1" x14ac:dyDescent="0.25">
      <c r="A11" s="228">
        <v>614</v>
      </c>
      <c r="B11" s="222" t="s">
        <v>595</v>
      </c>
      <c r="C11" s="223" t="s">
        <v>596</v>
      </c>
      <c r="D11" s="198"/>
      <c r="E11" s="216"/>
      <c r="F11" s="219">
        <f t="shared" si="0"/>
        <v>0</v>
      </c>
      <c r="G11" s="186"/>
    </row>
    <row r="12" spans="1:7" customFormat="1" x14ac:dyDescent="0.25">
      <c r="A12" s="228">
        <v>621</v>
      </c>
      <c r="B12" s="222" t="s">
        <v>597</v>
      </c>
      <c r="C12" s="223" t="s">
        <v>598</v>
      </c>
      <c r="D12" s="198"/>
      <c r="E12" s="216"/>
      <c r="F12" s="219">
        <f t="shared" si="0"/>
        <v>0</v>
      </c>
      <c r="G12" s="186"/>
    </row>
    <row r="13" spans="1:7" customFormat="1" x14ac:dyDescent="0.25">
      <c r="A13" s="228">
        <v>622</v>
      </c>
      <c r="B13" s="222" t="s">
        <v>599</v>
      </c>
      <c r="C13" s="223" t="s">
        <v>600</v>
      </c>
      <c r="D13" s="198"/>
      <c r="E13" s="216"/>
      <c r="F13" s="219">
        <f t="shared" si="0"/>
        <v>0</v>
      </c>
      <c r="G13" s="186"/>
    </row>
    <row r="14" spans="1:7" customFormat="1" x14ac:dyDescent="0.25">
      <c r="A14" s="228">
        <v>623</v>
      </c>
      <c r="B14" s="222" t="s">
        <v>601</v>
      </c>
      <c r="C14" s="223" t="s">
        <v>602</v>
      </c>
      <c r="D14" s="198"/>
      <c r="E14" s="216"/>
      <c r="F14" s="219">
        <f t="shared" si="0"/>
        <v>0</v>
      </c>
    </row>
    <row r="15" spans="1:7" customFormat="1" x14ac:dyDescent="0.25">
      <c r="A15" s="228">
        <v>624</v>
      </c>
      <c r="B15" s="222" t="s">
        <v>603</v>
      </c>
      <c r="C15" s="223" t="s">
        <v>604</v>
      </c>
      <c r="D15" s="198"/>
      <c r="E15" s="216"/>
      <c r="F15" s="219">
        <f t="shared" si="0"/>
        <v>0</v>
      </c>
    </row>
    <row r="16" spans="1:7" customFormat="1" x14ac:dyDescent="0.25">
      <c r="A16" s="228">
        <v>641</v>
      </c>
      <c r="B16" s="222" t="s">
        <v>540</v>
      </c>
      <c r="C16" s="223" t="s">
        <v>605</v>
      </c>
      <c r="D16" s="198"/>
      <c r="E16" s="216"/>
      <c r="F16" s="219">
        <f t="shared" si="0"/>
        <v>0</v>
      </c>
    </row>
    <row r="17" spans="1:7" customFormat="1" x14ac:dyDescent="0.25">
      <c r="A17" s="228">
        <v>642</v>
      </c>
      <c r="B17" s="222" t="s">
        <v>542</v>
      </c>
      <c r="C17" s="223" t="s">
        <v>606</v>
      </c>
      <c r="D17" s="198"/>
      <c r="E17" s="216"/>
      <c r="F17" s="219">
        <f t="shared" si="0"/>
        <v>0</v>
      </c>
    </row>
    <row r="18" spans="1:7" customFormat="1" x14ac:dyDescent="0.25">
      <c r="A18" s="228">
        <v>643</v>
      </c>
      <c r="B18" s="222" t="s">
        <v>607</v>
      </c>
      <c r="C18" s="223" t="s">
        <v>608</v>
      </c>
      <c r="D18" s="198"/>
      <c r="E18" s="216"/>
      <c r="F18" s="219">
        <f t="shared" si="0"/>
        <v>0</v>
      </c>
    </row>
    <row r="19" spans="1:7" customFormat="1" x14ac:dyDescent="0.25">
      <c r="A19" s="228">
        <v>644</v>
      </c>
      <c r="B19" s="222" t="s">
        <v>546</v>
      </c>
      <c r="C19" s="223" t="s">
        <v>609</v>
      </c>
      <c r="D19" s="198"/>
      <c r="E19" s="216"/>
      <c r="F19" s="219">
        <f t="shared" si="0"/>
        <v>0</v>
      </c>
    </row>
    <row r="20" spans="1:7" customFormat="1" x14ac:dyDescent="0.25">
      <c r="A20" s="228">
        <v>645</v>
      </c>
      <c r="B20" s="222" t="s">
        <v>610</v>
      </c>
      <c r="C20" s="223" t="s">
        <v>611</v>
      </c>
      <c r="D20" s="198"/>
      <c r="E20" s="216"/>
      <c r="F20" s="219">
        <f t="shared" si="0"/>
        <v>0</v>
      </c>
    </row>
    <row r="21" spans="1:7" customFormat="1" x14ac:dyDescent="0.25">
      <c r="A21" s="228">
        <v>646</v>
      </c>
      <c r="B21" s="222" t="s">
        <v>612</v>
      </c>
      <c r="C21" s="223" t="s">
        <v>613</v>
      </c>
      <c r="D21" s="198"/>
      <c r="E21" s="216"/>
      <c r="F21" s="219">
        <f t="shared" si="0"/>
        <v>0</v>
      </c>
    </row>
    <row r="22" spans="1:7" customFormat="1" x14ac:dyDescent="0.25">
      <c r="A22" s="228">
        <v>647</v>
      </c>
      <c r="B22" s="222" t="s">
        <v>614</v>
      </c>
      <c r="C22" s="223" t="s">
        <v>615</v>
      </c>
      <c r="D22" s="198"/>
      <c r="E22" s="216"/>
      <c r="F22" s="219">
        <f t="shared" si="0"/>
        <v>0</v>
      </c>
    </row>
    <row r="23" spans="1:7" customFormat="1" x14ac:dyDescent="0.25">
      <c r="A23" s="228">
        <v>648</v>
      </c>
      <c r="B23" s="587" t="s">
        <v>1026</v>
      </c>
      <c r="C23" s="223" t="s">
        <v>616</v>
      </c>
      <c r="D23" s="216">
        <f>'[2]T4-Výnosy zo školného'!C18</f>
        <v>48953.37</v>
      </c>
      <c r="E23" s="216">
        <f>'[2]T4-Výnosy zo školného'!D18</f>
        <v>43654</v>
      </c>
      <c r="F23" s="219">
        <f t="shared" si="0"/>
        <v>-5299.3700000000026</v>
      </c>
    </row>
    <row r="24" spans="1:7" customFormat="1" x14ac:dyDescent="0.25">
      <c r="A24" s="228">
        <v>649</v>
      </c>
      <c r="B24" s="222" t="s">
        <v>617</v>
      </c>
      <c r="C24" s="223" t="s">
        <v>618</v>
      </c>
      <c r="D24" s="216">
        <f>13119.4+4299.5</f>
        <v>17418.900000000001</v>
      </c>
      <c r="E24" s="216">
        <f>193.7+4509.78</f>
        <v>4703.4799999999996</v>
      </c>
      <c r="F24" s="219">
        <f t="shared" si="0"/>
        <v>-12715.420000000002</v>
      </c>
    </row>
    <row r="25" spans="1:7" customFormat="1" x14ac:dyDescent="0.25">
      <c r="A25" s="228">
        <v>651</v>
      </c>
      <c r="B25" s="222" t="s">
        <v>619</v>
      </c>
      <c r="C25" s="223" t="s">
        <v>620</v>
      </c>
      <c r="D25" s="198"/>
      <c r="E25" s="216"/>
      <c r="F25" s="219">
        <f t="shared" si="0"/>
        <v>0</v>
      </c>
    </row>
    <row r="26" spans="1:7" customFormat="1" x14ac:dyDescent="0.25">
      <c r="A26" s="228">
        <v>652</v>
      </c>
      <c r="B26" s="222" t="s">
        <v>621</v>
      </c>
      <c r="C26" s="223" t="s">
        <v>622</v>
      </c>
      <c r="D26" s="198"/>
      <c r="E26" s="216"/>
      <c r="F26" s="219">
        <f t="shared" si="0"/>
        <v>0</v>
      </c>
    </row>
    <row r="27" spans="1:7" customFormat="1" x14ac:dyDescent="0.25">
      <c r="A27" s="228">
        <v>653</v>
      </c>
      <c r="B27" s="222" t="s">
        <v>623</v>
      </c>
      <c r="C27" s="223" t="s">
        <v>624</v>
      </c>
      <c r="D27" s="198"/>
      <c r="E27" s="216"/>
      <c r="F27" s="219">
        <f t="shared" si="0"/>
        <v>0</v>
      </c>
    </row>
    <row r="28" spans="1:7" customFormat="1" x14ac:dyDescent="0.25">
      <c r="A28" s="228">
        <v>654</v>
      </c>
      <c r="B28" s="222" t="s">
        <v>625</v>
      </c>
      <c r="C28" s="223" t="s">
        <v>626</v>
      </c>
      <c r="D28" s="198"/>
      <c r="E28" s="216"/>
      <c r="F28" s="219">
        <f t="shared" si="0"/>
        <v>0</v>
      </c>
    </row>
    <row r="29" spans="1:7" customFormat="1" x14ac:dyDescent="0.25">
      <c r="A29" s="228">
        <v>655</v>
      </c>
      <c r="B29" s="222" t="s">
        <v>627</v>
      </c>
      <c r="C29" s="223" t="s">
        <v>628</v>
      </c>
      <c r="D29" s="198"/>
      <c r="E29" s="216"/>
      <c r="F29" s="219">
        <f t="shared" si="0"/>
        <v>0</v>
      </c>
    </row>
    <row r="30" spans="1:7" customFormat="1" x14ac:dyDescent="0.25">
      <c r="A30" s="229">
        <v>656</v>
      </c>
      <c r="B30" s="222" t="s">
        <v>629</v>
      </c>
      <c r="C30" s="223" t="s">
        <v>630</v>
      </c>
      <c r="D30" s="697">
        <f>42457.84-500</f>
        <v>41957.84</v>
      </c>
      <c r="E30" s="216">
        <v>51046.97</v>
      </c>
      <c r="F30" s="219">
        <f t="shared" si="0"/>
        <v>9089.1300000000047</v>
      </c>
      <c r="G30" s="264"/>
    </row>
    <row r="31" spans="1:7" customFormat="1" x14ac:dyDescent="0.25">
      <c r="A31" s="229">
        <v>657</v>
      </c>
      <c r="B31" s="222" t="s">
        <v>631</v>
      </c>
      <c r="C31" s="223" t="s">
        <v>632</v>
      </c>
      <c r="D31" s="216"/>
      <c r="E31" s="216"/>
      <c r="F31" s="219">
        <f t="shared" si="0"/>
        <v>0</v>
      </c>
    </row>
    <row r="32" spans="1:7" customFormat="1" x14ac:dyDescent="0.25">
      <c r="A32" s="229">
        <v>658</v>
      </c>
      <c r="B32" s="222" t="s">
        <v>633</v>
      </c>
      <c r="C32" s="223" t="s">
        <v>634</v>
      </c>
      <c r="D32" s="216"/>
      <c r="E32" s="216"/>
      <c r="F32" s="219">
        <f t="shared" si="0"/>
        <v>0</v>
      </c>
    </row>
    <row r="33" spans="1:7" customFormat="1" x14ac:dyDescent="0.25">
      <c r="A33" s="229">
        <v>661</v>
      </c>
      <c r="B33" s="222" t="s">
        <v>635</v>
      </c>
      <c r="C33" s="223" t="s">
        <v>636</v>
      </c>
      <c r="D33" s="216"/>
      <c r="E33" s="216"/>
      <c r="F33" s="219">
        <f t="shared" si="0"/>
        <v>0</v>
      </c>
    </row>
    <row r="34" spans="1:7" customFormat="1" x14ac:dyDescent="0.25">
      <c r="A34" s="229">
        <v>662</v>
      </c>
      <c r="B34" s="222" t="s">
        <v>637</v>
      </c>
      <c r="C34" s="223" t="s">
        <v>638</v>
      </c>
      <c r="D34" s="216"/>
      <c r="E34" s="216"/>
      <c r="F34" s="219">
        <f t="shared" si="0"/>
        <v>0</v>
      </c>
    </row>
    <row r="35" spans="1:7" customFormat="1" x14ac:dyDescent="0.25">
      <c r="A35" s="229">
        <v>663</v>
      </c>
      <c r="B35" s="222" t="s">
        <v>639</v>
      </c>
      <c r="C35" s="223" t="s">
        <v>640</v>
      </c>
      <c r="D35" s="216"/>
      <c r="E35" s="216"/>
      <c r="F35" s="219">
        <f t="shared" si="0"/>
        <v>0</v>
      </c>
    </row>
    <row r="36" spans="1:7" customFormat="1" x14ac:dyDescent="0.25">
      <c r="A36" s="229">
        <v>664</v>
      </c>
      <c r="B36" s="222" t="s">
        <v>641</v>
      </c>
      <c r="C36" s="223" t="s">
        <v>642</v>
      </c>
      <c r="D36" s="217"/>
      <c r="E36" s="217"/>
      <c r="F36" s="219">
        <f t="shared" si="0"/>
        <v>0</v>
      </c>
      <c r="G36" s="186"/>
    </row>
    <row r="37" spans="1:7" customFormat="1" x14ac:dyDescent="0.25">
      <c r="A37" s="229">
        <v>665</v>
      </c>
      <c r="B37" s="222" t="s">
        <v>643</v>
      </c>
      <c r="C37" s="223" t="s">
        <v>644</v>
      </c>
      <c r="D37" s="217"/>
      <c r="E37" s="217"/>
      <c r="F37" s="219">
        <f t="shared" si="0"/>
        <v>0</v>
      </c>
      <c r="G37" s="186"/>
    </row>
    <row r="38" spans="1:7" x14ac:dyDescent="0.25">
      <c r="A38" s="229">
        <v>667</v>
      </c>
      <c r="B38" s="222" t="s">
        <v>645</v>
      </c>
      <c r="C38" s="223" t="s">
        <v>646</v>
      </c>
      <c r="D38" s="217"/>
      <c r="E38" s="217"/>
      <c r="F38" s="219">
        <f t="shared" si="0"/>
        <v>0</v>
      </c>
    </row>
    <row r="39" spans="1:7" x14ac:dyDescent="0.25">
      <c r="A39" s="229">
        <v>691</v>
      </c>
      <c r="B39" s="222" t="s">
        <v>647</v>
      </c>
      <c r="C39" s="223" t="s">
        <v>648</v>
      </c>
      <c r="D39" s="217">
        <v>1016075.7</v>
      </c>
      <c r="E39" s="217">
        <v>1413194.03</v>
      </c>
      <c r="F39" s="219">
        <f t="shared" si="0"/>
        <v>397118.33000000007</v>
      </c>
    </row>
    <row r="40" spans="1:7" x14ac:dyDescent="0.2">
      <c r="A40" s="938" t="s">
        <v>649</v>
      </c>
      <c r="B40" s="939"/>
      <c r="C40" s="225" t="s">
        <v>650</v>
      </c>
      <c r="D40" s="214">
        <f>SUM(D5:D39)</f>
        <v>2196294.73</v>
      </c>
      <c r="E40" s="218">
        <f>SUM(E5:E39)</f>
        <v>3042903.64</v>
      </c>
      <c r="F40" s="219">
        <f>SUM(F5:F39)</f>
        <v>846608.91000000015</v>
      </c>
    </row>
    <row r="41" spans="1:7" x14ac:dyDescent="0.2">
      <c r="A41" s="940" t="s">
        <v>651</v>
      </c>
      <c r="B41" s="941"/>
      <c r="C41" s="226" t="s">
        <v>652</v>
      </c>
      <c r="D41" s="49">
        <f>D40-T23_Náklady_soc_oblasť!D42</f>
        <v>289213.59999999986</v>
      </c>
      <c r="E41" s="261">
        <f>E40-T23_Náklady_soc_oblasť!E42</f>
        <v>701738.69</v>
      </c>
      <c r="F41" s="219">
        <f>F40-T23_Náklady_soc_oblasť!F42</f>
        <v>412525.09000000008</v>
      </c>
    </row>
    <row r="42" spans="1:7" x14ac:dyDescent="0.25">
      <c r="A42" s="229">
        <v>591</v>
      </c>
      <c r="B42" s="222" t="s">
        <v>653</v>
      </c>
      <c r="C42" s="223" t="s">
        <v>654</v>
      </c>
      <c r="D42" s="198"/>
      <c r="E42" s="216"/>
      <c r="F42" s="219">
        <f>E42-D42</f>
        <v>0</v>
      </c>
    </row>
    <row r="43" spans="1:7" x14ac:dyDescent="0.25">
      <c r="A43" s="229">
        <v>595</v>
      </c>
      <c r="B43" s="222" t="s">
        <v>655</v>
      </c>
      <c r="C43" s="223" t="s">
        <v>656</v>
      </c>
      <c r="D43" s="198"/>
      <c r="E43" s="216"/>
      <c r="F43" s="219">
        <f>E43-D43</f>
        <v>0</v>
      </c>
    </row>
    <row r="44" spans="1:7" ht="16.5" thickBot="1" x14ac:dyDescent="0.25">
      <c r="A44" s="942" t="s">
        <v>657</v>
      </c>
      <c r="B44" s="943"/>
      <c r="C44" s="389" t="s">
        <v>658</v>
      </c>
      <c r="D44" s="390">
        <f>D41-D42-D43</f>
        <v>289213.59999999986</v>
      </c>
      <c r="E44" s="390">
        <f>E41-E42-E43</f>
        <v>701738.69</v>
      </c>
      <c r="F44" s="388">
        <f>E44-D44</f>
        <v>412525.09000000008</v>
      </c>
    </row>
  </sheetData>
  <mergeCells count="5">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88" orientation="portrait"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43"/>
  <sheetViews>
    <sheetView tabSelected="1" zoomScale="90" zoomScaleNormal="90" workbookViewId="0">
      <pane xSplit="3" ySplit="3" topLeftCell="D4" activePane="bottomRight" state="frozen"/>
      <selection pane="topRight" activeCell="D1" sqref="D1"/>
      <selection pane="bottomLeft" activeCell="A4" sqref="A4"/>
      <selection pane="bottomRight" activeCell="N41" sqref="N41"/>
    </sheetView>
  </sheetViews>
  <sheetFormatPr defaultRowHeight="12.75" x14ac:dyDescent="0.2"/>
  <cols>
    <col min="1" max="1" width="8.28515625" customWidth="1"/>
    <col min="2" max="2" width="42.140625" customWidth="1"/>
    <col min="3" max="3" width="10.140625" customWidth="1"/>
    <col min="4" max="4" width="17.42578125" customWidth="1"/>
    <col min="5" max="5" width="17.140625" customWidth="1"/>
    <col min="6" max="6" width="16.5703125" customWidth="1"/>
  </cols>
  <sheetData>
    <row r="1" spans="1:6" ht="61.5" customHeight="1" thickBot="1" x14ac:dyDescent="0.25">
      <c r="A1" s="953" t="s">
        <v>1027</v>
      </c>
      <c r="B1" s="954"/>
      <c r="C1" s="954"/>
      <c r="D1" s="954"/>
      <c r="E1" s="954"/>
      <c r="F1" s="955"/>
    </row>
    <row r="2" spans="1:6" ht="47.25" customHeight="1" thickBot="1" x14ac:dyDescent="0.25">
      <c r="A2" s="950" t="s">
        <v>362</v>
      </c>
      <c r="B2" s="951"/>
      <c r="C2" s="951"/>
      <c r="D2" s="951"/>
      <c r="E2" s="951"/>
      <c r="F2" s="952"/>
    </row>
    <row r="3" spans="1:6" ht="64.5" customHeight="1" thickBot="1" x14ac:dyDescent="0.25">
      <c r="A3" s="546" t="s">
        <v>509</v>
      </c>
      <c r="B3" s="547" t="s">
        <v>378</v>
      </c>
      <c r="C3" s="548" t="s">
        <v>180</v>
      </c>
      <c r="D3" s="549" t="s">
        <v>952</v>
      </c>
      <c r="E3" s="550" t="s">
        <v>1028</v>
      </c>
      <c r="F3" s="551" t="s">
        <v>1029</v>
      </c>
    </row>
    <row r="4" spans="1:6" ht="15.75" x14ac:dyDescent="0.2">
      <c r="A4" s="542"/>
      <c r="B4" s="543"/>
      <c r="C4" s="543"/>
      <c r="D4" s="544" t="s">
        <v>257</v>
      </c>
      <c r="E4" s="544" t="s">
        <v>258</v>
      </c>
      <c r="F4" s="545" t="s">
        <v>259</v>
      </c>
    </row>
    <row r="5" spans="1:6" ht="15.75" x14ac:dyDescent="0.25">
      <c r="A5" s="327">
        <v>501</v>
      </c>
      <c r="B5" s="203" t="s">
        <v>510</v>
      </c>
      <c r="C5" s="202" t="s">
        <v>511</v>
      </c>
      <c r="D5" s="215">
        <v>274958.53000000003</v>
      </c>
      <c r="E5" s="215">
        <v>345076.76</v>
      </c>
      <c r="F5" s="219">
        <f>E5-D5</f>
        <v>70118.229999999981</v>
      </c>
    </row>
    <row r="6" spans="1:6" ht="15.75" x14ac:dyDescent="0.25">
      <c r="A6" s="326">
        <v>502</v>
      </c>
      <c r="B6" s="204" t="s">
        <v>512</v>
      </c>
      <c r="C6" s="199" t="s">
        <v>513</v>
      </c>
      <c r="D6" s="216">
        <v>365097.86</v>
      </c>
      <c r="E6" s="216">
        <v>382457.02</v>
      </c>
      <c r="F6" s="391">
        <f t="shared" ref="F6:F41" si="0">E6-D6</f>
        <v>17359.160000000033</v>
      </c>
    </row>
    <row r="7" spans="1:6" ht="15.75" x14ac:dyDescent="0.25">
      <c r="A7" s="326">
        <v>504</v>
      </c>
      <c r="B7" s="204" t="s">
        <v>514</v>
      </c>
      <c r="C7" s="199" t="s">
        <v>515</v>
      </c>
      <c r="D7" s="216"/>
      <c r="E7" s="216"/>
      <c r="F7" s="391">
        <f t="shared" si="0"/>
        <v>0</v>
      </c>
    </row>
    <row r="8" spans="1:6" ht="15.75" x14ac:dyDescent="0.25">
      <c r="A8" s="326">
        <v>511</v>
      </c>
      <c r="B8" s="204" t="s">
        <v>516</v>
      </c>
      <c r="C8" s="199" t="s">
        <v>517</v>
      </c>
      <c r="D8" s="216">
        <v>30533.52</v>
      </c>
      <c r="E8" s="216">
        <v>159789.16</v>
      </c>
      <c r="F8" s="391">
        <f t="shared" si="0"/>
        <v>129255.64</v>
      </c>
    </row>
    <row r="9" spans="1:6" ht="15.75" x14ac:dyDescent="0.25">
      <c r="A9" s="326">
        <v>512</v>
      </c>
      <c r="B9" s="204" t="s">
        <v>518</v>
      </c>
      <c r="C9" s="199" t="s">
        <v>519</v>
      </c>
      <c r="D9" s="216">
        <v>756.39</v>
      </c>
      <c r="E9" s="216">
        <v>58.24</v>
      </c>
      <c r="F9" s="391">
        <f t="shared" si="0"/>
        <v>-698.15</v>
      </c>
    </row>
    <row r="10" spans="1:6" ht="15.75" x14ac:dyDescent="0.25">
      <c r="A10" s="326">
        <v>513</v>
      </c>
      <c r="B10" s="204" t="s">
        <v>520</v>
      </c>
      <c r="C10" s="199" t="s">
        <v>521</v>
      </c>
      <c r="D10" s="216">
        <v>106.98</v>
      </c>
      <c r="E10" s="216">
        <v>94.59</v>
      </c>
      <c r="F10" s="391">
        <f t="shared" si="0"/>
        <v>-12.39</v>
      </c>
    </row>
    <row r="11" spans="1:6" ht="15.75" x14ac:dyDescent="0.25">
      <c r="A11" s="326">
        <v>518</v>
      </c>
      <c r="B11" s="204" t="s">
        <v>522</v>
      </c>
      <c r="C11" s="199" t="s">
        <v>523</v>
      </c>
      <c r="D11" s="216">
        <f>61920.57+88481.57</f>
        <v>150402.14000000001</v>
      </c>
      <c r="E11" s="216">
        <f>71370.96+71384.74</f>
        <v>142755.70000000001</v>
      </c>
      <c r="F11" s="391">
        <f t="shared" si="0"/>
        <v>-7646.4400000000023</v>
      </c>
    </row>
    <row r="12" spans="1:6" ht="15.75" x14ac:dyDescent="0.25">
      <c r="A12" s="326">
        <v>521</v>
      </c>
      <c r="B12" s="204" t="s">
        <v>524</v>
      </c>
      <c r="C12" s="199" t="s">
        <v>525</v>
      </c>
      <c r="D12" s="216">
        <v>636949.62</v>
      </c>
      <c r="E12" s="216">
        <v>830031.49</v>
      </c>
      <c r="F12" s="391">
        <f t="shared" si="0"/>
        <v>193081.87</v>
      </c>
    </row>
    <row r="13" spans="1:6" ht="15.75" x14ac:dyDescent="0.25">
      <c r="A13" s="326">
        <v>524</v>
      </c>
      <c r="B13" s="204" t="s">
        <v>526</v>
      </c>
      <c r="C13" s="199" t="s">
        <v>527</v>
      </c>
      <c r="D13" s="216">
        <v>223692.79</v>
      </c>
      <c r="E13" s="216">
        <v>289620.96000000002</v>
      </c>
      <c r="F13" s="391">
        <f t="shared" si="0"/>
        <v>65928.170000000013</v>
      </c>
    </row>
    <row r="14" spans="1:6" ht="15.75" x14ac:dyDescent="0.25">
      <c r="A14" s="326">
        <v>525</v>
      </c>
      <c r="B14" s="204" t="s">
        <v>528</v>
      </c>
      <c r="C14" s="199" t="s">
        <v>529</v>
      </c>
      <c r="D14" s="216">
        <v>15302.91</v>
      </c>
      <c r="E14" s="216">
        <v>14635.82</v>
      </c>
      <c r="F14" s="391">
        <f t="shared" si="0"/>
        <v>-667.09000000000015</v>
      </c>
    </row>
    <row r="15" spans="1:6" ht="15.75" x14ac:dyDescent="0.25">
      <c r="A15" s="326">
        <v>527</v>
      </c>
      <c r="B15" s="204" t="s">
        <v>530</v>
      </c>
      <c r="C15" s="199" t="s">
        <v>531</v>
      </c>
      <c r="D15" s="216">
        <v>43548.45</v>
      </c>
      <c r="E15" s="216">
        <v>47448.56</v>
      </c>
      <c r="F15" s="391">
        <f t="shared" si="0"/>
        <v>3900.1100000000006</v>
      </c>
    </row>
    <row r="16" spans="1:6" ht="15.75" x14ac:dyDescent="0.25">
      <c r="A16" s="326">
        <v>528</v>
      </c>
      <c r="B16" s="204" t="s">
        <v>532</v>
      </c>
      <c r="C16" s="199" t="s">
        <v>533</v>
      </c>
      <c r="D16" s="216">
        <v>0</v>
      </c>
      <c r="E16" s="216">
        <v>0</v>
      </c>
      <c r="F16" s="391">
        <f t="shared" si="0"/>
        <v>0</v>
      </c>
    </row>
    <row r="17" spans="1:6" ht="15.75" x14ac:dyDescent="0.25">
      <c r="A17" s="326">
        <v>531</v>
      </c>
      <c r="B17" s="204" t="s">
        <v>534</v>
      </c>
      <c r="C17" s="199" t="s">
        <v>535</v>
      </c>
      <c r="D17" s="216">
        <v>0</v>
      </c>
      <c r="E17" s="216">
        <v>0</v>
      </c>
      <c r="F17" s="391">
        <f t="shared" si="0"/>
        <v>0</v>
      </c>
    </row>
    <row r="18" spans="1:6" ht="15.75" x14ac:dyDescent="0.25">
      <c r="A18" s="326">
        <v>532</v>
      </c>
      <c r="B18" s="204" t="s">
        <v>536</v>
      </c>
      <c r="C18" s="199" t="s">
        <v>537</v>
      </c>
      <c r="D18" s="216">
        <v>20269.099999999999</v>
      </c>
      <c r="E18" s="216">
        <v>20269.099999999999</v>
      </c>
      <c r="F18" s="391">
        <f t="shared" si="0"/>
        <v>0</v>
      </c>
    </row>
    <row r="19" spans="1:6" ht="15.75" x14ac:dyDescent="0.25">
      <c r="A19" s="326">
        <v>538</v>
      </c>
      <c r="B19" s="204" t="s">
        <v>538</v>
      </c>
      <c r="C19" s="199" t="s">
        <v>539</v>
      </c>
      <c r="D19" s="216">
        <v>158</v>
      </c>
      <c r="E19" s="216">
        <v>80</v>
      </c>
      <c r="F19" s="391">
        <f t="shared" si="0"/>
        <v>-78</v>
      </c>
    </row>
    <row r="20" spans="1:6" ht="15.75" x14ac:dyDescent="0.25">
      <c r="A20" s="326">
        <v>541</v>
      </c>
      <c r="B20" s="204" t="s">
        <v>540</v>
      </c>
      <c r="C20" s="199" t="s">
        <v>541</v>
      </c>
      <c r="D20" s="216"/>
      <c r="E20" s="216"/>
      <c r="F20" s="391">
        <f t="shared" si="0"/>
        <v>0</v>
      </c>
    </row>
    <row r="21" spans="1:6" ht="15.75" x14ac:dyDescent="0.25">
      <c r="A21" s="326">
        <v>542</v>
      </c>
      <c r="B21" s="204" t="s">
        <v>542</v>
      </c>
      <c r="C21" s="199" t="s">
        <v>543</v>
      </c>
      <c r="D21" s="216"/>
      <c r="E21" s="216"/>
      <c r="F21" s="391">
        <f t="shared" si="0"/>
        <v>0</v>
      </c>
    </row>
    <row r="22" spans="1:6" ht="15.75" x14ac:dyDescent="0.25">
      <c r="A22" s="326">
        <v>543</v>
      </c>
      <c r="B22" s="204" t="s">
        <v>544</v>
      </c>
      <c r="C22" s="199" t="s">
        <v>545</v>
      </c>
      <c r="D22" s="216"/>
      <c r="E22" s="216"/>
      <c r="F22" s="391">
        <f t="shared" si="0"/>
        <v>0</v>
      </c>
    </row>
    <row r="23" spans="1:6" ht="15.75" x14ac:dyDescent="0.25">
      <c r="A23" s="326">
        <v>544</v>
      </c>
      <c r="B23" s="204" t="s">
        <v>546</v>
      </c>
      <c r="C23" s="199" t="s">
        <v>547</v>
      </c>
      <c r="D23" s="216"/>
      <c r="E23" s="216"/>
      <c r="F23" s="391">
        <f t="shared" si="0"/>
        <v>0</v>
      </c>
    </row>
    <row r="24" spans="1:6" ht="15.75" x14ac:dyDescent="0.25">
      <c r="A24" s="326">
        <v>545</v>
      </c>
      <c r="B24" s="204" t="s">
        <v>548</v>
      </c>
      <c r="C24" s="199" t="s">
        <v>549</v>
      </c>
      <c r="D24" s="216"/>
      <c r="E24" s="216"/>
      <c r="F24" s="391">
        <f t="shared" si="0"/>
        <v>0</v>
      </c>
    </row>
    <row r="25" spans="1:6" ht="15.75" x14ac:dyDescent="0.25">
      <c r="A25" s="326">
        <v>546</v>
      </c>
      <c r="B25" s="204" t="s">
        <v>550</v>
      </c>
      <c r="C25" s="199" t="s">
        <v>551</v>
      </c>
      <c r="D25" s="216"/>
      <c r="E25" s="216"/>
      <c r="F25" s="391">
        <f t="shared" si="0"/>
        <v>0</v>
      </c>
    </row>
    <row r="26" spans="1:6" ht="15.75" x14ac:dyDescent="0.25">
      <c r="A26" s="326">
        <v>547</v>
      </c>
      <c r="B26" s="204" t="s">
        <v>552</v>
      </c>
      <c r="C26" s="199" t="s">
        <v>553</v>
      </c>
      <c r="D26" s="216"/>
      <c r="E26" s="216"/>
      <c r="F26" s="391">
        <f t="shared" si="0"/>
        <v>0</v>
      </c>
    </row>
    <row r="27" spans="1:6" ht="15.75" x14ac:dyDescent="0.25">
      <c r="A27" s="326">
        <v>548</v>
      </c>
      <c r="B27" s="204" t="s">
        <v>554</v>
      </c>
      <c r="C27" s="199" t="s">
        <v>555</v>
      </c>
      <c r="D27" s="216"/>
      <c r="E27" s="216"/>
      <c r="F27" s="391">
        <f t="shared" si="0"/>
        <v>0</v>
      </c>
    </row>
    <row r="28" spans="1:6" ht="15.75" x14ac:dyDescent="0.25">
      <c r="A28" s="326">
        <v>549</v>
      </c>
      <c r="B28" s="204" t="s">
        <v>556</v>
      </c>
      <c r="C28" s="199" t="s">
        <v>557</v>
      </c>
      <c r="D28" s="216">
        <f>'[2]T19-Štip_ z vlastných '!C6</f>
        <v>41957.840000000004</v>
      </c>
      <c r="E28" s="216">
        <f>'T19-Štip_ z vlastných '!E6</f>
        <v>50211.97</v>
      </c>
      <c r="F28" s="391">
        <f t="shared" si="0"/>
        <v>8254.1299999999974</v>
      </c>
    </row>
    <row r="29" spans="1:6" ht="15.75" x14ac:dyDescent="0.25">
      <c r="A29" s="326">
        <v>551</v>
      </c>
      <c r="B29" s="204" t="s">
        <v>558</v>
      </c>
      <c r="C29" s="199" t="s">
        <v>559</v>
      </c>
      <c r="D29" s="216">
        <v>35900.629999999997</v>
      </c>
      <c r="E29" s="216">
        <v>14981.58</v>
      </c>
      <c r="F29" s="391">
        <f t="shared" si="0"/>
        <v>-20919.049999999996</v>
      </c>
    </row>
    <row r="30" spans="1:6" ht="15.75" x14ac:dyDescent="0.25">
      <c r="A30" s="328">
        <v>552</v>
      </c>
      <c r="B30" s="204" t="s">
        <v>688</v>
      </c>
      <c r="C30" s="199" t="s">
        <v>560</v>
      </c>
      <c r="D30" s="198"/>
      <c r="E30" s="216"/>
      <c r="F30" s="391">
        <f t="shared" si="0"/>
        <v>0</v>
      </c>
    </row>
    <row r="31" spans="1:6" ht="15.75" x14ac:dyDescent="0.25">
      <c r="A31" s="328">
        <v>553</v>
      </c>
      <c r="B31" s="204" t="s">
        <v>561</v>
      </c>
      <c r="C31" s="199" t="s">
        <v>562</v>
      </c>
      <c r="D31" s="198"/>
      <c r="E31" s="216"/>
      <c r="F31" s="391">
        <f t="shared" si="0"/>
        <v>0</v>
      </c>
    </row>
    <row r="32" spans="1:6" ht="15.75" x14ac:dyDescent="0.25">
      <c r="A32" s="328">
        <v>554</v>
      </c>
      <c r="B32" s="204" t="s">
        <v>563</v>
      </c>
      <c r="C32" s="199" t="s">
        <v>564</v>
      </c>
      <c r="D32" s="198"/>
      <c r="E32" s="216"/>
      <c r="F32" s="391">
        <f t="shared" si="0"/>
        <v>0</v>
      </c>
    </row>
    <row r="33" spans="1:6" ht="15.75" x14ac:dyDescent="0.25">
      <c r="A33" s="328">
        <v>555</v>
      </c>
      <c r="B33" s="204" t="s">
        <v>565</v>
      </c>
      <c r="C33" s="199" t="s">
        <v>566</v>
      </c>
      <c r="D33" s="198"/>
      <c r="E33" s="216"/>
      <c r="F33" s="391">
        <f t="shared" si="0"/>
        <v>0</v>
      </c>
    </row>
    <row r="34" spans="1:6" ht="15.75" x14ac:dyDescent="0.25">
      <c r="A34" s="328">
        <v>556</v>
      </c>
      <c r="B34" s="204" t="s">
        <v>567</v>
      </c>
      <c r="C34" s="199" t="s">
        <v>568</v>
      </c>
      <c r="D34" s="198">
        <f>'[2]T5 - Analýza nákladov'!C97</f>
        <v>48953.37</v>
      </c>
      <c r="E34" s="216">
        <f>'[2]T5 - Analýza nákladov'!E97</f>
        <v>43654</v>
      </c>
      <c r="F34" s="391">
        <f t="shared" si="0"/>
        <v>-5299.3700000000026</v>
      </c>
    </row>
    <row r="35" spans="1:6" ht="15.75" x14ac:dyDescent="0.25">
      <c r="A35" s="328">
        <v>557</v>
      </c>
      <c r="B35" s="204" t="s">
        <v>569</v>
      </c>
      <c r="C35" s="199" t="s">
        <v>570</v>
      </c>
      <c r="D35" s="198"/>
      <c r="E35" s="216"/>
      <c r="F35" s="391">
        <f t="shared" si="0"/>
        <v>0</v>
      </c>
    </row>
    <row r="36" spans="1:6" ht="15.75" x14ac:dyDescent="0.25">
      <c r="A36" s="328">
        <v>558</v>
      </c>
      <c r="B36" s="204" t="s">
        <v>571</v>
      </c>
      <c r="C36" s="199" t="s">
        <v>572</v>
      </c>
      <c r="D36" s="198"/>
      <c r="E36" s="216"/>
      <c r="F36" s="391">
        <f t="shared" si="0"/>
        <v>0</v>
      </c>
    </row>
    <row r="37" spans="1:6" ht="20.25" customHeight="1" x14ac:dyDescent="0.25">
      <c r="A37" s="328">
        <v>561</v>
      </c>
      <c r="B37" s="204" t="s">
        <v>574</v>
      </c>
      <c r="C37" s="199" t="s">
        <v>573</v>
      </c>
      <c r="D37" s="198"/>
      <c r="E37" s="216"/>
      <c r="F37" s="391">
        <f t="shared" si="0"/>
        <v>0</v>
      </c>
    </row>
    <row r="38" spans="1:6" ht="15.75" x14ac:dyDescent="0.25">
      <c r="A38" s="328">
        <v>562</v>
      </c>
      <c r="B38" s="204" t="s">
        <v>576</v>
      </c>
      <c r="C38" s="199" t="s">
        <v>575</v>
      </c>
      <c r="D38" s="216">
        <v>18493</v>
      </c>
      <c r="E38" s="216"/>
      <c r="F38" s="391">
        <f t="shared" si="0"/>
        <v>-18493</v>
      </c>
    </row>
    <row r="39" spans="1:6" ht="15.75" x14ac:dyDescent="0.25">
      <c r="A39" s="328">
        <v>563</v>
      </c>
      <c r="B39" s="204" t="s">
        <v>578</v>
      </c>
      <c r="C39" s="199" t="s">
        <v>577</v>
      </c>
      <c r="D39" s="198"/>
      <c r="E39" s="216"/>
      <c r="F39" s="391">
        <f t="shared" si="0"/>
        <v>0</v>
      </c>
    </row>
    <row r="40" spans="1:6" ht="15.75" x14ac:dyDescent="0.25">
      <c r="A40" s="329">
        <v>565</v>
      </c>
      <c r="B40" s="333" t="s">
        <v>687</v>
      </c>
      <c r="C40" s="199" t="s">
        <v>579</v>
      </c>
      <c r="D40" s="213"/>
      <c r="E40" s="217"/>
      <c r="F40" s="391">
        <f t="shared" si="0"/>
        <v>0</v>
      </c>
    </row>
    <row r="41" spans="1:6" ht="16.5" thickBot="1" x14ac:dyDescent="0.3">
      <c r="A41" s="329">
        <v>567</v>
      </c>
      <c r="B41" s="205" t="s">
        <v>580</v>
      </c>
      <c r="C41" s="200" t="s">
        <v>581</v>
      </c>
      <c r="D41" s="213"/>
      <c r="E41" s="217"/>
      <c r="F41" s="392">
        <f t="shared" si="0"/>
        <v>0</v>
      </c>
    </row>
    <row r="42" spans="1:6" ht="24.75" customHeight="1" thickBot="1" x14ac:dyDescent="0.25">
      <c r="A42" s="956" t="s">
        <v>744</v>
      </c>
      <c r="B42" s="957"/>
      <c r="C42" s="325" t="s">
        <v>582</v>
      </c>
      <c r="D42" s="201">
        <f>SUM(D5:D41)</f>
        <v>1907081.1300000001</v>
      </c>
      <c r="E42" s="387">
        <f>SUM(E5:E41)</f>
        <v>2341164.9500000002</v>
      </c>
      <c r="F42" s="393">
        <f>SUM(F5:F41)</f>
        <v>434083.82000000007</v>
      </c>
    </row>
    <row r="43" spans="1:6" x14ac:dyDescent="0.2">
      <c r="B43" s="188"/>
      <c r="C43" s="188"/>
      <c r="D43" s="188"/>
      <c r="E43" s="188"/>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6"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959" t="s">
        <v>501</v>
      </c>
      <c r="B1" s="960"/>
      <c r="C1" s="960"/>
      <c r="D1" s="960"/>
      <c r="E1" s="960"/>
      <c r="F1" s="961"/>
    </row>
    <row r="2" spans="1:6" ht="19.5" customHeight="1" x14ac:dyDescent="0.25">
      <c r="A2" s="958" t="s">
        <v>367</v>
      </c>
      <c r="B2" s="958"/>
      <c r="C2" s="958"/>
      <c r="D2" s="958"/>
      <c r="E2" s="958"/>
      <c r="F2" s="958"/>
    </row>
    <row r="3" spans="1:6" ht="42" customHeight="1" x14ac:dyDescent="0.2">
      <c r="A3" s="189" t="s">
        <v>379</v>
      </c>
      <c r="B3" s="190" t="s">
        <v>380</v>
      </c>
      <c r="C3" s="197" t="s">
        <v>503</v>
      </c>
      <c r="D3" s="190" t="s">
        <v>498</v>
      </c>
      <c r="E3" s="190" t="s">
        <v>499</v>
      </c>
      <c r="F3" s="190" t="s">
        <v>500</v>
      </c>
    </row>
    <row r="4" spans="1:6" ht="15.75" x14ac:dyDescent="0.25">
      <c r="A4" s="191" t="s">
        <v>381</v>
      </c>
      <c r="B4" s="191" t="s">
        <v>382</v>
      </c>
      <c r="C4" s="192"/>
      <c r="D4" s="192"/>
      <c r="E4" s="192"/>
      <c r="F4" s="192"/>
    </row>
    <row r="5" spans="1:6" ht="15.75" x14ac:dyDescent="0.25">
      <c r="A5" s="196" t="s">
        <v>383</v>
      </c>
      <c r="B5" s="191" t="s">
        <v>384</v>
      </c>
      <c r="C5" s="192"/>
      <c r="D5" s="192"/>
      <c r="E5" s="192"/>
      <c r="F5" s="192"/>
    </row>
    <row r="6" spans="1:6" ht="15.75" x14ac:dyDescent="0.25">
      <c r="A6" s="191" t="s">
        <v>385</v>
      </c>
      <c r="B6" s="191" t="s">
        <v>386</v>
      </c>
      <c r="C6" s="192"/>
      <c r="D6" s="192"/>
      <c r="E6" s="192"/>
      <c r="F6" s="192"/>
    </row>
    <row r="7" spans="1:6" ht="15.75" x14ac:dyDescent="0.25">
      <c r="A7" s="191" t="s">
        <v>387</v>
      </c>
      <c r="B7" s="191" t="s">
        <v>388</v>
      </c>
      <c r="C7" s="192"/>
      <c r="D7" s="192"/>
      <c r="E7" s="192"/>
      <c r="F7" s="192"/>
    </row>
    <row r="8" spans="1:6" ht="15.75" x14ac:dyDescent="0.25">
      <c r="A8" s="195" t="s">
        <v>502</v>
      </c>
      <c r="B8" s="191" t="s">
        <v>389</v>
      </c>
      <c r="C8" s="192"/>
      <c r="D8" s="192"/>
      <c r="E8" s="192"/>
      <c r="F8" s="192"/>
    </row>
    <row r="9" spans="1:6" ht="15.75" x14ac:dyDescent="0.25">
      <c r="A9" s="191" t="s">
        <v>390</v>
      </c>
      <c r="B9" s="191" t="s">
        <v>391</v>
      </c>
      <c r="C9" s="192"/>
      <c r="D9" s="192"/>
      <c r="E9" s="192"/>
      <c r="F9" s="192"/>
    </row>
    <row r="10" spans="1:6" ht="15.75" x14ac:dyDescent="0.25">
      <c r="A10" s="191" t="s">
        <v>392</v>
      </c>
      <c r="B10" s="191" t="s">
        <v>393</v>
      </c>
      <c r="C10" s="192"/>
      <c r="D10" s="192"/>
      <c r="E10" s="192"/>
      <c r="F10" s="192"/>
    </row>
    <row r="11" spans="1:6" ht="15.75" x14ac:dyDescent="0.25">
      <c r="A11" s="191" t="s">
        <v>394</v>
      </c>
      <c r="B11" s="191" t="s">
        <v>395</v>
      </c>
      <c r="C11" s="192"/>
      <c r="D11" s="192"/>
      <c r="E11" s="192"/>
      <c r="F11" s="192"/>
    </row>
    <row r="12" spans="1:6" ht="15.75" x14ac:dyDescent="0.25">
      <c r="A12" s="196" t="s">
        <v>396</v>
      </c>
      <c r="B12" s="191" t="s">
        <v>397</v>
      </c>
      <c r="C12" s="192"/>
      <c r="D12" s="192"/>
      <c r="E12" s="192"/>
      <c r="F12" s="192"/>
    </row>
    <row r="13" spans="1:6" ht="15.75" x14ac:dyDescent="0.25">
      <c r="A13" s="191" t="s">
        <v>398</v>
      </c>
      <c r="B13" s="191" t="s">
        <v>399</v>
      </c>
      <c r="C13" s="192"/>
      <c r="D13" s="192"/>
      <c r="E13" s="192"/>
      <c r="F13" s="192"/>
    </row>
    <row r="14" spans="1:6" ht="15.75" x14ac:dyDescent="0.25">
      <c r="A14" s="191" t="s">
        <v>400</v>
      </c>
      <c r="B14" s="191" t="s">
        <v>401</v>
      </c>
      <c r="C14" s="192"/>
      <c r="D14" s="192"/>
      <c r="E14" s="192"/>
      <c r="F14" s="192"/>
    </row>
    <row r="15" spans="1:6" ht="15.75" x14ac:dyDescent="0.25">
      <c r="A15" s="191" t="s">
        <v>402</v>
      </c>
      <c r="B15" s="191" t="s">
        <v>403</v>
      </c>
      <c r="C15" s="192"/>
      <c r="D15" s="192"/>
      <c r="E15" s="192"/>
      <c r="F15" s="192"/>
    </row>
    <row r="16" spans="1:6" ht="15.75" x14ac:dyDescent="0.25">
      <c r="A16" s="191" t="s">
        <v>404</v>
      </c>
      <c r="B16" s="191" t="s">
        <v>405</v>
      </c>
      <c r="C16" s="192"/>
      <c r="D16" s="192"/>
      <c r="E16" s="192"/>
      <c r="F16" s="192"/>
    </row>
    <row r="17" spans="1:6" ht="15.75" x14ac:dyDescent="0.25">
      <c r="A17" s="191" t="s">
        <v>406</v>
      </c>
      <c r="B17" s="191" t="s">
        <v>407</v>
      </c>
      <c r="C17" s="192"/>
      <c r="D17" s="192"/>
      <c r="E17" s="192"/>
      <c r="F17" s="192"/>
    </row>
    <row r="18" spans="1:6" ht="15.75" x14ac:dyDescent="0.25">
      <c r="A18" s="191" t="s">
        <v>408</v>
      </c>
      <c r="B18" s="191" t="s">
        <v>409</v>
      </c>
      <c r="C18" s="192"/>
      <c r="D18" s="192"/>
      <c r="E18" s="192"/>
      <c r="F18" s="192"/>
    </row>
    <row r="19" spans="1:6" ht="15.75" x14ac:dyDescent="0.25">
      <c r="A19" s="191" t="s">
        <v>410</v>
      </c>
      <c r="B19" s="191" t="s">
        <v>411</v>
      </c>
      <c r="C19" s="192"/>
      <c r="D19" s="192"/>
      <c r="E19" s="192"/>
      <c r="F19" s="192"/>
    </row>
    <row r="20" spans="1:6" ht="15.75" x14ac:dyDescent="0.25">
      <c r="A20" s="191" t="s">
        <v>412</v>
      </c>
      <c r="B20" s="191" t="s">
        <v>413</v>
      </c>
      <c r="C20" s="192"/>
      <c r="D20" s="192"/>
      <c r="E20" s="192"/>
      <c r="F20" s="192"/>
    </row>
    <row r="21" spans="1:6" ht="15.75" x14ac:dyDescent="0.25">
      <c r="A21" s="191" t="s">
        <v>414</v>
      </c>
      <c r="B21" s="191" t="s">
        <v>415</v>
      </c>
      <c r="C21" s="192"/>
      <c r="D21" s="192"/>
      <c r="E21" s="192"/>
      <c r="F21" s="192"/>
    </row>
    <row r="22" spans="1:6" ht="15.75" x14ac:dyDescent="0.25">
      <c r="A22" s="191" t="s">
        <v>416</v>
      </c>
      <c r="B22" s="191" t="s">
        <v>417</v>
      </c>
      <c r="C22" s="192"/>
      <c r="D22" s="192"/>
      <c r="E22" s="192"/>
      <c r="F22" s="192"/>
    </row>
    <row r="23" spans="1:6" ht="15.75" x14ac:dyDescent="0.25">
      <c r="A23" s="191" t="s">
        <v>418</v>
      </c>
      <c r="B23" s="191" t="s">
        <v>419</v>
      </c>
      <c r="C23" s="192"/>
      <c r="D23" s="192"/>
      <c r="E23" s="192"/>
      <c r="F23" s="192"/>
    </row>
    <row r="24" spans="1:6" ht="15.75" x14ac:dyDescent="0.25">
      <c r="A24" s="196" t="s">
        <v>420</v>
      </c>
      <c r="B24" s="191" t="s">
        <v>421</v>
      </c>
      <c r="C24" s="192"/>
      <c r="D24" s="192"/>
      <c r="E24" s="192"/>
      <c r="F24" s="192"/>
    </row>
    <row r="25" spans="1:6" ht="15.75" x14ac:dyDescent="0.25">
      <c r="A25" s="191" t="s">
        <v>422</v>
      </c>
      <c r="B25" s="191" t="s">
        <v>423</v>
      </c>
      <c r="C25" s="192"/>
      <c r="D25" s="192"/>
      <c r="E25" s="192"/>
      <c r="F25" s="192"/>
    </row>
    <row r="26" spans="1:6" ht="15.75" x14ac:dyDescent="0.25">
      <c r="A26" s="191" t="s">
        <v>424</v>
      </c>
      <c r="B26" s="191" t="s">
        <v>425</v>
      </c>
      <c r="C26" s="192"/>
      <c r="D26" s="192"/>
      <c r="E26" s="192"/>
      <c r="F26" s="192"/>
    </row>
    <row r="27" spans="1:6" ht="15.75" x14ac:dyDescent="0.25">
      <c r="A27" s="191" t="s">
        <v>426</v>
      </c>
      <c r="B27" s="191" t="s">
        <v>427</v>
      </c>
      <c r="C27" s="192"/>
      <c r="D27" s="192"/>
      <c r="E27" s="192"/>
      <c r="F27" s="192"/>
    </row>
    <row r="28" spans="1:6" ht="15.75" x14ac:dyDescent="0.25">
      <c r="A28" s="191" t="s">
        <v>428</v>
      </c>
      <c r="B28" s="191" t="s">
        <v>429</v>
      </c>
      <c r="C28" s="192"/>
      <c r="D28" s="192"/>
      <c r="E28" s="192"/>
      <c r="F28" s="192"/>
    </row>
    <row r="29" spans="1:6" ht="15.75" x14ac:dyDescent="0.25">
      <c r="A29" s="191" t="s">
        <v>430</v>
      </c>
      <c r="B29" s="191" t="s">
        <v>431</v>
      </c>
      <c r="C29" s="192"/>
      <c r="D29" s="192"/>
      <c r="E29" s="192"/>
      <c r="F29" s="192"/>
    </row>
    <row r="30" spans="1:6" ht="15.75" x14ac:dyDescent="0.25">
      <c r="A30" s="191" t="s">
        <v>432</v>
      </c>
      <c r="B30" s="191" t="s">
        <v>433</v>
      </c>
      <c r="C30" s="192"/>
      <c r="D30" s="192"/>
      <c r="E30" s="192"/>
      <c r="F30" s="192"/>
    </row>
    <row r="31" spans="1:6" ht="15.75" x14ac:dyDescent="0.25">
      <c r="A31" s="191" t="s">
        <v>434</v>
      </c>
      <c r="B31" s="191" t="s">
        <v>435</v>
      </c>
      <c r="C31" s="192"/>
      <c r="D31" s="192"/>
      <c r="E31" s="192"/>
      <c r="F31" s="192"/>
    </row>
    <row r="32" spans="1:6" ht="15.75" x14ac:dyDescent="0.25">
      <c r="A32" s="191" t="s">
        <v>436</v>
      </c>
      <c r="B32" s="191" t="s">
        <v>437</v>
      </c>
      <c r="C32" s="192"/>
      <c r="D32" s="192"/>
      <c r="E32" s="192"/>
      <c r="F32" s="192"/>
    </row>
    <row r="33" spans="1:6" ht="15.75" x14ac:dyDescent="0.25">
      <c r="A33" s="196" t="s">
        <v>438</v>
      </c>
      <c r="B33" s="191" t="s">
        <v>439</v>
      </c>
      <c r="C33" s="192"/>
      <c r="D33" s="192"/>
      <c r="E33" s="192"/>
      <c r="F33" s="192"/>
    </row>
    <row r="34" spans="1:6" ht="15.75" x14ac:dyDescent="0.25">
      <c r="A34" s="191" t="s">
        <v>440</v>
      </c>
      <c r="B34" s="191" t="s">
        <v>441</v>
      </c>
      <c r="C34" s="192"/>
      <c r="D34" s="192"/>
      <c r="E34" s="192"/>
      <c r="F34" s="192"/>
    </row>
    <row r="35" spans="1:6" ht="15.75" x14ac:dyDescent="0.25">
      <c r="A35" s="191" t="s">
        <v>442</v>
      </c>
      <c r="B35" s="191" t="s">
        <v>443</v>
      </c>
      <c r="C35" s="192"/>
      <c r="D35" s="192"/>
      <c r="E35" s="192"/>
      <c r="F35" s="192"/>
    </row>
    <row r="36" spans="1:6" ht="15.75" x14ac:dyDescent="0.25">
      <c r="A36" s="191" t="s">
        <v>444</v>
      </c>
      <c r="B36" s="191" t="s">
        <v>445</v>
      </c>
      <c r="C36" s="192"/>
      <c r="D36" s="192"/>
      <c r="E36" s="192"/>
      <c r="F36" s="192"/>
    </row>
    <row r="37" spans="1:6" ht="15.75" x14ac:dyDescent="0.25">
      <c r="A37" s="191" t="s">
        <v>446</v>
      </c>
      <c r="B37" s="191" t="s">
        <v>447</v>
      </c>
      <c r="C37" s="192"/>
      <c r="D37" s="192"/>
      <c r="E37" s="192"/>
      <c r="F37" s="192"/>
    </row>
    <row r="38" spans="1:6" ht="15.75" x14ac:dyDescent="0.25">
      <c r="A38" s="191" t="s">
        <v>448</v>
      </c>
      <c r="B38" s="191" t="s">
        <v>449</v>
      </c>
      <c r="C38" s="192"/>
      <c r="D38" s="192"/>
      <c r="E38" s="192"/>
      <c r="F38" s="192"/>
    </row>
    <row r="39" spans="1:6" ht="15.75" x14ac:dyDescent="0.25">
      <c r="A39" s="191" t="s">
        <v>450</v>
      </c>
      <c r="B39" s="191" t="s">
        <v>451</v>
      </c>
      <c r="C39" s="192"/>
      <c r="D39" s="192"/>
      <c r="E39" s="192"/>
      <c r="F39" s="192"/>
    </row>
    <row r="40" spans="1:6" ht="15.75" x14ac:dyDescent="0.25">
      <c r="A40" s="196" t="s">
        <v>452</v>
      </c>
      <c r="B40" s="191" t="s">
        <v>453</v>
      </c>
      <c r="C40" s="192"/>
      <c r="D40" s="192"/>
      <c r="E40" s="192"/>
      <c r="F40" s="192"/>
    </row>
    <row r="41" spans="1:6" ht="15.75" x14ac:dyDescent="0.25">
      <c r="A41" s="191" t="s">
        <v>454</v>
      </c>
      <c r="B41" s="191" t="s">
        <v>455</v>
      </c>
      <c r="C41" s="192"/>
      <c r="D41" s="192"/>
      <c r="E41" s="192"/>
      <c r="F41" s="192"/>
    </row>
    <row r="42" spans="1:6" ht="15.75" x14ac:dyDescent="0.25">
      <c r="A42" s="191" t="s">
        <v>456</v>
      </c>
      <c r="B42" s="191" t="s">
        <v>457</v>
      </c>
      <c r="C42" s="192"/>
      <c r="D42" s="192"/>
      <c r="E42" s="192"/>
      <c r="F42" s="192"/>
    </row>
    <row r="43" spans="1:6" ht="15.75" x14ac:dyDescent="0.25">
      <c r="A43" s="191" t="s">
        <v>458</v>
      </c>
      <c r="B43" s="191" t="s">
        <v>459</v>
      </c>
      <c r="C43" s="192"/>
      <c r="D43" s="192"/>
      <c r="E43" s="192"/>
      <c r="F43" s="192"/>
    </row>
    <row r="44" spans="1:6" ht="15.75" x14ac:dyDescent="0.25">
      <c r="A44" s="191" t="s">
        <v>460</v>
      </c>
      <c r="B44" s="191" t="s">
        <v>461</v>
      </c>
      <c r="C44" s="192"/>
      <c r="D44" s="192"/>
      <c r="E44" s="192"/>
      <c r="F44" s="192"/>
    </row>
    <row r="45" spans="1:6" ht="15.75" x14ac:dyDescent="0.25">
      <c r="A45" s="196" t="s">
        <v>462</v>
      </c>
      <c r="B45" s="191" t="s">
        <v>463</v>
      </c>
      <c r="C45" s="192"/>
      <c r="D45" s="192"/>
      <c r="E45" s="192"/>
      <c r="F45" s="192"/>
    </row>
    <row r="46" spans="1:6" ht="15.75" x14ac:dyDescent="0.25">
      <c r="A46" s="191" t="s">
        <v>464</v>
      </c>
      <c r="B46" s="191" t="s">
        <v>465</v>
      </c>
      <c r="C46" s="192"/>
      <c r="D46" s="192"/>
      <c r="E46" s="192"/>
      <c r="F46" s="192"/>
    </row>
    <row r="47" spans="1:6" ht="15.75" x14ac:dyDescent="0.25">
      <c r="A47" s="191" t="s">
        <v>456</v>
      </c>
      <c r="B47" s="191" t="s">
        <v>466</v>
      </c>
      <c r="C47" s="192"/>
      <c r="D47" s="192"/>
      <c r="E47" s="192"/>
      <c r="F47" s="192"/>
    </row>
    <row r="48" spans="1:6" ht="15.75" x14ac:dyDescent="0.25">
      <c r="A48" s="191" t="s">
        <v>467</v>
      </c>
      <c r="B48" s="191" t="s">
        <v>468</v>
      </c>
      <c r="C48" s="192"/>
      <c r="D48" s="192"/>
      <c r="E48" s="192"/>
      <c r="F48" s="192"/>
    </row>
    <row r="49" spans="1:6" ht="15.75" x14ac:dyDescent="0.25">
      <c r="A49" s="191" t="s">
        <v>469</v>
      </c>
      <c r="B49" s="191" t="s">
        <v>470</v>
      </c>
      <c r="C49" s="192"/>
      <c r="D49" s="192"/>
      <c r="E49" s="192"/>
      <c r="F49" s="192"/>
    </row>
    <row r="50" spans="1:6" ht="15.75" x14ac:dyDescent="0.25">
      <c r="A50" s="191" t="s">
        <v>471</v>
      </c>
      <c r="B50" s="191" t="s">
        <v>472</v>
      </c>
      <c r="C50" s="192"/>
      <c r="D50" s="192"/>
      <c r="E50" s="192"/>
      <c r="F50" s="192"/>
    </row>
    <row r="51" spans="1:6" ht="15.75" x14ac:dyDescent="0.25">
      <c r="A51" s="191" t="s">
        <v>458</v>
      </c>
      <c r="B51" s="191" t="s">
        <v>473</v>
      </c>
      <c r="C51" s="192"/>
      <c r="D51" s="192"/>
      <c r="E51" s="192"/>
      <c r="F51" s="192"/>
    </row>
    <row r="52" spans="1:6" ht="15.75" x14ac:dyDescent="0.25">
      <c r="A52" s="191" t="s">
        <v>474</v>
      </c>
      <c r="B52" s="191" t="s">
        <v>475</v>
      </c>
      <c r="C52" s="192"/>
      <c r="D52" s="192"/>
      <c r="E52" s="192"/>
      <c r="F52" s="192"/>
    </row>
    <row r="53" spans="1:6" ht="15.75" x14ac:dyDescent="0.25">
      <c r="A53" s="191" t="s">
        <v>460</v>
      </c>
      <c r="B53" s="191" t="s">
        <v>476</v>
      </c>
      <c r="C53" s="192"/>
      <c r="D53" s="192"/>
      <c r="E53" s="192"/>
      <c r="F53" s="192"/>
    </row>
    <row r="54" spans="1:6" ht="15.75" x14ac:dyDescent="0.25">
      <c r="A54" s="196" t="s">
        <v>477</v>
      </c>
      <c r="B54" s="191" t="s">
        <v>478</v>
      </c>
      <c r="C54" s="192"/>
      <c r="D54" s="192"/>
      <c r="E54" s="192"/>
      <c r="F54" s="192"/>
    </row>
    <row r="55" spans="1:6" ht="15.75" x14ac:dyDescent="0.25">
      <c r="A55" s="191" t="s">
        <v>479</v>
      </c>
      <c r="B55" s="191" t="s">
        <v>480</v>
      </c>
      <c r="C55" s="192"/>
      <c r="D55" s="192"/>
      <c r="E55" s="192"/>
      <c r="F55" s="192"/>
    </row>
    <row r="56" spans="1:6" ht="15.75" x14ac:dyDescent="0.25">
      <c r="A56" s="191" t="s">
        <v>481</v>
      </c>
      <c r="B56" s="191" t="s">
        <v>482</v>
      </c>
      <c r="C56" s="192"/>
      <c r="D56" s="192"/>
      <c r="E56" s="192"/>
      <c r="F56" s="192"/>
    </row>
    <row r="57" spans="1:6" ht="15.75" x14ac:dyDescent="0.25">
      <c r="A57" s="191" t="s">
        <v>483</v>
      </c>
      <c r="B57" s="191" t="s">
        <v>484</v>
      </c>
      <c r="C57" s="192"/>
      <c r="D57" s="192"/>
      <c r="E57" s="192"/>
      <c r="F57" s="192"/>
    </row>
    <row r="58" spans="1:6" ht="15.75" x14ac:dyDescent="0.25">
      <c r="A58" s="191" t="s">
        <v>485</v>
      </c>
      <c r="B58" s="191" t="s">
        <v>486</v>
      </c>
      <c r="C58" s="192"/>
      <c r="D58" s="192"/>
      <c r="E58" s="192"/>
      <c r="F58" s="192"/>
    </row>
    <row r="59" spans="1:6" ht="15.75" x14ac:dyDescent="0.25">
      <c r="A59" s="191" t="s">
        <v>487</v>
      </c>
      <c r="B59" s="191" t="s">
        <v>488</v>
      </c>
      <c r="C59" s="192"/>
      <c r="D59" s="192"/>
      <c r="E59" s="192"/>
      <c r="F59" s="192"/>
    </row>
    <row r="60" spans="1:6" ht="15.75" x14ac:dyDescent="0.25">
      <c r="A60" s="191" t="s">
        <v>489</v>
      </c>
      <c r="B60" s="191" t="s">
        <v>490</v>
      </c>
      <c r="C60" s="192"/>
      <c r="D60" s="192"/>
      <c r="E60" s="192"/>
      <c r="F60" s="192"/>
    </row>
    <row r="61" spans="1:6" ht="15.75" x14ac:dyDescent="0.25">
      <c r="A61" s="196" t="s">
        <v>491</v>
      </c>
      <c r="B61" s="191" t="s">
        <v>492</v>
      </c>
      <c r="C61" s="192"/>
      <c r="D61" s="192"/>
      <c r="E61" s="192"/>
      <c r="F61" s="192"/>
    </row>
    <row r="62" spans="1:6" ht="15.75" x14ac:dyDescent="0.25">
      <c r="A62" s="191" t="s">
        <v>493</v>
      </c>
      <c r="B62" s="191" t="s">
        <v>494</v>
      </c>
      <c r="C62" s="192"/>
      <c r="D62" s="192"/>
      <c r="E62" s="192"/>
      <c r="F62" s="192"/>
    </row>
    <row r="63" spans="1:6" ht="15.75" x14ac:dyDescent="0.25">
      <c r="A63" s="191" t="s">
        <v>495</v>
      </c>
      <c r="B63" s="191" t="s">
        <v>496</v>
      </c>
      <c r="C63" s="192"/>
      <c r="D63" s="192"/>
      <c r="E63" s="192"/>
      <c r="F63" s="192"/>
    </row>
    <row r="64" spans="1:6" ht="15.75" x14ac:dyDescent="0.25">
      <c r="A64" s="193" t="s">
        <v>497</v>
      </c>
      <c r="B64" s="194"/>
      <c r="C64" s="192"/>
      <c r="D64" s="192"/>
      <c r="E64" s="192"/>
      <c r="F64" s="192"/>
    </row>
    <row r="65" spans="1:6" ht="15.75" x14ac:dyDescent="0.25">
      <c r="A65" s="93"/>
      <c r="B65" s="93"/>
      <c r="C65" s="93"/>
      <c r="D65" s="93"/>
      <c r="E65" s="93"/>
      <c r="F65" s="93"/>
    </row>
    <row r="66" spans="1:6" ht="15.75" x14ac:dyDescent="0.25">
      <c r="A66" s="93"/>
      <c r="B66" s="93"/>
      <c r="C66" s="93"/>
      <c r="D66" s="93"/>
      <c r="E66" s="93"/>
      <c r="F66" s="93"/>
    </row>
    <row r="67" spans="1:6" ht="15.75" x14ac:dyDescent="0.25">
      <c r="A67" s="93"/>
      <c r="B67" s="93"/>
      <c r="C67" s="93"/>
      <c r="D67" s="93"/>
      <c r="E67" s="93"/>
      <c r="F67" s="93"/>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tabColor indexed="60"/>
    <pageSetUpPr fitToPage="1"/>
  </sheetPr>
  <dimension ref="A1:K93"/>
  <sheetViews>
    <sheetView zoomScale="110" zoomScaleNormal="110" workbookViewId="0">
      <pane xSplit="1" ySplit="2" topLeftCell="B40" activePane="bottomRight" state="frozen"/>
      <selection pane="topRight" activeCell="B1" sqref="B1"/>
      <selection pane="bottomLeft" activeCell="A3" sqref="A3"/>
      <selection pane="bottomRight" activeCell="N1" sqref="N1:N1048576"/>
    </sheetView>
  </sheetViews>
  <sheetFormatPr defaultRowHeight="15.75" x14ac:dyDescent="0.2"/>
  <cols>
    <col min="1" max="1" width="19.5703125" style="34" customWidth="1"/>
    <col min="2" max="2" width="113" style="11" customWidth="1"/>
    <col min="3" max="3" width="13.85546875" style="466" customWidth="1"/>
  </cols>
  <sheetData>
    <row r="1" spans="1:3" ht="19.5" thickBot="1" x14ac:dyDescent="0.3">
      <c r="A1" s="737" t="s">
        <v>1032</v>
      </c>
      <c r="B1" s="738"/>
      <c r="C1" s="465"/>
    </row>
    <row r="2" spans="1:3" x14ac:dyDescent="0.2">
      <c r="A2" s="206" t="s">
        <v>199</v>
      </c>
      <c r="B2" s="206" t="s">
        <v>265</v>
      </c>
    </row>
    <row r="3" spans="1:3" ht="144.75" customHeight="1" x14ac:dyDescent="0.2">
      <c r="A3" s="383" t="s">
        <v>200</v>
      </c>
      <c r="B3" s="208" t="s">
        <v>284</v>
      </c>
    </row>
    <row r="4" spans="1:3" ht="56.25" customHeight="1" x14ac:dyDescent="0.2">
      <c r="A4" s="383" t="s">
        <v>201</v>
      </c>
      <c r="B4" s="383" t="s">
        <v>68</v>
      </c>
    </row>
    <row r="5" spans="1:3" ht="47.25" x14ac:dyDescent="0.2">
      <c r="A5" s="383" t="s">
        <v>38</v>
      </c>
      <c r="B5" s="208" t="s">
        <v>1033</v>
      </c>
    </row>
    <row r="6" spans="1:3" ht="302.25" customHeight="1" x14ac:dyDescent="0.2">
      <c r="A6" s="383" t="s">
        <v>39</v>
      </c>
      <c r="B6" s="383" t="s">
        <v>717</v>
      </c>
    </row>
    <row r="7" spans="1:3" ht="38.25" customHeight="1" x14ac:dyDescent="0.2">
      <c r="A7" s="383" t="s">
        <v>40</v>
      </c>
      <c r="B7" s="208" t="s">
        <v>832</v>
      </c>
    </row>
    <row r="8" spans="1:3" ht="63.75" customHeight="1" x14ac:dyDescent="0.2">
      <c r="A8" s="207" t="s">
        <v>198</v>
      </c>
      <c r="B8" s="303" t="s">
        <v>1209</v>
      </c>
      <c r="C8" s="630" t="s">
        <v>1126</v>
      </c>
    </row>
    <row r="9" spans="1:3" ht="21" customHeight="1" x14ac:dyDescent="0.2">
      <c r="A9" s="208" t="s">
        <v>673</v>
      </c>
      <c r="B9" s="208" t="s">
        <v>1047</v>
      </c>
    </row>
    <row r="10" spans="1:3" ht="31.5" x14ac:dyDescent="0.2">
      <c r="A10" s="212" t="s">
        <v>90</v>
      </c>
      <c r="B10" s="209" t="s">
        <v>674</v>
      </c>
    </row>
    <row r="11" spans="1:3" ht="66" customHeight="1" x14ac:dyDescent="0.2">
      <c r="A11" s="207" t="s">
        <v>192</v>
      </c>
      <c r="B11" s="207" t="s">
        <v>1132</v>
      </c>
      <c r="C11" s="467"/>
    </row>
    <row r="12" spans="1:3" ht="63" x14ac:dyDescent="0.2">
      <c r="A12" s="210" t="s">
        <v>193</v>
      </c>
      <c r="B12" s="210" t="s">
        <v>880</v>
      </c>
      <c r="C12" s="472"/>
    </row>
    <row r="13" spans="1:3" ht="36" customHeight="1" x14ac:dyDescent="0.2">
      <c r="A13" s="211" t="s">
        <v>194</v>
      </c>
      <c r="B13" s="211" t="s">
        <v>873</v>
      </c>
    </row>
    <row r="14" spans="1:3" ht="66.75" customHeight="1" x14ac:dyDescent="0.2">
      <c r="A14" s="208" t="s">
        <v>195</v>
      </c>
      <c r="B14" s="241" t="s">
        <v>729</v>
      </c>
      <c r="C14" s="630"/>
    </row>
    <row r="15" spans="1:3" ht="84" customHeight="1" x14ac:dyDescent="0.2">
      <c r="A15" s="208" t="s">
        <v>196</v>
      </c>
      <c r="B15" s="241" t="s">
        <v>823</v>
      </c>
    </row>
    <row r="16" spans="1:3" ht="21.75" customHeight="1" x14ac:dyDescent="0.2">
      <c r="A16" s="208" t="s">
        <v>34</v>
      </c>
      <c r="B16" s="208" t="s">
        <v>667</v>
      </c>
    </row>
    <row r="17" spans="1:3" ht="52.5" customHeight="1" x14ac:dyDescent="0.2">
      <c r="A17" s="207" t="s">
        <v>26</v>
      </c>
      <c r="B17" s="207" t="s">
        <v>1034</v>
      </c>
    </row>
    <row r="18" spans="1:3" ht="64.5" customHeight="1" x14ac:dyDescent="0.2">
      <c r="A18" s="383" t="s">
        <v>190</v>
      </c>
      <c r="B18" s="383" t="s">
        <v>1035</v>
      </c>
    </row>
    <row r="19" spans="1:3" ht="33" customHeight="1" x14ac:dyDescent="0.2">
      <c r="A19" s="303" t="s">
        <v>269</v>
      </c>
      <c r="B19" s="303" t="s">
        <v>225</v>
      </c>
    </row>
    <row r="20" spans="1:3" ht="17.25" customHeight="1" x14ac:dyDescent="0.2">
      <c r="A20" s="383" t="s">
        <v>813</v>
      </c>
      <c r="B20" s="383" t="s">
        <v>815</v>
      </c>
    </row>
    <row r="21" spans="1:3" ht="31.5" x14ac:dyDescent="0.2">
      <c r="A21" s="383" t="s">
        <v>801</v>
      </c>
      <c r="B21" s="383" t="s">
        <v>814</v>
      </c>
    </row>
    <row r="22" spans="1:3" ht="18" customHeight="1" x14ac:dyDescent="0.2">
      <c r="A22" s="383" t="s">
        <v>689</v>
      </c>
      <c r="B22" s="383" t="s">
        <v>816</v>
      </c>
    </row>
    <row r="23" spans="1:3" ht="20.25" customHeight="1" x14ac:dyDescent="0.2">
      <c r="A23" s="383" t="s">
        <v>802</v>
      </c>
      <c r="B23" s="383" t="s">
        <v>690</v>
      </c>
    </row>
    <row r="24" spans="1:3" ht="21" customHeight="1" x14ac:dyDescent="0.2">
      <c r="A24" s="383" t="s">
        <v>1196</v>
      </c>
      <c r="B24" s="383" t="s">
        <v>1036</v>
      </c>
    </row>
    <row r="25" spans="1:3" ht="36" customHeight="1" x14ac:dyDescent="0.2">
      <c r="A25" s="383" t="s">
        <v>1197</v>
      </c>
      <c r="B25" s="383" t="s">
        <v>1198</v>
      </c>
    </row>
    <row r="26" spans="1:3" ht="55.5" customHeight="1" x14ac:dyDescent="0.2">
      <c r="A26" s="207" t="s">
        <v>19</v>
      </c>
      <c r="B26" s="207" t="s">
        <v>1037</v>
      </c>
    </row>
    <row r="27" spans="1:3" ht="73.5" customHeight="1" x14ac:dyDescent="0.2">
      <c r="A27" s="383" t="s">
        <v>191</v>
      </c>
      <c r="B27" s="383" t="s">
        <v>1038</v>
      </c>
    </row>
    <row r="28" spans="1:3" ht="35.25" customHeight="1" x14ac:dyDescent="0.2">
      <c r="A28" s="207" t="s">
        <v>145</v>
      </c>
      <c r="B28" s="207" t="s">
        <v>508</v>
      </c>
    </row>
    <row r="29" spans="1:3" s="119" customFormat="1" ht="213.6" customHeight="1" x14ac:dyDescent="0.2">
      <c r="A29" s="383" t="s">
        <v>311</v>
      </c>
      <c r="B29" s="208" t="s">
        <v>1135</v>
      </c>
      <c r="C29" s="632"/>
    </row>
    <row r="30" spans="1:3" ht="31.5" x14ac:dyDescent="0.2">
      <c r="A30" s="211" t="s">
        <v>226</v>
      </c>
      <c r="B30" s="262" t="s">
        <v>824</v>
      </c>
    </row>
    <row r="31" spans="1:3" ht="78.75" x14ac:dyDescent="0.2">
      <c r="A31" s="208" t="s">
        <v>227</v>
      </c>
      <c r="B31" s="208" t="s">
        <v>175</v>
      </c>
      <c r="C31" s="467"/>
    </row>
    <row r="32" spans="1:3" ht="31.5" x14ac:dyDescent="0.2">
      <c r="A32" s="211" t="s">
        <v>228</v>
      </c>
      <c r="B32" s="211" t="s">
        <v>138</v>
      </c>
    </row>
    <row r="33" spans="1:3" ht="18" customHeight="1" x14ac:dyDescent="0.2">
      <c r="A33" s="211" t="s">
        <v>229</v>
      </c>
      <c r="B33" s="211" t="s">
        <v>139</v>
      </c>
    </row>
    <row r="34" spans="1:3" ht="18" customHeight="1" x14ac:dyDescent="0.2">
      <c r="A34" s="211" t="s">
        <v>230</v>
      </c>
      <c r="B34" s="211" t="s">
        <v>154</v>
      </c>
    </row>
    <row r="35" spans="1:3" ht="34.5" customHeight="1" x14ac:dyDescent="0.2">
      <c r="A35" s="211" t="s">
        <v>231</v>
      </c>
      <c r="B35" s="211" t="s">
        <v>874</v>
      </c>
    </row>
    <row r="36" spans="1:3" ht="78.75" x14ac:dyDescent="0.2">
      <c r="A36" s="211" t="s">
        <v>282</v>
      </c>
      <c r="B36" s="211" t="s">
        <v>1048</v>
      </c>
    </row>
    <row r="37" spans="1:3" ht="36.75" customHeight="1" x14ac:dyDescent="0.2">
      <c r="A37" s="211" t="s">
        <v>140</v>
      </c>
      <c r="B37" s="211" t="s">
        <v>1049</v>
      </c>
    </row>
    <row r="38" spans="1:3" ht="45" customHeight="1" x14ac:dyDescent="0.2">
      <c r="A38" s="211" t="s">
        <v>141</v>
      </c>
      <c r="B38" s="211" t="s">
        <v>1050</v>
      </c>
    </row>
    <row r="39" spans="1:3" ht="62.25" customHeight="1" x14ac:dyDescent="0.2">
      <c r="A39" s="211" t="s">
        <v>142</v>
      </c>
      <c r="B39" s="208" t="s">
        <v>848</v>
      </c>
      <c r="C39" s="467"/>
    </row>
    <row r="40" spans="1:3" ht="31.5" x14ac:dyDescent="0.2">
      <c r="A40" s="211" t="s">
        <v>143</v>
      </c>
      <c r="B40" s="211" t="s">
        <v>668</v>
      </c>
    </row>
    <row r="41" spans="1:3" ht="20.25" customHeight="1" x14ac:dyDescent="0.2">
      <c r="A41" s="208" t="s">
        <v>144</v>
      </c>
      <c r="B41" s="208" t="s">
        <v>64</v>
      </c>
    </row>
    <row r="42" spans="1:3" ht="30" customHeight="1" x14ac:dyDescent="0.2">
      <c r="A42" s="404" t="s">
        <v>821</v>
      </c>
      <c r="B42" s="404" t="s">
        <v>819</v>
      </c>
    </row>
    <row r="43" spans="1:3" ht="33.75" customHeight="1" x14ac:dyDescent="0.2">
      <c r="A43" s="207" t="s">
        <v>20</v>
      </c>
      <c r="B43" s="207" t="s">
        <v>1218</v>
      </c>
    </row>
    <row r="44" spans="1:3" ht="33.75" customHeight="1" x14ac:dyDescent="0.2">
      <c r="A44" s="207" t="s">
        <v>232</v>
      </c>
      <c r="B44" s="207" t="s">
        <v>239</v>
      </c>
    </row>
    <row r="45" spans="1:3" ht="31.5" x14ac:dyDescent="0.2">
      <c r="A45" s="241" t="s">
        <v>779</v>
      </c>
      <c r="B45" s="241" t="s">
        <v>833</v>
      </c>
    </row>
    <row r="46" spans="1:3" ht="33" customHeight="1" x14ac:dyDescent="0.2">
      <c r="A46" s="208" t="s">
        <v>155</v>
      </c>
      <c r="B46" s="208" t="s">
        <v>669</v>
      </c>
    </row>
    <row r="47" spans="1:3" ht="63" x14ac:dyDescent="0.2">
      <c r="A47" s="207" t="s">
        <v>21</v>
      </c>
      <c r="B47" s="207" t="s">
        <v>718</v>
      </c>
    </row>
    <row r="48" spans="1:3" x14ac:dyDescent="0.2">
      <c r="A48" s="211" t="s">
        <v>374</v>
      </c>
      <c r="B48" s="262" t="s">
        <v>728</v>
      </c>
    </row>
    <row r="49" spans="1:3" ht="31.5" x14ac:dyDescent="0.2">
      <c r="A49" s="208" t="s">
        <v>66</v>
      </c>
      <c r="B49" s="208" t="s">
        <v>1133</v>
      </c>
    </row>
    <row r="50" spans="1:3" ht="30" customHeight="1" x14ac:dyDescent="0.2">
      <c r="A50" s="211" t="s">
        <v>679</v>
      </c>
      <c r="B50" s="211" t="s">
        <v>1202</v>
      </c>
    </row>
    <row r="51" spans="1:3" ht="50.25" customHeight="1" x14ac:dyDescent="0.2">
      <c r="A51" s="207" t="s">
        <v>268</v>
      </c>
      <c r="B51" s="207" t="s">
        <v>719</v>
      </c>
    </row>
    <row r="52" spans="1:3" s="119" customFormat="1" ht="31.5" x14ac:dyDescent="0.2">
      <c r="A52" s="207" t="s">
        <v>173</v>
      </c>
      <c r="B52" s="207" t="s">
        <v>720</v>
      </c>
      <c r="C52" s="468"/>
    </row>
    <row r="53" spans="1:3" s="119" customFormat="1" x14ac:dyDescent="0.2">
      <c r="A53" s="303" t="s">
        <v>335</v>
      </c>
      <c r="B53" s="303" t="s">
        <v>1039</v>
      </c>
      <c r="C53" s="468"/>
    </row>
    <row r="54" spans="1:3" s="119" customFormat="1" ht="31.5" x14ac:dyDescent="0.2">
      <c r="A54" s="241" t="s">
        <v>240</v>
      </c>
      <c r="B54" s="241" t="s">
        <v>156</v>
      </c>
      <c r="C54" s="468"/>
    </row>
    <row r="55" spans="1:3" s="119" customFormat="1" ht="31.5" x14ac:dyDescent="0.2">
      <c r="A55" s="262" t="s">
        <v>370</v>
      </c>
      <c r="B55" s="262" t="s">
        <v>875</v>
      </c>
      <c r="C55" s="468"/>
    </row>
    <row r="56" spans="1:3" s="119" customFormat="1" ht="34.5" x14ac:dyDescent="0.2">
      <c r="A56" s="262" t="s">
        <v>727</v>
      </c>
      <c r="B56" s="263" t="s">
        <v>877</v>
      </c>
      <c r="C56" s="468"/>
    </row>
    <row r="57" spans="1:3" s="119" customFormat="1" ht="22.5" customHeight="1" x14ac:dyDescent="0.2">
      <c r="A57" s="262" t="s">
        <v>735</v>
      </c>
      <c r="B57" s="263" t="s">
        <v>876</v>
      </c>
      <c r="C57" s="468"/>
    </row>
    <row r="58" spans="1:3" ht="47.25" x14ac:dyDescent="0.2">
      <c r="A58" s="207" t="s">
        <v>22</v>
      </c>
      <c r="B58" s="207" t="s">
        <v>166</v>
      </c>
    </row>
    <row r="59" spans="1:3" ht="31.5" x14ac:dyDescent="0.2">
      <c r="A59" s="208" t="s">
        <v>973</v>
      </c>
      <c r="B59" s="208" t="s">
        <v>125</v>
      </c>
    </row>
    <row r="60" spans="1:3" ht="47.25" x14ac:dyDescent="0.2">
      <c r="A60" s="262" t="s">
        <v>699</v>
      </c>
      <c r="B60" s="262" t="s">
        <v>1125</v>
      </c>
      <c r="C60" s="630" t="s">
        <v>1126</v>
      </c>
    </row>
    <row r="61" spans="1:3" ht="47.25" x14ac:dyDescent="0.2">
      <c r="A61" s="262" t="s">
        <v>700</v>
      </c>
      <c r="B61" s="262" t="s">
        <v>1040</v>
      </c>
      <c r="C61" s="631"/>
    </row>
    <row r="62" spans="1:3" ht="47.25" x14ac:dyDescent="0.2">
      <c r="A62" s="241" t="s">
        <v>124</v>
      </c>
      <c r="B62" s="241" t="s">
        <v>1041</v>
      </c>
      <c r="C62" s="633"/>
    </row>
    <row r="63" spans="1:3" ht="63.75" customHeight="1" x14ac:dyDescent="0.2">
      <c r="A63" s="262" t="s">
        <v>701</v>
      </c>
      <c r="B63" s="208" t="s">
        <v>948</v>
      </c>
      <c r="C63" s="630"/>
    </row>
    <row r="64" spans="1:3" s="123" customFormat="1" ht="31.5" x14ac:dyDescent="0.2">
      <c r="A64" s="207" t="s">
        <v>23</v>
      </c>
      <c r="B64" s="207" t="s">
        <v>1042</v>
      </c>
      <c r="C64" s="634"/>
    </row>
    <row r="65" spans="1:11" s="569" customFormat="1" ht="18" customHeight="1" x14ac:dyDescent="0.2">
      <c r="A65" s="383" t="s">
        <v>987</v>
      </c>
      <c r="B65" s="614" t="s">
        <v>1210</v>
      </c>
      <c r="C65" s="635" t="s">
        <v>1126</v>
      </c>
    </row>
    <row r="66" spans="1:11" s="119" customFormat="1" ht="31.5" x14ac:dyDescent="0.2">
      <c r="A66" s="241" t="s">
        <v>1051</v>
      </c>
      <c r="B66" s="208" t="s">
        <v>174</v>
      </c>
      <c r="C66" s="468"/>
    </row>
    <row r="67" spans="1:11" ht="31.5" x14ac:dyDescent="0.2">
      <c r="A67" s="241" t="s">
        <v>849</v>
      </c>
      <c r="B67" s="208" t="s">
        <v>947</v>
      </c>
      <c r="C67" s="469"/>
    </row>
    <row r="68" spans="1:11" x14ac:dyDescent="0.2">
      <c r="A68" s="241" t="s">
        <v>1052</v>
      </c>
      <c r="B68" s="208" t="s">
        <v>946</v>
      </c>
      <c r="C68" s="469"/>
    </row>
    <row r="69" spans="1:11" ht="34.5" customHeight="1" x14ac:dyDescent="0.2">
      <c r="A69" s="207" t="s">
        <v>312</v>
      </c>
      <c r="B69" s="207" t="s">
        <v>1043</v>
      </c>
      <c r="C69" s="469"/>
      <c r="K69" s="436"/>
    </row>
    <row r="70" spans="1:11" ht="34.5" customHeight="1" x14ac:dyDescent="0.2">
      <c r="A70" s="241" t="s">
        <v>298</v>
      </c>
      <c r="B70" s="241" t="s">
        <v>1134</v>
      </c>
      <c r="C70" s="469"/>
    </row>
    <row r="71" spans="1:11" ht="21" customHeight="1" x14ac:dyDescent="0.2">
      <c r="A71" s="208" t="s">
        <v>313</v>
      </c>
      <c r="B71" s="208" t="s">
        <v>820</v>
      </c>
      <c r="C71" s="469"/>
    </row>
    <row r="72" spans="1:11" ht="53.25" customHeight="1" x14ac:dyDescent="0.2">
      <c r="A72" s="211" t="s">
        <v>35</v>
      </c>
      <c r="B72" s="211" t="s">
        <v>187</v>
      </c>
    </row>
    <row r="73" spans="1:11" ht="36" customHeight="1" x14ac:dyDescent="0.2">
      <c r="A73" s="208" t="s">
        <v>63</v>
      </c>
      <c r="B73" s="208" t="s">
        <v>1044</v>
      </c>
    </row>
    <row r="74" spans="1:11" ht="33.75" customHeight="1" x14ac:dyDescent="0.2">
      <c r="A74" s="256" t="s">
        <v>671</v>
      </c>
      <c r="B74" s="262" t="s">
        <v>834</v>
      </c>
    </row>
    <row r="75" spans="1:11" ht="90.75" customHeight="1" x14ac:dyDescent="0.2">
      <c r="A75" s="207" t="s">
        <v>146</v>
      </c>
      <c r="B75" s="207" t="s">
        <v>1160</v>
      </c>
    </row>
    <row r="76" spans="1:11" ht="18" customHeight="1" x14ac:dyDescent="0.2">
      <c r="A76" s="208" t="s">
        <v>69</v>
      </c>
      <c r="B76" s="208" t="s">
        <v>835</v>
      </c>
    </row>
    <row r="77" spans="1:11" ht="19.5" customHeight="1" x14ac:dyDescent="0.2">
      <c r="A77" s="211" t="s">
        <v>283</v>
      </c>
      <c r="B77" s="211" t="s">
        <v>41</v>
      </c>
    </row>
    <row r="78" spans="1:11" ht="19.5" customHeight="1" x14ac:dyDescent="0.2">
      <c r="A78" s="622" t="s">
        <v>1170</v>
      </c>
      <c r="B78" s="622" t="s">
        <v>1188</v>
      </c>
      <c r="C78" s="467" t="s">
        <v>1171</v>
      </c>
    </row>
    <row r="79" spans="1:11" ht="21" customHeight="1" x14ac:dyDescent="0.2">
      <c r="A79" s="211" t="s">
        <v>1161</v>
      </c>
      <c r="B79" s="211" t="s">
        <v>1157</v>
      </c>
      <c r="C79" s="467"/>
    </row>
    <row r="80" spans="1:11" ht="25.5" customHeight="1" x14ac:dyDescent="0.2">
      <c r="A80" s="211" t="s">
        <v>1158</v>
      </c>
      <c r="B80" s="211" t="s">
        <v>1159</v>
      </c>
      <c r="C80" s="467"/>
    </row>
    <row r="81" spans="1:6" ht="35.25" customHeight="1" x14ac:dyDescent="0.2">
      <c r="A81" s="211" t="s">
        <v>1162</v>
      </c>
      <c r="B81" s="211" t="s">
        <v>1163</v>
      </c>
      <c r="C81" s="467"/>
    </row>
    <row r="82" spans="1:6" ht="35.25" customHeight="1" x14ac:dyDescent="0.2">
      <c r="A82" s="211" t="s">
        <v>1164</v>
      </c>
      <c r="B82" s="211" t="s">
        <v>1165</v>
      </c>
      <c r="C82" s="467"/>
    </row>
    <row r="83" spans="1:6" ht="47.25" x14ac:dyDescent="0.2">
      <c r="A83" s="208" t="s">
        <v>1166</v>
      </c>
      <c r="B83" s="208" t="s">
        <v>974</v>
      </c>
      <c r="C83" s="470"/>
      <c r="F83" s="436"/>
    </row>
    <row r="84" spans="1:6" ht="31.5" x14ac:dyDescent="0.2">
      <c r="A84" s="208" t="s">
        <v>1167</v>
      </c>
      <c r="B84" s="208" t="s">
        <v>1189</v>
      </c>
    </row>
    <row r="85" spans="1:6" ht="61.5" customHeight="1" x14ac:dyDescent="0.2">
      <c r="A85" s="207" t="s">
        <v>148</v>
      </c>
      <c r="B85" s="207" t="s">
        <v>1045</v>
      </c>
    </row>
    <row r="86" spans="1:6" s="112" customFormat="1" ht="49.5" customHeight="1" x14ac:dyDescent="0.2">
      <c r="A86" s="211" t="s">
        <v>1203</v>
      </c>
      <c r="B86" s="262" t="s">
        <v>1211</v>
      </c>
      <c r="C86" s="468"/>
    </row>
    <row r="87" spans="1:6" ht="130.5" customHeight="1" x14ac:dyDescent="0.2">
      <c r="A87" s="207" t="s">
        <v>314</v>
      </c>
      <c r="B87" s="207" t="s">
        <v>1046</v>
      </c>
    </row>
    <row r="88" spans="1:6" ht="49.5" customHeight="1" x14ac:dyDescent="0.2">
      <c r="A88" s="207" t="s">
        <v>233</v>
      </c>
      <c r="B88" s="207" t="s">
        <v>1190</v>
      </c>
    </row>
    <row r="89" spans="1:6" ht="37.5" customHeight="1" x14ac:dyDescent="0.2">
      <c r="A89" s="404" t="s">
        <v>780</v>
      </c>
      <c r="B89" s="404" t="s">
        <v>836</v>
      </c>
    </row>
    <row r="90" spans="1:6" ht="31.5" x14ac:dyDescent="0.2">
      <c r="A90" s="207" t="s">
        <v>36</v>
      </c>
      <c r="B90" s="207" t="s">
        <v>777</v>
      </c>
    </row>
    <row r="91" spans="1:6" ht="66.75" customHeight="1" x14ac:dyDescent="0.2">
      <c r="A91" s="207" t="s">
        <v>255</v>
      </c>
      <c r="B91" s="207" t="s">
        <v>736</v>
      </c>
    </row>
    <row r="92" spans="1:6" ht="31.5" x14ac:dyDescent="0.2">
      <c r="A92" s="207" t="s">
        <v>504</v>
      </c>
      <c r="B92" s="207" t="s">
        <v>693</v>
      </c>
    </row>
    <row r="93" spans="1:6" ht="31.5" x14ac:dyDescent="0.2">
      <c r="A93" s="207" t="s">
        <v>505</v>
      </c>
      <c r="B93" s="207" t="s">
        <v>837</v>
      </c>
      <c r="C93" s="467"/>
    </row>
  </sheetData>
  <mergeCells count="1">
    <mergeCell ref="A1:B1"/>
  </mergeCells>
  <phoneticPr fontId="6"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tabColor indexed="51"/>
  </sheetPr>
  <dimension ref="A1:H57"/>
  <sheetViews>
    <sheetView zoomScale="80" zoomScaleNormal="80" workbookViewId="0">
      <pane xSplit="1" ySplit="2" topLeftCell="B3" activePane="bottomRight" state="frozen"/>
      <selection pane="topRight" activeCell="B1" sqref="B1"/>
      <selection pane="bottomLeft" activeCell="A3" sqref="A3"/>
      <selection pane="bottomRight" activeCell="A2" sqref="A2"/>
    </sheetView>
  </sheetViews>
  <sheetFormatPr defaultRowHeight="15.75" x14ac:dyDescent="0.2"/>
  <cols>
    <col min="1" max="1" width="11.85546875" style="112" customWidth="1"/>
    <col min="2" max="2" width="44.7109375" style="115" customWidth="1"/>
    <col min="3" max="3" width="166.140625" style="113" customWidth="1"/>
    <col min="4" max="4" width="19.140625" style="112" customWidth="1"/>
    <col min="5" max="5" width="13.5703125" style="112" customWidth="1"/>
    <col min="6" max="16384" width="9.140625" style="112"/>
  </cols>
  <sheetData>
    <row r="1" spans="1:8" ht="42" customHeight="1" thickBot="1" x14ac:dyDescent="0.25">
      <c r="A1" s="737" t="s">
        <v>1053</v>
      </c>
      <c r="B1" s="739"/>
      <c r="C1" s="738"/>
    </row>
    <row r="2" spans="1:8" s="125" customFormat="1" ht="47.25" x14ac:dyDescent="0.2">
      <c r="A2" s="124" t="s">
        <v>199</v>
      </c>
      <c r="B2" s="424" t="s">
        <v>47</v>
      </c>
      <c r="C2" s="206" t="s">
        <v>48</v>
      </c>
    </row>
    <row r="3" spans="1:8" ht="38.25" customHeight="1" x14ac:dyDescent="0.2">
      <c r="A3" s="181" t="s">
        <v>198</v>
      </c>
      <c r="B3" s="425" t="s">
        <v>1054</v>
      </c>
      <c r="C3" s="208" t="s">
        <v>1055</v>
      </c>
      <c r="D3" s="125"/>
    </row>
    <row r="4" spans="1:8" s="120" customFormat="1" ht="106.5" customHeight="1" x14ac:dyDescent="0.2">
      <c r="A4" s="181" t="s">
        <v>192</v>
      </c>
      <c r="B4" s="425" t="s">
        <v>697</v>
      </c>
      <c r="C4" s="208" t="s">
        <v>881</v>
      </c>
      <c r="D4" s="125"/>
      <c r="E4" s="471"/>
    </row>
    <row r="5" spans="1:8" s="120" customFormat="1" ht="46.5" customHeight="1" x14ac:dyDescent="0.2">
      <c r="A5" s="181" t="s">
        <v>61</v>
      </c>
      <c r="B5" s="425" t="s">
        <v>702</v>
      </c>
      <c r="C5" s="428" t="s">
        <v>949</v>
      </c>
      <c r="D5" s="125"/>
    </row>
    <row r="6" spans="1:8" ht="71.25" customHeight="1" x14ac:dyDescent="0.2">
      <c r="A6" s="181" t="s">
        <v>26</v>
      </c>
      <c r="B6" s="426" t="s">
        <v>1194</v>
      </c>
      <c r="C6" s="241" t="s">
        <v>1056</v>
      </c>
      <c r="D6" s="553" t="s">
        <v>1193</v>
      </c>
    </row>
    <row r="7" spans="1:8" ht="78.75" x14ac:dyDescent="0.2">
      <c r="A7" s="181" t="s">
        <v>269</v>
      </c>
      <c r="B7" s="426" t="s">
        <v>1191</v>
      </c>
      <c r="C7" s="241" t="s">
        <v>1192</v>
      </c>
      <c r="D7" s="553" t="s">
        <v>1193</v>
      </c>
      <c r="E7" s="464"/>
    </row>
    <row r="8" spans="1:8" ht="106.5" customHeight="1" x14ac:dyDescent="0.2">
      <c r="A8" s="181" t="s">
        <v>19</v>
      </c>
      <c r="B8" s="426" t="s">
        <v>1117</v>
      </c>
      <c r="C8" s="208" t="s">
        <v>1057</v>
      </c>
      <c r="D8" s="125"/>
    </row>
    <row r="9" spans="1:8" ht="33.75" customHeight="1" x14ac:dyDescent="0.2">
      <c r="A9" s="181" t="s">
        <v>191</v>
      </c>
      <c r="B9" s="425" t="s">
        <v>216</v>
      </c>
      <c r="C9" s="208" t="s">
        <v>217</v>
      </c>
      <c r="D9" s="125"/>
    </row>
    <row r="10" spans="1:8" ht="42" customHeight="1" x14ac:dyDescent="0.2">
      <c r="A10" s="181" t="s">
        <v>934</v>
      </c>
      <c r="B10" s="425" t="s">
        <v>870</v>
      </c>
      <c r="C10" s="208" t="s">
        <v>871</v>
      </c>
      <c r="D10" s="125"/>
      <c r="E10" s="464"/>
      <c r="F10" s="464"/>
      <c r="G10" s="464"/>
      <c r="H10" s="464"/>
    </row>
    <row r="11" spans="1:8" ht="75" customHeight="1" x14ac:dyDescent="0.2">
      <c r="A11" s="181" t="s">
        <v>145</v>
      </c>
      <c r="B11" s="425" t="s">
        <v>1058</v>
      </c>
      <c r="C11" s="208" t="s">
        <v>1059</v>
      </c>
      <c r="D11" s="125"/>
      <c r="E11" s="464"/>
    </row>
    <row r="12" spans="1:8" ht="31.5" x14ac:dyDescent="0.2">
      <c r="A12" s="181" t="s">
        <v>20</v>
      </c>
      <c r="B12" s="425" t="s">
        <v>950</v>
      </c>
      <c r="C12" s="208" t="s">
        <v>1060</v>
      </c>
      <c r="D12" s="125"/>
      <c r="E12" s="464"/>
    </row>
    <row r="13" spans="1:8" ht="47.25" x14ac:dyDescent="0.2">
      <c r="A13" s="181" t="s">
        <v>155</v>
      </c>
      <c r="B13" s="425" t="s">
        <v>1061</v>
      </c>
      <c r="C13" s="208" t="s">
        <v>1062</v>
      </c>
      <c r="D13" s="125"/>
      <c r="E13" s="464"/>
    </row>
    <row r="14" spans="1:8" ht="75.75" customHeight="1" x14ac:dyDescent="0.2">
      <c r="A14" s="181" t="s">
        <v>232</v>
      </c>
      <c r="B14" s="425" t="s">
        <v>1063</v>
      </c>
      <c r="C14" s="208" t="s">
        <v>1064</v>
      </c>
      <c r="D14" s="125"/>
      <c r="E14" s="464"/>
    </row>
    <row r="15" spans="1:8" ht="41.25" customHeight="1" x14ac:dyDescent="0.2">
      <c r="A15" s="181" t="s">
        <v>21</v>
      </c>
      <c r="B15" s="425" t="s">
        <v>1065</v>
      </c>
      <c r="C15" s="208" t="s">
        <v>1066</v>
      </c>
      <c r="D15" s="125"/>
    </row>
    <row r="16" spans="1:8" ht="72.75" customHeight="1" x14ac:dyDescent="0.2">
      <c r="A16" s="181" t="s">
        <v>219</v>
      </c>
      <c r="B16" s="425" t="s">
        <v>1067</v>
      </c>
      <c r="C16" s="208" t="s">
        <v>850</v>
      </c>
      <c r="D16" s="125"/>
    </row>
    <row r="17" spans="1:8" ht="54" customHeight="1" x14ac:dyDescent="0.2">
      <c r="A17" s="181" t="s">
        <v>268</v>
      </c>
      <c r="B17" s="425" t="s">
        <v>1068</v>
      </c>
      <c r="C17" s="241" t="s">
        <v>1069</v>
      </c>
      <c r="D17" s="125"/>
    </row>
    <row r="18" spans="1:8" ht="40.5" customHeight="1" x14ac:dyDescent="0.2">
      <c r="A18" s="181" t="s">
        <v>173</v>
      </c>
      <c r="B18" s="425" t="s">
        <v>132</v>
      </c>
      <c r="C18" s="208" t="s">
        <v>752</v>
      </c>
      <c r="D18" s="125"/>
    </row>
    <row r="19" spans="1:8" ht="42.75" customHeight="1" x14ac:dyDescent="0.2">
      <c r="A19" s="181" t="s">
        <v>335</v>
      </c>
      <c r="B19" s="425" t="s">
        <v>1070</v>
      </c>
      <c r="C19" s="208" t="s">
        <v>883</v>
      </c>
      <c r="D19" s="125"/>
      <c r="E19" s="464"/>
    </row>
    <row r="20" spans="1:8" ht="41.25" customHeight="1" x14ac:dyDescent="0.2">
      <c r="A20" s="181" t="s">
        <v>22</v>
      </c>
      <c r="B20" s="425" t="s">
        <v>831</v>
      </c>
      <c r="C20" s="208" t="s">
        <v>1071</v>
      </c>
      <c r="D20" s="125"/>
      <c r="E20" s="464"/>
    </row>
    <row r="21" spans="1:8" ht="57" customHeight="1" x14ac:dyDescent="0.2">
      <c r="A21" s="181" t="s">
        <v>708</v>
      </c>
      <c r="B21" s="425" t="s">
        <v>878</v>
      </c>
      <c r="C21" s="241" t="s">
        <v>872</v>
      </c>
      <c r="D21" s="125"/>
    </row>
    <row r="22" spans="1:8" ht="38.25" customHeight="1" x14ac:dyDescent="0.2">
      <c r="A22" s="181" t="s">
        <v>709</v>
      </c>
      <c r="B22" s="425" t="s">
        <v>1119</v>
      </c>
      <c r="C22" s="241" t="s">
        <v>703</v>
      </c>
      <c r="D22" s="125"/>
    </row>
    <row r="23" spans="1:8" ht="23.25" customHeight="1" x14ac:dyDescent="0.2">
      <c r="A23" s="181" t="s">
        <v>710</v>
      </c>
      <c r="B23" s="425" t="s">
        <v>704</v>
      </c>
      <c r="C23" s="241" t="s">
        <v>705</v>
      </c>
      <c r="D23" s="125"/>
    </row>
    <row r="24" spans="1:8" ht="31.5" x14ac:dyDescent="0.2">
      <c r="A24" s="181" t="s">
        <v>711</v>
      </c>
      <c r="B24" s="425" t="s">
        <v>706</v>
      </c>
      <c r="C24" s="241" t="s">
        <v>707</v>
      </c>
      <c r="D24" s="125"/>
    </row>
    <row r="25" spans="1:8" ht="72.75" customHeight="1" x14ac:dyDescent="0.2">
      <c r="A25" s="181" t="s">
        <v>23</v>
      </c>
      <c r="B25" s="426" t="s">
        <v>1072</v>
      </c>
      <c r="C25" s="241" t="s">
        <v>1073</v>
      </c>
      <c r="D25" s="553"/>
    </row>
    <row r="26" spans="1:8" ht="78.75" x14ac:dyDescent="0.2">
      <c r="A26" s="181" t="s">
        <v>312</v>
      </c>
      <c r="B26" s="426" t="s">
        <v>902</v>
      </c>
      <c r="C26" s="241" t="s">
        <v>879</v>
      </c>
    </row>
    <row r="27" spans="1:8" ht="51.75" customHeight="1" x14ac:dyDescent="0.2">
      <c r="A27" s="181" t="s">
        <v>298</v>
      </c>
      <c r="B27" s="426" t="s">
        <v>885</v>
      </c>
      <c r="C27" s="241" t="s">
        <v>886</v>
      </c>
    </row>
    <row r="28" spans="1:8" ht="25.5" customHeight="1" x14ac:dyDescent="0.2">
      <c r="A28" s="181" t="s">
        <v>43</v>
      </c>
      <c r="B28" s="426" t="s">
        <v>1195</v>
      </c>
      <c r="C28" s="241" t="s">
        <v>822</v>
      </c>
      <c r="D28" s="646" t="s">
        <v>1193</v>
      </c>
      <c r="H28" s="112" t="s">
        <v>147</v>
      </c>
    </row>
    <row r="29" spans="1:8" ht="141.75" x14ac:dyDescent="0.2">
      <c r="A29" s="181" t="s">
        <v>45</v>
      </c>
      <c r="B29" s="426" t="s">
        <v>903</v>
      </c>
      <c r="C29" s="208" t="s">
        <v>1074</v>
      </c>
    </row>
    <row r="30" spans="1:8" ht="28.5" customHeight="1" x14ac:dyDescent="0.2">
      <c r="A30" s="181" t="s">
        <v>44</v>
      </c>
      <c r="B30" s="426" t="s">
        <v>737</v>
      </c>
      <c r="C30" s="241" t="s">
        <v>1075</v>
      </c>
      <c r="D30" s="238"/>
    </row>
    <row r="31" spans="1:8" ht="39.75" customHeight="1" x14ac:dyDescent="0.2">
      <c r="A31" s="181" t="s">
        <v>46</v>
      </c>
      <c r="B31" s="426" t="s">
        <v>904</v>
      </c>
      <c r="C31" s="241" t="s">
        <v>905</v>
      </c>
    </row>
    <row r="32" spans="1:8" s="464" customFormat="1" ht="39.75" customHeight="1" x14ac:dyDescent="0.2">
      <c r="A32" s="181" t="s">
        <v>884</v>
      </c>
      <c r="B32" s="426" t="s">
        <v>887</v>
      </c>
      <c r="C32" s="241" t="s">
        <v>888</v>
      </c>
    </row>
    <row r="33" spans="1:5" ht="49.5" customHeight="1" x14ac:dyDescent="0.2">
      <c r="A33" s="181" t="s">
        <v>146</v>
      </c>
      <c r="B33" s="425" t="s">
        <v>1156</v>
      </c>
      <c r="C33" s="644" t="s">
        <v>1208</v>
      </c>
      <c r="D33" s="646" t="s">
        <v>1193</v>
      </c>
    </row>
    <row r="34" spans="1:5" ht="51" customHeight="1" x14ac:dyDescent="0.2">
      <c r="A34" s="181" t="s">
        <v>148</v>
      </c>
      <c r="B34" s="425"/>
      <c r="C34" s="208" t="s">
        <v>1076</v>
      </c>
      <c r="D34" s="238"/>
    </row>
    <row r="35" spans="1:5" ht="70.5" customHeight="1" x14ac:dyDescent="0.2">
      <c r="A35" s="181" t="s">
        <v>247</v>
      </c>
      <c r="B35" s="427"/>
      <c r="C35" s="428" t="s">
        <v>1077</v>
      </c>
    </row>
    <row r="36" spans="1:5" ht="48.75" customHeight="1" x14ac:dyDescent="0.2">
      <c r="A36" s="181" t="s">
        <v>233</v>
      </c>
      <c r="B36" s="426" t="s">
        <v>897</v>
      </c>
      <c r="C36" s="428" t="s">
        <v>882</v>
      </c>
    </row>
    <row r="37" spans="1:5" ht="31.5" x14ac:dyDescent="0.2">
      <c r="A37" s="181" t="s">
        <v>36</v>
      </c>
      <c r="B37" s="426" t="s">
        <v>1219</v>
      </c>
      <c r="C37" s="428" t="s">
        <v>896</v>
      </c>
    </row>
    <row r="38" spans="1:5" ht="108" customHeight="1" x14ac:dyDescent="0.2">
      <c r="A38" s="181" t="s">
        <v>255</v>
      </c>
      <c r="B38" s="425" t="s">
        <v>1078</v>
      </c>
      <c r="C38" s="208" t="s">
        <v>1079</v>
      </c>
      <c r="D38" s="464"/>
    </row>
    <row r="39" spans="1:5" ht="38.25" customHeight="1" x14ac:dyDescent="0.2">
      <c r="A39" s="181" t="s">
        <v>255</v>
      </c>
      <c r="B39" s="425" t="s">
        <v>825</v>
      </c>
      <c r="C39" s="428" t="s">
        <v>1080</v>
      </c>
      <c r="D39" s="464"/>
    </row>
    <row r="40" spans="1:5" ht="47.25" customHeight="1" x14ac:dyDescent="0.2">
      <c r="A40" s="181" t="s">
        <v>255</v>
      </c>
      <c r="B40" s="425" t="s">
        <v>698</v>
      </c>
      <c r="C40" s="428" t="s">
        <v>1081</v>
      </c>
      <c r="D40" s="464"/>
    </row>
    <row r="41" spans="1:5" ht="64.5" customHeight="1" x14ac:dyDescent="0.2">
      <c r="A41" s="181" t="s">
        <v>504</v>
      </c>
      <c r="B41" s="523" t="s">
        <v>1200</v>
      </c>
      <c r="C41" s="610" t="s">
        <v>1127</v>
      </c>
      <c r="D41" s="646" t="s">
        <v>1193</v>
      </c>
      <c r="E41" s="464"/>
    </row>
    <row r="42" spans="1:5" ht="32.25" thickBot="1" x14ac:dyDescent="0.25">
      <c r="A42" s="517" t="s">
        <v>505</v>
      </c>
      <c r="B42" s="518" t="s">
        <v>1199</v>
      </c>
      <c r="C42" s="611" t="s">
        <v>1127</v>
      </c>
      <c r="D42" s="646" t="s">
        <v>1193</v>
      </c>
      <c r="E42" s="464"/>
    </row>
    <row r="43" spans="1:5" x14ac:dyDescent="0.2">
      <c r="B43" s="114"/>
      <c r="D43" s="464"/>
    </row>
    <row r="44" spans="1:5" x14ac:dyDescent="0.2">
      <c r="B44" s="114"/>
      <c r="D44" s="464"/>
    </row>
    <row r="45" spans="1:5" x14ac:dyDescent="0.2">
      <c r="B45" s="114"/>
    </row>
    <row r="46" spans="1:5" x14ac:dyDescent="0.2">
      <c r="B46" s="435"/>
    </row>
    <row r="47" spans="1:5" x14ac:dyDescent="0.2">
      <c r="B47" s="114"/>
    </row>
    <row r="48" spans="1:5" x14ac:dyDescent="0.2">
      <c r="B48" s="114"/>
    </row>
    <row r="49" spans="2:2" x14ac:dyDescent="0.2">
      <c r="B49" s="114"/>
    </row>
    <row r="50" spans="2:2" x14ac:dyDescent="0.2">
      <c r="B50" s="114"/>
    </row>
    <row r="51" spans="2:2" x14ac:dyDescent="0.2">
      <c r="B51" s="114"/>
    </row>
    <row r="52" spans="2:2" x14ac:dyDescent="0.2">
      <c r="B52" s="114"/>
    </row>
    <row r="53" spans="2:2" x14ac:dyDescent="0.2">
      <c r="B53" s="114"/>
    </row>
    <row r="54" spans="2:2" x14ac:dyDescent="0.2">
      <c r="B54" s="114"/>
    </row>
    <row r="55" spans="2:2" x14ac:dyDescent="0.2">
      <c r="B55" s="114"/>
    </row>
    <row r="56" spans="2:2" x14ac:dyDescent="0.2">
      <c r="B56" s="114"/>
    </row>
    <row r="57" spans="2:2" x14ac:dyDescent="0.2">
      <c r="B57" s="114"/>
    </row>
  </sheetData>
  <mergeCells count="1">
    <mergeCell ref="A1:C1"/>
  </mergeCells>
  <phoneticPr fontId="6" type="noConversion"/>
  <printOptions gridLines="1"/>
  <pageMargins left="0.47244094488188981" right="0.19685039370078741" top="0.51181102362204722" bottom="0.43307086614173229" header="0.39370078740157483" footer="0.27559055118110237"/>
  <pageSetup paperSize="9" scale="59" fitToWidth="5" fitToHeight="5" orientation="landscape" r:id="rId1"/>
  <headerFooter alignWithMargins="0">
    <oddFooter>&amp;C&amp;P zo &amp;N</oddFooter>
  </headerFooter>
  <rowBreaks count="1" manualBreakCount="1">
    <brk id="14"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9"/>
  <sheetViews>
    <sheetView zoomScaleNormal="100" workbookViewId="0">
      <pane xSplit="1" ySplit="2" topLeftCell="B3" activePane="bottomRight" state="frozen"/>
      <selection pane="topRight" activeCell="B1" sqref="B1"/>
      <selection pane="bottomLeft" activeCell="A3" sqref="A3"/>
      <selection pane="bottomRight" activeCell="A2" sqref="A2"/>
    </sheetView>
  </sheetViews>
  <sheetFormatPr defaultRowHeight="12.75" x14ac:dyDescent="0.2"/>
  <cols>
    <col min="2" max="2" width="58.85546875" customWidth="1"/>
    <col min="3" max="3" width="22" customWidth="1"/>
    <col min="6" max="6" width="10" customWidth="1"/>
  </cols>
  <sheetData>
    <row r="1" spans="1:5" ht="30.75" customHeight="1" thickBot="1" x14ac:dyDescent="0.25">
      <c r="A1" s="740" t="s">
        <v>798</v>
      </c>
      <c r="B1" s="741"/>
      <c r="C1" s="742"/>
      <c r="D1" s="301"/>
    </row>
    <row r="2" spans="1:5" ht="29.25" customHeight="1" thickBot="1" x14ac:dyDescent="0.25">
      <c r="A2" s="368" t="s">
        <v>781</v>
      </c>
      <c r="B2" s="369" t="s">
        <v>782</v>
      </c>
      <c r="C2" s="370" t="s">
        <v>783</v>
      </c>
    </row>
    <row r="3" spans="1:5" ht="24" customHeight="1" x14ac:dyDescent="0.2">
      <c r="A3" s="367">
        <v>1</v>
      </c>
      <c r="B3" s="382" t="s">
        <v>790</v>
      </c>
      <c r="C3" s="371">
        <v>38623</v>
      </c>
    </row>
    <row r="4" spans="1:5" ht="24" customHeight="1" x14ac:dyDescent="0.2">
      <c r="A4" s="365">
        <v>4</v>
      </c>
      <c r="B4" s="381" t="s">
        <v>789</v>
      </c>
      <c r="C4" s="372">
        <v>39326</v>
      </c>
    </row>
    <row r="5" spans="1:5" ht="24" customHeight="1" x14ac:dyDescent="0.2">
      <c r="A5" s="365">
        <v>5</v>
      </c>
      <c r="B5" s="381" t="s">
        <v>784</v>
      </c>
      <c r="C5" s="372">
        <v>39326</v>
      </c>
    </row>
    <row r="6" spans="1:5" ht="24" customHeight="1" x14ac:dyDescent="0.2">
      <c r="A6" s="365">
        <v>6</v>
      </c>
      <c r="B6" s="381" t="s">
        <v>787</v>
      </c>
      <c r="C6" s="372">
        <v>39326</v>
      </c>
    </row>
    <row r="7" spans="1:5" ht="32.25" customHeight="1" x14ac:dyDescent="0.2">
      <c r="A7" s="365">
        <v>7</v>
      </c>
      <c r="B7" s="381" t="s">
        <v>786</v>
      </c>
      <c r="C7" s="372">
        <v>39326</v>
      </c>
    </row>
    <row r="8" spans="1:5" ht="24" customHeight="1" x14ac:dyDescent="0.2">
      <c r="A8" s="365">
        <v>8</v>
      </c>
      <c r="B8" s="381" t="s">
        <v>785</v>
      </c>
      <c r="C8" s="372">
        <v>39326</v>
      </c>
    </row>
    <row r="9" spans="1:5" ht="24" customHeight="1" x14ac:dyDescent="0.2">
      <c r="A9" s="365">
        <v>9</v>
      </c>
      <c r="B9" s="364" t="s">
        <v>792</v>
      </c>
      <c r="C9" s="372">
        <v>39326</v>
      </c>
    </row>
    <row r="10" spans="1:5" ht="24" customHeight="1" x14ac:dyDescent="0.2">
      <c r="A10" s="365">
        <v>10</v>
      </c>
      <c r="B10" s="591" t="s">
        <v>796</v>
      </c>
      <c r="C10" s="372">
        <v>40245</v>
      </c>
      <c r="D10" s="558" t="s">
        <v>800</v>
      </c>
      <c r="E10" s="436" t="s">
        <v>1106</v>
      </c>
    </row>
    <row r="11" spans="1:5" ht="24" customHeight="1" x14ac:dyDescent="0.2">
      <c r="A11" s="365">
        <v>11</v>
      </c>
      <c r="B11" s="591" t="s">
        <v>795</v>
      </c>
      <c r="C11" s="372">
        <v>40245</v>
      </c>
      <c r="D11" s="558" t="s">
        <v>800</v>
      </c>
      <c r="E11" s="436" t="s">
        <v>1106</v>
      </c>
    </row>
    <row r="12" spans="1:5" ht="24" customHeight="1" x14ac:dyDescent="0.2">
      <c r="A12" s="647">
        <v>12</v>
      </c>
      <c r="B12" s="559" t="s">
        <v>1109</v>
      </c>
      <c r="C12" s="372">
        <v>40245</v>
      </c>
      <c r="D12" s="558" t="s">
        <v>800</v>
      </c>
      <c r="E12" s="301" t="s">
        <v>1220</v>
      </c>
    </row>
    <row r="13" spans="1:5" ht="24" customHeight="1" x14ac:dyDescent="0.2">
      <c r="A13" s="647">
        <v>13</v>
      </c>
      <c r="B13" s="559" t="s">
        <v>794</v>
      </c>
      <c r="C13" s="372">
        <v>40245</v>
      </c>
      <c r="D13" s="365" t="s">
        <v>800</v>
      </c>
      <c r="E13" s="301" t="s">
        <v>1220</v>
      </c>
    </row>
    <row r="14" spans="1:5" ht="24" customHeight="1" x14ac:dyDescent="0.2">
      <c r="A14" s="365">
        <v>14</v>
      </c>
      <c r="B14" s="380" t="s">
        <v>1107</v>
      </c>
      <c r="C14" s="372">
        <v>40245</v>
      </c>
      <c r="D14" s="365" t="s">
        <v>800</v>
      </c>
    </row>
    <row r="15" spans="1:5" ht="24" customHeight="1" x14ac:dyDescent="0.2">
      <c r="A15" s="365">
        <v>15</v>
      </c>
      <c r="B15" s="591" t="s">
        <v>797</v>
      </c>
      <c r="C15" s="372">
        <v>40245</v>
      </c>
      <c r="D15" s="558" t="s">
        <v>800</v>
      </c>
      <c r="E15" s="436" t="s">
        <v>1106</v>
      </c>
    </row>
    <row r="16" spans="1:5" ht="24" customHeight="1" x14ac:dyDescent="0.2">
      <c r="A16" s="365">
        <v>16</v>
      </c>
      <c r="B16" s="380" t="s">
        <v>1108</v>
      </c>
      <c r="C16" s="372">
        <v>40245</v>
      </c>
      <c r="D16" s="365" t="s">
        <v>800</v>
      </c>
      <c r="E16" s="436" t="s">
        <v>1110</v>
      </c>
    </row>
    <row r="17" spans="1:4" ht="24" customHeight="1" x14ac:dyDescent="0.2">
      <c r="A17" s="365">
        <v>17</v>
      </c>
      <c r="B17" s="380" t="s">
        <v>791</v>
      </c>
      <c r="C17" s="372">
        <v>40245</v>
      </c>
      <c r="D17" s="365" t="s">
        <v>800</v>
      </c>
    </row>
    <row r="18" spans="1:4" ht="24" customHeight="1" x14ac:dyDescent="0.2">
      <c r="A18" s="365">
        <v>18</v>
      </c>
      <c r="B18" s="364" t="s">
        <v>793</v>
      </c>
      <c r="C18" s="372">
        <v>40245</v>
      </c>
    </row>
    <row r="19" spans="1:4" ht="24" customHeight="1" thickBot="1" x14ac:dyDescent="0.25">
      <c r="A19" s="366">
        <v>19</v>
      </c>
      <c r="B19" s="381" t="s">
        <v>788</v>
      </c>
      <c r="C19" s="373">
        <v>41275</v>
      </c>
    </row>
  </sheetData>
  <mergeCells count="1">
    <mergeCell ref="A1:C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tabColor indexed="42"/>
    <pageSetUpPr fitToPage="1"/>
  </sheetPr>
  <dimension ref="A1:M23"/>
  <sheetViews>
    <sheetView zoomScale="90" zoomScaleNormal="90" workbookViewId="0">
      <pane xSplit="2" ySplit="4" topLeftCell="C5" activePane="bottomRight" state="frozen"/>
      <selection pane="topRight" activeCell="C1" sqref="C1"/>
      <selection pane="bottomLeft" activeCell="A5" sqref="A5"/>
      <selection pane="bottomRight" activeCell="D10" sqref="D10"/>
    </sheetView>
  </sheetViews>
  <sheetFormatPr defaultRowHeight="15.75" x14ac:dyDescent="0.2"/>
  <cols>
    <col min="1" max="1" width="9.140625" style="23" customWidth="1"/>
    <col min="2" max="2" width="77.85546875" style="48" customWidth="1"/>
    <col min="3" max="5" width="17.42578125" style="18" customWidth="1"/>
    <col min="6" max="6" width="12.42578125" style="18" customWidth="1"/>
    <col min="7" max="16384" width="9.140625" style="18"/>
  </cols>
  <sheetData>
    <row r="1" spans="1:13" s="17" customFormat="1" ht="87" customHeight="1" thickBot="1" x14ac:dyDescent="0.25">
      <c r="A1" s="743" t="s">
        <v>989</v>
      </c>
      <c r="B1" s="744"/>
      <c r="C1" s="744"/>
      <c r="D1" s="744"/>
      <c r="E1" s="745"/>
    </row>
    <row r="2" spans="1:13" s="17" customFormat="1" ht="35.1" customHeight="1" x14ac:dyDescent="0.2">
      <c r="A2" s="746" t="s">
        <v>362</v>
      </c>
      <c r="B2" s="747"/>
      <c r="C2" s="747"/>
      <c r="D2" s="747"/>
      <c r="E2" s="748"/>
    </row>
    <row r="3" spans="1:13" ht="43.5" customHeight="1" x14ac:dyDescent="0.2">
      <c r="A3" s="457" t="s">
        <v>180</v>
      </c>
      <c r="B3" s="459" t="s">
        <v>179</v>
      </c>
      <c r="C3" s="458" t="s">
        <v>275</v>
      </c>
      <c r="D3" s="458" t="s">
        <v>276</v>
      </c>
      <c r="E3" s="33" t="s">
        <v>202</v>
      </c>
    </row>
    <row r="4" spans="1:13" ht="17.25" customHeight="1" x14ac:dyDescent="0.2">
      <c r="A4" s="29"/>
      <c r="B4" s="396"/>
      <c r="C4" s="36" t="s">
        <v>257</v>
      </c>
      <c r="D4" s="36" t="s">
        <v>258</v>
      </c>
      <c r="E4" s="37" t="s">
        <v>29</v>
      </c>
    </row>
    <row r="5" spans="1:13" x14ac:dyDescent="0.2">
      <c r="A5" s="29">
        <v>1</v>
      </c>
      <c r="B5" s="396" t="s">
        <v>330</v>
      </c>
      <c r="C5" s="49">
        <f>C6</f>
        <v>22703418.18</v>
      </c>
      <c r="D5" s="49">
        <f>D6</f>
        <v>1114000</v>
      </c>
      <c r="E5" s="50">
        <f t="shared" ref="E5:E6" si="0">SUM(C5:D5)</f>
        <v>23817418.18</v>
      </c>
      <c r="F5" s="568"/>
    </row>
    <row r="6" spans="1:13" x14ac:dyDescent="0.2">
      <c r="A6" s="29">
        <f>A5+1</f>
        <v>2</v>
      </c>
      <c r="B6" s="26" t="s">
        <v>241</v>
      </c>
      <c r="C6" s="51">
        <v>22703418.18</v>
      </c>
      <c r="D6" s="384">
        <v>1114000</v>
      </c>
      <c r="E6" s="50">
        <f t="shared" si="0"/>
        <v>23817418.18</v>
      </c>
      <c r="F6" s="714"/>
      <c r="G6" s="118"/>
      <c r="H6" s="118"/>
      <c r="I6" s="118"/>
      <c r="J6" s="118"/>
      <c r="K6" s="118"/>
      <c r="L6" s="118"/>
      <c r="M6" s="118"/>
    </row>
    <row r="7" spans="1:13" ht="15.75" customHeight="1" x14ac:dyDescent="0.2">
      <c r="A7" s="29">
        <f>A6+1</f>
        <v>3</v>
      </c>
      <c r="B7" s="396" t="s">
        <v>331</v>
      </c>
      <c r="C7" s="49">
        <f>SUM(C8:C12)</f>
        <v>14752443.6</v>
      </c>
      <c r="D7" s="49">
        <f>SUM(D8:D12)</f>
        <v>0</v>
      </c>
      <c r="E7" s="50">
        <f>SUM(C7:D7)</f>
        <v>14752443.6</v>
      </c>
    </row>
    <row r="8" spans="1:13" x14ac:dyDescent="0.2">
      <c r="A8" s="29">
        <f t="shared" ref="A8:A19" si="1">A7+1</f>
        <v>4</v>
      </c>
      <c r="B8" s="26" t="s">
        <v>242</v>
      </c>
      <c r="C8" s="51">
        <v>13564258.6</v>
      </c>
      <c r="D8" s="384" t="s">
        <v>285</v>
      </c>
      <c r="E8" s="50">
        <f t="shared" ref="E8:E19" si="2">SUM(C8:D8)</f>
        <v>13564258.6</v>
      </c>
    </row>
    <row r="9" spans="1:13" x14ac:dyDescent="0.2">
      <c r="A9" s="29">
        <f t="shared" si="1"/>
        <v>5</v>
      </c>
      <c r="B9" s="26" t="s">
        <v>243</v>
      </c>
      <c r="C9" s="51">
        <v>1027344</v>
      </c>
      <c r="D9" s="384" t="s">
        <v>285</v>
      </c>
      <c r="E9" s="50">
        <f t="shared" si="2"/>
        <v>1027344</v>
      </c>
    </row>
    <row r="10" spans="1:13" x14ac:dyDescent="0.2">
      <c r="A10" s="29">
        <f t="shared" si="1"/>
        <v>6</v>
      </c>
      <c r="B10" s="26" t="s">
        <v>244</v>
      </c>
      <c r="C10" s="384" t="s">
        <v>285</v>
      </c>
      <c r="D10" s="384" t="s">
        <v>285</v>
      </c>
      <c r="E10" s="50">
        <f t="shared" si="2"/>
        <v>0</v>
      </c>
    </row>
    <row r="11" spans="1:13" x14ac:dyDescent="0.2">
      <c r="A11" s="29">
        <f t="shared" si="1"/>
        <v>7</v>
      </c>
      <c r="B11" s="26" t="s">
        <v>245</v>
      </c>
      <c r="C11" s="384" t="s">
        <v>285</v>
      </c>
      <c r="D11" s="384" t="s">
        <v>285</v>
      </c>
      <c r="E11" s="50">
        <f t="shared" si="2"/>
        <v>0</v>
      </c>
    </row>
    <row r="12" spans="1:13" x14ac:dyDescent="0.2">
      <c r="A12" s="29">
        <f t="shared" si="1"/>
        <v>8</v>
      </c>
      <c r="B12" s="26" t="s">
        <v>133</v>
      </c>
      <c r="C12" s="51">
        <v>160841</v>
      </c>
      <c r="D12" s="384" t="s">
        <v>285</v>
      </c>
      <c r="E12" s="50">
        <f t="shared" si="2"/>
        <v>160841</v>
      </c>
    </row>
    <row r="13" spans="1:13" ht="15.75" customHeight="1" x14ac:dyDescent="0.2">
      <c r="A13" s="29">
        <f t="shared" si="1"/>
        <v>9</v>
      </c>
      <c r="B13" s="396" t="s">
        <v>332</v>
      </c>
      <c r="C13" s="49">
        <f>C14</f>
        <v>99878</v>
      </c>
      <c r="D13" s="49">
        <f>D14</f>
        <v>0</v>
      </c>
      <c r="E13" s="50">
        <f t="shared" si="2"/>
        <v>99878</v>
      </c>
    </row>
    <row r="14" spans="1:13" x14ac:dyDescent="0.2">
      <c r="A14" s="29">
        <f t="shared" si="1"/>
        <v>10</v>
      </c>
      <c r="B14" s="26" t="s">
        <v>134</v>
      </c>
      <c r="C14" s="51">
        <v>99878</v>
      </c>
      <c r="D14" s="51"/>
      <c r="E14" s="50">
        <f t="shared" si="2"/>
        <v>99878</v>
      </c>
    </row>
    <row r="15" spans="1:13" x14ac:dyDescent="0.2">
      <c r="A15" s="29">
        <f t="shared" si="1"/>
        <v>11</v>
      </c>
      <c r="B15" s="396" t="s">
        <v>333</v>
      </c>
      <c r="C15" s="49">
        <f>SUM(C16:C18)</f>
        <v>2746911.1</v>
      </c>
      <c r="D15" s="49">
        <f>SUM(D16:D18)</f>
        <v>0</v>
      </c>
      <c r="E15" s="50">
        <f t="shared" si="2"/>
        <v>2746911.1</v>
      </c>
    </row>
    <row r="16" spans="1:13" x14ac:dyDescent="0.2">
      <c r="A16" s="29">
        <f t="shared" si="1"/>
        <v>12</v>
      </c>
      <c r="B16" s="26" t="s">
        <v>135</v>
      </c>
      <c r="C16" s="51">
        <v>647240</v>
      </c>
      <c r="D16" s="384" t="s">
        <v>285</v>
      </c>
      <c r="E16" s="50">
        <f t="shared" si="2"/>
        <v>647240</v>
      </c>
    </row>
    <row r="17" spans="1:5" x14ac:dyDescent="0.2">
      <c r="A17" s="29">
        <f t="shared" si="1"/>
        <v>13</v>
      </c>
      <c r="B17" s="26" t="s">
        <v>136</v>
      </c>
      <c r="C17" s="51">
        <v>467725</v>
      </c>
      <c r="D17" s="384" t="s">
        <v>285</v>
      </c>
      <c r="E17" s="50">
        <f t="shared" si="2"/>
        <v>467725</v>
      </c>
    </row>
    <row r="18" spans="1:5" x14ac:dyDescent="0.2">
      <c r="A18" s="29">
        <f t="shared" si="1"/>
        <v>14</v>
      </c>
      <c r="B18" s="26" t="s">
        <v>137</v>
      </c>
      <c r="C18" s="51">
        <v>1631946.1</v>
      </c>
      <c r="D18" s="384" t="s">
        <v>285</v>
      </c>
      <c r="E18" s="50">
        <f t="shared" si="2"/>
        <v>1631946.1</v>
      </c>
    </row>
    <row r="19" spans="1:5" ht="16.5" thickBot="1" x14ac:dyDescent="0.25">
      <c r="A19" s="30">
        <f t="shared" si="1"/>
        <v>15</v>
      </c>
      <c r="B19" s="46" t="s">
        <v>334</v>
      </c>
      <c r="C19" s="52">
        <f>C5+C7+C13+C15</f>
        <v>40302650.880000003</v>
      </c>
      <c r="D19" s="52">
        <f>D5+D7+D13+D15</f>
        <v>1114000</v>
      </c>
      <c r="E19" s="53">
        <f t="shared" si="2"/>
        <v>41416650.880000003</v>
      </c>
    </row>
    <row r="20" spans="1:5" x14ac:dyDescent="0.2">
      <c r="A20" s="19"/>
      <c r="B20" s="47"/>
      <c r="C20" s="21"/>
      <c r="D20" s="21"/>
    </row>
    <row r="21" spans="1:5" x14ac:dyDescent="0.2">
      <c r="A21" s="22"/>
      <c r="B21" s="126"/>
    </row>
    <row r="23" spans="1:5" x14ac:dyDescent="0.2">
      <c r="B23" s="48" t="s">
        <v>147</v>
      </c>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6">
    <tabColor indexed="42"/>
    <pageSetUpPr fitToPage="1"/>
  </sheetPr>
  <dimension ref="A1:G38"/>
  <sheetViews>
    <sheetView workbookViewId="0">
      <pane xSplit="2" ySplit="4" topLeftCell="C5" activePane="bottomRight" state="frozen"/>
      <selection pane="topRight" activeCell="C1" sqref="C1"/>
      <selection pane="bottomLeft" activeCell="A5" sqref="A5"/>
      <selection pane="bottomRight" activeCell="D41" sqref="D41"/>
    </sheetView>
  </sheetViews>
  <sheetFormatPr defaultRowHeight="15.75" x14ac:dyDescent="0.25"/>
  <cols>
    <col min="1" max="1" width="10.140625" style="3" customWidth="1"/>
    <col min="2" max="2" width="83" style="57" customWidth="1"/>
    <col min="3" max="3" width="15.42578125" style="1" customWidth="1"/>
    <col min="4" max="4" width="14.28515625" style="1" customWidth="1"/>
    <col min="5" max="5" width="14.7109375" style="1" customWidth="1"/>
    <col min="6" max="16384" width="9.140625" style="1"/>
  </cols>
  <sheetData>
    <row r="1" spans="1:7" ht="50.1" customHeight="1" thickBot="1" x14ac:dyDescent="0.3">
      <c r="A1" s="749" t="s">
        <v>990</v>
      </c>
      <c r="B1" s="750"/>
      <c r="C1" s="750"/>
      <c r="D1" s="750"/>
      <c r="E1" s="751"/>
      <c r="F1" s="7"/>
      <c r="G1" s="7"/>
    </row>
    <row r="2" spans="1:7" s="17" customFormat="1" ht="38.25" customHeight="1" x14ac:dyDescent="0.2">
      <c r="A2" s="752" t="s">
        <v>363</v>
      </c>
      <c r="B2" s="753"/>
      <c r="C2" s="753"/>
      <c r="D2" s="753"/>
      <c r="E2" s="754"/>
    </row>
    <row r="3" spans="1:7" s="10" customFormat="1" ht="35.25" customHeight="1" x14ac:dyDescent="0.25">
      <c r="A3" s="395" t="s">
        <v>180</v>
      </c>
      <c r="B3" s="405" t="s">
        <v>299</v>
      </c>
      <c r="C3" s="397" t="s">
        <v>275</v>
      </c>
      <c r="D3" s="397" t="s">
        <v>276</v>
      </c>
      <c r="E3" s="33" t="s">
        <v>202</v>
      </c>
    </row>
    <row r="4" spans="1:7" s="18" customFormat="1" ht="17.25" customHeight="1" x14ac:dyDescent="0.2">
      <c r="A4" s="29"/>
      <c r="B4" s="396"/>
      <c r="C4" s="36" t="s">
        <v>257</v>
      </c>
      <c r="D4" s="36" t="s">
        <v>258</v>
      </c>
      <c r="E4" s="37" t="s">
        <v>29</v>
      </c>
    </row>
    <row r="5" spans="1:7" ht="31.5" x14ac:dyDescent="0.25">
      <c r="A5" s="31">
        <v>1</v>
      </c>
      <c r="B5" s="54" t="s">
        <v>740</v>
      </c>
      <c r="C5" s="61">
        <f>SUM(C6:C11)</f>
        <v>1221833.3699999999</v>
      </c>
      <c r="D5" s="61">
        <f>SUM(D6:D7)</f>
        <v>22960</v>
      </c>
      <c r="E5" s="144">
        <f>C5+D5</f>
        <v>1244793.3699999999</v>
      </c>
      <c r="F5" s="240"/>
    </row>
    <row r="6" spans="1:7" x14ac:dyDescent="0.25">
      <c r="A6" s="31" t="s">
        <v>289</v>
      </c>
      <c r="B6" s="55" t="s">
        <v>1223</v>
      </c>
      <c r="C6" s="51">
        <v>895000</v>
      </c>
      <c r="D6" s="51"/>
      <c r="E6" s="144">
        <f t="shared" ref="E6:E36" si="0">C6+D6</f>
        <v>895000</v>
      </c>
    </row>
    <row r="7" spans="1:7" x14ac:dyDescent="0.25">
      <c r="A7" s="31" t="s">
        <v>356</v>
      </c>
      <c r="B7" s="55" t="s">
        <v>1224</v>
      </c>
      <c r="C7" s="51">
        <v>48041.2</v>
      </c>
      <c r="D7" s="51">
        <v>22960</v>
      </c>
      <c r="E7" s="144">
        <f t="shared" si="0"/>
        <v>71001.2</v>
      </c>
    </row>
    <row r="8" spans="1:7" x14ac:dyDescent="0.25">
      <c r="A8" s="31" t="s">
        <v>1225</v>
      </c>
      <c r="B8" s="55" t="s">
        <v>1226</v>
      </c>
      <c r="C8" s="51">
        <v>223898.48</v>
      </c>
      <c r="D8" s="51"/>
      <c r="E8" s="144">
        <f t="shared" si="0"/>
        <v>223898.48</v>
      </c>
    </row>
    <row r="9" spans="1:7" x14ac:dyDescent="0.25">
      <c r="A9" s="31" t="s">
        <v>1228</v>
      </c>
      <c r="B9" s="55" t="s">
        <v>1227</v>
      </c>
      <c r="C9" s="51">
        <v>9000</v>
      </c>
      <c r="D9" s="51"/>
      <c r="E9" s="144">
        <f t="shared" si="0"/>
        <v>9000</v>
      </c>
    </row>
    <row r="10" spans="1:7" x14ac:dyDescent="0.25">
      <c r="A10" s="31" t="s">
        <v>1229</v>
      </c>
      <c r="B10" s="55" t="s">
        <v>1230</v>
      </c>
      <c r="C10" s="51">
        <v>20893.689999999999</v>
      </c>
      <c r="D10" s="51"/>
      <c r="E10" s="144">
        <f t="shared" si="0"/>
        <v>20893.689999999999</v>
      </c>
    </row>
    <row r="11" spans="1:7" x14ac:dyDescent="0.25">
      <c r="A11" s="31" t="s">
        <v>1231</v>
      </c>
      <c r="B11" s="55" t="s">
        <v>1232</v>
      </c>
      <c r="C11" s="51">
        <v>25000</v>
      </c>
      <c r="D11" s="51"/>
      <c r="E11" s="144">
        <f t="shared" si="0"/>
        <v>25000</v>
      </c>
    </row>
    <row r="12" spans="1:7" x14ac:dyDescent="0.25">
      <c r="A12" s="31"/>
      <c r="B12" s="55"/>
      <c r="C12" s="51"/>
      <c r="D12" s="51"/>
      <c r="E12" s="144"/>
    </row>
    <row r="13" spans="1:7" x14ac:dyDescent="0.25">
      <c r="A13" s="31">
        <v>2</v>
      </c>
      <c r="B13" s="54" t="s">
        <v>70</v>
      </c>
      <c r="C13" s="61">
        <f>SUM(C14:C14)</f>
        <v>0</v>
      </c>
      <c r="D13" s="61">
        <f>SUM(D14:D14)</f>
        <v>0</v>
      </c>
      <c r="E13" s="144">
        <f t="shared" si="0"/>
        <v>0</v>
      </c>
    </row>
    <row r="14" spans="1:7" x14ac:dyDescent="0.25">
      <c r="A14" s="31" t="s">
        <v>290</v>
      </c>
      <c r="B14" s="55"/>
      <c r="C14" s="51"/>
      <c r="D14" s="51"/>
      <c r="E14" s="144">
        <f t="shared" si="0"/>
        <v>0</v>
      </c>
    </row>
    <row r="15" spans="1:7" x14ac:dyDescent="0.25">
      <c r="A15" s="31"/>
      <c r="B15" s="55"/>
      <c r="C15" s="51"/>
      <c r="D15" s="51"/>
      <c r="E15" s="144">
        <f t="shared" si="0"/>
        <v>0</v>
      </c>
    </row>
    <row r="16" spans="1:7" x14ac:dyDescent="0.25">
      <c r="A16" s="31">
        <v>3</v>
      </c>
      <c r="B16" s="54" t="s">
        <v>237</v>
      </c>
      <c r="C16" s="61">
        <f>SUM(C17:C22)</f>
        <v>47028.179999999993</v>
      </c>
      <c r="D16" s="61">
        <f>SUM(D17:D21)</f>
        <v>10965.14</v>
      </c>
      <c r="E16" s="144">
        <f t="shared" si="0"/>
        <v>57993.319999999992</v>
      </c>
    </row>
    <row r="17" spans="1:5" x14ac:dyDescent="0.25">
      <c r="A17" s="31" t="s">
        <v>291</v>
      </c>
      <c r="B17" s="143" t="s">
        <v>1235</v>
      </c>
      <c r="C17" s="51">
        <v>16925.2</v>
      </c>
      <c r="D17" s="51"/>
      <c r="E17" s="144">
        <f t="shared" si="0"/>
        <v>16925.2</v>
      </c>
    </row>
    <row r="18" spans="1:5" x14ac:dyDescent="0.25">
      <c r="A18" s="31" t="s">
        <v>357</v>
      </c>
      <c r="B18" s="143" t="s">
        <v>1236</v>
      </c>
      <c r="C18" s="51">
        <v>17457</v>
      </c>
      <c r="D18" s="51"/>
      <c r="E18" s="144"/>
    </row>
    <row r="19" spans="1:5" x14ac:dyDescent="0.25">
      <c r="A19" s="31" t="s">
        <v>1233</v>
      </c>
      <c r="B19" s="55" t="s">
        <v>1237</v>
      </c>
      <c r="C19" s="51">
        <v>200</v>
      </c>
      <c r="D19" s="51"/>
      <c r="E19" s="144"/>
    </row>
    <row r="20" spans="1:5" x14ac:dyDescent="0.25">
      <c r="A20" s="31" t="s">
        <v>1234</v>
      </c>
      <c r="B20" s="143" t="s">
        <v>1238</v>
      </c>
      <c r="C20" s="51">
        <v>12445.98</v>
      </c>
      <c r="D20" s="51">
        <v>10965.14</v>
      </c>
      <c r="E20" s="144"/>
    </row>
    <row r="21" spans="1:5" hidden="1" x14ac:dyDescent="0.25">
      <c r="A21" s="31"/>
      <c r="B21" s="143"/>
      <c r="C21" s="51"/>
      <c r="D21" s="51"/>
      <c r="E21" s="144"/>
    </row>
    <row r="22" spans="1:5" x14ac:dyDescent="0.25">
      <c r="A22" s="31"/>
      <c r="B22" s="143"/>
      <c r="C22" s="51"/>
      <c r="D22" s="51"/>
      <c r="E22" s="144"/>
    </row>
    <row r="23" spans="1:5" x14ac:dyDescent="0.25">
      <c r="A23" s="31"/>
      <c r="B23" s="55"/>
      <c r="C23" s="51"/>
      <c r="D23" s="51"/>
      <c r="E23" s="144">
        <f t="shared" si="0"/>
        <v>0</v>
      </c>
    </row>
    <row r="24" spans="1:5" x14ac:dyDescent="0.25">
      <c r="A24" s="31">
        <v>4</v>
      </c>
      <c r="B24" s="54" t="s">
        <v>238</v>
      </c>
      <c r="C24" s="61">
        <f>SUM(C25:C34)</f>
        <v>1261956.2699999998</v>
      </c>
      <c r="D24" s="61">
        <f>SUM(D25:D26)</f>
        <v>0</v>
      </c>
      <c r="E24" s="144">
        <f t="shared" si="0"/>
        <v>1261956.2699999998</v>
      </c>
    </row>
    <row r="25" spans="1:5" x14ac:dyDescent="0.25">
      <c r="A25" s="31" t="s">
        <v>220</v>
      </c>
      <c r="B25" s="649" t="s">
        <v>1239</v>
      </c>
      <c r="C25" s="146">
        <v>35323.5</v>
      </c>
      <c r="D25" s="146"/>
      <c r="E25" s="144">
        <f t="shared" si="0"/>
        <v>35323.5</v>
      </c>
    </row>
    <row r="26" spans="1:5" x14ac:dyDescent="0.25">
      <c r="A26" s="31" t="s">
        <v>358</v>
      </c>
      <c r="B26" s="55" t="s">
        <v>1240</v>
      </c>
      <c r="C26" s="146">
        <v>820855.32</v>
      </c>
      <c r="D26" s="146"/>
      <c r="E26" s="144">
        <f t="shared" si="0"/>
        <v>820855.32</v>
      </c>
    </row>
    <row r="27" spans="1:5" x14ac:dyDescent="0.25">
      <c r="A27" s="31" t="s">
        <v>1241</v>
      </c>
      <c r="B27" s="55" t="s">
        <v>1242</v>
      </c>
      <c r="C27" s="51">
        <f>121830+22340.4+635+3874.9</f>
        <v>148680.29999999999</v>
      </c>
      <c r="D27" s="51"/>
      <c r="E27" s="144">
        <f t="shared" si="0"/>
        <v>148680.29999999999</v>
      </c>
    </row>
    <row r="28" spans="1:5" x14ac:dyDescent="0.25">
      <c r="A28" s="650" t="s">
        <v>1243</v>
      </c>
      <c r="B28" s="651" t="s">
        <v>1261</v>
      </c>
      <c r="C28" s="148">
        <v>46292.38</v>
      </c>
      <c r="D28" s="148"/>
      <c r="E28" s="652"/>
    </row>
    <row r="29" spans="1:5" x14ac:dyDescent="0.25">
      <c r="A29" s="650" t="s">
        <v>1244</v>
      </c>
      <c r="B29" s="55" t="s">
        <v>1245</v>
      </c>
      <c r="C29" s="148">
        <v>7491</v>
      </c>
      <c r="D29" s="148"/>
      <c r="E29" s="652"/>
    </row>
    <row r="30" spans="1:5" x14ac:dyDescent="0.25">
      <c r="A30" s="650" t="s">
        <v>1247</v>
      </c>
      <c r="B30" s="651" t="s">
        <v>1246</v>
      </c>
      <c r="C30" s="148">
        <v>5458.76</v>
      </c>
      <c r="D30" s="148"/>
      <c r="E30" s="652"/>
    </row>
    <row r="31" spans="1:5" x14ac:dyDescent="0.25">
      <c r="A31" s="650" t="s">
        <v>1249</v>
      </c>
      <c r="B31" s="649" t="s">
        <v>1248</v>
      </c>
      <c r="C31" s="148">
        <v>28900</v>
      </c>
      <c r="D31" s="148"/>
      <c r="E31" s="652"/>
    </row>
    <row r="32" spans="1:5" x14ac:dyDescent="0.25">
      <c r="A32" s="650" t="s">
        <v>1250</v>
      </c>
      <c r="B32" s="649" t="s">
        <v>1251</v>
      </c>
      <c r="C32" s="148">
        <v>156355.01</v>
      </c>
      <c r="D32" s="148"/>
      <c r="E32" s="652"/>
    </row>
    <row r="33" spans="1:5" x14ac:dyDescent="0.25">
      <c r="A33" s="650" t="s">
        <v>1253</v>
      </c>
      <c r="B33" s="651" t="s">
        <v>1252</v>
      </c>
      <c r="C33" s="148">
        <v>600</v>
      </c>
      <c r="D33" s="148"/>
      <c r="E33" s="652"/>
    </row>
    <row r="34" spans="1:5" x14ac:dyDescent="0.25">
      <c r="A34" s="650" t="s">
        <v>1254</v>
      </c>
      <c r="B34" s="653" t="s">
        <v>1255</v>
      </c>
      <c r="C34" s="148">
        <v>12000</v>
      </c>
      <c r="D34" s="148"/>
      <c r="E34" s="652"/>
    </row>
    <row r="35" spans="1:5" x14ac:dyDescent="0.25">
      <c r="A35" s="650"/>
      <c r="B35" s="651"/>
      <c r="C35" s="148"/>
      <c r="D35" s="148"/>
      <c r="E35" s="652"/>
    </row>
    <row r="36" spans="1:5" ht="16.5" thickBot="1" x14ac:dyDescent="0.3">
      <c r="A36" s="32">
        <v>5</v>
      </c>
      <c r="B36" s="56" t="s">
        <v>277</v>
      </c>
      <c r="C36" s="150">
        <f>C5+C13+C16+C24</f>
        <v>2530817.8199999994</v>
      </c>
      <c r="D36" s="150">
        <f>D5+D13+D16+D24</f>
        <v>33925.14</v>
      </c>
      <c r="E36" s="147">
        <f t="shared" si="0"/>
        <v>2564742.9599999995</v>
      </c>
    </row>
    <row r="38" spans="1:5" s="255" customFormat="1" x14ac:dyDescent="0.25">
      <c r="A38" s="253"/>
      <c r="B38" s="254" t="s">
        <v>741</v>
      </c>
    </row>
  </sheetData>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66"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K76"/>
  <sheetViews>
    <sheetView zoomScaleNormal="100" workbookViewId="0">
      <pane xSplit="2" ySplit="5" topLeftCell="C6" activePane="bottomRight" state="frozen"/>
      <selection pane="topRight" activeCell="C1" sqref="C1"/>
      <selection pane="bottomLeft" activeCell="A6" sqref="A6"/>
      <selection pane="bottomRight" activeCell="C39" sqref="C39"/>
    </sheetView>
  </sheetViews>
  <sheetFormatPr defaultRowHeight="15.75" x14ac:dyDescent="0.25"/>
  <cols>
    <col min="1" max="1" width="7.85546875" style="3" customWidth="1"/>
    <col min="2" max="2" width="82.140625" style="136" customWidth="1"/>
    <col min="3" max="3" width="16.42578125" style="137" customWidth="1"/>
    <col min="4" max="4" width="16.5703125" style="137" customWidth="1"/>
    <col min="5" max="5" width="16.42578125" style="137" customWidth="1"/>
    <col min="6" max="6" width="19.140625" style="137" customWidth="1"/>
    <col min="7" max="7" width="16.85546875" style="137" customWidth="1"/>
    <col min="8" max="8" width="20.140625" style="137" customWidth="1"/>
    <col min="9" max="9" width="21.42578125" style="1" bestFit="1" customWidth="1"/>
    <col min="10" max="17" width="9.140625" style="1"/>
    <col min="18" max="18" width="6.28515625" style="1" customWidth="1"/>
    <col min="19" max="16384" width="9.140625" style="1"/>
  </cols>
  <sheetData>
    <row r="1" spans="1:11" ht="35.1" customHeight="1" thickBot="1" x14ac:dyDescent="0.3">
      <c r="A1" s="761" t="s">
        <v>991</v>
      </c>
      <c r="B1" s="762"/>
      <c r="C1" s="762"/>
      <c r="D1" s="762"/>
      <c r="E1" s="762"/>
      <c r="F1" s="762"/>
      <c r="G1" s="762"/>
      <c r="H1" s="763"/>
      <c r="I1" s="442"/>
      <c r="J1" s="43"/>
      <c r="K1" s="43"/>
    </row>
    <row r="2" spans="1:11" ht="31.9" customHeight="1" x14ac:dyDescent="0.25">
      <c r="A2" s="746" t="s">
        <v>364</v>
      </c>
      <c r="B2" s="747"/>
      <c r="C2" s="747"/>
      <c r="D2" s="747"/>
      <c r="E2" s="747"/>
      <c r="F2" s="747"/>
      <c r="G2" s="747"/>
      <c r="H2" s="748"/>
      <c r="I2" s="43"/>
      <c r="J2" s="43"/>
      <c r="K2" s="43"/>
    </row>
    <row r="3" spans="1:11" ht="24" customHeight="1" x14ac:dyDescent="0.25">
      <c r="A3" s="764" t="s">
        <v>180</v>
      </c>
      <c r="B3" s="765" t="s">
        <v>299</v>
      </c>
      <c r="C3" s="767">
        <v>2018</v>
      </c>
      <c r="D3" s="768"/>
      <c r="E3" s="767">
        <v>2019</v>
      </c>
      <c r="F3" s="768"/>
      <c r="G3" s="767" t="s">
        <v>992</v>
      </c>
      <c r="H3" s="769"/>
      <c r="I3" s="43"/>
      <c r="J3" s="43"/>
      <c r="K3" s="43"/>
    </row>
    <row r="4" spans="1:11" s="10" customFormat="1" ht="31.5" x14ac:dyDescent="0.25">
      <c r="A4" s="764"/>
      <c r="B4" s="766"/>
      <c r="C4" s="439" t="s">
        <v>300</v>
      </c>
      <c r="D4" s="439" t="s">
        <v>301</v>
      </c>
      <c r="E4" s="439" t="s">
        <v>300</v>
      </c>
      <c r="F4" s="439" t="s">
        <v>301</v>
      </c>
      <c r="G4" s="439" t="s">
        <v>300</v>
      </c>
      <c r="H4" s="440" t="s">
        <v>301</v>
      </c>
      <c r="I4" s="43"/>
      <c r="J4" s="715"/>
      <c r="K4" s="715"/>
    </row>
    <row r="5" spans="1:11" s="10" customFormat="1" x14ac:dyDescent="0.25">
      <c r="A5" s="438"/>
      <c r="B5" s="396"/>
      <c r="C5" s="439" t="s">
        <v>257</v>
      </c>
      <c r="D5" s="439" t="s">
        <v>258</v>
      </c>
      <c r="E5" s="439" t="s">
        <v>259</v>
      </c>
      <c r="F5" s="439" t="s">
        <v>266</v>
      </c>
      <c r="G5" s="439" t="s">
        <v>30</v>
      </c>
      <c r="H5" s="440" t="s">
        <v>31</v>
      </c>
      <c r="I5" s="716"/>
      <c r="J5" s="715"/>
      <c r="K5" s="715"/>
    </row>
    <row r="6" spans="1:11" x14ac:dyDescent="0.25">
      <c r="A6" s="31">
        <v>1</v>
      </c>
      <c r="B6" s="63" t="s">
        <v>234</v>
      </c>
      <c r="C6" s="673">
        <f>SUM(C7:C10)</f>
        <v>272513.24</v>
      </c>
      <c r="D6" s="673">
        <f t="shared" ref="D6:F6" si="0">SUM(D7:D10)</f>
        <v>474956.73000000004</v>
      </c>
      <c r="E6" s="673">
        <v>279628.24</v>
      </c>
      <c r="F6" s="673">
        <f t="shared" si="0"/>
        <v>465945.55</v>
      </c>
      <c r="G6" s="177">
        <f>E6-C6</f>
        <v>7115</v>
      </c>
      <c r="H6" s="178">
        <f t="shared" ref="G6:H70" si="1">F6-D6</f>
        <v>-9011.1800000000512</v>
      </c>
      <c r="I6" s="43"/>
      <c r="J6" s="43"/>
      <c r="K6" s="43"/>
    </row>
    <row r="7" spans="1:11" x14ac:dyDescent="0.25">
      <c r="A7" s="31">
        <f>A6+1</f>
        <v>2</v>
      </c>
      <c r="B7" s="360" t="s">
        <v>249</v>
      </c>
      <c r="C7" s="674"/>
      <c r="D7" s="674"/>
      <c r="E7" s="674"/>
      <c r="F7" s="674"/>
      <c r="G7" s="177">
        <f t="shared" si="1"/>
        <v>0</v>
      </c>
      <c r="H7" s="178">
        <f t="shared" si="1"/>
        <v>0</v>
      </c>
      <c r="I7" s="717"/>
      <c r="J7" s="43"/>
      <c r="K7" s="43"/>
    </row>
    <row r="8" spans="1:11" x14ac:dyDescent="0.25">
      <c r="A8" s="31">
        <f t="shared" ref="A8:A70" si="2">A7+1</f>
        <v>3</v>
      </c>
      <c r="B8" s="360" t="s">
        <v>273</v>
      </c>
      <c r="C8" s="674"/>
      <c r="D8" s="674"/>
      <c r="E8" s="674"/>
      <c r="F8" s="674"/>
      <c r="G8" s="177">
        <f t="shared" si="1"/>
        <v>0</v>
      </c>
      <c r="H8" s="178">
        <f t="shared" si="1"/>
        <v>0</v>
      </c>
      <c r="I8" s="717"/>
      <c r="J8" s="43"/>
      <c r="K8" s="43"/>
    </row>
    <row r="9" spans="1:11" x14ac:dyDescent="0.25">
      <c r="A9" s="31">
        <f t="shared" si="2"/>
        <v>4</v>
      </c>
      <c r="B9" s="360" t="s">
        <v>54</v>
      </c>
      <c r="C9" s="674">
        <v>271546.06</v>
      </c>
      <c r="D9" s="674">
        <v>472898.96</v>
      </c>
      <c r="E9" s="674">
        <v>278375.14</v>
      </c>
      <c r="F9" s="674">
        <v>464492.68</v>
      </c>
      <c r="G9" s="177">
        <f t="shared" si="1"/>
        <v>6829.0800000000163</v>
      </c>
      <c r="H9" s="178">
        <f t="shared" si="1"/>
        <v>-8406.2800000000279</v>
      </c>
      <c r="I9" s="717"/>
      <c r="J9" s="43"/>
      <c r="K9" s="43"/>
    </row>
    <row r="10" spans="1:11" x14ac:dyDescent="0.25">
      <c r="A10" s="31">
        <f t="shared" si="2"/>
        <v>5</v>
      </c>
      <c r="B10" s="360" t="s">
        <v>272</v>
      </c>
      <c r="C10" s="674">
        <v>967.18</v>
      </c>
      <c r="D10" s="674">
        <v>2057.77</v>
      </c>
      <c r="E10" s="674">
        <v>1253.0999999999999</v>
      </c>
      <c r="F10" s="674">
        <v>1452.87</v>
      </c>
      <c r="G10" s="177">
        <f t="shared" si="1"/>
        <v>285.91999999999996</v>
      </c>
      <c r="H10" s="178">
        <f t="shared" si="1"/>
        <v>-604.90000000000009</v>
      </c>
      <c r="I10" s="717"/>
      <c r="J10" s="43"/>
      <c r="K10" s="43"/>
    </row>
    <row r="11" spans="1:11" x14ac:dyDescent="0.25">
      <c r="A11" s="31">
        <f t="shared" si="2"/>
        <v>6</v>
      </c>
      <c r="B11" s="377" t="s">
        <v>774</v>
      </c>
      <c r="C11" s="673">
        <f>SUM(C12:C15)</f>
        <v>1671076.99</v>
      </c>
      <c r="D11" s="673">
        <f t="shared" ref="D11:F11" si="3">SUM(D12:D15)</f>
        <v>672737.8</v>
      </c>
      <c r="E11" s="673">
        <f t="shared" si="3"/>
        <v>1636121.85</v>
      </c>
      <c r="F11" s="673">
        <f t="shared" si="3"/>
        <v>586469.82999999996</v>
      </c>
      <c r="G11" s="177">
        <f t="shared" si="1"/>
        <v>-34955.139999999898</v>
      </c>
      <c r="H11" s="178">
        <f t="shared" si="1"/>
        <v>-86267.970000000088</v>
      </c>
      <c r="I11" s="43"/>
      <c r="J11" s="43"/>
      <c r="K11" s="43"/>
    </row>
    <row r="12" spans="1:11" x14ac:dyDescent="0.25">
      <c r="A12" s="31">
        <f t="shared" si="2"/>
        <v>7</v>
      </c>
      <c r="B12" s="360" t="s">
        <v>87</v>
      </c>
      <c r="C12" s="674">
        <v>800342.86</v>
      </c>
      <c r="D12" s="674">
        <v>0</v>
      </c>
      <c r="E12" s="674">
        <v>1251930.02</v>
      </c>
      <c r="F12" s="674">
        <v>0</v>
      </c>
      <c r="G12" s="177">
        <f t="shared" si="1"/>
        <v>451587.16000000003</v>
      </c>
      <c r="H12" s="178">
        <f t="shared" si="1"/>
        <v>0</v>
      </c>
      <c r="I12" s="43"/>
      <c r="J12" s="43"/>
      <c r="K12" s="43"/>
    </row>
    <row r="13" spans="1:11" x14ac:dyDescent="0.25">
      <c r="A13" s="31">
        <f t="shared" si="2"/>
        <v>8</v>
      </c>
      <c r="B13" s="360" t="s">
        <v>88</v>
      </c>
      <c r="C13" s="674">
        <v>0</v>
      </c>
      <c r="D13" s="674">
        <v>0</v>
      </c>
      <c r="E13" s="674">
        <v>0</v>
      </c>
      <c r="F13" s="674">
        <v>0</v>
      </c>
      <c r="G13" s="177">
        <f t="shared" si="1"/>
        <v>0</v>
      </c>
      <c r="H13" s="178">
        <f t="shared" si="1"/>
        <v>0</v>
      </c>
      <c r="I13" s="43"/>
      <c r="J13" s="43"/>
      <c r="K13" s="43"/>
    </row>
    <row r="14" spans="1:11" x14ac:dyDescent="0.25">
      <c r="A14" s="31">
        <f>A13+1</f>
        <v>9</v>
      </c>
      <c r="B14" s="360" t="s">
        <v>89</v>
      </c>
      <c r="C14" s="674">
        <v>0</v>
      </c>
      <c r="D14" s="674">
        <v>93558.57</v>
      </c>
      <c r="E14" s="674">
        <v>0</v>
      </c>
      <c r="F14" s="674">
        <v>105895.28</v>
      </c>
      <c r="G14" s="177">
        <f t="shared" si="1"/>
        <v>0</v>
      </c>
      <c r="H14" s="178">
        <f t="shared" si="1"/>
        <v>12336.709999999992</v>
      </c>
      <c r="I14" s="43"/>
      <c r="J14" s="43"/>
      <c r="K14" s="43"/>
    </row>
    <row r="15" spans="1:11" x14ac:dyDescent="0.25">
      <c r="A15" s="320">
        <f t="shared" si="2"/>
        <v>10</v>
      </c>
      <c r="B15" s="360" t="s">
        <v>867</v>
      </c>
      <c r="C15" s="674">
        <v>870734.13</v>
      </c>
      <c r="D15" s="674">
        <v>579179.23</v>
      </c>
      <c r="E15" s="674">
        <v>384191.83</v>
      </c>
      <c r="F15" s="674">
        <f>476659.75+3914.8</f>
        <v>480574.55</v>
      </c>
      <c r="G15" s="177">
        <f t="shared" si="1"/>
        <v>-486542.3</v>
      </c>
      <c r="H15" s="178">
        <f t="shared" si="1"/>
        <v>-98604.68</v>
      </c>
      <c r="I15" s="43"/>
      <c r="J15" s="43"/>
      <c r="K15" s="43"/>
    </row>
    <row r="16" spans="1:11" x14ac:dyDescent="0.25">
      <c r="A16" s="31">
        <f t="shared" si="2"/>
        <v>11</v>
      </c>
      <c r="B16" s="377" t="s">
        <v>27</v>
      </c>
      <c r="C16" s="674">
        <v>0</v>
      </c>
      <c r="D16" s="674">
        <v>120929.24</v>
      </c>
      <c r="E16" s="674">
        <v>0</v>
      </c>
      <c r="F16" s="674">
        <v>132352.20000000001</v>
      </c>
      <c r="G16" s="177">
        <f t="shared" si="1"/>
        <v>0</v>
      </c>
      <c r="H16" s="178">
        <f t="shared" si="1"/>
        <v>11422.960000000006</v>
      </c>
      <c r="I16" s="43"/>
      <c r="J16" s="43"/>
      <c r="K16" s="43"/>
    </row>
    <row r="17" spans="1:11" x14ac:dyDescent="0.25">
      <c r="A17" s="31">
        <f t="shared" si="2"/>
        <v>12</v>
      </c>
      <c r="B17" s="377" t="s">
        <v>851</v>
      </c>
      <c r="C17" s="674">
        <v>0</v>
      </c>
      <c r="D17" s="674">
        <v>0</v>
      </c>
      <c r="E17" s="674">
        <v>0</v>
      </c>
      <c r="F17" s="674">
        <v>0</v>
      </c>
      <c r="G17" s="177">
        <f t="shared" si="1"/>
        <v>0</v>
      </c>
      <c r="H17" s="178">
        <f t="shared" si="1"/>
        <v>0</v>
      </c>
      <c r="I17" s="43"/>
      <c r="J17" s="43"/>
      <c r="K17" s="43"/>
    </row>
    <row r="18" spans="1:11" x14ac:dyDescent="0.25">
      <c r="A18" s="31">
        <f t="shared" si="2"/>
        <v>13</v>
      </c>
      <c r="B18" s="377" t="s">
        <v>852</v>
      </c>
      <c r="C18" s="674">
        <v>0</v>
      </c>
      <c r="D18" s="674">
        <v>0</v>
      </c>
      <c r="E18" s="674">
        <v>10988.88</v>
      </c>
      <c r="F18" s="674">
        <v>0</v>
      </c>
      <c r="G18" s="177">
        <f t="shared" si="1"/>
        <v>10988.88</v>
      </c>
      <c r="H18" s="178">
        <f t="shared" si="1"/>
        <v>0</v>
      </c>
      <c r="I18" s="43"/>
      <c r="J18" s="43"/>
      <c r="K18" s="43"/>
    </row>
    <row r="19" spans="1:11" x14ac:dyDescent="0.25">
      <c r="A19" s="31">
        <f t="shared" si="2"/>
        <v>14</v>
      </c>
      <c r="B19" s="377" t="s">
        <v>306</v>
      </c>
      <c r="C19" s="674">
        <v>1022.803</v>
      </c>
      <c r="D19" s="674">
        <v>366.75</v>
      </c>
      <c r="E19" s="674">
        <v>1163.1300000000001</v>
      </c>
      <c r="F19" s="674">
        <v>0</v>
      </c>
      <c r="G19" s="177">
        <f t="shared" si="1"/>
        <v>140.32700000000011</v>
      </c>
      <c r="H19" s="178">
        <f t="shared" si="1"/>
        <v>-366.75</v>
      </c>
      <c r="I19" s="43"/>
      <c r="J19" s="43"/>
      <c r="K19" s="43"/>
    </row>
    <row r="20" spans="1:11" x14ac:dyDescent="0.25">
      <c r="A20" s="31">
        <f t="shared" si="2"/>
        <v>15</v>
      </c>
      <c r="B20" s="377" t="s">
        <v>307</v>
      </c>
      <c r="C20" s="674">
        <v>0</v>
      </c>
      <c r="D20" s="674">
        <v>0</v>
      </c>
      <c r="E20" s="674">
        <v>0</v>
      </c>
      <c r="F20" s="674">
        <v>0</v>
      </c>
      <c r="G20" s="177">
        <f t="shared" si="1"/>
        <v>0</v>
      </c>
      <c r="H20" s="178">
        <f t="shared" si="1"/>
        <v>0</v>
      </c>
      <c r="I20" s="43"/>
      <c r="J20" s="43"/>
      <c r="K20" s="43"/>
    </row>
    <row r="21" spans="1:11" x14ac:dyDescent="0.25">
      <c r="A21" s="31">
        <f t="shared" si="2"/>
        <v>16</v>
      </c>
      <c r="B21" s="377" t="s">
        <v>775</v>
      </c>
      <c r="C21" s="673">
        <f>SUM(C22:C23)</f>
        <v>75.31</v>
      </c>
      <c r="D21" s="673">
        <f t="shared" ref="D21:F21" si="4">SUM(D22:D23)</f>
        <v>48.15</v>
      </c>
      <c r="E21" s="673">
        <f t="shared" si="4"/>
        <v>80.28</v>
      </c>
      <c r="F21" s="673">
        <f t="shared" si="4"/>
        <v>32.67</v>
      </c>
      <c r="G21" s="177">
        <f t="shared" si="1"/>
        <v>4.9699999999999989</v>
      </c>
      <c r="H21" s="178">
        <f t="shared" si="1"/>
        <v>-15.479999999999997</v>
      </c>
      <c r="I21" s="43"/>
      <c r="J21" s="43"/>
      <c r="K21" s="43"/>
    </row>
    <row r="22" spans="1:11" x14ac:dyDescent="0.25">
      <c r="A22" s="31">
        <f t="shared" si="2"/>
        <v>17</v>
      </c>
      <c r="B22" s="360" t="s">
        <v>93</v>
      </c>
      <c r="C22" s="674"/>
      <c r="D22" s="674"/>
      <c r="E22" s="674">
        <v>0</v>
      </c>
      <c r="F22" s="674">
        <v>0</v>
      </c>
      <c r="G22" s="177">
        <f t="shared" si="1"/>
        <v>0</v>
      </c>
      <c r="H22" s="178">
        <f t="shared" si="1"/>
        <v>0</v>
      </c>
      <c r="I22" s="43"/>
      <c r="J22" s="43"/>
      <c r="K22" s="43"/>
    </row>
    <row r="23" spans="1:11" x14ac:dyDescent="0.25">
      <c r="A23" s="31">
        <f t="shared" si="2"/>
        <v>18</v>
      </c>
      <c r="B23" s="360" t="s">
        <v>94</v>
      </c>
      <c r="C23" s="674">
        <v>75.31</v>
      </c>
      <c r="D23" s="675">
        <v>48.15</v>
      </c>
      <c r="E23" s="674">
        <v>80.28</v>
      </c>
      <c r="F23" s="675">
        <v>32.67</v>
      </c>
      <c r="G23" s="177">
        <f t="shared" si="1"/>
        <v>4.9699999999999989</v>
      </c>
      <c r="H23" s="178">
        <f t="shared" si="1"/>
        <v>-15.479999999999997</v>
      </c>
      <c r="I23" s="43"/>
      <c r="J23" s="43"/>
      <c r="K23" s="43"/>
    </row>
    <row r="24" spans="1:11" x14ac:dyDescent="0.25">
      <c r="A24" s="31">
        <f t="shared" si="2"/>
        <v>19</v>
      </c>
      <c r="B24" s="377" t="s">
        <v>308</v>
      </c>
      <c r="C24" s="674">
        <v>3531.85</v>
      </c>
      <c r="D24" s="674"/>
      <c r="E24" s="674">
        <v>3110.58</v>
      </c>
      <c r="F24" s="674">
        <v>0</v>
      </c>
      <c r="G24" s="177">
        <f t="shared" si="1"/>
        <v>-421.27</v>
      </c>
      <c r="H24" s="178">
        <f t="shared" si="1"/>
        <v>0</v>
      </c>
      <c r="I24" s="43"/>
      <c r="J24" s="43"/>
      <c r="K24" s="43"/>
    </row>
    <row r="25" spans="1:11" x14ac:dyDescent="0.25">
      <c r="A25" s="31">
        <f t="shared" si="2"/>
        <v>20</v>
      </c>
      <c r="B25" s="612" t="s">
        <v>1123</v>
      </c>
      <c r="C25" s="680">
        <f>SUM(C26:C30)</f>
        <v>13264448.940000001</v>
      </c>
      <c r="D25" s="673">
        <f t="shared" ref="D25:F25" si="5">SUM(D26:D30)</f>
        <v>0</v>
      </c>
      <c r="E25" s="680">
        <f t="shared" si="5"/>
        <v>13536434.93</v>
      </c>
      <c r="F25" s="673">
        <f t="shared" si="5"/>
        <v>0</v>
      </c>
      <c r="G25" s="177">
        <f t="shared" ref="G25:G35" si="6">E25-C25</f>
        <v>271985.98999999836</v>
      </c>
      <c r="H25" s="178">
        <f t="shared" ref="H25:H35" si="7">F25-D25</f>
        <v>0</v>
      </c>
      <c r="I25" s="615"/>
      <c r="J25" s="43"/>
      <c r="K25" s="43"/>
    </row>
    <row r="26" spans="1:11" x14ac:dyDescent="0.25">
      <c r="A26" s="31">
        <f t="shared" si="2"/>
        <v>21</v>
      </c>
      <c r="B26" s="363" t="s">
        <v>926</v>
      </c>
      <c r="C26" s="674">
        <v>243268.96</v>
      </c>
      <c r="D26" s="674"/>
      <c r="E26" s="674">
        <v>202399.43</v>
      </c>
      <c r="F26" s="674"/>
      <c r="G26" s="177">
        <f t="shared" si="6"/>
        <v>-40869.53</v>
      </c>
      <c r="H26" s="178">
        <f t="shared" si="7"/>
        <v>0</v>
      </c>
      <c r="I26" s="43"/>
      <c r="J26" s="43"/>
      <c r="K26" s="43"/>
    </row>
    <row r="27" spans="1:11" x14ac:dyDescent="0.25">
      <c r="A27" s="31">
        <f t="shared" si="2"/>
        <v>22</v>
      </c>
      <c r="B27" s="363" t="s">
        <v>927</v>
      </c>
      <c r="C27" s="674">
        <v>12857104</v>
      </c>
      <c r="D27" s="674"/>
      <c r="E27" s="674">
        <v>13131010</v>
      </c>
      <c r="F27" s="674"/>
      <c r="G27" s="177">
        <f t="shared" si="6"/>
        <v>273906</v>
      </c>
      <c r="H27" s="178">
        <f t="shared" si="7"/>
        <v>0</v>
      </c>
      <c r="I27" s="43"/>
      <c r="J27" s="43"/>
      <c r="K27" s="43"/>
    </row>
    <row r="28" spans="1:11" x14ac:dyDescent="0.25">
      <c r="A28" s="31">
        <f t="shared" si="2"/>
        <v>23</v>
      </c>
      <c r="B28" s="363" t="s">
        <v>978</v>
      </c>
      <c r="C28" s="674">
        <v>0</v>
      </c>
      <c r="D28" s="674"/>
      <c r="E28" s="674">
        <v>0</v>
      </c>
      <c r="F28" s="674"/>
      <c r="G28" s="177">
        <f t="shared" ref="G28" si="8">E28-C28</f>
        <v>0</v>
      </c>
      <c r="H28" s="178">
        <f t="shared" ref="H28" si="9">F28-D28</f>
        <v>0</v>
      </c>
      <c r="I28" s="442"/>
      <c r="J28" s="43"/>
      <c r="K28" s="43"/>
    </row>
    <row r="29" spans="1:11" x14ac:dyDescent="0.25">
      <c r="A29" s="31">
        <f t="shared" si="2"/>
        <v>24</v>
      </c>
      <c r="B29" s="363" t="s">
        <v>979</v>
      </c>
      <c r="C29" s="674">
        <v>162755.98000000001</v>
      </c>
      <c r="D29" s="674"/>
      <c r="E29" s="674">
        <v>202065.5</v>
      </c>
      <c r="F29" s="674"/>
      <c r="G29" s="177">
        <f t="shared" si="6"/>
        <v>39309.51999999999</v>
      </c>
      <c r="H29" s="178">
        <f t="shared" si="7"/>
        <v>0</v>
      </c>
      <c r="I29" s="442"/>
      <c r="J29" s="43"/>
      <c r="K29" s="43"/>
    </row>
    <row r="30" spans="1:11" x14ac:dyDescent="0.25">
      <c r="A30" s="31">
        <f t="shared" si="2"/>
        <v>25</v>
      </c>
      <c r="B30" s="363" t="s">
        <v>928</v>
      </c>
      <c r="C30" s="674">
        <v>1320</v>
      </c>
      <c r="D30" s="674"/>
      <c r="E30" s="674">
        <v>960</v>
      </c>
      <c r="F30" s="674"/>
      <c r="G30" s="177">
        <f t="shared" si="6"/>
        <v>-360</v>
      </c>
      <c r="H30" s="178">
        <f t="shared" si="7"/>
        <v>0</v>
      </c>
      <c r="I30" s="43"/>
      <c r="J30" s="43"/>
      <c r="K30" s="43"/>
    </row>
    <row r="31" spans="1:11" x14ac:dyDescent="0.25">
      <c r="A31" s="31">
        <f t="shared" si="2"/>
        <v>26</v>
      </c>
      <c r="B31" s="79" t="s">
        <v>981</v>
      </c>
      <c r="C31" s="673">
        <f>SUM(C32:C37)</f>
        <v>335460.48000000004</v>
      </c>
      <c r="D31" s="673">
        <f t="shared" ref="D31:F31" si="10">SUM(D32:D37)</f>
        <v>0</v>
      </c>
      <c r="E31" s="673">
        <f>SUM(E32:E37)</f>
        <v>306432.49</v>
      </c>
      <c r="F31" s="673">
        <f t="shared" si="10"/>
        <v>0</v>
      </c>
      <c r="G31" s="177">
        <f t="shared" ref="G31" si="11">E31-C31</f>
        <v>-29027.990000000049</v>
      </c>
      <c r="H31" s="178">
        <f t="shared" ref="H31" si="12">F31-D31</f>
        <v>0</v>
      </c>
      <c r="I31" s="615"/>
      <c r="J31" s="43"/>
      <c r="K31" s="43"/>
    </row>
    <row r="32" spans="1:11" x14ac:dyDescent="0.25">
      <c r="A32" s="31">
        <f t="shared" si="2"/>
        <v>27</v>
      </c>
      <c r="B32" s="127" t="s">
        <v>929</v>
      </c>
      <c r="C32" s="674">
        <v>230930.03</v>
      </c>
      <c r="D32" s="674"/>
      <c r="E32" s="674">
        <v>208512</v>
      </c>
      <c r="F32" s="674"/>
      <c r="G32" s="177">
        <f t="shared" si="6"/>
        <v>-22418.03</v>
      </c>
      <c r="H32" s="178">
        <f t="shared" si="7"/>
        <v>0</v>
      </c>
      <c r="I32" s="43"/>
      <c r="J32" s="43"/>
      <c r="K32" s="43"/>
    </row>
    <row r="33" spans="1:11" x14ac:dyDescent="0.25">
      <c r="A33" s="31">
        <f t="shared" si="2"/>
        <v>28</v>
      </c>
      <c r="B33" s="127" t="s">
        <v>930</v>
      </c>
      <c r="C33" s="674">
        <v>66242.86</v>
      </c>
      <c r="D33" s="674"/>
      <c r="E33" s="674">
        <v>70580</v>
      </c>
      <c r="F33" s="674"/>
      <c r="G33" s="177">
        <f t="shared" si="6"/>
        <v>4337.1399999999994</v>
      </c>
      <c r="H33" s="178">
        <f t="shared" si="7"/>
        <v>0</v>
      </c>
      <c r="I33" s="43"/>
      <c r="J33" s="43"/>
      <c r="K33" s="43"/>
    </row>
    <row r="34" spans="1:11" x14ac:dyDescent="0.25">
      <c r="A34" s="31">
        <f t="shared" si="2"/>
        <v>29</v>
      </c>
      <c r="B34" s="127" t="s">
        <v>931</v>
      </c>
      <c r="C34" s="674">
        <v>20618</v>
      </c>
      <c r="D34" s="674"/>
      <c r="E34" s="674">
        <v>8444</v>
      </c>
      <c r="F34" s="674"/>
      <c r="G34" s="177">
        <f t="shared" si="6"/>
        <v>-12174</v>
      </c>
      <c r="H34" s="178">
        <f t="shared" si="7"/>
        <v>0</v>
      </c>
      <c r="I34" s="43"/>
      <c r="J34" s="43"/>
      <c r="K34" s="43"/>
    </row>
    <row r="35" spans="1:11" x14ac:dyDescent="0.25">
      <c r="A35" s="31">
        <f t="shared" si="2"/>
        <v>30</v>
      </c>
      <c r="B35" s="127" t="s">
        <v>932</v>
      </c>
      <c r="C35" s="674">
        <v>17468.59</v>
      </c>
      <c r="D35" s="674"/>
      <c r="E35" s="674">
        <v>18494.490000000002</v>
      </c>
      <c r="F35" s="674"/>
      <c r="G35" s="177">
        <f t="shared" si="6"/>
        <v>1025.9000000000015</v>
      </c>
      <c r="H35" s="178">
        <f t="shared" si="7"/>
        <v>0</v>
      </c>
      <c r="I35" s="718"/>
      <c r="J35" s="43"/>
      <c r="K35" s="43"/>
    </row>
    <row r="36" spans="1:11" x14ac:dyDescent="0.25">
      <c r="A36" s="31">
        <f t="shared" si="2"/>
        <v>31</v>
      </c>
      <c r="B36" s="127" t="s">
        <v>924</v>
      </c>
      <c r="C36" s="674">
        <v>201</v>
      </c>
      <c r="D36" s="674"/>
      <c r="E36" s="674">
        <v>402</v>
      </c>
      <c r="F36" s="674"/>
      <c r="G36" s="177">
        <f t="shared" ref="G36:G37" si="13">E36-C36</f>
        <v>201</v>
      </c>
      <c r="H36" s="178">
        <f t="shared" ref="H36:H37" si="14">F36-D36</f>
        <v>0</v>
      </c>
      <c r="I36" s="43"/>
      <c r="J36" s="43"/>
      <c r="K36" s="43"/>
    </row>
    <row r="37" spans="1:11" x14ac:dyDescent="0.25">
      <c r="A37" s="31">
        <f t="shared" si="2"/>
        <v>32</v>
      </c>
      <c r="B37" s="127" t="s">
        <v>925</v>
      </c>
      <c r="C37" s="674">
        <v>0</v>
      </c>
      <c r="D37" s="674"/>
      <c r="E37" s="674">
        <v>0</v>
      </c>
      <c r="F37" s="674"/>
      <c r="G37" s="177">
        <f t="shared" si="13"/>
        <v>0</v>
      </c>
      <c r="H37" s="178">
        <f t="shared" si="14"/>
        <v>0</v>
      </c>
      <c r="I37" s="43"/>
      <c r="J37" s="43"/>
      <c r="K37" s="43"/>
    </row>
    <row r="38" spans="1:11" ht="31.5" x14ac:dyDescent="0.25">
      <c r="A38" s="31">
        <f t="shared" si="2"/>
        <v>33</v>
      </c>
      <c r="B38" s="127" t="s">
        <v>1271</v>
      </c>
      <c r="C38" s="674">
        <v>365139.76</v>
      </c>
      <c r="D38" s="674">
        <v>1.18</v>
      </c>
      <c r="E38" s="674">
        <f>-800+366567.43</f>
        <v>365767.43</v>
      </c>
      <c r="F38" s="674"/>
      <c r="G38" s="177">
        <f t="shared" ref="G38" si="15">E38-C38</f>
        <v>627.6699999999837</v>
      </c>
      <c r="H38" s="178">
        <f t="shared" ref="H38" si="16">F38-D38</f>
        <v>-1.18</v>
      </c>
      <c r="I38" s="442"/>
      <c r="J38" s="43"/>
      <c r="K38" s="43"/>
    </row>
    <row r="39" spans="1:11" s="437" customFormat="1" ht="14.25" customHeight="1" x14ac:dyDescent="0.3">
      <c r="A39" s="31">
        <f t="shared" si="2"/>
        <v>34</v>
      </c>
      <c r="B39" s="79" t="s">
        <v>982</v>
      </c>
      <c r="C39" s="673">
        <f>SUM(C40:C49)</f>
        <v>4879241.8</v>
      </c>
      <c r="D39" s="673">
        <f t="shared" ref="D39:F39" si="17">SUM(D40:D49)</f>
        <v>98583.680000000008</v>
      </c>
      <c r="E39" s="673">
        <f t="shared" si="17"/>
        <v>3221061.7699999996</v>
      </c>
      <c r="F39" s="673">
        <f t="shared" si="17"/>
        <v>27612.29</v>
      </c>
      <c r="G39" s="177">
        <f t="shared" ref="G39" si="18">E39-C39</f>
        <v>-1658180.0300000003</v>
      </c>
      <c r="H39" s="178">
        <f t="shared" ref="H39" si="19">F39-D39</f>
        <v>-70971.390000000014</v>
      </c>
      <c r="I39" s="43"/>
      <c r="J39" s="719"/>
      <c r="K39" s="719"/>
    </row>
    <row r="40" spans="1:11" x14ac:dyDescent="0.25">
      <c r="A40" s="31">
        <f t="shared" si="2"/>
        <v>35</v>
      </c>
      <c r="B40" s="127" t="s">
        <v>898</v>
      </c>
      <c r="C40" s="674">
        <v>70333.009999999995</v>
      </c>
      <c r="D40" s="674">
        <v>0</v>
      </c>
      <c r="E40" s="674">
        <v>78757.929999999993</v>
      </c>
      <c r="F40" s="674">
        <v>0</v>
      </c>
      <c r="G40" s="177">
        <f t="shared" si="1"/>
        <v>8424.9199999999983</v>
      </c>
      <c r="H40" s="178">
        <f t="shared" si="1"/>
        <v>0</v>
      </c>
      <c r="I40" s="43"/>
      <c r="J40" s="43"/>
      <c r="K40" s="43"/>
    </row>
    <row r="41" spans="1:11" x14ac:dyDescent="0.25">
      <c r="A41" s="31">
        <f t="shared" si="2"/>
        <v>36</v>
      </c>
      <c r="B41" s="127" t="s">
        <v>95</v>
      </c>
      <c r="C41" s="674">
        <v>0</v>
      </c>
      <c r="D41" s="674">
        <v>0</v>
      </c>
      <c r="E41" s="674">
        <v>0</v>
      </c>
      <c r="F41" s="674">
        <v>0</v>
      </c>
      <c r="G41" s="177">
        <f t="shared" si="1"/>
        <v>0</v>
      </c>
      <c r="H41" s="178">
        <f t="shared" si="1"/>
        <v>0</v>
      </c>
      <c r="I41" s="43"/>
      <c r="J41" s="43"/>
      <c r="K41" s="43"/>
    </row>
    <row r="42" spans="1:11" x14ac:dyDescent="0.25">
      <c r="A42" s="31">
        <f t="shared" si="2"/>
        <v>37</v>
      </c>
      <c r="B42" s="127" t="s">
        <v>96</v>
      </c>
      <c r="C42" s="674">
        <v>0</v>
      </c>
      <c r="D42" s="674">
        <v>0</v>
      </c>
      <c r="E42" s="674">
        <v>0</v>
      </c>
      <c r="F42" s="674">
        <v>0</v>
      </c>
      <c r="G42" s="177">
        <f t="shared" si="1"/>
        <v>0</v>
      </c>
      <c r="H42" s="178">
        <f t="shared" si="1"/>
        <v>0</v>
      </c>
      <c r="I42" s="43"/>
      <c r="J42" s="43"/>
      <c r="K42" s="43"/>
    </row>
    <row r="43" spans="1:11" x14ac:dyDescent="0.25">
      <c r="A43" s="31">
        <f t="shared" si="2"/>
        <v>38</v>
      </c>
      <c r="B43" s="127" t="s">
        <v>97</v>
      </c>
      <c r="C43" s="674">
        <v>0</v>
      </c>
      <c r="D43" s="674">
        <v>0</v>
      </c>
      <c r="E43" s="674">
        <v>0</v>
      </c>
      <c r="F43" s="674">
        <v>594</v>
      </c>
      <c r="G43" s="177">
        <f t="shared" si="1"/>
        <v>0</v>
      </c>
      <c r="H43" s="178">
        <f t="shared" si="1"/>
        <v>594</v>
      </c>
      <c r="I43" s="43"/>
      <c r="J43" s="43"/>
      <c r="K43" s="43"/>
    </row>
    <row r="44" spans="1:11" x14ac:dyDescent="0.25">
      <c r="A44" s="31">
        <f t="shared" si="2"/>
        <v>39</v>
      </c>
      <c r="B44" s="127" t="s">
        <v>98</v>
      </c>
      <c r="C44" s="674">
        <v>0</v>
      </c>
      <c r="D44" s="674">
        <v>176.44</v>
      </c>
      <c r="E44" s="674">
        <v>0</v>
      </c>
      <c r="F44" s="674">
        <v>3.32</v>
      </c>
      <c r="G44" s="177">
        <f t="shared" si="1"/>
        <v>0</v>
      </c>
      <c r="H44" s="178">
        <f t="shared" si="1"/>
        <v>-173.12</v>
      </c>
      <c r="I44" s="43"/>
      <c r="J44" s="43"/>
      <c r="K44" s="43"/>
    </row>
    <row r="45" spans="1:11" x14ac:dyDescent="0.25">
      <c r="A45" s="31">
        <f t="shared" si="2"/>
        <v>40</v>
      </c>
      <c r="B45" s="127" t="s">
        <v>99</v>
      </c>
      <c r="C45" s="674">
        <v>1552463.54</v>
      </c>
      <c r="D45" s="674">
        <v>0</v>
      </c>
      <c r="E45" s="674">
        <v>1548194.23</v>
      </c>
      <c r="F45" s="674">
        <v>0</v>
      </c>
      <c r="G45" s="177">
        <f t="shared" si="1"/>
        <v>-4269.3100000000559</v>
      </c>
      <c r="H45" s="178">
        <f t="shared" si="1"/>
        <v>0</v>
      </c>
      <c r="I45" s="43"/>
      <c r="J45" s="43"/>
      <c r="K45" s="43"/>
    </row>
    <row r="46" spans="1:11" x14ac:dyDescent="0.25">
      <c r="A46" s="31">
        <f t="shared" si="2"/>
        <v>41</v>
      </c>
      <c r="B46" s="526" t="s">
        <v>757</v>
      </c>
      <c r="C46" s="674">
        <v>0</v>
      </c>
      <c r="D46" s="674">
        <v>0</v>
      </c>
      <c r="E46" s="674">
        <v>0</v>
      </c>
      <c r="F46" s="674">
        <v>0</v>
      </c>
      <c r="G46" s="177">
        <f t="shared" si="1"/>
        <v>0</v>
      </c>
      <c r="H46" s="178">
        <f t="shared" si="1"/>
        <v>0</v>
      </c>
      <c r="I46" s="43"/>
      <c r="J46" s="43"/>
      <c r="K46" s="43"/>
    </row>
    <row r="47" spans="1:11" x14ac:dyDescent="0.25">
      <c r="A47" s="31">
        <f t="shared" si="2"/>
        <v>42</v>
      </c>
      <c r="B47" s="127" t="s">
        <v>100</v>
      </c>
      <c r="C47" s="674">
        <v>0</v>
      </c>
      <c r="D47" s="674">
        <v>0</v>
      </c>
      <c r="E47" s="674">
        <v>0</v>
      </c>
      <c r="F47" s="674">
        <v>0</v>
      </c>
      <c r="G47" s="177">
        <f t="shared" si="1"/>
        <v>0</v>
      </c>
      <c r="H47" s="178">
        <f t="shared" si="1"/>
        <v>0</v>
      </c>
      <c r="I47" s="43"/>
      <c r="J47" s="43"/>
      <c r="K47" s="43"/>
    </row>
    <row r="48" spans="1:11" x14ac:dyDescent="0.25">
      <c r="A48" s="31">
        <f t="shared" si="2"/>
        <v>43</v>
      </c>
      <c r="B48" s="127" t="s">
        <v>868</v>
      </c>
      <c r="C48" s="674">
        <v>15646.18</v>
      </c>
      <c r="D48" s="674">
        <v>0</v>
      </c>
      <c r="E48" s="674">
        <v>2458.56</v>
      </c>
      <c r="F48" s="674">
        <v>0</v>
      </c>
      <c r="G48" s="177">
        <f t="shared" ref="G48" si="20">E48-C48</f>
        <v>-13187.62</v>
      </c>
      <c r="H48" s="178">
        <f t="shared" ref="H48" si="21">F48-D48</f>
        <v>0</v>
      </c>
      <c r="I48" s="43"/>
      <c r="J48" s="43"/>
      <c r="K48" s="43"/>
    </row>
    <row r="49" spans="1:11" x14ac:dyDescent="0.25">
      <c r="A49" s="31">
        <f t="shared" si="2"/>
        <v>44</v>
      </c>
      <c r="B49" s="127" t="s">
        <v>984</v>
      </c>
      <c r="C49" s="674">
        <v>3240799.07</v>
      </c>
      <c r="D49" s="674">
        <v>98407.24</v>
      </c>
      <c r="E49" s="674">
        <f>-144592.63+1736243.68</f>
        <v>1591651.0499999998</v>
      </c>
      <c r="F49" s="674">
        <f>3.41+27011.56</f>
        <v>27014.97</v>
      </c>
      <c r="G49" s="177">
        <f t="shared" si="1"/>
        <v>-1649148.02</v>
      </c>
      <c r="H49" s="178">
        <f t="shared" si="1"/>
        <v>-71392.27</v>
      </c>
      <c r="I49" s="442"/>
      <c r="J49" s="43"/>
      <c r="K49" s="43"/>
    </row>
    <row r="50" spans="1:11" x14ac:dyDescent="0.25">
      <c r="A50" s="31">
        <f t="shared" si="2"/>
        <v>45</v>
      </c>
      <c r="B50" s="79" t="s">
        <v>315</v>
      </c>
      <c r="C50" s="674">
        <v>0</v>
      </c>
      <c r="D50" s="674">
        <v>0</v>
      </c>
      <c r="E50" s="674">
        <v>22044</v>
      </c>
      <c r="F50" s="674">
        <v>0</v>
      </c>
      <c r="G50" s="177">
        <f t="shared" si="1"/>
        <v>22044</v>
      </c>
      <c r="H50" s="178">
        <f t="shared" si="1"/>
        <v>0</v>
      </c>
      <c r="I50" s="43"/>
      <c r="J50" s="43"/>
      <c r="K50" s="43"/>
    </row>
    <row r="51" spans="1:11" x14ac:dyDescent="0.25">
      <c r="A51" s="31">
        <f t="shared" si="2"/>
        <v>46</v>
      </c>
      <c r="B51" s="79" t="s">
        <v>129</v>
      </c>
      <c r="C51" s="674">
        <v>0</v>
      </c>
      <c r="D51" s="674">
        <v>0</v>
      </c>
      <c r="E51" s="674"/>
      <c r="F51" s="674"/>
      <c r="G51" s="177">
        <f t="shared" si="1"/>
        <v>0</v>
      </c>
      <c r="H51" s="178">
        <f t="shared" si="1"/>
        <v>0</v>
      </c>
      <c r="I51" s="43"/>
      <c r="J51" s="43"/>
      <c r="K51" s="43"/>
    </row>
    <row r="52" spans="1:11" x14ac:dyDescent="0.25">
      <c r="A52" s="31">
        <f t="shared" si="2"/>
        <v>47</v>
      </c>
      <c r="B52" s="79" t="s">
        <v>127</v>
      </c>
      <c r="C52" s="674">
        <v>0</v>
      </c>
      <c r="D52" s="674">
        <v>0</v>
      </c>
      <c r="E52" s="674">
        <v>0</v>
      </c>
      <c r="F52" s="674">
        <v>0</v>
      </c>
      <c r="G52" s="177">
        <f t="shared" si="1"/>
        <v>0</v>
      </c>
      <c r="H52" s="178">
        <f t="shared" si="1"/>
        <v>0</v>
      </c>
      <c r="I52" s="43"/>
      <c r="J52" s="43"/>
      <c r="K52" s="43"/>
    </row>
    <row r="53" spans="1:11" x14ac:dyDescent="0.25">
      <c r="A53" s="31">
        <f t="shared" si="2"/>
        <v>48</v>
      </c>
      <c r="B53" s="79" t="s">
        <v>294</v>
      </c>
      <c r="C53" s="674">
        <v>0</v>
      </c>
      <c r="D53" s="674">
        <v>0</v>
      </c>
      <c r="E53" s="674">
        <v>0</v>
      </c>
      <c r="F53" s="674">
        <v>0</v>
      </c>
      <c r="G53" s="177">
        <f t="shared" si="1"/>
        <v>0</v>
      </c>
      <c r="H53" s="178">
        <f t="shared" si="1"/>
        <v>0</v>
      </c>
      <c r="I53" s="43"/>
      <c r="J53" s="43"/>
      <c r="K53" s="43"/>
    </row>
    <row r="54" spans="1:11" x14ac:dyDescent="0.25">
      <c r="A54" s="31">
        <f t="shared" si="2"/>
        <v>49</v>
      </c>
      <c r="B54" s="79" t="s">
        <v>235</v>
      </c>
      <c r="C54" s="674"/>
      <c r="D54" s="674"/>
      <c r="E54" s="674">
        <v>0</v>
      </c>
      <c r="F54" s="674">
        <v>0</v>
      </c>
      <c r="G54" s="177">
        <f t="shared" si="1"/>
        <v>0</v>
      </c>
      <c r="H54" s="178">
        <f t="shared" si="1"/>
        <v>0</v>
      </c>
      <c r="I54" s="43"/>
      <c r="J54" s="43"/>
      <c r="K54" s="43"/>
    </row>
    <row r="55" spans="1:11" ht="18.75" x14ac:dyDescent="0.25">
      <c r="A55" s="31">
        <f t="shared" si="2"/>
        <v>50</v>
      </c>
      <c r="B55" s="612" t="s">
        <v>1122</v>
      </c>
      <c r="C55" s="676">
        <f>SUM(C56:C61)</f>
        <v>356582.83999999997</v>
      </c>
      <c r="D55" s="676">
        <f t="shared" ref="D55:F55" si="22">SUM(D56:D61)</f>
        <v>2200</v>
      </c>
      <c r="E55" s="676">
        <f t="shared" si="22"/>
        <v>195412.88</v>
      </c>
      <c r="F55" s="676">
        <f t="shared" si="22"/>
        <v>0</v>
      </c>
      <c r="G55" s="177">
        <f t="shared" si="1"/>
        <v>-161169.95999999996</v>
      </c>
      <c r="H55" s="178">
        <f t="shared" si="1"/>
        <v>-2200</v>
      </c>
      <c r="I55" s="615"/>
      <c r="J55" s="43"/>
      <c r="K55" s="43"/>
    </row>
    <row r="56" spans="1:11" x14ac:dyDescent="0.25">
      <c r="A56" s="31">
        <f t="shared" si="2"/>
        <v>51</v>
      </c>
      <c r="B56" s="127" t="s">
        <v>214</v>
      </c>
      <c r="C56" s="674">
        <v>314625</v>
      </c>
      <c r="D56" s="677">
        <v>2200</v>
      </c>
      <c r="E56" s="674">
        <v>144365.91</v>
      </c>
      <c r="F56" s="677" t="s">
        <v>285</v>
      </c>
      <c r="G56" s="177">
        <f t="shared" si="1"/>
        <v>-170259.09</v>
      </c>
      <c r="H56" s="178" t="s">
        <v>285</v>
      </c>
      <c r="I56" s="43"/>
      <c r="J56" s="43"/>
      <c r="K56" s="43"/>
    </row>
    <row r="57" spans="1:11" x14ac:dyDescent="0.25">
      <c r="A57" s="31">
        <f t="shared" si="2"/>
        <v>52</v>
      </c>
      <c r="B57" s="127" t="s">
        <v>101</v>
      </c>
      <c r="C57" s="674">
        <v>41957.84</v>
      </c>
      <c r="D57" s="677" t="s">
        <v>285</v>
      </c>
      <c r="E57" s="674">
        <v>51046.97</v>
      </c>
      <c r="F57" s="677" t="s">
        <v>285</v>
      </c>
      <c r="G57" s="177">
        <f t="shared" si="1"/>
        <v>9089.1300000000047</v>
      </c>
      <c r="H57" s="178" t="s">
        <v>285</v>
      </c>
      <c r="I57" s="43"/>
      <c r="J57" s="43"/>
      <c r="K57" s="43"/>
    </row>
    <row r="58" spans="1:11" ht="31.5" x14ac:dyDescent="0.25">
      <c r="A58" s="31">
        <f t="shared" si="2"/>
        <v>53</v>
      </c>
      <c r="B58" s="127" t="s">
        <v>818</v>
      </c>
      <c r="C58" s="674"/>
      <c r="D58" s="677" t="s">
        <v>285</v>
      </c>
      <c r="E58" s="674">
        <v>0</v>
      </c>
      <c r="F58" s="677" t="s">
        <v>285</v>
      </c>
      <c r="G58" s="177">
        <f t="shared" si="1"/>
        <v>0</v>
      </c>
      <c r="H58" s="178" t="s">
        <v>285</v>
      </c>
      <c r="I58" s="43"/>
      <c r="J58" s="43"/>
      <c r="K58" s="43"/>
    </row>
    <row r="59" spans="1:11" ht="18.75" x14ac:dyDescent="0.25">
      <c r="A59" s="31">
        <f t="shared" si="2"/>
        <v>54</v>
      </c>
      <c r="B59" s="127" t="s">
        <v>954</v>
      </c>
      <c r="C59" s="674"/>
      <c r="D59" s="677" t="s">
        <v>285</v>
      </c>
      <c r="E59" s="674">
        <v>0</v>
      </c>
      <c r="F59" s="677" t="s">
        <v>285</v>
      </c>
      <c r="G59" s="177">
        <f t="shared" si="1"/>
        <v>0</v>
      </c>
      <c r="H59" s="178" t="s">
        <v>285</v>
      </c>
      <c r="I59" s="43"/>
      <c r="J59" s="43"/>
      <c r="K59" s="43"/>
    </row>
    <row r="60" spans="1:11" x14ac:dyDescent="0.25">
      <c r="A60" s="31">
        <f t="shared" si="2"/>
        <v>55</v>
      </c>
      <c r="B60" s="127" t="s">
        <v>812</v>
      </c>
      <c r="C60" s="674"/>
      <c r="D60" s="677" t="s">
        <v>285</v>
      </c>
      <c r="E60" s="674">
        <v>0</v>
      </c>
      <c r="F60" s="677" t="s">
        <v>285</v>
      </c>
      <c r="G60" s="177">
        <f t="shared" si="1"/>
        <v>0</v>
      </c>
      <c r="H60" s="178" t="s">
        <v>285</v>
      </c>
      <c r="I60" s="43"/>
      <c r="J60" s="43"/>
      <c r="K60" s="43"/>
    </row>
    <row r="61" spans="1:11" x14ac:dyDescent="0.25">
      <c r="A61" s="31">
        <f t="shared" si="2"/>
        <v>56</v>
      </c>
      <c r="B61" s="79" t="s">
        <v>316</v>
      </c>
      <c r="C61" s="674"/>
      <c r="D61" s="674"/>
      <c r="E61" s="674">
        <v>0</v>
      </c>
      <c r="F61" s="674"/>
      <c r="G61" s="177">
        <f t="shared" si="1"/>
        <v>0</v>
      </c>
      <c r="H61" s="178">
        <f t="shared" si="1"/>
        <v>0</v>
      </c>
      <c r="I61" s="43"/>
      <c r="J61" s="43"/>
      <c r="K61" s="43"/>
    </row>
    <row r="62" spans="1:11" x14ac:dyDescent="0.25">
      <c r="A62" s="31">
        <f t="shared" si="2"/>
        <v>57</v>
      </c>
      <c r="B62" s="79" t="s">
        <v>128</v>
      </c>
      <c r="C62" s="674">
        <v>0</v>
      </c>
      <c r="D62" s="674">
        <v>125838.17</v>
      </c>
      <c r="E62" s="674">
        <v>300</v>
      </c>
      <c r="F62" s="674">
        <v>135784.06</v>
      </c>
      <c r="G62" s="177">
        <f t="shared" si="1"/>
        <v>300</v>
      </c>
      <c r="H62" s="178">
        <f t="shared" si="1"/>
        <v>9945.89</v>
      </c>
      <c r="I62" s="43"/>
      <c r="J62" s="43"/>
      <c r="K62" s="43"/>
    </row>
    <row r="63" spans="1:11" x14ac:dyDescent="0.25">
      <c r="A63" s="31">
        <f t="shared" si="2"/>
        <v>58</v>
      </c>
      <c r="B63" s="527" t="s">
        <v>130</v>
      </c>
      <c r="C63" s="674">
        <v>54052.59</v>
      </c>
      <c r="D63" s="674">
        <v>0</v>
      </c>
      <c r="E63" s="674">
        <f>40252.98+300</f>
        <v>40552.980000000003</v>
      </c>
      <c r="F63" s="674">
        <v>0</v>
      </c>
      <c r="G63" s="177">
        <f t="shared" si="1"/>
        <v>-13499.609999999993</v>
      </c>
      <c r="H63" s="178">
        <f t="shared" si="1"/>
        <v>0</v>
      </c>
      <c r="I63" s="442"/>
      <c r="J63" s="43"/>
      <c r="K63" s="43"/>
    </row>
    <row r="64" spans="1:11" x14ac:dyDescent="0.25">
      <c r="A64" s="31">
        <f t="shared" si="2"/>
        <v>59</v>
      </c>
      <c r="B64" s="527" t="s">
        <v>913</v>
      </c>
      <c r="C64" s="674">
        <v>0</v>
      </c>
      <c r="D64" s="674">
        <v>0</v>
      </c>
      <c r="E64" s="674">
        <v>0</v>
      </c>
      <c r="F64" s="674">
        <v>0</v>
      </c>
      <c r="G64" s="177">
        <f t="shared" ref="G64" si="23">E64-C64</f>
        <v>0</v>
      </c>
      <c r="H64" s="178">
        <f t="shared" ref="H64" si="24">F64-D64</f>
        <v>0</v>
      </c>
      <c r="I64" s="442"/>
      <c r="J64" s="43"/>
      <c r="K64" s="43"/>
    </row>
    <row r="65" spans="1:11" x14ac:dyDescent="0.25">
      <c r="A65" s="31">
        <f t="shared" si="2"/>
        <v>60</v>
      </c>
      <c r="B65" s="528" t="s">
        <v>853</v>
      </c>
      <c r="C65" s="674">
        <v>0</v>
      </c>
      <c r="D65" s="674">
        <v>0</v>
      </c>
      <c r="E65" s="674">
        <v>0</v>
      </c>
      <c r="F65" s="674">
        <v>0</v>
      </c>
      <c r="G65" s="177">
        <f>E65-C65</f>
        <v>0</v>
      </c>
      <c r="H65" s="178">
        <f t="shared" si="1"/>
        <v>0</v>
      </c>
      <c r="I65" s="442"/>
      <c r="J65" s="43"/>
      <c r="K65" s="43"/>
    </row>
    <row r="66" spans="1:11" x14ac:dyDescent="0.25">
      <c r="A66" s="31">
        <f t="shared" si="2"/>
        <v>61</v>
      </c>
      <c r="B66" s="528" t="s">
        <v>869</v>
      </c>
      <c r="C66" s="674"/>
      <c r="D66" s="674"/>
      <c r="E66" s="674">
        <v>0</v>
      </c>
      <c r="F66" s="674">
        <v>0</v>
      </c>
      <c r="G66" s="177">
        <f>E66-C66</f>
        <v>0</v>
      </c>
      <c r="H66" s="178">
        <f t="shared" ref="H66" si="25">F66-D66</f>
        <v>0</v>
      </c>
      <c r="I66" s="442"/>
      <c r="J66" s="43"/>
      <c r="K66" s="43"/>
    </row>
    <row r="67" spans="1:11" x14ac:dyDescent="0.25">
      <c r="A67" s="31">
        <f t="shared" si="2"/>
        <v>62</v>
      </c>
      <c r="B67" s="79" t="s">
        <v>131</v>
      </c>
      <c r="C67" s="674">
        <v>42882368.219999999</v>
      </c>
      <c r="D67" s="674">
        <v>0</v>
      </c>
      <c r="E67" s="674">
        <v>47781259.420000002</v>
      </c>
      <c r="F67" s="674">
        <v>0</v>
      </c>
      <c r="G67" s="177">
        <f t="shared" si="1"/>
        <v>4898891.200000003</v>
      </c>
      <c r="H67" s="178">
        <f t="shared" si="1"/>
        <v>0</v>
      </c>
      <c r="I67" s="43"/>
      <c r="J67" s="43"/>
      <c r="K67" s="43"/>
    </row>
    <row r="68" spans="1:11" x14ac:dyDescent="0.25">
      <c r="A68" s="31">
        <f t="shared" si="2"/>
        <v>63</v>
      </c>
      <c r="B68" s="529" t="s">
        <v>274</v>
      </c>
      <c r="C68" s="678"/>
      <c r="D68" s="678"/>
      <c r="E68" s="678"/>
      <c r="F68" s="678"/>
      <c r="G68" s="177">
        <f t="shared" si="1"/>
        <v>0</v>
      </c>
      <c r="H68" s="178">
        <f t="shared" si="1"/>
        <v>0</v>
      </c>
      <c r="I68" s="43"/>
      <c r="J68" s="43"/>
      <c r="K68" s="43"/>
    </row>
    <row r="69" spans="1:11" x14ac:dyDescent="0.25">
      <c r="A69" s="31">
        <f t="shared" si="2"/>
        <v>64</v>
      </c>
      <c r="B69" s="529" t="s">
        <v>149</v>
      </c>
      <c r="C69" s="679">
        <v>429468.59</v>
      </c>
      <c r="D69" s="679"/>
      <c r="E69" s="679">
        <v>387940.47</v>
      </c>
      <c r="F69" s="679"/>
      <c r="G69" s="177">
        <f t="shared" si="1"/>
        <v>-41528.120000000054</v>
      </c>
      <c r="H69" s="178">
        <f t="shared" si="1"/>
        <v>0</v>
      </c>
      <c r="I69" s="43"/>
      <c r="J69" s="43"/>
      <c r="K69" s="43"/>
    </row>
    <row r="70" spans="1:11" s="133" customFormat="1" ht="49.5" customHeight="1" thickBot="1" x14ac:dyDescent="0.3">
      <c r="A70" s="31">
        <f t="shared" si="2"/>
        <v>65</v>
      </c>
      <c r="B70" s="613" t="s">
        <v>1124</v>
      </c>
      <c r="C70" s="62">
        <f>C6+C11+C16+C17+C18+C19+C20+C21+C24+C25+C31+C38+C39+C50+C51+C52+C53+C54+C55+C61+C62+C63+C64+C65+C66+C67</f>
        <v>64085514.822999999</v>
      </c>
      <c r="D70" s="62">
        <f t="shared" ref="D70:F70" si="26">D6+D11+D16+D17+D18+D19+D20+D21+D24+D25+D31+D38+D39+D50+D51+D52+D53+D54+D55+D61+D62+D63+D64+D65+D66+D67</f>
        <v>1495661.6999999997</v>
      </c>
      <c r="E70" s="704">
        <f t="shared" si="26"/>
        <v>67400358.859999999</v>
      </c>
      <c r="F70" s="463">
        <f t="shared" si="26"/>
        <v>1348196.5999999999</v>
      </c>
      <c r="G70" s="184">
        <f t="shared" si="1"/>
        <v>3314844.0370000005</v>
      </c>
      <c r="H70" s="185">
        <f t="shared" si="1"/>
        <v>-147465.09999999986</v>
      </c>
      <c r="I70" s="720"/>
      <c r="J70" s="721"/>
      <c r="K70" s="721"/>
    </row>
    <row r="71" spans="1:11" ht="21" customHeight="1" x14ac:dyDescent="0.25">
      <c r="B71" s="3"/>
      <c r="C71" s="962"/>
      <c r="D71" s="963"/>
      <c r="E71" s="433"/>
      <c r="F71" s="963"/>
      <c r="G71" s="3"/>
      <c r="H71" s="3"/>
      <c r="I71" s="43"/>
      <c r="J71" s="43"/>
      <c r="K71" s="43"/>
    </row>
    <row r="72" spans="1:11" x14ac:dyDescent="0.25">
      <c r="A72" s="755" t="s">
        <v>955</v>
      </c>
      <c r="B72" s="756"/>
      <c r="C72" s="756"/>
      <c r="D72" s="756"/>
      <c r="E72" s="756"/>
      <c r="F72" s="756"/>
      <c r="G72" s="756"/>
      <c r="H72" s="757"/>
      <c r="I72" s="441"/>
    </row>
    <row r="73" spans="1:11" ht="30.75" customHeight="1" x14ac:dyDescent="0.25">
      <c r="A73" s="758" t="s">
        <v>215</v>
      </c>
      <c r="B73" s="759"/>
      <c r="C73" s="759"/>
      <c r="D73" s="759"/>
      <c r="E73" s="759"/>
      <c r="F73" s="759"/>
      <c r="G73" s="759"/>
      <c r="H73" s="760"/>
    </row>
    <row r="75" spans="1:11" x14ac:dyDescent="0.25">
      <c r="C75" s="482"/>
    </row>
    <row r="76" spans="1:11" ht="18.75" customHeight="1" x14ac:dyDescent="0.25"/>
  </sheetData>
  <mergeCells count="9">
    <mergeCell ref="A72:H72"/>
    <mergeCell ref="A73:H73"/>
    <mergeCell ref="A1:H1"/>
    <mergeCell ref="A2:H2"/>
    <mergeCell ref="A3:A4"/>
    <mergeCell ref="B3:B4"/>
    <mergeCell ref="C3:D3"/>
    <mergeCell ref="E3:F3"/>
    <mergeCell ref="G3:H3"/>
  </mergeCells>
  <printOptions gridLines="1"/>
  <pageMargins left="0.24" right="0.31496062992125984" top="0.43307086614173229" bottom="0.47244094488188981" header="0.39370078740157483" footer="0.23622047244094491"/>
  <pageSetup paperSize="9" scale="50" orientation="portrait" r:id="rId1"/>
  <headerFooter alignWithMargins="0">
    <oddFooter>&amp;C&amp;P z &amp;N</oddFooter>
  </headerFooter>
  <rowBreaks count="1" manualBreakCount="1">
    <brk id="38"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80" zoomScaleNormal="80" workbookViewId="0">
      <selection activeCell="I30" sqref="I30"/>
    </sheetView>
  </sheetViews>
  <sheetFormatPr defaultRowHeight="15.75" x14ac:dyDescent="0.25"/>
  <cols>
    <col min="1" max="1" width="7.85546875" style="3" customWidth="1"/>
    <col min="2" max="2" width="98.28515625" style="6" customWidth="1"/>
    <col min="3" max="3" width="16.85546875" style="1" customWidth="1"/>
    <col min="4" max="4" width="17.28515625" style="1" customWidth="1"/>
    <col min="5" max="5" width="32.140625" style="1" customWidth="1"/>
    <col min="6" max="6" width="9.140625" style="1"/>
    <col min="7" max="7" width="6.5703125" style="1" customWidth="1"/>
    <col min="8" max="8" width="9.140625" style="1"/>
    <col min="9" max="9" width="9.140625" style="1" customWidth="1"/>
    <col min="10" max="16384" width="9.140625" style="1"/>
  </cols>
  <sheetData>
    <row r="1" spans="1:9" ht="45.75" customHeight="1" thickBot="1" x14ac:dyDescent="0.3">
      <c r="A1" s="749" t="s">
        <v>993</v>
      </c>
      <c r="B1" s="750"/>
      <c r="C1" s="750"/>
      <c r="D1" s="751"/>
      <c r="E1" s="240"/>
    </row>
    <row r="2" spans="1:9" ht="37.5" customHeight="1" x14ac:dyDescent="0.25">
      <c r="A2" s="746" t="s">
        <v>366</v>
      </c>
      <c r="B2" s="747"/>
      <c r="C2" s="747"/>
      <c r="D2" s="748"/>
    </row>
    <row r="3" spans="1:9" s="10" customFormat="1" ht="31.5" x14ac:dyDescent="0.25">
      <c r="A3" s="406" t="s">
        <v>180</v>
      </c>
      <c r="B3" s="408" t="s">
        <v>299</v>
      </c>
      <c r="C3" s="407">
        <v>2018</v>
      </c>
      <c r="D3" s="375">
        <v>2019</v>
      </c>
    </row>
    <row r="4" spans="1:9" s="10" customFormat="1" x14ac:dyDescent="0.25">
      <c r="A4" s="406"/>
      <c r="B4" s="408"/>
      <c r="C4" s="407" t="s">
        <v>257</v>
      </c>
      <c r="D4" s="375" t="s">
        <v>258</v>
      </c>
      <c r="F4" s="93"/>
    </row>
    <row r="5" spans="1:9" x14ac:dyDescent="0.25">
      <c r="A5" s="31">
        <v>1</v>
      </c>
      <c r="B5" s="377" t="s">
        <v>938</v>
      </c>
      <c r="C5" s="540">
        <f>+SUM(C6:C9)</f>
        <v>13264448.940000001</v>
      </c>
      <c r="D5" s="540">
        <f>+SUM(D6:D9)</f>
        <v>13536434.93</v>
      </c>
      <c r="E5" s="10"/>
      <c r="F5" s="386"/>
      <c r="G5" s="257"/>
    </row>
    <row r="6" spans="1:9" x14ac:dyDescent="0.25">
      <c r="A6" s="31">
        <v>2</v>
      </c>
      <c r="B6" s="45" t="s">
        <v>916</v>
      </c>
      <c r="C6" s="681">
        <v>1320</v>
      </c>
      <c r="D6" s="681">
        <v>960</v>
      </c>
      <c r="E6" s="385"/>
      <c r="F6" s="10"/>
      <c r="I6" s="240"/>
    </row>
    <row r="7" spans="1:9" x14ac:dyDescent="0.25">
      <c r="A7" s="31">
        <v>3</v>
      </c>
      <c r="B7" s="45" t="s">
        <v>917</v>
      </c>
      <c r="C7" s="681">
        <v>243268.96</v>
      </c>
      <c r="D7" s="681">
        <v>202399.43</v>
      </c>
      <c r="E7" s="385"/>
      <c r="F7" s="10"/>
      <c r="I7" s="240"/>
    </row>
    <row r="8" spans="1:9" x14ac:dyDescent="0.25">
      <c r="A8" s="31">
        <v>4</v>
      </c>
      <c r="B8" s="541" t="s">
        <v>977</v>
      </c>
      <c r="C8" s="681">
        <v>12857104</v>
      </c>
      <c r="D8" s="681">
        <v>13131010</v>
      </c>
      <c r="E8" s="385"/>
      <c r="F8" s="10"/>
      <c r="I8" s="240"/>
    </row>
    <row r="9" spans="1:9" x14ac:dyDescent="0.25">
      <c r="A9" s="31">
        <v>5</v>
      </c>
      <c r="B9" s="541" t="s">
        <v>976</v>
      </c>
      <c r="C9" s="681">
        <v>162755.98000000001</v>
      </c>
      <c r="D9" s="681">
        <v>202065.5</v>
      </c>
      <c r="E9" s="385"/>
      <c r="F9" s="10"/>
      <c r="I9" s="240"/>
    </row>
    <row r="10" spans="1:9" x14ac:dyDescent="0.25">
      <c r="A10" s="31">
        <v>6</v>
      </c>
      <c r="B10" s="63" t="s">
        <v>953</v>
      </c>
      <c r="C10" s="673">
        <f>SUM(C11:C16)</f>
        <v>335460.48000000004</v>
      </c>
      <c r="D10" s="682">
        <f>SUM(D11:D16)</f>
        <v>306432.49</v>
      </c>
    </row>
    <row r="11" spans="1:9" x14ac:dyDescent="0.25">
      <c r="A11" s="31">
        <v>7</v>
      </c>
      <c r="B11" s="45" t="s">
        <v>918</v>
      </c>
      <c r="C11" s="681">
        <v>230930.03</v>
      </c>
      <c r="D11" s="681">
        <v>208512</v>
      </c>
    </row>
    <row r="12" spans="1:9" x14ac:dyDescent="0.25">
      <c r="A12" s="31">
        <v>8</v>
      </c>
      <c r="B12" s="45" t="s">
        <v>919</v>
      </c>
      <c r="C12" s="681">
        <v>66242.86</v>
      </c>
      <c r="D12" s="681">
        <v>70580</v>
      </c>
    </row>
    <row r="13" spans="1:9" x14ac:dyDescent="0.25">
      <c r="A13" s="31">
        <v>9</v>
      </c>
      <c r="B13" s="45" t="s">
        <v>920</v>
      </c>
      <c r="C13" s="681">
        <v>20618</v>
      </c>
      <c r="D13" s="681">
        <v>8444</v>
      </c>
    </row>
    <row r="14" spans="1:9" x14ac:dyDescent="0.25">
      <c r="A14" s="31">
        <v>10</v>
      </c>
      <c r="B14" s="45" t="s">
        <v>921</v>
      </c>
      <c r="C14" s="681">
        <f>17462.59+6</f>
        <v>17468.59</v>
      </c>
      <c r="D14" s="681">
        <v>18494.490000000002</v>
      </c>
    </row>
    <row r="15" spans="1:9" ht="31.5" x14ac:dyDescent="0.25">
      <c r="A15" s="31">
        <v>11</v>
      </c>
      <c r="B15" s="45" t="s">
        <v>922</v>
      </c>
      <c r="C15" s="681">
        <v>201</v>
      </c>
      <c r="D15" s="681">
        <v>402</v>
      </c>
    </row>
    <row r="16" spans="1:9" x14ac:dyDescent="0.25">
      <c r="A16" s="31">
        <v>12</v>
      </c>
      <c r="B16" s="45" t="s">
        <v>923</v>
      </c>
      <c r="C16" s="681">
        <v>0</v>
      </c>
      <c r="D16" s="681">
        <v>0</v>
      </c>
    </row>
    <row r="17" spans="1:4" x14ac:dyDescent="0.25">
      <c r="A17" s="31">
        <v>13</v>
      </c>
      <c r="B17" s="63" t="s">
        <v>221</v>
      </c>
      <c r="C17" s="673">
        <f>(C6+C7)*0.2</f>
        <v>48917.792000000001</v>
      </c>
      <c r="D17" s="682">
        <f>(D6+D7)*0.2</f>
        <v>40671.885999999999</v>
      </c>
    </row>
    <row r="18" spans="1:4" ht="16.5" thickBot="1" x14ac:dyDescent="0.3">
      <c r="A18" s="31">
        <v>14</v>
      </c>
      <c r="B18" s="64" t="s">
        <v>305</v>
      </c>
      <c r="C18" s="683">
        <v>48953.37</v>
      </c>
      <c r="D18" s="683">
        <v>43654</v>
      </c>
    </row>
    <row r="19" spans="1:4" x14ac:dyDescent="0.25">
      <c r="B19" s="9"/>
    </row>
    <row r="20" spans="1:4" x14ac:dyDescent="0.25">
      <c r="A20" s="321"/>
      <c r="B20" s="394"/>
    </row>
    <row r="21" spans="1:4" x14ac:dyDescent="0.25">
      <c r="B21" s="379"/>
    </row>
    <row r="22" spans="1:4" x14ac:dyDescent="0.25">
      <c r="B22" s="379"/>
    </row>
    <row r="23" spans="1:4" x14ac:dyDescent="0.25">
      <c r="B23" s="9"/>
    </row>
    <row r="24" spans="1:4" x14ac:dyDescent="0.25">
      <c r="B24" s="9"/>
    </row>
    <row r="25" spans="1:4" x14ac:dyDescent="0.25">
      <c r="B25" s="9"/>
    </row>
    <row r="26" spans="1:4" x14ac:dyDescent="0.25">
      <c r="B26" s="9"/>
    </row>
  </sheetData>
  <mergeCells count="2">
    <mergeCell ref="A1:D1"/>
    <mergeCell ref="A2:D2"/>
  </mergeCells>
  <pageMargins left="0.70866141732283472"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78802F3-CAF1-414B-986B-3ACC0176C017}">
  <ds:schemaRefs>
    <ds:schemaRef ds:uri="http://purl.org/dc/dcmitype/"/>
    <ds:schemaRef ds:uri="http://purl.org/dc/terms/"/>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E69B052-6B58-40C2-8603-8925FD4879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28</vt:i4>
      </vt:variant>
      <vt:variant>
        <vt:lpstr>Pomenované rozsahy</vt:lpstr>
      </vt:variant>
      <vt:variant>
        <vt:i4>24</vt:i4>
      </vt:variant>
    </vt:vector>
  </HeadingPairs>
  <TitlesOfParts>
    <vt:vector size="52" baseType="lpstr">
      <vt:lpstr>Obsah</vt:lpstr>
      <vt:lpstr>zmeny</vt:lpstr>
      <vt:lpstr>Vysvetlivky</vt:lpstr>
      <vt:lpstr>Súvzťažnosti</vt:lpstr>
      <vt:lpstr>Kódy z CRŠ</vt: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T9_ŠD </vt:lpstr>
      <vt:lpstr>T10-ŠJ </vt:lpstr>
      <vt:lpstr>T11-Zdroje KV</vt:lpstr>
      <vt:lpstr>T12-KV</vt:lpstr>
      <vt:lpstr>T13-Fondy</vt:lpstr>
      <vt:lpstr>T16 - Štruktúra hotovosti</vt:lpstr>
      <vt:lpstr>T17-Dotácie zo ŠF EU-nová</vt:lpstr>
      <vt:lpstr>T18-Ostatné dotácie z kap MŠ SR</vt:lpstr>
      <vt:lpstr>T19-Štip_ z vlastných </vt:lpstr>
      <vt:lpstr>T20_motivačné štipendiá_nová</vt:lpstr>
      <vt:lpstr>T21-štruktúra_384</vt:lpstr>
      <vt:lpstr>T22_Výnosy_soc_oblasť</vt:lpstr>
      <vt:lpstr>T23_Náklady_soc_oblasť</vt:lpstr>
      <vt:lpstr>T24__Aktíva</vt:lpstr>
      <vt:lpstr>Obsah!Oblasť_tlače</vt:lpstr>
      <vt:lpstr>Súvzťažnosti!Oblasť_tlače</vt:lpstr>
      <vt:lpstr>'T10-ŠJ '!Oblasť_tlače</vt:lpstr>
      <vt:lpstr>'T11-Zdroje KV'!Oblasť_tlače</vt:lpstr>
      <vt:lpstr>'T12-KV'!Oblasť_tlače</vt:lpstr>
      <vt:lpstr>'T13-Fondy'!Oblasť_tlače</vt:lpstr>
      <vt:lpstr>'T16 - Štruktúra hotovosti'!Oblasť_tlače</vt:lpstr>
      <vt:lpstr>'T17-Dotácie zo ŠF EU-nová'!Oblasť_tlače</vt:lpstr>
      <vt:lpstr>'T18-Ostatné dotácie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 '!Oblasť_tlače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Používateľ systému Windows</cp:lastModifiedBy>
  <cp:lastPrinted>2020-05-05T12:06:43Z</cp:lastPrinted>
  <dcterms:created xsi:type="dcterms:W3CDTF">2002-06-05T18:53:25Z</dcterms:created>
  <dcterms:modified xsi:type="dcterms:W3CDTF">2020-06-12T13:45:17Z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y fmtid="{D5CDD505-2E9C-101B-9397-08002B2CF9AE}" pid="3" name="BExAnalyzer_OldName">
    <vt:lpwstr>Upr_tab_VS_VVŠ_za 2019.xlsx</vt:lpwstr>
  </property>
</Properties>
</file>